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0" yWindow="1560" windowWidth="20736" windowHeight="10656" firstSheet="10" activeTab="16"/>
  </bookViews>
  <sheets>
    <sheet name="Tervezőhiv." sheetId="38" r:id="rId1"/>
    <sheet name="Tervezőönkorm." sheetId="37" r:id="rId2"/>
    <sheet name="címrend" sheetId="11" r:id="rId3"/>
    <sheet name="címrendösszesen" sheetId="1" r:id="rId4"/>
    <sheet name="összesített önk.- köt.-államig." sheetId="8" r:id="rId5"/>
    <sheet name="mérleg" sheetId="7" r:id="rId6"/>
    <sheet name="rendfeladattalterhpézmaradv" sheetId="28" r:id="rId7"/>
    <sheet name="tartalékok" sheetId="17" r:id="rId8"/>
    <sheet name="felhalmozás-felújítás" sheetId="18" r:id="rId9"/>
    <sheet name="bevétel 11601 cím " sheetId="19" r:id="rId10"/>
    <sheet name="kiadás 11601" sheetId="20" r:id="rId11"/>
    <sheet name="bevétel 11602" sheetId="21" r:id="rId12"/>
    <sheet name="kiadás11602" sheetId="22" r:id="rId13"/>
    <sheet name="kiadás 11603" sheetId="23" r:id="rId14"/>
    <sheet name="bevétel 11604 cím  " sheetId="24" r:id="rId15"/>
    <sheet name="kiadás 11604 " sheetId="25" r:id="rId16"/>
    <sheet name="bevétel 11605 cím  " sheetId="26" r:id="rId17"/>
    <sheet name="kiadás11605projektek" sheetId="27" r:id="rId18"/>
    <sheet name="kiadás 11805" sheetId="40" r:id="rId19"/>
    <sheet name="eng.létszám" sheetId="13" r:id="rId20"/>
    <sheet name="céljellegű" sheetId="15" r:id="rId21"/>
    <sheet name="EU-s projekt" sheetId="35" r:id="rId22"/>
    <sheet name="címrend kötelező" sheetId="5" r:id="rId23"/>
    <sheet name="címrend önként" sheetId="9" r:id="rId24"/>
    <sheet name="címrend államig" sheetId="10" r:id="rId25"/>
    <sheet name="ütemterv" sheetId="32" r:id="rId26"/>
    <sheet name="előzeteskötváll." sheetId="33" r:id="rId27"/>
    <sheet name="előterközvetett támogatások" sheetId="30" r:id="rId28"/>
    <sheet name="előterjállamitám" sheetId="14" r:id="rId29"/>
    <sheet name="3 éves" sheetId="16" r:id="rId30"/>
    <sheet name="stb29A" sheetId="29" r:id="rId31"/>
    <sheet name="zárolt előirányzatok" sheetId="41" r:id="rId32"/>
    <sheet name="Munka1" sheetId="36" r:id="rId33"/>
  </sheets>
  <externalReferences>
    <externalReference r:id="rId34"/>
  </externalReferences>
  <definedNames>
    <definedName name="_xlnm.Print_Titles" localSheetId="9">'bevétel 11601 cím '!$1:$1</definedName>
    <definedName name="_xlnm.Print_Titles" localSheetId="11">'bevétel 11602'!$1:$1</definedName>
    <definedName name="_xlnm.Print_Titles" localSheetId="14">'bevétel 11604 cím  '!$1:$1</definedName>
    <definedName name="_xlnm.Print_Titles" localSheetId="16">'bevétel 11605 cím  '!$1:$1</definedName>
    <definedName name="_xlnm.Print_Titles" localSheetId="20">céljellegű!$A:$A,céljellegű!$1:$2</definedName>
    <definedName name="_xlnm.Print_Titles" localSheetId="2">címrend!$1:$1</definedName>
    <definedName name="_xlnm.Print_Titles" localSheetId="24">'címrend államig'!$A:$A,'címrend államig'!$1:$1</definedName>
    <definedName name="_xlnm.Print_Titles" localSheetId="22">'címrend kötelező'!$A:$A,'címrend kötelező'!$1:$2</definedName>
    <definedName name="_xlnm.Print_Titles" localSheetId="23">'címrend önként'!$A:$A,'címrend önként'!$1:$1</definedName>
    <definedName name="_xlnm.Print_Titles" localSheetId="3">címrendösszesen!$A:$A,címrendösszesen!$1:$5</definedName>
    <definedName name="_xlnm.Print_Titles" localSheetId="28">előterjállamitám!$1:$1</definedName>
    <definedName name="_xlnm.Print_Titles" localSheetId="26">előzeteskötváll.!$1:$1</definedName>
    <definedName name="_xlnm.Print_Titles" localSheetId="8">'felhalmozás-felújítás'!$D:$D,'felhalmozás-felújítás'!$1:$1</definedName>
    <definedName name="_xlnm.Print_Titles" localSheetId="10">'kiadás 11601'!$1:$2</definedName>
    <definedName name="_xlnm.Print_Titles" localSheetId="13">'kiadás 11603'!$1:$2</definedName>
    <definedName name="_xlnm.Print_Titles" localSheetId="15">'kiadás 11604 '!$1:$2</definedName>
    <definedName name="_xlnm.Print_Titles" localSheetId="18">'kiadás 11805'!$1:$2</definedName>
    <definedName name="_xlnm.Print_Titles" localSheetId="12">kiadás11602!$1:$1</definedName>
    <definedName name="_xlnm.Print_Titles" localSheetId="17">kiadás11605projektek!$1:$1</definedName>
    <definedName name="_xlnm.Print_Titles" localSheetId="5">mérleg!$B:$B,mérleg!$1:$2</definedName>
    <definedName name="_xlnm.Print_Titles" localSheetId="4">'összesített önk.- köt.-államig.'!$A:$B,'összesített önk.- köt.-államig.'!$1:$2</definedName>
    <definedName name="_xlnm.Print_Titles" localSheetId="6">rendfeladattalterhpézmaradv!$1:$2</definedName>
    <definedName name="_xlnm.Print_Titles" localSheetId="31">'zárolt előirányzatok'!$1:$1</definedName>
    <definedName name="_xlnm.Print_Area" localSheetId="29">'3 éves'!$I$1:$O$67</definedName>
    <definedName name="_xlnm.Print_Area" localSheetId="9">'bevétel 11601 cím '!$A$1:$G$16</definedName>
    <definedName name="_xlnm.Print_Area" localSheetId="11">'bevétel 11602'!$A$1:$G$40</definedName>
    <definedName name="_xlnm.Print_Area" localSheetId="14">'bevétel 11604 cím  '!$A$1:$G$10</definedName>
    <definedName name="_xlnm.Print_Area" localSheetId="16">'bevétel 11605 cím  '!$A$1:$G$12</definedName>
    <definedName name="_xlnm.Print_Area" localSheetId="20">céljellegű!$A$1:$S$23</definedName>
    <definedName name="_xlnm.Print_Area" localSheetId="2">címrend!$A$1:$F$96</definedName>
    <definedName name="_xlnm.Print_Area" localSheetId="24">'címrend államig'!$A$1:$BT$70</definedName>
    <definedName name="_xlnm.Print_Area" localSheetId="22">'címrend kötelező'!$A$1:$BT$70</definedName>
    <definedName name="_xlnm.Print_Area" localSheetId="23">'címrend önként'!$A$1:$BT$70</definedName>
    <definedName name="_xlnm.Print_Area" localSheetId="3">címrendösszesen!$A$1:$HF$70</definedName>
    <definedName name="_xlnm.Print_Area" localSheetId="28">előterjállamitám!$A$1:$E$67</definedName>
    <definedName name="_xlnm.Print_Area" localSheetId="27">'előterközvetett támogatások'!$A$1:$D$29</definedName>
    <definedName name="_xlnm.Print_Area" localSheetId="26">előzeteskötváll.!$A$1:$F$100</definedName>
    <definedName name="_xlnm.Print_Area" localSheetId="19">eng.létszám!$A$1:$AC$36</definedName>
    <definedName name="_xlnm.Print_Area" localSheetId="8">'felhalmozás-felújítás'!$A$1:$J$88</definedName>
    <definedName name="_xlnm.Print_Area" localSheetId="10">'kiadás 11601'!$A$1:$I$31</definedName>
    <definedName name="_xlnm.Print_Area" localSheetId="13">'kiadás 11603'!$A$1:$I$14</definedName>
    <definedName name="_xlnm.Print_Area" localSheetId="15">'kiadás 11604 '!$A$1:$L$69</definedName>
    <definedName name="_xlnm.Print_Area" localSheetId="18">'kiadás 11805'!$A$1:$L$30</definedName>
    <definedName name="_xlnm.Print_Area" localSheetId="12">kiadás11602!$A$1:$J$40</definedName>
    <definedName name="_xlnm.Print_Area" localSheetId="17">kiadás11605projektek!$A$1:$K$61</definedName>
    <definedName name="_xlnm.Print_Area" localSheetId="5">mérleg!$A$1:$P$75</definedName>
    <definedName name="_xlnm.Print_Area" localSheetId="4">'összesített önk.- köt.-államig.'!$A$1:$R$67</definedName>
    <definedName name="_xlnm.Print_Area" localSheetId="6">rendfeladattalterhpézmaradv!$A$1:$L$34</definedName>
    <definedName name="_xlnm.Print_Area" localSheetId="30">stb29A!$A$1:$E$21</definedName>
    <definedName name="_xlnm.Print_Area" localSheetId="7">tartalékok!$A$1:$E$25</definedName>
    <definedName name="_xlnm.Print_Area" localSheetId="25">ütemterv!$A$1:$Q$56</definedName>
  </definedNames>
  <calcPr calcId="145621"/>
</workbook>
</file>

<file path=xl/calcChain.xml><?xml version="1.0" encoding="utf-8"?>
<calcChain xmlns="http://schemas.openxmlformats.org/spreadsheetml/2006/main">
  <c r="G7" i="26" l="1"/>
  <c r="P126" i="37" l="1"/>
  <c r="B17" i="17"/>
  <c r="F50" i="37" l="1"/>
  <c r="C4" i="23" l="1"/>
  <c r="C3" i="23"/>
  <c r="H4" i="23"/>
  <c r="I4" i="23" s="1"/>
  <c r="I5" i="23" s="1"/>
  <c r="B5" i="23"/>
  <c r="C5" i="23"/>
  <c r="D5" i="23"/>
  <c r="E5" i="23"/>
  <c r="F5" i="23"/>
  <c r="G5" i="23"/>
  <c r="H5" i="23" l="1"/>
  <c r="F8" i="26"/>
  <c r="C7" i="26"/>
  <c r="D15" i="35"/>
  <c r="D9" i="35"/>
  <c r="G9" i="24"/>
  <c r="HC20" i="1" l="1"/>
  <c r="AL303" i="38" l="1"/>
  <c r="R342" i="38" l="1"/>
  <c r="O5" i="16" l="1"/>
  <c r="O17" i="16" l="1"/>
  <c r="N17" i="16"/>
  <c r="M17" i="16"/>
  <c r="P5" i="32"/>
  <c r="P9" i="32"/>
  <c r="CX174" i="37" l="1"/>
  <c r="R205" i="38"/>
  <c r="CX120" i="37" l="1"/>
  <c r="D18" i="30" l="1"/>
  <c r="BP63" i="5" l="1"/>
  <c r="BP10" i="5"/>
  <c r="B61" i="27" l="1"/>
  <c r="P20" i="32" l="1"/>
  <c r="O20" i="32"/>
  <c r="N20" i="32"/>
  <c r="M20" i="32"/>
  <c r="L20" i="32"/>
  <c r="K20" i="32"/>
  <c r="J20" i="32"/>
  <c r="I20" i="32"/>
  <c r="H20" i="32"/>
  <c r="G20" i="32"/>
  <c r="F20" i="32"/>
  <c r="E20" i="32"/>
  <c r="O54" i="16"/>
  <c r="N54" i="16"/>
  <c r="K3" i="16"/>
  <c r="L3" i="16"/>
  <c r="M14" i="16"/>
  <c r="O6" i="16"/>
  <c r="N6" i="16"/>
  <c r="N5" i="16"/>
  <c r="M6" i="16"/>
  <c r="N22" i="16"/>
  <c r="O22" i="16"/>
  <c r="M22" i="16"/>
  <c r="O33" i="16"/>
  <c r="N33" i="16"/>
  <c r="M33" i="16"/>
  <c r="O32" i="16"/>
  <c r="N32" i="16"/>
  <c r="M32" i="16"/>
  <c r="O27" i="16"/>
  <c r="N27" i="16"/>
  <c r="M27" i="16"/>
  <c r="M5" i="16"/>
  <c r="O8" i="16"/>
  <c r="N8" i="16"/>
  <c r="M8" i="16"/>
  <c r="B7" i="29"/>
  <c r="Z29" i="13" l="1"/>
  <c r="Z30" i="13"/>
  <c r="Z32" i="13"/>
  <c r="Z35" i="13"/>
  <c r="P28" i="7"/>
  <c r="O28" i="7"/>
  <c r="O19" i="7"/>
  <c r="BJ71" i="37" l="1"/>
  <c r="BJ70" i="37"/>
  <c r="BI40" i="37"/>
  <c r="BI45" i="37" l="1"/>
  <c r="J61" i="18" l="1"/>
  <c r="J73" i="18"/>
  <c r="J70" i="18"/>
  <c r="J81" i="18" l="1"/>
  <c r="J75" i="18"/>
  <c r="J65" i="18"/>
  <c r="J63" i="18"/>
  <c r="J60" i="18"/>
  <c r="J58" i="18"/>
  <c r="J56" i="18"/>
  <c r="J16" i="18" l="1"/>
  <c r="J17" i="18"/>
  <c r="J18" i="18"/>
  <c r="J19" i="18"/>
  <c r="J10" i="18"/>
  <c r="J11" i="18"/>
  <c r="J7" i="18"/>
  <c r="J8" i="18"/>
  <c r="J6" i="18"/>
  <c r="AL61" i="38" l="1"/>
  <c r="AM41" i="38"/>
  <c r="AM46" i="38"/>
  <c r="I34" i="22"/>
  <c r="D34" i="22"/>
  <c r="J34" i="22" s="1"/>
  <c r="P218" i="37" l="1"/>
  <c r="P120" i="37"/>
  <c r="E30" i="28" l="1"/>
  <c r="G30" i="28"/>
  <c r="H30" i="28"/>
  <c r="E31" i="28"/>
  <c r="G31" i="28"/>
  <c r="H31" i="28"/>
  <c r="D31" i="28"/>
  <c r="D30" i="28"/>
  <c r="BX66" i="37" l="1"/>
  <c r="BR68" i="5" l="1"/>
  <c r="P9" i="15" l="1"/>
  <c r="K15" i="15"/>
  <c r="K19" i="15"/>
  <c r="J19" i="15"/>
  <c r="I15" i="15"/>
  <c r="CW120" i="37" l="1"/>
  <c r="R303" i="38" l="1"/>
  <c r="R119" i="38"/>
  <c r="AE303" i="38"/>
  <c r="R95" i="38"/>
  <c r="F19" i="15" l="1"/>
  <c r="F8" i="15"/>
  <c r="B19" i="15"/>
  <c r="S22" i="15" l="1"/>
  <c r="S21" i="15"/>
  <c r="S20" i="15"/>
  <c r="S19" i="15"/>
  <c r="S18" i="15"/>
  <c r="S17" i="15"/>
  <c r="S16" i="15"/>
  <c r="S15" i="15"/>
  <c r="S14" i="15"/>
  <c r="S13" i="15"/>
  <c r="S12" i="15"/>
  <c r="S11" i="15"/>
  <c r="S10" i="15"/>
  <c r="S9" i="15"/>
  <c r="S8" i="15"/>
  <c r="S7" i="15"/>
  <c r="S6" i="15"/>
  <c r="S5" i="15"/>
  <c r="S4" i="15"/>
  <c r="S3" i="15"/>
  <c r="G23" i="15"/>
  <c r="K10" i="13" l="1"/>
  <c r="P10" i="13" s="1"/>
  <c r="Y10" i="13"/>
  <c r="V10" i="13"/>
  <c r="Q10" i="13"/>
  <c r="R10" i="13" l="1"/>
  <c r="AA10" i="13"/>
  <c r="Z10" i="13"/>
  <c r="AB10" i="13" s="1"/>
  <c r="AT236" i="37"/>
  <c r="EO148" i="37"/>
  <c r="EN148" i="37"/>
  <c r="AT148" i="37" l="1"/>
  <c r="AS148" i="37"/>
  <c r="AA35" i="13" l="1"/>
  <c r="R35" i="13"/>
  <c r="AA34" i="13"/>
  <c r="Z34" i="13"/>
  <c r="AB34" i="13" s="1"/>
  <c r="R34" i="13"/>
  <c r="AA33" i="13"/>
  <c r="Z33" i="13"/>
  <c r="R33" i="13"/>
  <c r="AA32" i="13"/>
  <c r="AB32" i="13"/>
  <c r="R32" i="13"/>
  <c r="AA31" i="13"/>
  <c r="Z31" i="13"/>
  <c r="R31" i="13"/>
  <c r="AA30" i="13"/>
  <c r="AB30" i="13"/>
  <c r="R30" i="13"/>
  <c r="AA29" i="13"/>
  <c r="R29" i="13"/>
  <c r="AA28" i="13"/>
  <c r="Z28" i="13"/>
  <c r="AA27" i="13"/>
  <c r="P27" i="13"/>
  <c r="Z27" i="13" s="1"/>
  <c r="AB27" i="13" s="1"/>
  <c r="AA26" i="13"/>
  <c r="Z26" i="13"/>
  <c r="R26" i="13"/>
  <c r="Y24" i="13"/>
  <c r="V24" i="13"/>
  <c r="Q24" i="13"/>
  <c r="AA24" i="13" s="1"/>
  <c r="P24" i="13"/>
  <c r="R24" i="13" s="1"/>
  <c r="Y23" i="13"/>
  <c r="V23" i="13"/>
  <c r="Q23" i="13"/>
  <c r="P23" i="13"/>
  <c r="R23" i="13" s="1"/>
  <c r="Y22" i="13"/>
  <c r="X22" i="13"/>
  <c r="W22" i="13"/>
  <c r="V22" i="13"/>
  <c r="U22" i="13"/>
  <c r="T22" i="13"/>
  <c r="S22" i="13"/>
  <c r="R22" i="13"/>
  <c r="P22" i="13"/>
  <c r="O22" i="13"/>
  <c r="N22" i="13"/>
  <c r="M22" i="13"/>
  <c r="L22" i="13"/>
  <c r="K22" i="13"/>
  <c r="J22" i="13"/>
  <c r="I22" i="13"/>
  <c r="H22" i="13"/>
  <c r="G22" i="13"/>
  <c r="F22" i="13"/>
  <c r="E22" i="13"/>
  <c r="D22" i="13"/>
  <c r="D25" i="13" s="1"/>
  <c r="C22" i="13"/>
  <c r="Y21" i="13"/>
  <c r="V21" i="13"/>
  <c r="Q21" i="13"/>
  <c r="AA21" i="13" s="1"/>
  <c r="K21" i="13"/>
  <c r="P21" i="13" s="1"/>
  <c r="R21" i="13" s="1"/>
  <c r="Y20" i="13"/>
  <c r="V20" i="13"/>
  <c r="Q20" i="13"/>
  <c r="K20" i="13"/>
  <c r="P20" i="13" s="1"/>
  <c r="Z20" i="13" s="1"/>
  <c r="Y19" i="13"/>
  <c r="V19" i="13"/>
  <c r="Q19" i="13"/>
  <c r="AA19" i="13" s="1"/>
  <c r="K19" i="13"/>
  <c r="P19" i="13" s="1"/>
  <c r="Y18" i="13"/>
  <c r="V18" i="13"/>
  <c r="Q18" i="13"/>
  <c r="AA18" i="13" s="1"/>
  <c r="K18" i="13"/>
  <c r="P18" i="13" s="1"/>
  <c r="Z18" i="13" s="1"/>
  <c r="Y17" i="13"/>
  <c r="V17" i="13"/>
  <c r="Q17" i="13"/>
  <c r="AA17" i="13" s="1"/>
  <c r="K17" i="13"/>
  <c r="P17" i="13" s="1"/>
  <c r="R17" i="13" s="1"/>
  <c r="Y16" i="13"/>
  <c r="V16" i="13"/>
  <c r="N16" i="13"/>
  <c r="Q16" i="13" s="1"/>
  <c r="AA16" i="13" s="1"/>
  <c r="K16" i="13"/>
  <c r="P16" i="13" s="1"/>
  <c r="Y15" i="13"/>
  <c r="V15" i="13"/>
  <c r="Q15" i="13"/>
  <c r="AA15" i="13" s="1"/>
  <c r="K15" i="13"/>
  <c r="P15" i="13" s="1"/>
  <c r="Z15" i="13" s="1"/>
  <c r="Y14" i="13"/>
  <c r="V14" i="13"/>
  <c r="Q14" i="13"/>
  <c r="AA14" i="13" s="1"/>
  <c r="K14" i="13"/>
  <c r="P14" i="13" s="1"/>
  <c r="R14" i="13" s="1"/>
  <c r="Y13" i="13"/>
  <c r="V13" i="13"/>
  <c r="N13" i="13"/>
  <c r="Q13" i="13" s="1"/>
  <c r="AA13" i="13" s="1"/>
  <c r="K13" i="13"/>
  <c r="P13" i="13" s="1"/>
  <c r="Y12" i="13"/>
  <c r="V12" i="13"/>
  <c r="Q12" i="13"/>
  <c r="AA12" i="13" s="1"/>
  <c r="K12" i="13"/>
  <c r="P12" i="13" s="1"/>
  <c r="Z12" i="13" s="1"/>
  <c r="Y11" i="13"/>
  <c r="V11" i="13"/>
  <c r="Q11" i="13"/>
  <c r="AA11" i="13" s="1"/>
  <c r="K11" i="13"/>
  <c r="P11" i="13" s="1"/>
  <c r="R11" i="13" s="1"/>
  <c r="Y9" i="13"/>
  <c r="V9" i="13"/>
  <c r="N9" i="13"/>
  <c r="Q9" i="13" s="1"/>
  <c r="AA9" i="13" s="1"/>
  <c r="K9" i="13"/>
  <c r="P9" i="13" s="1"/>
  <c r="Y8" i="13"/>
  <c r="V8" i="13"/>
  <c r="Q8" i="13"/>
  <c r="AA8" i="13" s="1"/>
  <c r="K8" i="13"/>
  <c r="Y7" i="13"/>
  <c r="V7" i="13"/>
  <c r="Q7" i="13"/>
  <c r="K7" i="13"/>
  <c r="P7" i="13" s="1"/>
  <c r="Z7" i="13" s="1"/>
  <c r="Y6" i="13"/>
  <c r="V6" i="13"/>
  <c r="N6" i="13"/>
  <c r="Q6" i="13" s="1"/>
  <c r="K6" i="13"/>
  <c r="P6" i="13" s="1"/>
  <c r="X5" i="13"/>
  <c r="W5" i="13"/>
  <c r="W25" i="13" s="1"/>
  <c r="W36" i="13" s="1"/>
  <c r="U5" i="13"/>
  <c r="U25" i="13" s="1"/>
  <c r="U36" i="13" s="1"/>
  <c r="T5" i="13"/>
  <c r="S5" i="13"/>
  <c r="S25" i="13" s="1"/>
  <c r="S36" i="13" s="1"/>
  <c r="O5" i="13"/>
  <c r="O25" i="13" s="1"/>
  <c r="N5" i="13"/>
  <c r="M5" i="13"/>
  <c r="M25" i="13" s="1"/>
  <c r="L5" i="13"/>
  <c r="L25" i="13" s="1"/>
  <c r="J5" i="13"/>
  <c r="J25" i="13" s="1"/>
  <c r="I5" i="13"/>
  <c r="I25" i="13" s="1"/>
  <c r="H5" i="13"/>
  <c r="H25" i="13" s="1"/>
  <c r="G5" i="13"/>
  <c r="G25" i="13" s="1"/>
  <c r="F5" i="13"/>
  <c r="F25" i="13" s="1"/>
  <c r="E5" i="13"/>
  <c r="E25" i="13" s="1"/>
  <c r="C5" i="13"/>
  <c r="C25" i="13" s="1"/>
  <c r="Y4" i="13"/>
  <c r="V4" i="13"/>
  <c r="N4" i="13"/>
  <c r="Q4" i="13" s="1"/>
  <c r="AA4" i="13" s="1"/>
  <c r="K4" i="13"/>
  <c r="R27" i="13" l="1"/>
  <c r="Z22" i="13"/>
  <c r="AB28" i="13"/>
  <c r="T25" i="13"/>
  <c r="T36" i="13" s="1"/>
  <c r="X25" i="13"/>
  <c r="X36" i="13" s="1"/>
  <c r="Z23" i="13"/>
  <c r="Z24" i="13"/>
  <c r="AA20" i="13"/>
  <c r="AB20" i="13" s="1"/>
  <c r="V5" i="13"/>
  <c r="V25" i="13" s="1"/>
  <c r="V36" i="13" s="1"/>
  <c r="Y5" i="13"/>
  <c r="Y25" i="13" s="1"/>
  <c r="AB24" i="13"/>
  <c r="AB26" i="13"/>
  <c r="AB29" i="13"/>
  <c r="AB31" i="13"/>
  <c r="AB33" i="13"/>
  <c r="AB35" i="13"/>
  <c r="R6" i="13"/>
  <c r="N25" i="13"/>
  <c r="Z9" i="13"/>
  <c r="AB9" i="13" s="1"/>
  <c r="R9" i="13"/>
  <c r="Z13" i="13"/>
  <c r="AB13" i="13" s="1"/>
  <c r="R13" i="13"/>
  <c r="Z16" i="13"/>
  <c r="AB16" i="13" s="1"/>
  <c r="R16" i="13"/>
  <c r="P4" i="13"/>
  <c r="Y36" i="13"/>
  <c r="AA6" i="13"/>
  <c r="Q5" i="13"/>
  <c r="R7" i="13"/>
  <c r="P8" i="13"/>
  <c r="K5" i="13"/>
  <c r="K25" i="13" s="1"/>
  <c r="Z11" i="13"/>
  <c r="AB11" i="13" s="1"/>
  <c r="Z14" i="13"/>
  <c r="AB14" i="13" s="1"/>
  <c r="Z17" i="13"/>
  <c r="AB17" i="13" s="1"/>
  <c r="R20" i="13"/>
  <c r="Z21" i="13"/>
  <c r="AB21" i="13" s="1"/>
  <c r="Z6" i="13"/>
  <c r="AA7" i="13"/>
  <c r="AB7" i="13" s="1"/>
  <c r="AB12" i="13"/>
  <c r="R12" i="13"/>
  <c r="AB15" i="13"/>
  <c r="R15" i="13"/>
  <c r="AB18" i="13"/>
  <c r="R18" i="13"/>
  <c r="R19" i="13"/>
  <c r="Z19" i="13"/>
  <c r="AB19" i="13" s="1"/>
  <c r="AA23" i="13"/>
  <c r="AB23" i="13" s="1"/>
  <c r="Q22" i="13"/>
  <c r="AA22" i="13" s="1"/>
  <c r="AB22" i="13" s="1"/>
  <c r="D303" i="38"/>
  <c r="C5" i="41"/>
  <c r="I32" i="22"/>
  <c r="J32" i="22" s="1"/>
  <c r="D32" i="22"/>
  <c r="H33" i="22"/>
  <c r="DD208" i="37"/>
  <c r="I37" i="22"/>
  <c r="I35" i="22"/>
  <c r="D37" i="22"/>
  <c r="J37" i="22" s="1"/>
  <c r="D35" i="22"/>
  <c r="B15" i="17"/>
  <c r="C22" i="17"/>
  <c r="H5" i="28"/>
  <c r="E7" i="28"/>
  <c r="G3" i="28"/>
  <c r="AB6" i="13" l="1"/>
  <c r="AA5" i="13"/>
  <c r="Q25" i="13"/>
  <c r="R8" i="13"/>
  <c r="R5" i="13" s="1"/>
  <c r="Z8" i="13"/>
  <c r="AB8" i="13" s="1"/>
  <c r="AB5" i="13" s="1"/>
  <c r="P5" i="13"/>
  <c r="Z5" i="13" s="1"/>
  <c r="Z4" i="13"/>
  <c r="AB4" i="13" s="1"/>
  <c r="R4" i="13"/>
  <c r="J35" i="22"/>
  <c r="C28" i="22"/>
  <c r="HF69" i="1"/>
  <c r="R25" i="13" l="1"/>
  <c r="P25" i="13"/>
  <c r="AA25" i="13"/>
  <c r="Q36" i="13"/>
  <c r="AA36" i="13" s="1"/>
  <c r="BD66" i="9"/>
  <c r="BD10" i="9"/>
  <c r="BD9" i="9"/>
  <c r="BD8" i="9"/>
  <c r="P36" i="13" l="1"/>
  <c r="Z25" i="13"/>
  <c r="AB25" i="13" s="1"/>
  <c r="D26" i="22"/>
  <c r="Z36" i="13" l="1"/>
  <c r="AB36" i="13" s="1"/>
  <c r="R36" i="13"/>
  <c r="P118" i="37"/>
  <c r="BN63" i="5" l="1"/>
  <c r="BN9" i="5"/>
  <c r="BN8" i="5"/>
  <c r="BJ63" i="9"/>
  <c r="BJ9" i="9"/>
  <c r="BJ8" i="9"/>
  <c r="BJ63" i="5"/>
  <c r="BJ9" i="5"/>
  <c r="BJ8" i="5"/>
  <c r="BG63" i="5"/>
  <c r="BG9" i="5"/>
  <c r="BG8" i="5"/>
  <c r="BG63" i="9"/>
  <c r="BG9" i="9"/>
  <c r="BG8" i="9"/>
  <c r="BI63" i="9"/>
  <c r="BI9" i="9"/>
  <c r="BI8" i="9"/>
  <c r="BI63" i="5"/>
  <c r="BI9" i="5"/>
  <c r="BI8" i="5"/>
  <c r="BM63" i="5"/>
  <c r="BL63" i="5"/>
  <c r="BH63" i="5"/>
  <c r="BE63" i="5"/>
  <c r="BF63" i="5"/>
  <c r="BD63" i="5"/>
  <c r="BC63" i="5"/>
  <c r="BB63" i="5"/>
  <c r="BN10" i="5"/>
  <c r="BM10" i="5"/>
  <c r="BL10" i="5"/>
  <c r="BJ10" i="5"/>
  <c r="BI10" i="5"/>
  <c r="BH10" i="5"/>
  <c r="BF10" i="5"/>
  <c r="BE10" i="5"/>
  <c r="BD10" i="5"/>
  <c r="BC10" i="5"/>
  <c r="BB10" i="5"/>
  <c r="BK63" i="9"/>
  <c r="BD63" i="9"/>
  <c r="BA63" i="9"/>
  <c r="BK10" i="9"/>
  <c r="BA10" i="9"/>
  <c r="D62" i="38" l="1"/>
  <c r="D6" i="38"/>
  <c r="D4" i="17" l="1"/>
  <c r="D5" i="17"/>
  <c r="F35" i="37" l="1"/>
  <c r="AT303" i="38" l="1"/>
  <c r="AS303" i="38"/>
  <c r="AN303" i="38"/>
  <c r="AM303" i="38"/>
  <c r="AS61" i="38" l="1"/>
  <c r="R78" i="38" l="1"/>
  <c r="E30" i="21" l="1"/>
  <c r="E29" i="21"/>
  <c r="B10" i="21"/>
  <c r="BQ63" i="9" l="1"/>
  <c r="BQ9" i="9"/>
  <c r="BQ8" i="9"/>
  <c r="BQ10" i="9"/>
  <c r="BR63" i="9"/>
  <c r="BR10" i="9"/>
  <c r="BP10" i="9"/>
  <c r="BP63" i="9"/>
  <c r="BE10" i="9" l="1"/>
  <c r="BE63" i="9"/>
  <c r="BD9" i="5" l="1"/>
  <c r="BD8" i="5"/>
  <c r="BM63" i="9" l="1"/>
  <c r="BL63" i="9"/>
  <c r="BH63" i="9"/>
  <c r="BF63" i="9"/>
  <c r="BC63" i="9"/>
  <c r="BB63" i="9"/>
  <c r="BM10" i="9"/>
  <c r="BL10" i="9"/>
  <c r="BJ10" i="9"/>
  <c r="BI10" i="9"/>
  <c r="BH10" i="9"/>
  <c r="BF10" i="9"/>
  <c r="BC10" i="9"/>
  <c r="BB10" i="9"/>
  <c r="AM57" i="38" l="1"/>
  <c r="AM55" i="38"/>
  <c r="AF303" i="38"/>
  <c r="AE73" i="38"/>
  <c r="AE70" i="38"/>
  <c r="AF83" i="38"/>
  <c r="R118" i="38"/>
  <c r="R116" i="38"/>
  <c r="L303" i="38"/>
  <c r="L73" i="38"/>
  <c r="DV45" i="37"/>
  <c r="BP44" i="37"/>
  <c r="AB62" i="37"/>
  <c r="W44" i="37"/>
  <c r="X48" i="37"/>
  <c r="C10" i="17"/>
  <c r="C9" i="17"/>
  <c r="C23" i="17"/>
  <c r="F51" i="37"/>
  <c r="F40" i="37"/>
  <c r="F34" i="37"/>
  <c r="F22" i="37"/>
  <c r="S303" i="38"/>
  <c r="BJ39" i="37" l="1"/>
  <c r="C31" i="22"/>
  <c r="C8" i="22"/>
  <c r="H18" i="22"/>
  <c r="H29" i="22"/>
  <c r="K12" i="40" l="1"/>
  <c r="F16" i="40"/>
  <c r="F6" i="40"/>
  <c r="I5" i="40"/>
  <c r="I6" i="40"/>
  <c r="I7" i="40"/>
  <c r="J7" i="40" s="1"/>
  <c r="L7" i="40" s="1"/>
  <c r="I8" i="40"/>
  <c r="I9" i="40"/>
  <c r="I4" i="40"/>
  <c r="F5" i="40"/>
  <c r="F7" i="40"/>
  <c r="F8" i="40"/>
  <c r="F9" i="40"/>
  <c r="F4" i="40"/>
  <c r="K29" i="40"/>
  <c r="K30" i="40" s="1"/>
  <c r="L10" i="40"/>
  <c r="L11" i="40"/>
  <c r="L13" i="40"/>
  <c r="L17" i="40"/>
  <c r="L23" i="40"/>
  <c r="L24" i="40"/>
  <c r="L25" i="40"/>
  <c r="L26" i="40"/>
  <c r="L27" i="40"/>
  <c r="L28" i="40"/>
  <c r="L3" i="40"/>
  <c r="J6" i="40" l="1"/>
  <c r="L6" i="40" s="1"/>
  <c r="J4" i="40"/>
  <c r="L4" i="40" s="1"/>
  <c r="J9" i="40"/>
  <c r="L9" i="40" s="1"/>
  <c r="J8" i="40"/>
  <c r="L8" i="40" s="1"/>
  <c r="J5" i="40"/>
  <c r="L5" i="40" s="1"/>
  <c r="H29" i="40"/>
  <c r="G29" i="40"/>
  <c r="E29" i="40"/>
  <c r="C29" i="40"/>
  <c r="B29" i="40"/>
  <c r="I28" i="40"/>
  <c r="F28" i="40"/>
  <c r="I27" i="40"/>
  <c r="F27" i="40"/>
  <c r="I26" i="40"/>
  <c r="F26" i="40"/>
  <c r="I25" i="40"/>
  <c r="F25" i="40"/>
  <c r="I24" i="40"/>
  <c r="F24" i="40"/>
  <c r="I23" i="40"/>
  <c r="F23" i="40"/>
  <c r="I22" i="40"/>
  <c r="F22" i="40"/>
  <c r="I21" i="40"/>
  <c r="F21" i="40"/>
  <c r="I20" i="40"/>
  <c r="F20" i="40"/>
  <c r="I19" i="40"/>
  <c r="F19" i="40"/>
  <c r="I18" i="40"/>
  <c r="F18" i="40"/>
  <c r="I17" i="40"/>
  <c r="F17" i="40"/>
  <c r="I16" i="40"/>
  <c r="I15" i="40"/>
  <c r="F15" i="40"/>
  <c r="I14" i="40"/>
  <c r="F14" i="40"/>
  <c r="H12" i="40"/>
  <c r="H30" i="40" s="1"/>
  <c r="G12" i="40"/>
  <c r="E12" i="40"/>
  <c r="D12" i="40"/>
  <c r="C12" i="40"/>
  <c r="B12" i="40"/>
  <c r="I11" i="40"/>
  <c r="F11" i="40"/>
  <c r="I10" i="40"/>
  <c r="F10" i="40"/>
  <c r="F12" i="40" s="1"/>
  <c r="E30" i="40" l="1"/>
  <c r="B30" i="40"/>
  <c r="C30" i="40"/>
  <c r="I29" i="40"/>
  <c r="F29" i="40"/>
  <c r="F30" i="40" s="1"/>
  <c r="I12" i="40"/>
  <c r="I30" i="40" s="1"/>
  <c r="J15" i="40"/>
  <c r="L15" i="40" s="1"/>
  <c r="J17" i="40"/>
  <c r="J19" i="40"/>
  <c r="L19" i="40" s="1"/>
  <c r="J21" i="40"/>
  <c r="L21" i="40" s="1"/>
  <c r="J23" i="40"/>
  <c r="J25" i="40"/>
  <c r="J27" i="40"/>
  <c r="J11" i="40"/>
  <c r="J14" i="40"/>
  <c r="L14" i="40" s="1"/>
  <c r="J16" i="40"/>
  <c r="L16" i="40" s="1"/>
  <c r="J18" i="40"/>
  <c r="L18" i="40" s="1"/>
  <c r="J20" i="40"/>
  <c r="L20" i="40" s="1"/>
  <c r="J22" i="40"/>
  <c r="L22" i="40" s="1"/>
  <c r="J24" i="40"/>
  <c r="J26" i="40"/>
  <c r="J28" i="40"/>
  <c r="J10" i="40"/>
  <c r="D29" i="40"/>
  <c r="D30" i="40" s="1"/>
  <c r="G30" i="40"/>
  <c r="L29" i="40" l="1"/>
  <c r="EL119" i="37" s="1"/>
  <c r="J30" i="40"/>
  <c r="J29" i="40"/>
  <c r="J12" i="40"/>
  <c r="L12" i="40" s="1"/>
  <c r="EK119" i="37" s="1"/>
  <c r="L30" i="40" l="1"/>
  <c r="F33" i="22"/>
  <c r="D18" i="33" l="1"/>
  <c r="E18" i="33"/>
  <c r="C18" i="33"/>
  <c r="AE65" i="38" l="1"/>
  <c r="AE13" i="38"/>
  <c r="R112" i="38"/>
  <c r="R106" i="38"/>
  <c r="R103" i="38"/>
  <c r="R76" i="38"/>
  <c r="R86" i="38"/>
  <c r="AS73" i="38" l="1"/>
  <c r="AS82" i="38"/>
  <c r="AS80" i="38"/>
  <c r="J13" i="5" l="1"/>
  <c r="D13" i="23"/>
  <c r="F13" i="23"/>
  <c r="G13" i="23"/>
  <c r="B13" i="23"/>
  <c r="E9" i="23" l="1"/>
  <c r="E7" i="23"/>
  <c r="E13" i="23" s="1"/>
  <c r="H10" i="23"/>
  <c r="H11" i="23"/>
  <c r="I11" i="23" s="1"/>
  <c r="H12" i="23"/>
  <c r="C10" i="23"/>
  <c r="I10" i="23" s="1"/>
  <c r="C11" i="23"/>
  <c r="C12" i="23"/>
  <c r="I12" i="23" l="1"/>
  <c r="R91" i="38"/>
  <c r="J19" i="28" l="1"/>
  <c r="C57" i="27"/>
  <c r="D57" i="27"/>
  <c r="E57" i="27"/>
  <c r="G57" i="27"/>
  <c r="H57" i="27"/>
  <c r="I57" i="27"/>
  <c r="B57" i="27"/>
  <c r="J59" i="27"/>
  <c r="K59" i="27" s="1"/>
  <c r="J58" i="27"/>
  <c r="F59" i="27"/>
  <c r="F60" i="27"/>
  <c r="F58" i="27"/>
  <c r="F57" i="27" s="1"/>
  <c r="J57" i="27" l="1"/>
  <c r="K58" i="27"/>
  <c r="K57" i="27" s="1"/>
  <c r="D64" i="14" l="1"/>
  <c r="C64" i="14"/>
  <c r="D58" i="14"/>
  <c r="C58" i="14"/>
  <c r="J2" i="27" l="1"/>
  <c r="K69"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E69" i="25"/>
  <c r="E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5" i="25"/>
  <c r="F4" i="25"/>
  <c r="E6" i="25"/>
  <c r="C6" i="25"/>
  <c r="B6" i="25"/>
  <c r="D17" i="33" l="1"/>
  <c r="E17" i="33"/>
  <c r="C17" i="33"/>
  <c r="C90" i="33" l="1"/>
  <c r="C100" i="33" s="1"/>
  <c r="D100" i="33"/>
  <c r="E100" i="33"/>
  <c r="C24" i="17" l="1"/>
  <c r="D24" i="17"/>
  <c r="E50" i="9" l="1"/>
  <c r="C49" i="14" l="1"/>
  <c r="C46" i="14"/>
  <c r="C43" i="14"/>
  <c r="DD384" i="37" l="1"/>
  <c r="E33" i="37"/>
  <c r="F33" i="37"/>
  <c r="EM118" i="37" l="1"/>
  <c r="EN118" i="37"/>
  <c r="AN267" i="37" l="1"/>
  <c r="AN268" i="37"/>
  <c r="AN269" i="37"/>
  <c r="AN270" i="37"/>
  <c r="AN271" i="37"/>
  <c r="AN272" i="37"/>
  <c r="AN266" i="37"/>
  <c r="EO109" i="37" l="1"/>
  <c r="EM109" i="37"/>
  <c r="AY68" i="9"/>
  <c r="AY51" i="9"/>
  <c r="AY47" i="9"/>
  <c r="AY46" i="9"/>
  <c r="AY45" i="9"/>
  <c r="AY39" i="9"/>
  <c r="AY36" i="9"/>
  <c r="AY35" i="9"/>
  <c r="AY34" i="9"/>
  <c r="AY24" i="9"/>
  <c r="AY23" i="9"/>
  <c r="AY20" i="9"/>
  <c r="AY19" i="9"/>
  <c r="AX19" i="9"/>
  <c r="AY16" i="9"/>
  <c r="AY15" i="9"/>
  <c r="AY11" i="9"/>
  <c r="AY10" i="9"/>
  <c r="AY67" i="9"/>
  <c r="AY58" i="9"/>
  <c r="AY54" i="9"/>
  <c r="AY53" i="9" s="1"/>
  <c r="AY49" i="9"/>
  <c r="AY41" i="9"/>
  <c r="AY37" i="9"/>
  <c r="AY29" i="9"/>
  <c r="AY21" i="9"/>
  <c r="AY18" i="9" s="1"/>
  <c r="AY12" i="9"/>
  <c r="AY51" i="5"/>
  <c r="AY47" i="5"/>
  <c r="AY46" i="5"/>
  <c r="AY45" i="5"/>
  <c r="AY39" i="5"/>
  <c r="AY36" i="5"/>
  <c r="AY35" i="5"/>
  <c r="AY34" i="5"/>
  <c r="AY24" i="5"/>
  <c r="AY23" i="5"/>
  <c r="AY20" i="5"/>
  <c r="AY16" i="5"/>
  <c r="AY12" i="5" s="1"/>
  <c r="AY15" i="5"/>
  <c r="AY11" i="5"/>
  <c r="AY58" i="5"/>
  <c r="AY54" i="5"/>
  <c r="AY53" i="5" s="1"/>
  <c r="AY49" i="5"/>
  <c r="AY41" i="5"/>
  <c r="AY37" i="5"/>
  <c r="AY29" i="5"/>
  <c r="AY21" i="5"/>
  <c r="AX68" i="9"/>
  <c r="AX51" i="9"/>
  <c r="AX47" i="9"/>
  <c r="AX46" i="9"/>
  <c r="AX45" i="9"/>
  <c r="AX39" i="9"/>
  <c r="AX36" i="9"/>
  <c r="AX35" i="9"/>
  <c r="AX34" i="9"/>
  <c r="AX24" i="9"/>
  <c r="AX23" i="9"/>
  <c r="AX20" i="9"/>
  <c r="AX16" i="9"/>
  <c r="AX15" i="9"/>
  <c r="AX11" i="9"/>
  <c r="AX10" i="9"/>
  <c r="AX67" i="9"/>
  <c r="AX58" i="9"/>
  <c r="AX54" i="9"/>
  <c r="AX53" i="9"/>
  <c r="AX49" i="9"/>
  <c r="AX41" i="9"/>
  <c r="AX37" i="9"/>
  <c r="AX29" i="9"/>
  <c r="AX21" i="9"/>
  <c r="AX18" i="9" s="1"/>
  <c r="AX12" i="9"/>
  <c r="AY40" i="9" l="1"/>
  <c r="AY28" i="9"/>
  <c r="AY52" i="9" s="1"/>
  <c r="AY40" i="5"/>
  <c r="AY28" i="5"/>
  <c r="AX28" i="9"/>
  <c r="AX40" i="9"/>
  <c r="AX52" i="9" s="1"/>
  <c r="AX68" i="5"/>
  <c r="AX51" i="5"/>
  <c r="AX47" i="5"/>
  <c r="AX46" i="5"/>
  <c r="AX45" i="5"/>
  <c r="AX39" i="5"/>
  <c r="AX36" i="5"/>
  <c r="AX35" i="5"/>
  <c r="AX34" i="5"/>
  <c r="AX24" i="5"/>
  <c r="AX23" i="5"/>
  <c r="AX20" i="5"/>
  <c r="AX19" i="5"/>
  <c r="AX16" i="5"/>
  <c r="AX15" i="5"/>
  <c r="AX11" i="5"/>
  <c r="AX67" i="5"/>
  <c r="AX58" i="5"/>
  <c r="AX54" i="5"/>
  <c r="AX53" i="5" s="1"/>
  <c r="AX49" i="5"/>
  <c r="AX41" i="5"/>
  <c r="AX37" i="5"/>
  <c r="AX29" i="5"/>
  <c r="AX28" i="5" s="1"/>
  <c r="AX21" i="5"/>
  <c r="AX18" i="5" s="1"/>
  <c r="AX12" i="5"/>
  <c r="AW68" i="5"/>
  <c r="AW63" i="5"/>
  <c r="AW51" i="5"/>
  <c r="AW47" i="5"/>
  <c r="AW46" i="5"/>
  <c r="AW45" i="5"/>
  <c r="AW39" i="5"/>
  <c r="AW36" i="5"/>
  <c r="AW35" i="5"/>
  <c r="AW34" i="5"/>
  <c r="AW24" i="5"/>
  <c r="AW23" i="5"/>
  <c r="AW20" i="5"/>
  <c r="AW19" i="5"/>
  <c r="AW16" i="5"/>
  <c r="AW15" i="5"/>
  <c r="AW11" i="5"/>
  <c r="AW10" i="5"/>
  <c r="AW9" i="5"/>
  <c r="AW8" i="5"/>
  <c r="AW67" i="5"/>
  <c r="AW62" i="5"/>
  <c r="AW58" i="5"/>
  <c r="AW54" i="5"/>
  <c r="AW53" i="5" s="1"/>
  <c r="AW49" i="5"/>
  <c r="AW41" i="5"/>
  <c r="AW40" i="5" s="1"/>
  <c r="AW37" i="5"/>
  <c r="AW29" i="5"/>
  <c r="AW21" i="5"/>
  <c r="AW12" i="5"/>
  <c r="AV68" i="9"/>
  <c r="AV51" i="9"/>
  <c r="AV47" i="9"/>
  <c r="AV46" i="9"/>
  <c r="AV45" i="9"/>
  <c r="AV41" i="9" s="1"/>
  <c r="AV39" i="9"/>
  <c r="AV36" i="9"/>
  <c r="AV35" i="9"/>
  <c r="AV34" i="9"/>
  <c r="AV24" i="9"/>
  <c r="AV23" i="9"/>
  <c r="AV20" i="9"/>
  <c r="AV19" i="9"/>
  <c r="AV16" i="9"/>
  <c r="AV15" i="9"/>
  <c r="AV11" i="9"/>
  <c r="AV9" i="9"/>
  <c r="AV8" i="9"/>
  <c r="AV67" i="9"/>
  <c r="AV58" i="9"/>
  <c r="AV54" i="9"/>
  <c r="AV53" i="9"/>
  <c r="AV49" i="9"/>
  <c r="AV37" i="9"/>
  <c r="AV29" i="9"/>
  <c r="AV28" i="9" s="1"/>
  <c r="AV21" i="9"/>
  <c r="AV18" i="9" s="1"/>
  <c r="AV12" i="9"/>
  <c r="AV68" i="5"/>
  <c r="AV51" i="5"/>
  <c r="AV47" i="5"/>
  <c r="AV46" i="5"/>
  <c r="AV45" i="5"/>
  <c r="AV39" i="5"/>
  <c r="AV36" i="5"/>
  <c r="AV35" i="5"/>
  <c r="AV34" i="5"/>
  <c r="AV24" i="5"/>
  <c r="AV23" i="5"/>
  <c r="AV20" i="5"/>
  <c r="AV19" i="5"/>
  <c r="AV16" i="5"/>
  <c r="AV15" i="5"/>
  <c r="AV11" i="5"/>
  <c r="AV67" i="5"/>
  <c r="AV58" i="5"/>
  <c r="AV54" i="5"/>
  <c r="AV53" i="5" s="1"/>
  <c r="AV49" i="5"/>
  <c r="AV41" i="5"/>
  <c r="AV37" i="5"/>
  <c r="AV29" i="5"/>
  <c r="AV21" i="5"/>
  <c r="AV18" i="5" s="1"/>
  <c r="AV12" i="5"/>
  <c r="AU63" i="5"/>
  <c r="AU51" i="5"/>
  <c r="AU47" i="5"/>
  <c r="AU46" i="5"/>
  <c r="AU45" i="5"/>
  <c r="AU39" i="5"/>
  <c r="AU36" i="5"/>
  <c r="AU35" i="5"/>
  <c r="AU34" i="5"/>
  <c r="AU24" i="5"/>
  <c r="AU23" i="5"/>
  <c r="AU21" i="5" s="1"/>
  <c r="AU20" i="5"/>
  <c r="AU16" i="5"/>
  <c r="AU15" i="5"/>
  <c r="AU11" i="5"/>
  <c r="AU10" i="5"/>
  <c r="AU9" i="5"/>
  <c r="AU8" i="5"/>
  <c r="AT68" i="9"/>
  <c r="AT51" i="9"/>
  <c r="AT47" i="9"/>
  <c r="AT46" i="9"/>
  <c r="AT45" i="9"/>
  <c r="AT41" i="9" s="1"/>
  <c r="AT39" i="9"/>
  <c r="AT36" i="9"/>
  <c r="AT35" i="9"/>
  <c r="AT34" i="9"/>
  <c r="AT24" i="9"/>
  <c r="AT23" i="9"/>
  <c r="AT20" i="9"/>
  <c r="AT19" i="9"/>
  <c r="AT16" i="9"/>
  <c r="AT15" i="9"/>
  <c r="AT11" i="9"/>
  <c r="AT9" i="9"/>
  <c r="AT8" i="9"/>
  <c r="AT67" i="9"/>
  <c r="AT58" i="9"/>
  <c r="AT54" i="9"/>
  <c r="AT53" i="9" s="1"/>
  <c r="AT49" i="9"/>
  <c r="AT37" i="9"/>
  <c r="AT29" i="9"/>
  <c r="AT21" i="9"/>
  <c r="AT12" i="9"/>
  <c r="AU62" i="5"/>
  <c r="AU58" i="5"/>
  <c r="AU54" i="5"/>
  <c r="AU53" i="5" s="1"/>
  <c r="AU49" i="5"/>
  <c r="AU41" i="5"/>
  <c r="AU40" i="5" s="1"/>
  <c r="AU37" i="5"/>
  <c r="AU29" i="5"/>
  <c r="AU28" i="5" s="1"/>
  <c r="AU12" i="5"/>
  <c r="AU7" i="5" s="1"/>
  <c r="AT51" i="5"/>
  <c r="AT47" i="5"/>
  <c r="AT46" i="5"/>
  <c r="AT45" i="5"/>
  <c r="AT41" i="5" s="1"/>
  <c r="AT39" i="5"/>
  <c r="AT36" i="5"/>
  <c r="AT35" i="5"/>
  <c r="AT34" i="5"/>
  <c r="AT24" i="5"/>
  <c r="AT23" i="5"/>
  <c r="AT20" i="5"/>
  <c r="AT16" i="5"/>
  <c r="AT15" i="5"/>
  <c r="AT11" i="5"/>
  <c r="AT9" i="5"/>
  <c r="AT8" i="5"/>
  <c r="AT58" i="5"/>
  <c r="AT54" i="5"/>
  <c r="AT53" i="5" s="1"/>
  <c r="AT49" i="5"/>
  <c r="AT37" i="5"/>
  <c r="AT29" i="5"/>
  <c r="AT28" i="5" s="1"/>
  <c r="AT21" i="5"/>
  <c r="AT12" i="5"/>
  <c r="AY52" i="5" l="1"/>
  <c r="AX40" i="5"/>
  <c r="AX52" i="5"/>
  <c r="AW61" i="5"/>
  <c r="AW28" i="5"/>
  <c r="AW52" i="5" s="1"/>
  <c r="AW18" i="5"/>
  <c r="AW7" i="5"/>
  <c r="AW26" i="5" s="1"/>
  <c r="AW6" i="5" s="1"/>
  <c r="AV40" i="9"/>
  <c r="AV52" i="9" s="1"/>
  <c r="AV40" i="5"/>
  <c r="AV28" i="5"/>
  <c r="AV52" i="5" s="1"/>
  <c r="AU52" i="5"/>
  <c r="AT40" i="9"/>
  <c r="AT28" i="9"/>
  <c r="AT52" i="9" s="1"/>
  <c r="AT18" i="9"/>
  <c r="AT40" i="5"/>
  <c r="AT52" i="5" s="1"/>
  <c r="AX68" i="10"/>
  <c r="AX51" i="10"/>
  <c r="AX47" i="10"/>
  <c r="AX46" i="10"/>
  <c r="AX45" i="10"/>
  <c r="AX39" i="10"/>
  <c r="AX36" i="10"/>
  <c r="AX35" i="10"/>
  <c r="AX34" i="10"/>
  <c r="AX24" i="10"/>
  <c r="AX23" i="10"/>
  <c r="AX20" i="10"/>
  <c r="AX19" i="10"/>
  <c r="AX16" i="10"/>
  <c r="AX15" i="10"/>
  <c r="AX11" i="10"/>
  <c r="AU68" i="10"/>
  <c r="AU63" i="10"/>
  <c r="AU51" i="10"/>
  <c r="AU47" i="10"/>
  <c r="AU46" i="10"/>
  <c r="AU45" i="10"/>
  <c r="AU39" i="10"/>
  <c r="AU36" i="10"/>
  <c r="AU35" i="10"/>
  <c r="AU34" i="10"/>
  <c r="AU24" i="10"/>
  <c r="AU23" i="10"/>
  <c r="AU20" i="10"/>
  <c r="AU19" i="10"/>
  <c r="AU16" i="10"/>
  <c r="AU15" i="10"/>
  <c r="AU11" i="10"/>
  <c r="AU10" i="10"/>
  <c r="AU9" i="10"/>
  <c r="AU8" i="10"/>
  <c r="AX67" i="10"/>
  <c r="AX58" i="10"/>
  <c r="AX54" i="10"/>
  <c r="AX53" i="10"/>
  <c r="AX49" i="10"/>
  <c r="AX41" i="10"/>
  <c r="AX37" i="10"/>
  <c r="AX29" i="10"/>
  <c r="AX21" i="10"/>
  <c r="AX18" i="10" s="1"/>
  <c r="AX12" i="10"/>
  <c r="AU67" i="10"/>
  <c r="AU62" i="10"/>
  <c r="AU58" i="10"/>
  <c r="AU54" i="10"/>
  <c r="AU53" i="10" s="1"/>
  <c r="AU49" i="10"/>
  <c r="AU41" i="10"/>
  <c r="AU40" i="10" s="1"/>
  <c r="AU37" i="10"/>
  <c r="AU29" i="10"/>
  <c r="AU21" i="10"/>
  <c r="AU18" i="10" s="1"/>
  <c r="AU12" i="10"/>
  <c r="AU7" i="10" s="1"/>
  <c r="AT68" i="10"/>
  <c r="AT51" i="10"/>
  <c r="AT47" i="10"/>
  <c r="AT46" i="10"/>
  <c r="AT45" i="10"/>
  <c r="AT39" i="10"/>
  <c r="AT36" i="10"/>
  <c r="AT35" i="10"/>
  <c r="AT34" i="10"/>
  <c r="AT24" i="10"/>
  <c r="AT23" i="10"/>
  <c r="AT20" i="10"/>
  <c r="AT19" i="10"/>
  <c r="AT16" i="10"/>
  <c r="AT15" i="10"/>
  <c r="AT11" i="10"/>
  <c r="AT10" i="10"/>
  <c r="AT9" i="10"/>
  <c r="AT8" i="10"/>
  <c r="AT67" i="10"/>
  <c r="AT58" i="10"/>
  <c r="AT54" i="10"/>
  <c r="AT53" i="10" s="1"/>
  <c r="AT49" i="10"/>
  <c r="AT41" i="10"/>
  <c r="AT37" i="10"/>
  <c r="AT29" i="10"/>
  <c r="AT21" i="10"/>
  <c r="AT18" i="10" s="1"/>
  <c r="AT12" i="10"/>
  <c r="AT7" i="10" s="1"/>
  <c r="AS68" i="10"/>
  <c r="AS51" i="10"/>
  <c r="AS47" i="10"/>
  <c r="AS46" i="10"/>
  <c r="AS45" i="10"/>
  <c r="AS39" i="10"/>
  <c r="AS36" i="10"/>
  <c r="AS35" i="10"/>
  <c r="AS34" i="10"/>
  <c r="AS24" i="10"/>
  <c r="AS23" i="10"/>
  <c r="AS20" i="10"/>
  <c r="AS19" i="10"/>
  <c r="AS16" i="10"/>
  <c r="AS15" i="10"/>
  <c r="AS11" i="10"/>
  <c r="AS9" i="10"/>
  <c r="AS8" i="10"/>
  <c r="AS67" i="10"/>
  <c r="AS58" i="10"/>
  <c r="AS54" i="10"/>
  <c r="AS53" i="10" s="1"/>
  <c r="AS49" i="10"/>
  <c r="AS41" i="10"/>
  <c r="AS37" i="10"/>
  <c r="AS29" i="10"/>
  <c r="AS21" i="10"/>
  <c r="AS18" i="10" s="1"/>
  <c r="AS12" i="10"/>
  <c r="AR68" i="10"/>
  <c r="AR63" i="10"/>
  <c r="AR51" i="10"/>
  <c r="AR47" i="10"/>
  <c r="AR46" i="10"/>
  <c r="AR45" i="10"/>
  <c r="AR39" i="10"/>
  <c r="AR36" i="10"/>
  <c r="AR35" i="10"/>
  <c r="AR34" i="10"/>
  <c r="AR24" i="10"/>
  <c r="AR23" i="10"/>
  <c r="AR20" i="10"/>
  <c r="AR19" i="10"/>
  <c r="AR16" i="10"/>
  <c r="AR15" i="10"/>
  <c r="AR12" i="10" s="1"/>
  <c r="AR7" i="10" s="1"/>
  <c r="AR11" i="10"/>
  <c r="AR10" i="10"/>
  <c r="AR9" i="10"/>
  <c r="AR8" i="10"/>
  <c r="AR67" i="10"/>
  <c r="AR62" i="10"/>
  <c r="AR58" i="10"/>
  <c r="AR54" i="10"/>
  <c r="AR53" i="10" s="1"/>
  <c r="AR49" i="10"/>
  <c r="AR41" i="10"/>
  <c r="AR37" i="10"/>
  <c r="AR29" i="10"/>
  <c r="AR21" i="10"/>
  <c r="AR18" i="10" s="1"/>
  <c r="AQ68" i="10"/>
  <c r="AQ51" i="10"/>
  <c r="AQ47" i="10"/>
  <c r="AQ46" i="10"/>
  <c r="AQ45" i="10"/>
  <c r="AQ39" i="10"/>
  <c r="AQ36" i="10"/>
  <c r="AQ35" i="10"/>
  <c r="L278" i="38"/>
  <c r="H278" i="38"/>
  <c r="D278" i="38"/>
  <c r="AQ34" i="10" s="1"/>
  <c r="AQ24" i="10"/>
  <c r="AQ23" i="10"/>
  <c r="AQ20" i="10"/>
  <c r="AQ19" i="10"/>
  <c r="AQ16" i="10"/>
  <c r="AQ15" i="10"/>
  <c r="AQ11" i="10"/>
  <c r="AQ10" i="10"/>
  <c r="DP262" i="37"/>
  <c r="DP30" i="37"/>
  <c r="DN225" i="37"/>
  <c r="DN214" i="37"/>
  <c r="DN201" i="37"/>
  <c r="DN182" i="37"/>
  <c r="DN91" i="37"/>
  <c r="DN35" i="37"/>
  <c r="DL182" i="37"/>
  <c r="DL225" i="37"/>
  <c r="DL226" i="37" s="1"/>
  <c r="DL214" i="37"/>
  <c r="DL91" i="37"/>
  <c r="DB182" i="37"/>
  <c r="EN401" i="37"/>
  <c r="EN400" i="37"/>
  <c r="EN396" i="37"/>
  <c r="EN393" i="37"/>
  <c r="EN392" i="37"/>
  <c r="EN388" i="37"/>
  <c r="EN387" i="37"/>
  <c r="EN386" i="37"/>
  <c r="EN383" i="37"/>
  <c r="EN382" i="37"/>
  <c r="EN381" i="37"/>
  <c r="EN378" i="37"/>
  <c r="EN377" i="37"/>
  <c r="EN376" i="37"/>
  <c r="EN373" i="37"/>
  <c r="EN372" i="37"/>
  <c r="EN371" i="37"/>
  <c r="EN370" i="37"/>
  <c r="EN366" i="37"/>
  <c r="EN365" i="37"/>
  <c r="EN364" i="37"/>
  <c r="EN363" i="37"/>
  <c r="EN362" i="37"/>
  <c r="EN361" i="37"/>
  <c r="EN360" i="37"/>
  <c r="EN359" i="37"/>
  <c r="EN358" i="37"/>
  <c r="EN357" i="37"/>
  <c r="EN356" i="37"/>
  <c r="EN355" i="37"/>
  <c r="EN354" i="37"/>
  <c r="EN353" i="37"/>
  <c r="EN352" i="37"/>
  <c r="EN351" i="37"/>
  <c r="EN350" i="37"/>
  <c r="EN349" i="37"/>
  <c r="EN348" i="37"/>
  <c r="EN344" i="37"/>
  <c r="EN343" i="37"/>
  <c r="EN342" i="37"/>
  <c r="EN339" i="37"/>
  <c r="EN338" i="37"/>
  <c r="EN334" i="37"/>
  <c r="EN333" i="37"/>
  <c r="EN330" i="37"/>
  <c r="EN326" i="37"/>
  <c r="EN325" i="37"/>
  <c r="EN322" i="37"/>
  <c r="EN321" i="37"/>
  <c r="EN320" i="37"/>
  <c r="EN316" i="37"/>
  <c r="EN315" i="37"/>
  <c r="EN314" i="37"/>
  <c r="EN310" i="37"/>
  <c r="EN309" i="37"/>
  <c r="EN308" i="37"/>
  <c r="EN307" i="37"/>
  <c r="EN306" i="37"/>
  <c r="EN305" i="37"/>
  <c r="EN304" i="37"/>
  <c r="EN303" i="37"/>
  <c r="EN302" i="37"/>
  <c r="EN301" i="37"/>
  <c r="EN300" i="37"/>
  <c r="EN299" i="37"/>
  <c r="EN298" i="37"/>
  <c r="EN297" i="37"/>
  <c r="EN296" i="37"/>
  <c r="EN295" i="37"/>
  <c r="EN294" i="37"/>
  <c r="EN293" i="37"/>
  <c r="EN292" i="37"/>
  <c r="EN291" i="37"/>
  <c r="EN290" i="37"/>
  <c r="EN289" i="37"/>
  <c r="EN288" i="37"/>
  <c r="EN287" i="37"/>
  <c r="EN286" i="37"/>
  <c r="EN285" i="37"/>
  <c r="EN284" i="37"/>
  <c r="EN283" i="37"/>
  <c r="EN282" i="37"/>
  <c r="EN281" i="37"/>
  <c r="EN280" i="37"/>
  <c r="EN279" i="37"/>
  <c r="EN278" i="37"/>
  <c r="EN277" i="37"/>
  <c r="EN276" i="37"/>
  <c r="EN273" i="37"/>
  <c r="EN272" i="37"/>
  <c r="EN271" i="37"/>
  <c r="EN270" i="37"/>
  <c r="EN269" i="37"/>
  <c r="EN268" i="37"/>
  <c r="EN267" i="37"/>
  <c r="EN266" i="37"/>
  <c r="EN265" i="37"/>
  <c r="EN262" i="37"/>
  <c r="EN261" i="37"/>
  <c r="EN260" i="37"/>
  <c r="EN259" i="37"/>
  <c r="EN258" i="37"/>
  <c r="EN255" i="37"/>
  <c r="EN254" i="37"/>
  <c r="EN253" i="37"/>
  <c r="EN250" i="37"/>
  <c r="EN249" i="37"/>
  <c r="EN248" i="37"/>
  <c r="EN247" i="37"/>
  <c r="EN235" i="37"/>
  <c r="EN234" i="37"/>
  <c r="EN229" i="37"/>
  <c r="EN228" i="37"/>
  <c r="EN224" i="37"/>
  <c r="EN223" i="37"/>
  <c r="EN222" i="37"/>
  <c r="EN221" i="37"/>
  <c r="EN220" i="37"/>
  <c r="EN219" i="37"/>
  <c r="EN218" i="37"/>
  <c r="EN217" i="37"/>
  <c r="EN213" i="37"/>
  <c r="EN212" i="37"/>
  <c r="EN211" i="37"/>
  <c r="EN210" i="37"/>
  <c r="EN207" i="37"/>
  <c r="EN206" i="37"/>
  <c r="EN205" i="37"/>
  <c r="EN204" i="37"/>
  <c r="EN200" i="37"/>
  <c r="EN199" i="37"/>
  <c r="EN198" i="37"/>
  <c r="EN197" i="37"/>
  <c r="EN196" i="37"/>
  <c r="EN195" i="37"/>
  <c r="EN194" i="37"/>
  <c r="EN193" i="37"/>
  <c r="EN192" i="37"/>
  <c r="EN191" i="37"/>
  <c r="EN190" i="37"/>
  <c r="EN189" i="37"/>
  <c r="EN188" i="37"/>
  <c r="EN187" i="37"/>
  <c r="EN186" i="37"/>
  <c r="EN185" i="37"/>
  <c r="EN181" i="37"/>
  <c r="EN180" i="37"/>
  <c r="EN179" i="37"/>
  <c r="EN178" i="37"/>
  <c r="EN177" i="37"/>
  <c r="EN176" i="37"/>
  <c r="EN175" i="37"/>
  <c r="EN174" i="37"/>
  <c r="EN173" i="37"/>
  <c r="EN172" i="37"/>
  <c r="EN171" i="37"/>
  <c r="EN170" i="37"/>
  <c r="EN169" i="37"/>
  <c r="EN168" i="37"/>
  <c r="EN167" i="37"/>
  <c r="EN166" i="37"/>
  <c r="EN165" i="37"/>
  <c r="EN164" i="37"/>
  <c r="EN163" i="37"/>
  <c r="EN162" i="37"/>
  <c r="EN161" i="37"/>
  <c r="EN160" i="37"/>
  <c r="EN159" i="37"/>
  <c r="EN158" i="37"/>
  <c r="EN157" i="37"/>
  <c r="EN156" i="37"/>
  <c r="EN155" i="37"/>
  <c r="EN154" i="37"/>
  <c r="EN153" i="37"/>
  <c r="EN149" i="37"/>
  <c r="EN145" i="37"/>
  <c r="EN144" i="37"/>
  <c r="EN143" i="37"/>
  <c r="EN142" i="37"/>
  <c r="EN137" i="37"/>
  <c r="EN136" i="37"/>
  <c r="EN135" i="37"/>
  <c r="EN134" i="37"/>
  <c r="EN133" i="37"/>
  <c r="EN132" i="37"/>
  <c r="EN129" i="37"/>
  <c r="EN128" i="37"/>
  <c r="EN124" i="37"/>
  <c r="EN123" i="37"/>
  <c r="EN122" i="37"/>
  <c r="EN121" i="37"/>
  <c r="EN120" i="37"/>
  <c r="EN119" i="37"/>
  <c r="EN115" i="37"/>
  <c r="EN114" i="37"/>
  <c r="EN113" i="37"/>
  <c r="EN112" i="37"/>
  <c r="EN111" i="37"/>
  <c r="EN108" i="37"/>
  <c r="EN109" i="37" s="1"/>
  <c r="EN107" i="37"/>
  <c r="EN106" i="37"/>
  <c r="EN105" i="37"/>
  <c r="EN104" i="37"/>
  <c r="EN103" i="37"/>
  <c r="EN102" i="37"/>
  <c r="EN101" i="37"/>
  <c r="EN100" i="37"/>
  <c r="EN99" i="37"/>
  <c r="EN98" i="37"/>
  <c r="EN97" i="37"/>
  <c r="EN96" i="37"/>
  <c r="EN95" i="37"/>
  <c r="EN94" i="37"/>
  <c r="EN90" i="37"/>
  <c r="EN89" i="37"/>
  <c r="EN88" i="37"/>
  <c r="EN87" i="37"/>
  <c r="EN86" i="37"/>
  <c r="EN85" i="37"/>
  <c r="EN84" i="37"/>
  <c r="EN83" i="37"/>
  <c r="EN82" i="37"/>
  <c r="EN81" i="37"/>
  <c r="EN80" i="37"/>
  <c r="EN79" i="37"/>
  <c r="EN78" i="37"/>
  <c r="EN77" i="37"/>
  <c r="EN76" i="37"/>
  <c r="EN75" i="37"/>
  <c r="EN74" i="37"/>
  <c r="EN73" i="37"/>
  <c r="EN72" i="37"/>
  <c r="EN71" i="37"/>
  <c r="EN70" i="37"/>
  <c r="EN69" i="37"/>
  <c r="EN68" i="37"/>
  <c r="EN67" i="37"/>
  <c r="EN66" i="37"/>
  <c r="EN65" i="37"/>
  <c r="EN64" i="37"/>
  <c r="EN63" i="37"/>
  <c r="EN62" i="37"/>
  <c r="EN61" i="37"/>
  <c r="EN60" i="37"/>
  <c r="EN59" i="37"/>
  <c r="EN58" i="37"/>
  <c r="EN57" i="37"/>
  <c r="EN56" i="37"/>
  <c r="EN55" i="37"/>
  <c r="EN54" i="37"/>
  <c r="EN53" i="37"/>
  <c r="EN52" i="37"/>
  <c r="EN51" i="37"/>
  <c r="EN50" i="37"/>
  <c r="EN49" i="37"/>
  <c r="EN48" i="37"/>
  <c r="EN47" i="37"/>
  <c r="EN46" i="37"/>
  <c r="EN45" i="37"/>
  <c r="EN44" i="37"/>
  <c r="EN43" i="37"/>
  <c r="EN42" i="37"/>
  <c r="EN41" i="37"/>
  <c r="EN40" i="37"/>
  <c r="EN39" i="37"/>
  <c r="EN38" i="37"/>
  <c r="EN34" i="37"/>
  <c r="EN6" i="37"/>
  <c r="EN7" i="37"/>
  <c r="EN8" i="37"/>
  <c r="EN9" i="37"/>
  <c r="EN10" i="37"/>
  <c r="EN11" i="37"/>
  <c r="EN12" i="37"/>
  <c r="EN13" i="37"/>
  <c r="EN14" i="37"/>
  <c r="EN15" i="37"/>
  <c r="EN16" i="37"/>
  <c r="EN17" i="37"/>
  <c r="EN18" i="37"/>
  <c r="EN19" i="37"/>
  <c r="EN20" i="37"/>
  <c r="EN21" i="37"/>
  <c r="EN22" i="37"/>
  <c r="EN23" i="37"/>
  <c r="EN24" i="37"/>
  <c r="EN25" i="37"/>
  <c r="EN26" i="37"/>
  <c r="EN27" i="37"/>
  <c r="EN28" i="37"/>
  <c r="EN29" i="37"/>
  <c r="EN5" i="37"/>
  <c r="EM5" i="37"/>
  <c r="DK410" i="37"/>
  <c r="DL408" i="37"/>
  <c r="DK408" i="37"/>
  <c r="DK407" i="37"/>
  <c r="DL402" i="37"/>
  <c r="DL403" i="37" s="1"/>
  <c r="DK402" i="37"/>
  <c r="DK403" i="37" s="1"/>
  <c r="DL398" i="37"/>
  <c r="DK398" i="37"/>
  <c r="DL394" i="37"/>
  <c r="DK394" i="37"/>
  <c r="DL389" i="37"/>
  <c r="DL390" i="37" s="1"/>
  <c r="DK389" i="37"/>
  <c r="DK390" i="37" s="1"/>
  <c r="DL384" i="37"/>
  <c r="DK384" i="37"/>
  <c r="DL379" i="37"/>
  <c r="DK379" i="37"/>
  <c r="DL374" i="37"/>
  <c r="DK374" i="37"/>
  <c r="DL368" i="37"/>
  <c r="DK368" i="37"/>
  <c r="DL346" i="37"/>
  <c r="DK346" i="37"/>
  <c r="DL340" i="37"/>
  <c r="DK340" i="37"/>
  <c r="DL335" i="37"/>
  <c r="DK335" i="37"/>
  <c r="DL331" i="37"/>
  <c r="DK331" i="37"/>
  <c r="DL323" i="37"/>
  <c r="DL327" i="37" s="1"/>
  <c r="DK323" i="37"/>
  <c r="DK327" i="37" s="1"/>
  <c r="DL317" i="37"/>
  <c r="DL318" i="37" s="1"/>
  <c r="DK317" i="37"/>
  <c r="DK318" i="37" s="1"/>
  <c r="DL312" i="37"/>
  <c r="DK312" i="37"/>
  <c r="DL274" i="37"/>
  <c r="DK274" i="37"/>
  <c r="DL263" i="37"/>
  <c r="DK263" i="37"/>
  <c r="DL256" i="37"/>
  <c r="DK256" i="37"/>
  <c r="DL251" i="37"/>
  <c r="DK251" i="37"/>
  <c r="DL241" i="37"/>
  <c r="DK241" i="37"/>
  <c r="DL237" i="37"/>
  <c r="DL242" i="37" s="1"/>
  <c r="DK237" i="37"/>
  <c r="DK242" i="37" s="1"/>
  <c r="DL231" i="37"/>
  <c r="DK231" i="37"/>
  <c r="DK226" i="37"/>
  <c r="DL215" i="37"/>
  <c r="DK215" i="37"/>
  <c r="DL208" i="37"/>
  <c r="DK208" i="37"/>
  <c r="DK232" i="37" s="1"/>
  <c r="DK202" i="37"/>
  <c r="DL183" i="37"/>
  <c r="DK183" i="37"/>
  <c r="DL150" i="37"/>
  <c r="DL151" i="37" s="1"/>
  <c r="DK150" i="37"/>
  <c r="DK151" i="37" s="1"/>
  <c r="DL146" i="37"/>
  <c r="DK146" i="37"/>
  <c r="DL139" i="37"/>
  <c r="DK139" i="37"/>
  <c r="DL130" i="37"/>
  <c r="DK130" i="37"/>
  <c r="DL126" i="37"/>
  <c r="DK126" i="37"/>
  <c r="DK140" i="37" s="1"/>
  <c r="DL116" i="37"/>
  <c r="DK116" i="37"/>
  <c r="DL109" i="37"/>
  <c r="DK109" i="37"/>
  <c r="DL92" i="37"/>
  <c r="DK92" i="37"/>
  <c r="DL36" i="37"/>
  <c r="DK36" i="37"/>
  <c r="DL31" i="37"/>
  <c r="DK31" i="37"/>
  <c r="CP311" i="37"/>
  <c r="CO311" i="37"/>
  <c r="AF34" i="9"/>
  <c r="AF8" i="9"/>
  <c r="AE24" i="9"/>
  <c r="AE23" i="9"/>
  <c r="AE20" i="9"/>
  <c r="AE19" i="9"/>
  <c r="AE16" i="9"/>
  <c r="AE10" i="9"/>
  <c r="AE9" i="9"/>
  <c r="AE24" i="5"/>
  <c r="AE23" i="5"/>
  <c r="AE20" i="5"/>
  <c r="AE19" i="5"/>
  <c r="AE16" i="5"/>
  <c r="AE10" i="5"/>
  <c r="AE9" i="5"/>
  <c r="AE8" i="5"/>
  <c r="X36" i="9"/>
  <c r="X36" i="5"/>
  <c r="V9" i="9"/>
  <c r="V67" i="9"/>
  <c r="V62" i="9"/>
  <c r="V61" i="9"/>
  <c r="V58" i="9"/>
  <c r="V54" i="9"/>
  <c r="V53" i="9" s="1"/>
  <c r="I67" i="5"/>
  <c r="I62" i="5"/>
  <c r="I61" i="5"/>
  <c r="I58" i="5"/>
  <c r="I54" i="5"/>
  <c r="I53" i="5" s="1"/>
  <c r="AO51" i="9"/>
  <c r="AO47" i="9"/>
  <c r="AO46" i="9"/>
  <c r="AO45" i="9"/>
  <c r="AO39" i="9"/>
  <c r="AO36" i="9"/>
  <c r="AO35" i="9"/>
  <c r="AO34" i="9"/>
  <c r="AO24" i="9"/>
  <c r="AO23" i="9"/>
  <c r="AO20" i="9"/>
  <c r="AO19" i="9"/>
  <c r="AO15" i="9"/>
  <c r="AO11" i="9"/>
  <c r="AO10" i="9"/>
  <c r="AO9" i="9"/>
  <c r="AO8" i="9"/>
  <c r="AO67" i="9"/>
  <c r="AO62" i="9"/>
  <c r="AO61" i="9"/>
  <c r="AO58" i="9"/>
  <c r="AO54" i="9"/>
  <c r="AO53" i="9" s="1"/>
  <c r="AO49" i="9"/>
  <c r="AO41" i="9"/>
  <c r="AO37" i="9"/>
  <c r="AO29" i="9"/>
  <c r="AO21" i="9"/>
  <c r="AO51" i="5"/>
  <c r="AO47" i="5"/>
  <c r="AO46" i="5"/>
  <c r="AO45" i="5"/>
  <c r="AO39" i="5"/>
  <c r="AO36" i="5"/>
  <c r="AO35" i="5"/>
  <c r="AO34" i="5"/>
  <c r="AO24" i="5"/>
  <c r="AO23" i="5"/>
  <c r="AO20" i="5"/>
  <c r="AO19" i="5"/>
  <c r="AO15" i="5"/>
  <c r="AO11" i="5"/>
  <c r="AO10" i="5"/>
  <c r="AO9" i="5"/>
  <c r="AO8" i="5"/>
  <c r="AO67" i="5"/>
  <c r="AO62" i="5"/>
  <c r="AO61" i="5"/>
  <c r="AO58" i="5"/>
  <c r="AO54" i="5"/>
  <c r="AO53" i="5" s="1"/>
  <c r="AO49" i="5"/>
  <c r="AO41" i="5"/>
  <c r="AO37" i="5"/>
  <c r="AO29" i="5"/>
  <c r="AO21" i="5"/>
  <c r="AO18" i="5" s="1"/>
  <c r="AN51" i="9"/>
  <c r="AN47" i="9"/>
  <c r="AN46" i="9"/>
  <c r="AN45" i="9"/>
  <c r="AN41" i="9" s="1"/>
  <c r="AN39" i="9"/>
  <c r="AN37" i="9" s="1"/>
  <c r="AN36" i="9"/>
  <c r="AN35" i="9"/>
  <c r="AN34" i="9"/>
  <c r="AN24" i="9"/>
  <c r="AN23" i="9"/>
  <c r="AN20" i="9"/>
  <c r="AN19" i="9"/>
  <c r="AN16" i="9"/>
  <c r="AN15" i="9"/>
  <c r="AN11" i="9"/>
  <c r="AN10" i="9"/>
  <c r="AN9" i="9"/>
  <c r="AN8" i="9"/>
  <c r="AN67" i="9"/>
  <c r="AN62" i="9"/>
  <c r="AN61" i="9" s="1"/>
  <c r="AN58" i="9"/>
  <c r="AN54" i="9"/>
  <c r="AN53" i="9"/>
  <c r="AN49" i="9"/>
  <c r="AN29" i="9"/>
  <c r="AN12" i="9"/>
  <c r="AH51" i="9"/>
  <c r="AH49" i="9" s="1"/>
  <c r="AH47" i="9"/>
  <c r="AH46" i="9"/>
  <c r="AH45" i="9"/>
  <c r="AH39" i="9"/>
  <c r="AH36" i="9"/>
  <c r="AH35" i="9"/>
  <c r="AH34" i="9"/>
  <c r="AH10" i="9"/>
  <c r="AH8" i="9"/>
  <c r="AH24" i="9"/>
  <c r="AH23" i="9"/>
  <c r="AH20" i="9"/>
  <c r="AH19" i="9"/>
  <c r="AH16" i="9"/>
  <c r="AH15" i="9"/>
  <c r="AH11" i="9"/>
  <c r="AH9" i="9"/>
  <c r="AH67" i="9"/>
  <c r="AH62" i="9"/>
  <c r="AH61" i="9"/>
  <c r="AH58" i="9"/>
  <c r="AH54" i="9"/>
  <c r="AH53" i="9" s="1"/>
  <c r="AH41" i="9"/>
  <c r="AH37" i="9"/>
  <c r="AH29" i="9"/>
  <c r="AH28" i="9" s="1"/>
  <c r="AH21" i="9"/>
  <c r="AH12" i="9"/>
  <c r="AH7" i="9" s="1"/>
  <c r="AM51" i="9"/>
  <c r="AM47" i="9"/>
  <c r="AM46" i="9"/>
  <c r="AM45" i="9"/>
  <c r="AM39" i="9"/>
  <c r="AM37" i="9" s="1"/>
  <c r="AM36" i="9"/>
  <c r="AM35" i="9"/>
  <c r="AM34" i="9"/>
  <c r="AM24" i="9"/>
  <c r="AM23" i="9"/>
  <c r="AM20" i="9"/>
  <c r="AM19" i="9"/>
  <c r="AM16" i="9"/>
  <c r="AM15" i="9"/>
  <c r="AM12" i="9" s="1"/>
  <c r="AM11" i="9"/>
  <c r="AM67" i="9"/>
  <c r="AM62" i="9"/>
  <c r="AM61" i="9" s="1"/>
  <c r="AM58" i="9"/>
  <c r="AM54" i="9"/>
  <c r="AM53" i="9"/>
  <c r="AM49" i="9"/>
  <c r="AM41" i="9"/>
  <c r="AM29" i="9"/>
  <c r="AM51" i="5"/>
  <c r="AM47" i="5"/>
  <c r="AM46" i="5"/>
  <c r="AM45" i="5"/>
  <c r="AM39" i="5"/>
  <c r="AM35" i="5"/>
  <c r="AM34" i="5"/>
  <c r="AM24" i="5"/>
  <c r="AM23" i="5"/>
  <c r="AM20" i="5"/>
  <c r="AM19" i="5"/>
  <c r="AM16" i="5"/>
  <c r="AM15" i="5"/>
  <c r="AM11" i="5"/>
  <c r="AM10" i="5"/>
  <c r="AM9" i="5"/>
  <c r="AM8" i="5"/>
  <c r="AM67" i="5"/>
  <c r="AM62" i="5"/>
  <c r="AM61" i="5"/>
  <c r="AM58" i="5"/>
  <c r="AM54" i="5"/>
  <c r="AM53" i="5" s="1"/>
  <c r="AM49" i="5"/>
  <c r="AM41" i="5"/>
  <c r="AM37" i="5"/>
  <c r="AM29" i="5"/>
  <c r="AM21" i="5"/>
  <c r="AI51" i="9"/>
  <c r="AI49" i="9" s="1"/>
  <c r="AI47" i="9"/>
  <c r="AI46" i="9"/>
  <c r="AI45" i="9"/>
  <c r="AI39" i="9"/>
  <c r="AI37" i="9" s="1"/>
  <c r="AI36" i="9"/>
  <c r="AI35" i="9"/>
  <c r="AI34" i="9"/>
  <c r="AI24" i="9"/>
  <c r="AI23" i="9"/>
  <c r="AI20" i="9"/>
  <c r="AI19" i="9"/>
  <c r="AI16" i="9"/>
  <c r="AI15" i="9"/>
  <c r="AI11" i="9"/>
  <c r="AI9" i="9"/>
  <c r="AI8" i="9"/>
  <c r="AI67" i="9"/>
  <c r="AI62" i="9"/>
  <c r="AI61" i="9" s="1"/>
  <c r="AI58" i="9"/>
  <c r="AI54" i="9"/>
  <c r="AI53" i="9"/>
  <c r="AI41" i="9"/>
  <c r="AI29" i="9"/>
  <c r="AI21" i="9"/>
  <c r="AI18" i="9" s="1"/>
  <c r="AI12" i="9"/>
  <c r="AI51" i="5"/>
  <c r="AI49" i="5" s="1"/>
  <c r="AI47" i="5"/>
  <c r="AI46" i="5"/>
  <c r="AI45" i="5"/>
  <c r="AI39" i="5"/>
  <c r="AI37" i="5" s="1"/>
  <c r="AI36" i="5"/>
  <c r="AI35" i="5"/>
  <c r="AI34" i="5"/>
  <c r="AI24" i="5"/>
  <c r="AI23" i="5"/>
  <c r="AI20" i="5"/>
  <c r="AI19" i="5"/>
  <c r="AI16" i="5"/>
  <c r="AI15" i="5"/>
  <c r="AI11" i="5"/>
  <c r="AI10" i="5"/>
  <c r="AI9" i="5"/>
  <c r="AI8" i="5"/>
  <c r="AI67" i="5"/>
  <c r="AI62" i="5"/>
  <c r="AI61" i="5"/>
  <c r="AI58" i="5"/>
  <c r="AI54" i="5"/>
  <c r="AI53" i="5" s="1"/>
  <c r="AI41" i="5"/>
  <c r="AI29" i="5"/>
  <c r="AI12" i="5"/>
  <c r="AL67" i="9"/>
  <c r="AL62" i="9"/>
  <c r="AL61" i="9"/>
  <c r="AL58" i="9"/>
  <c r="AL54" i="9"/>
  <c r="AL53" i="9" s="1"/>
  <c r="AL67" i="5"/>
  <c r="AL62" i="5"/>
  <c r="AL61" i="5" s="1"/>
  <c r="AL58" i="5"/>
  <c r="AL54" i="5"/>
  <c r="AL53" i="5"/>
  <c r="AK50" i="9"/>
  <c r="AK67" i="9"/>
  <c r="AK62" i="9"/>
  <c r="AK61" i="9" s="1"/>
  <c r="AK58" i="9"/>
  <c r="AK54" i="9"/>
  <c r="AK53" i="9"/>
  <c r="AA67" i="9"/>
  <c r="AA62" i="9"/>
  <c r="AA61" i="9" s="1"/>
  <c r="AA58" i="9"/>
  <c r="AA54" i="9"/>
  <c r="AA53" i="9"/>
  <c r="AA67" i="5"/>
  <c r="AA62" i="5"/>
  <c r="AA61" i="5"/>
  <c r="AA58" i="5"/>
  <c r="AA54" i="5"/>
  <c r="AA53" i="5" s="1"/>
  <c r="Y67" i="9"/>
  <c r="Y62" i="9"/>
  <c r="Y61" i="9"/>
  <c r="Y58" i="9"/>
  <c r="Y54" i="9"/>
  <c r="Y53" i="9" s="1"/>
  <c r="Y67" i="5"/>
  <c r="Y62" i="5"/>
  <c r="Y61" i="5" s="1"/>
  <c r="Y58" i="5"/>
  <c r="Y54" i="5"/>
  <c r="Y53" i="5"/>
  <c r="Q67" i="9"/>
  <c r="Q62" i="9"/>
  <c r="Q61" i="9"/>
  <c r="Q58" i="9"/>
  <c r="Q54" i="9"/>
  <c r="Q53" i="9" s="1"/>
  <c r="Q67" i="5"/>
  <c r="Q62" i="5"/>
  <c r="Q61" i="5"/>
  <c r="Q58" i="5"/>
  <c r="Q54" i="5"/>
  <c r="Q53" i="5" s="1"/>
  <c r="W67" i="5"/>
  <c r="W62" i="5"/>
  <c r="W61" i="5"/>
  <c r="W58" i="5"/>
  <c r="W54" i="5"/>
  <c r="W53" i="5" s="1"/>
  <c r="P23" i="9"/>
  <c r="P67" i="9"/>
  <c r="P62" i="9"/>
  <c r="P61" i="9"/>
  <c r="P58" i="9"/>
  <c r="P54" i="9"/>
  <c r="P53" i="9" s="1"/>
  <c r="U67" i="9"/>
  <c r="U62" i="9"/>
  <c r="U61" i="9"/>
  <c r="U58" i="9"/>
  <c r="U54" i="9"/>
  <c r="U53" i="9" s="1"/>
  <c r="U67" i="5"/>
  <c r="U62" i="5"/>
  <c r="U61" i="5" s="1"/>
  <c r="U58" i="5"/>
  <c r="U54" i="5"/>
  <c r="U53" i="5"/>
  <c r="T67" i="5"/>
  <c r="T62" i="5"/>
  <c r="T61" i="5" s="1"/>
  <c r="T58" i="5"/>
  <c r="T54" i="5"/>
  <c r="T53" i="5" s="1"/>
  <c r="S67" i="9"/>
  <c r="S62" i="9"/>
  <c r="S61" i="9"/>
  <c r="S58" i="9"/>
  <c r="S54" i="9"/>
  <c r="S53" i="9" s="1"/>
  <c r="R67" i="9"/>
  <c r="R62" i="9"/>
  <c r="R61" i="9" s="1"/>
  <c r="R58" i="9"/>
  <c r="R54" i="9"/>
  <c r="R53" i="9"/>
  <c r="R67" i="5"/>
  <c r="R62" i="5"/>
  <c r="R61" i="5"/>
  <c r="R58" i="5"/>
  <c r="R54" i="5"/>
  <c r="R53" i="5" s="1"/>
  <c r="O67" i="9"/>
  <c r="O62" i="9"/>
  <c r="O61" i="9" s="1"/>
  <c r="O58" i="9"/>
  <c r="O54" i="9"/>
  <c r="O53" i="9"/>
  <c r="O67" i="5"/>
  <c r="O62" i="5"/>
  <c r="O61" i="5"/>
  <c r="O58" i="5"/>
  <c r="O54" i="5"/>
  <c r="O53" i="5" s="1"/>
  <c r="N67" i="9"/>
  <c r="N62" i="9"/>
  <c r="N61" i="9"/>
  <c r="N58" i="9"/>
  <c r="N54" i="9"/>
  <c r="N53" i="9" s="1"/>
  <c r="N67" i="5"/>
  <c r="N62" i="5"/>
  <c r="N61" i="5"/>
  <c r="N58" i="5"/>
  <c r="N54" i="5"/>
  <c r="N53" i="5" s="1"/>
  <c r="AM12" i="5" l="1"/>
  <c r="AW27" i="5"/>
  <c r="AX40" i="10"/>
  <c r="AX28" i="10"/>
  <c r="AX52" i="10" s="1"/>
  <c r="AU61" i="10"/>
  <c r="AU28" i="10"/>
  <c r="AU52" i="10" s="1"/>
  <c r="AU27" i="10" s="1"/>
  <c r="AU26" i="10"/>
  <c r="AU6" i="10" s="1"/>
  <c r="AT40" i="10"/>
  <c r="AT28" i="10"/>
  <c r="AT52" i="10" s="1"/>
  <c r="AT26" i="10"/>
  <c r="AT6" i="10" s="1"/>
  <c r="AS40" i="10"/>
  <c r="AS28" i="10"/>
  <c r="AS52" i="10" s="1"/>
  <c r="AR40" i="10"/>
  <c r="AR26" i="10"/>
  <c r="AR6" i="10" s="1"/>
  <c r="AR28" i="10"/>
  <c r="AR52" i="10" s="1"/>
  <c r="AR61" i="10"/>
  <c r="DL140" i="37"/>
  <c r="DK243" i="37"/>
  <c r="DK336" i="37"/>
  <c r="DK404" i="37" s="1"/>
  <c r="DL336" i="37"/>
  <c r="DL404" i="37"/>
  <c r="AM7" i="5"/>
  <c r="AO28" i="9"/>
  <c r="AO18" i="9"/>
  <c r="AO40" i="9"/>
  <c r="AO40" i="5"/>
  <c r="AO28" i="5"/>
  <c r="AO52" i="5" s="1"/>
  <c r="AO27" i="5" s="1"/>
  <c r="AN28" i="9"/>
  <c r="AN21" i="9"/>
  <c r="AN18" i="9" s="1"/>
  <c r="AN7" i="9"/>
  <c r="AN40" i="9"/>
  <c r="AH40" i="9"/>
  <c r="AH52" i="9" s="1"/>
  <c r="AH27" i="9" s="1"/>
  <c r="AH18" i="9"/>
  <c r="AH26" i="9" s="1"/>
  <c r="AH6" i="9" s="1"/>
  <c r="AM28" i="9"/>
  <c r="AM21" i="9"/>
  <c r="AM18" i="9" s="1"/>
  <c r="AM40" i="9"/>
  <c r="AM40" i="5"/>
  <c r="AM18" i="5"/>
  <c r="AM26" i="5" s="1"/>
  <c r="AM6" i="5" s="1"/>
  <c r="AI40" i="9"/>
  <c r="AI28" i="9"/>
  <c r="AI40" i="5"/>
  <c r="AI28" i="5"/>
  <c r="AI21" i="5"/>
  <c r="AI18" i="5" s="1"/>
  <c r="AI7" i="5"/>
  <c r="AJ16" i="9"/>
  <c r="AJ67" i="9"/>
  <c r="AJ62" i="9"/>
  <c r="AJ61" i="9" s="1"/>
  <c r="AJ58" i="9"/>
  <c r="AJ54" i="9"/>
  <c r="AJ53" i="9"/>
  <c r="AJ67" i="5"/>
  <c r="AJ62" i="5"/>
  <c r="AJ61" i="5"/>
  <c r="AJ58" i="5"/>
  <c r="AJ54" i="5"/>
  <c r="AJ53" i="5" s="1"/>
  <c r="M67" i="9"/>
  <c r="M62" i="9"/>
  <c r="M61" i="9"/>
  <c r="M58" i="9"/>
  <c r="M54" i="9"/>
  <c r="M53" i="9" s="1"/>
  <c r="M67" i="5"/>
  <c r="M62" i="5"/>
  <c r="M61" i="5" s="1"/>
  <c r="M58" i="5"/>
  <c r="M54" i="5"/>
  <c r="M53" i="5"/>
  <c r="L67" i="9"/>
  <c r="L62" i="9"/>
  <c r="L61" i="9"/>
  <c r="L58" i="9"/>
  <c r="L54" i="9"/>
  <c r="L53" i="9" s="1"/>
  <c r="L67" i="5"/>
  <c r="L62" i="5"/>
  <c r="L61" i="5" s="1"/>
  <c r="L58" i="5"/>
  <c r="L54" i="5"/>
  <c r="L53" i="5"/>
  <c r="F67" i="9"/>
  <c r="F62" i="9"/>
  <c r="F61" i="9" s="1"/>
  <c r="F58" i="9"/>
  <c r="F54" i="9"/>
  <c r="F53" i="9"/>
  <c r="E67" i="9"/>
  <c r="E62" i="9"/>
  <c r="E61" i="9" s="1"/>
  <c r="E58" i="9"/>
  <c r="E54" i="9"/>
  <c r="E53" i="9" s="1"/>
  <c r="D67" i="9"/>
  <c r="D62" i="9"/>
  <c r="D61" i="9" s="1"/>
  <c r="D58" i="9"/>
  <c r="D54" i="9"/>
  <c r="D53" i="9" s="1"/>
  <c r="C67" i="9"/>
  <c r="C62" i="9"/>
  <c r="C61" i="9"/>
  <c r="C58" i="9"/>
  <c r="C54" i="9"/>
  <c r="C53" i="9" s="1"/>
  <c r="B67" i="9"/>
  <c r="B62" i="9"/>
  <c r="B61" i="9"/>
  <c r="B58" i="9"/>
  <c r="B54" i="9"/>
  <c r="B53" i="9" s="1"/>
  <c r="AN26" i="9" l="1"/>
  <c r="AN6" i="9" s="1"/>
  <c r="AM52" i="9"/>
  <c r="AM27" i="9" s="1"/>
  <c r="AN52" i="9"/>
  <c r="AN27" i="9" s="1"/>
  <c r="AR27" i="10"/>
  <c r="DK245" i="37"/>
  <c r="DK405" i="37" s="1"/>
  <c r="DL245" i="37"/>
  <c r="DL405" i="37" s="1"/>
  <c r="DK3" i="37"/>
  <c r="DK244" i="37" s="1"/>
  <c r="AO52" i="9"/>
  <c r="AO27" i="9" s="1"/>
  <c r="AI52" i="9"/>
  <c r="AI27" i="9" s="1"/>
  <c r="AI52" i="5"/>
  <c r="AI27" i="5" s="1"/>
  <c r="AI26" i="5"/>
  <c r="AI6" i="5" s="1"/>
  <c r="ES406" i="37"/>
  <c r="ER406" i="37"/>
  <c r="EQ406" i="37"/>
  <c r="ET406" i="37" s="1"/>
  <c r="EL402" i="37"/>
  <c r="EK402" i="37"/>
  <c r="EJ402" i="37"/>
  <c r="EI402" i="37"/>
  <c r="EH402" i="37"/>
  <c r="EG402" i="37"/>
  <c r="ED402" i="37"/>
  <c r="EC402" i="37"/>
  <c r="EB402" i="37"/>
  <c r="EA402" i="37"/>
  <c r="DZ402" i="37"/>
  <c r="DY402" i="37"/>
  <c r="DV402" i="37"/>
  <c r="DU402" i="37"/>
  <c r="DT402" i="37"/>
  <c r="DS402" i="37"/>
  <c r="DP402" i="37"/>
  <c r="DO402" i="37"/>
  <c r="DN402" i="37"/>
  <c r="DM402" i="37"/>
  <c r="DH402" i="37"/>
  <c r="DG402" i="37"/>
  <c r="DF402" i="37"/>
  <c r="DE402" i="37"/>
  <c r="DD402" i="37"/>
  <c r="DC402" i="37"/>
  <c r="DB402" i="37"/>
  <c r="DA402" i="37"/>
  <c r="CZ402" i="37"/>
  <c r="CY402" i="37"/>
  <c r="CX402" i="37"/>
  <c r="CW402" i="37"/>
  <c r="CV402" i="37"/>
  <c r="CU402" i="37"/>
  <c r="CT402" i="37"/>
  <c r="CS402" i="37"/>
  <c r="CR402" i="37"/>
  <c r="CQ402" i="37"/>
  <c r="CP402" i="37"/>
  <c r="CO402" i="37"/>
  <c r="CN402" i="37"/>
  <c r="CM402" i="37"/>
  <c r="CJ402" i="37"/>
  <c r="CI402" i="37"/>
  <c r="CH402" i="37"/>
  <c r="CG402" i="37"/>
  <c r="CD402" i="37"/>
  <c r="CC402" i="37"/>
  <c r="CB402" i="37"/>
  <c r="CA402" i="37"/>
  <c r="BZ402" i="37"/>
  <c r="BY402" i="37"/>
  <c r="BX402" i="37"/>
  <c r="BW402" i="37"/>
  <c r="BV402" i="37"/>
  <c r="BU402" i="37"/>
  <c r="BT402" i="37"/>
  <c r="BS402" i="37"/>
  <c r="BR402" i="37"/>
  <c r="BQ402" i="37"/>
  <c r="BP402" i="37"/>
  <c r="BO402" i="37"/>
  <c r="BN402" i="37"/>
  <c r="BM402" i="37"/>
  <c r="BL402" i="37"/>
  <c r="BK402" i="37"/>
  <c r="BJ402" i="37"/>
  <c r="BI402" i="37"/>
  <c r="BH402" i="37"/>
  <c r="BG402" i="37"/>
  <c r="BD402" i="37"/>
  <c r="BC402" i="37"/>
  <c r="BB402" i="37"/>
  <c r="BA402" i="37"/>
  <c r="AX402" i="37"/>
  <c r="AW402" i="37"/>
  <c r="AV402" i="37"/>
  <c r="AU402" i="37"/>
  <c r="AT402" i="37"/>
  <c r="AS402" i="37"/>
  <c r="AR402" i="37"/>
  <c r="AQ402" i="37"/>
  <c r="AP402" i="37"/>
  <c r="AO402" i="37"/>
  <c r="AN402" i="37"/>
  <c r="AM402" i="37"/>
  <c r="AL402" i="37"/>
  <c r="AK402" i="37"/>
  <c r="AJ402" i="37"/>
  <c r="AI402" i="37"/>
  <c r="AH402" i="37"/>
  <c r="AG402" i="37"/>
  <c r="AF402" i="37"/>
  <c r="AE402" i="37"/>
  <c r="AB402" i="37"/>
  <c r="AA402" i="37"/>
  <c r="Z402" i="37"/>
  <c r="Y402" i="37"/>
  <c r="X402" i="37"/>
  <c r="W402" i="37"/>
  <c r="V402" i="37"/>
  <c r="U402" i="37"/>
  <c r="T402" i="37"/>
  <c r="S402" i="37"/>
  <c r="R402" i="37"/>
  <c r="Q402" i="37"/>
  <c r="P402" i="37"/>
  <c r="O402" i="37"/>
  <c r="L402" i="37"/>
  <c r="K402" i="37"/>
  <c r="J402" i="37"/>
  <c r="I402" i="37"/>
  <c r="H402" i="37"/>
  <c r="G402" i="37"/>
  <c r="F402" i="37"/>
  <c r="E402" i="37"/>
  <c r="D402" i="37"/>
  <c r="C402" i="37"/>
  <c r="ES401" i="37"/>
  <c r="ER401" i="37"/>
  <c r="EQ401" i="37"/>
  <c r="ET401" i="37" s="1"/>
  <c r="EO401" i="37"/>
  <c r="EM401" i="37"/>
  <c r="EP401" i="37" s="1"/>
  <c r="ES400" i="37"/>
  <c r="ER400" i="37"/>
  <c r="ET400" i="37" s="1"/>
  <c r="EQ400" i="37"/>
  <c r="EO400" i="37"/>
  <c r="EO402" i="37" s="1"/>
  <c r="EN402" i="37"/>
  <c r="EM400" i="37"/>
  <c r="EM402" i="37" s="1"/>
  <c r="ES399" i="37"/>
  <c r="ER399" i="37"/>
  <c r="ET399" i="37" s="1"/>
  <c r="EQ399" i="37"/>
  <c r="EP399" i="37"/>
  <c r="EL398" i="37"/>
  <c r="EK398" i="37"/>
  <c r="EJ398" i="37"/>
  <c r="EI398" i="37"/>
  <c r="EH398" i="37"/>
  <c r="EG398" i="37"/>
  <c r="ED398" i="37"/>
  <c r="EC398" i="37"/>
  <c r="EB398" i="37"/>
  <c r="EA398" i="37"/>
  <c r="DZ398" i="37"/>
  <c r="DY398" i="37"/>
  <c r="DV398" i="37"/>
  <c r="DU398" i="37"/>
  <c r="DT398" i="37"/>
  <c r="DS398" i="37"/>
  <c r="DP398" i="37"/>
  <c r="DO398" i="37"/>
  <c r="DN398" i="37"/>
  <c r="DM398" i="37"/>
  <c r="DH398" i="37"/>
  <c r="DG398" i="37"/>
  <c r="DF398" i="37"/>
  <c r="DE398" i="37"/>
  <c r="DD398" i="37"/>
  <c r="DC398" i="37"/>
  <c r="DB398" i="37"/>
  <c r="DA398" i="37"/>
  <c r="CZ398" i="37"/>
  <c r="CY398" i="37"/>
  <c r="CX398" i="37"/>
  <c r="CW398" i="37"/>
  <c r="CV398" i="37"/>
  <c r="CU398" i="37"/>
  <c r="CT398" i="37"/>
  <c r="CS398" i="37"/>
  <c r="CR398" i="37"/>
  <c r="CQ398" i="37"/>
  <c r="CP398" i="37"/>
  <c r="CO398" i="37"/>
  <c r="CN398" i="37"/>
  <c r="CM398" i="37"/>
  <c r="CJ398" i="37"/>
  <c r="CI398" i="37"/>
  <c r="CH398" i="37"/>
  <c r="CG398" i="37"/>
  <c r="CD398" i="37"/>
  <c r="CC398" i="37"/>
  <c r="CB398" i="37"/>
  <c r="CA398" i="37"/>
  <c r="BZ398" i="37"/>
  <c r="BY398" i="37"/>
  <c r="BX398" i="37"/>
  <c r="BW398" i="37"/>
  <c r="BV398" i="37"/>
  <c r="BU398" i="37"/>
  <c r="BT398" i="37"/>
  <c r="BS398" i="37"/>
  <c r="BR398" i="37"/>
  <c r="BQ398" i="37"/>
  <c r="BP398" i="37"/>
  <c r="BO398" i="37"/>
  <c r="BN398" i="37"/>
  <c r="BM398" i="37"/>
  <c r="BL398" i="37"/>
  <c r="BK398" i="37"/>
  <c r="BJ398" i="37"/>
  <c r="BI398" i="37"/>
  <c r="BH398" i="37"/>
  <c r="BG398" i="37"/>
  <c r="BD398" i="37"/>
  <c r="BC398" i="37"/>
  <c r="BB398" i="37"/>
  <c r="BA398" i="37"/>
  <c r="AV398" i="37"/>
  <c r="AU398" i="37"/>
  <c r="AT398" i="37"/>
  <c r="AS398" i="37"/>
  <c r="AR398" i="37"/>
  <c r="AQ398" i="37"/>
  <c r="ES398" i="37" s="1"/>
  <c r="AP398" i="37"/>
  <c r="AO398" i="37"/>
  <c r="AN398" i="37"/>
  <c r="AM398" i="37"/>
  <c r="AL398" i="37"/>
  <c r="AK398" i="37"/>
  <c r="AJ398" i="37"/>
  <c r="AI398" i="37"/>
  <c r="AH398" i="37"/>
  <c r="AG398" i="37"/>
  <c r="AF398" i="37"/>
  <c r="AE398" i="37"/>
  <c r="AB398" i="37"/>
  <c r="AA398" i="37"/>
  <c r="Z398" i="37"/>
  <c r="Y398" i="37"/>
  <c r="X398" i="37"/>
  <c r="W398" i="37"/>
  <c r="V398" i="37"/>
  <c r="U398" i="37"/>
  <c r="T398" i="37"/>
  <c r="S398" i="37"/>
  <c r="R398" i="37"/>
  <c r="Q398" i="37"/>
  <c r="P398" i="37"/>
  <c r="O398" i="37"/>
  <c r="L398" i="37"/>
  <c r="K398" i="37"/>
  <c r="J398" i="37"/>
  <c r="I398" i="37"/>
  <c r="H398" i="37"/>
  <c r="G398" i="37"/>
  <c r="F398" i="37"/>
  <c r="E398" i="37"/>
  <c r="D398" i="37"/>
  <c r="C398" i="37"/>
  <c r="EQ398" i="37" s="1"/>
  <c r="ES397" i="37"/>
  <c r="ER397" i="37"/>
  <c r="EQ397" i="37"/>
  <c r="ET397" i="37" s="1"/>
  <c r="EO397" i="37"/>
  <c r="ES396" i="37"/>
  <c r="ER396" i="37"/>
  <c r="EQ396" i="37"/>
  <c r="ET396" i="37" s="1"/>
  <c r="EO396" i="37"/>
  <c r="EO398" i="37" s="1"/>
  <c r="EM396" i="37"/>
  <c r="EP396" i="37" s="1"/>
  <c r="ES395" i="37"/>
  <c r="ER395" i="37"/>
  <c r="EQ395" i="37"/>
  <c r="ET395" i="37" s="1"/>
  <c r="EP395" i="37"/>
  <c r="EL394" i="37"/>
  <c r="EK394" i="37"/>
  <c r="EJ394" i="37"/>
  <c r="EI394" i="37"/>
  <c r="EH394" i="37"/>
  <c r="EG394" i="37"/>
  <c r="ED394" i="37"/>
  <c r="EC394" i="37"/>
  <c r="EB394" i="37"/>
  <c r="EA394" i="37"/>
  <c r="DZ394" i="37"/>
  <c r="DY394" i="37"/>
  <c r="DV394" i="37"/>
  <c r="DU394" i="37"/>
  <c r="DT394" i="37"/>
  <c r="DS394" i="37"/>
  <c r="DP394" i="37"/>
  <c r="DO394" i="37"/>
  <c r="DN394" i="37"/>
  <c r="DM394" i="37"/>
  <c r="DH394" i="37"/>
  <c r="DG394" i="37"/>
  <c r="DF394" i="37"/>
  <c r="DE394" i="37"/>
  <c r="DD394" i="37"/>
  <c r="DC394" i="37"/>
  <c r="DB394" i="37"/>
  <c r="DA394" i="37"/>
  <c r="CZ394" i="37"/>
  <c r="CY394" i="37"/>
  <c r="CX394" i="37"/>
  <c r="CW394" i="37"/>
  <c r="CV394" i="37"/>
  <c r="CU394" i="37"/>
  <c r="CT394" i="37"/>
  <c r="CS394" i="37"/>
  <c r="CR394" i="37"/>
  <c r="CQ394" i="37"/>
  <c r="CP394" i="37"/>
  <c r="CO394" i="37"/>
  <c r="CN394" i="37"/>
  <c r="CM394" i="37"/>
  <c r="CJ394" i="37"/>
  <c r="CI394" i="37"/>
  <c r="CH394" i="37"/>
  <c r="CG394" i="37"/>
  <c r="CD394" i="37"/>
  <c r="CC394" i="37"/>
  <c r="CB394" i="37"/>
  <c r="CA394" i="37"/>
  <c r="BZ394" i="37"/>
  <c r="BY394" i="37"/>
  <c r="BX394" i="37"/>
  <c r="BW394" i="37"/>
  <c r="BV394" i="37"/>
  <c r="BU394" i="37"/>
  <c r="BT394" i="37"/>
  <c r="BS394" i="37"/>
  <c r="BR394" i="37"/>
  <c r="BQ394" i="37"/>
  <c r="BP394" i="37"/>
  <c r="BO394" i="37"/>
  <c r="BN394" i="37"/>
  <c r="BM394" i="37"/>
  <c r="BL394" i="37"/>
  <c r="BK394" i="37"/>
  <c r="BJ394" i="37"/>
  <c r="BI394" i="37"/>
  <c r="BH394" i="37"/>
  <c r="BG394" i="37"/>
  <c r="BD394" i="37"/>
  <c r="BC394" i="37"/>
  <c r="BB394" i="37"/>
  <c r="BA394" i="37"/>
  <c r="AX394" i="37"/>
  <c r="AW394" i="37"/>
  <c r="AV394" i="37"/>
  <c r="AU394" i="37"/>
  <c r="AT394" i="37"/>
  <c r="AS394" i="37"/>
  <c r="AR394" i="37"/>
  <c r="AQ394" i="37"/>
  <c r="ES394" i="37" s="1"/>
  <c r="AP394" i="37"/>
  <c r="AO394" i="37"/>
  <c r="AN394" i="37"/>
  <c r="AM394" i="37"/>
  <c r="AL394" i="37"/>
  <c r="AK394" i="37"/>
  <c r="AJ394" i="37"/>
  <c r="AI394" i="37"/>
  <c r="AH394" i="37"/>
  <c r="AG394" i="37"/>
  <c r="AF394" i="37"/>
  <c r="AE394" i="37"/>
  <c r="AB394" i="37"/>
  <c r="AA394" i="37"/>
  <c r="Z394" i="37"/>
  <c r="Y394" i="37"/>
  <c r="X394" i="37"/>
  <c r="W394" i="37"/>
  <c r="V394" i="37"/>
  <c r="U394" i="37"/>
  <c r="T394" i="37"/>
  <c r="S394" i="37"/>
  <c r="R394" i="37"/>
  <c r="Q394" i="37"/>
  <c r="P394" i="37"/>
  <c r="O394" i="37"/>
  <c r="L394" i="37"/>
  <c r="K394" i="37"/>
  <c r="J394" i="37"/>
  <c r="I394" i="37"/>
  <c r="H394" i="37"/>
  <c r="G394" i="37"/>
  <c r="F394" i="37"/>
  <c r="E394" i="37"/>
  <c r="D394" i="37"/>
  <c r="C394" i="37"/>
  <c r="EQ394" i="37" s="1"/>
  <c r="ES393" i="37"/>
  <c r="ER393" i="37"/>
  <c r="EQ393" i="37"/>
  <c r="ET393" i="37" s="1"/>
  <c r="EO393" i="37"/>
  <c r="EM393" i="37"/>
  <c r="EP393" i="37" s="1"/>
  <c r="ES392" i="37"/>
  <c r="ER392" i="37"/>
  <c r="EQ392" i="37"/>
  <c r="ET392" i="37" s="1"/>
  <c r="EO392" i="37"/>
  <c r="EO394" i="37" s="1"/>
  <c r="EN394" i="37"/>
  <c r="EM392" i="37"/>
  <c r="EM394" i="37" s="1"/>
  <c r="EP394" i="37" s="1"/>
  <c r="ES391" i="37"/>
  <c r="ER391" i="37"/>
  <c r="ET391" i="37" s="1"/>
  <c r="EQ391" i="37"/>
  <c r="EP391" i="37"/>
  <c r="EL389" i="37"/>
  <c r="EK389" i="37"/>
  <c r="EJ389" i="37"/>
  <c r="EI389" i="37"/>
  <c r="EH389" i="37"/>
  <c r="EG389" i="37"/>
  <c r="ED389" i="37"/>
  <c r="EC389" i="37"/>
  <c r="EB389" i="37"/>
  <c r="EA389" i="37"/>
  <c r="DZ389" i="37"/>
  <c r="DY389" i="37"/>
  <c r="DV389" i="37"/>
  <c r="DU389" i="37"/>
  <c r="DT389" i="37"/>
  <c r="DS389" i="37"/>
  <c r="DP389" i="37"/>
  <c r="DO389" i="37"/>
  <c r="DN389" i="37"/>
  <c r="DM389" i="37"/>
  <c r="DH389" i="37"/>
  <c r="AL51" i="9" s="1"/>
  <c r="AL49" i="9" s="1"/>
  <c r="DG389" i="37"/>
  <c r="AL51" i="5" s="1"/>
  <c r="AL49" i="5" s="1"/>
  <c r="DF389" i="37"/>
  <c r="DE389" i="37"/>
  <c r="DD389" i="37"/>
  <c r="AK51" i="9" s="1"/>
  <c r="AK49" i="9" s="1"/>
  <c r="DC389" i="37"/>
  <c r="DB389" i="37"/>
  <c r="DA389" i="37"/>
  <c r="CZ389" i="37"/>
  <c r="CY389" i="37"/>
  <c r="CX389" i="37"/>
  <c r="AA51" i="9" s="1"/>
  <c r="AA49" i="9" s="1"/>
  <c r="CW389" i="37"/>
  <c r="AA51" i="5" s="1"/>
  <c r="AA49" i="5" s="1"/>
  <c r="CV389" i="37"/>
  <c r="CU389" i="37"/>
  <c r="CT389" i="37"/>
  <c r="Y51" i="9" s="1"/>
  <c r="Y49" i="9" s="1"/>
  <c r="CS389" i="37"/>
  <c r="Y51" i="5" s="1"/>
  <c r="Y49" i="5" s="1"/>
  <c r="CR389" i="37"/>
  <c r="CQ389" i="37"/>
  <c r="CP389" i="37"/>
  <c r="CO389" i="37"/>
  <c r="CN389" i="37"/>
  <c r="CM389" i="37"/>
  <c r="CJ389" i="37"/>
  <c r="Q51" i="9" s="1"/>
  <c r="Q49" i="9" s="1"/>
  <c r="CI389" i="37"/>
  <c r="Q51" i="5" s="1"/>
  <c r="Q49" i="5" s="1"/>
  <c r="CH389" i="37"/>
  <c r="CG389" i="37"/>
  <c r="CD389" i="37"/>
  <c r="W51" i="5" s="1"/>
  <c r="W49" i="5" s="1"/>
  <c r="CC389" i="37"/>
  <c r="CB389" i="37"/>
  <c r="V51" i="9" s="1"/>
  <c r="V49" i="9" s="1"/>
  <c r="CA389" i="37"/>
  <c r="BZ389" i="37"/>
  <c r="BY389" i="37"/>
  <c r="BX389" i="37"/>
  <c r="P51" i="9" s="1"/>
  <c r="P49" i="9" s="1"/>
  <c r="BW389" i="37"/>
  <c r="BV389" i="37"/>
  <c r="U51" i="9" s="1"/>
  <c r="U49" i="9" s="1"/>
  <c r="BU389" i="37"/>
  <c r="U51" i="5" s="1"/>
  <c r="U49" i="5" s="1"/>
  <c r="BT389" i="37"/>
  <c r="BS389" i="37"/>
  <c r="BR389" i="37"/>
  <c r="T51" i="5" s="1"/>
  <c r="T49" i="5" s="1"/>
  <c r="BQ389" i="37"/>
  <c r="BP389" i="37"/>
  <c r="S51" i="9" s="1"/>
  <c r="S49" i="9" s="1"/>
  <c r="BO389" i="37"/>
  <c r="BN389" i="37"/>
  <c r="R51" i="9" s="1"/>
  <c r="R49" i="9" s="1"/>
  <c r="BM389" i="37"/>
  <c r="R51" i="5" s="1"/>
  <c r="R49" i="5" s="1"/>
  <c r="BL389" i="37"/>
  <c r="BK389" i="37"/>
  <c r="BJ389" i="37"/>
  <c r="O51" i="9" s="1"/>
  <c r="O49" i="9" s="1"/>
  <c r="BI389" i="37"/>
  <c r="O51" i="5" s="1"/>
  <c r="O49" i="5" s="1"/>
  <c r="BH389" i="37"/>
  <c r="BG389" i="37"/>
  <c r="BD389" i="37"/>
  <c r="N51" i="9" s="1"/>
  <c r="N49" i="9" s="1"/>
  <c r="BC389" i="37"/>
  <c r="N51" i="5" s="1"/>
  <c r="N49" i="5" s="1"/>
  <c r="BB389" i="37"/>
  <c r="BA389" i="37"/>
  <c r="AX389" i="37"/>
  <c r="AW389" i="37"/>
  <c r="AV389" i="37"/>
  <c r="AU389" i="37"/>
  <c r="AT389" i="37"/>
  <c r="AS389" i="37"/>
  <c r="J51" i="9" s="1"/>
  <c r="J49" i="9" s="1"/>
  <c r="AR389" i="37"/>
  <c r="J51" i="5" s="1"/>
  <c r="AQ389" i="37"/>
  <c r="AP389" i="37"/>
  <c r="AO389" i="37"/>
  <c r="AN389" i="37"/>
  <c r="I51" i="5" s="1"/>
  <c r="I49" i="5" s="1"/>
  <c r="AM389" i="37"/>
  <c r="AL389" i="37"/>
  <c r="AK389" i="37"/>
  <c r="AJ389" i="37"/>
  <c r="AI389" i="37"/>
  <c r="AH389" i="37"/>
  <c r="AG389" i="37"/>
  <c r="AF389" i="37"/>
  <c r="AE389" i="37"/>
  <c r="AB389" i="37"/>
  <c r="AJ51" i="9" s="1"/>
  <c r="AJ49" i="9" s="1"/>
  <c r="AA389" i="37"/>
  <c r="AJ51" i="5" s="1"/>
  <c r="AJ49" i="5" s="1"/>
  <c r="Z389" i="37"/>
  <c r="Y389" i="37"/>
  <c r="X389" i="37"/>
  <c r="M51" i="9" s="1"/>
  <c r="M49" i="9" s="1"/>
  <c r="W389" i="37"/>
  <c r="M51" i="5" s="1"/>
  <c r="M49" i="5" s="1"/>
  <c r="V389" i="37"/>
  <c r="U389" i="37"/>
  <c r="T389" i="37"/>
  <c r="L51" i="9" s="1"/>
  <c r="L49" i="9" s="1"/>
  <c r="S389" i="37"/>
  <c r="L51" i="5" s="1"/>
  <c r="L49" i="5" s="1"/>
  <c r="R389" i="37"/>
  <c r="Q389" i="37"/>
  <c r="P389" i="37"/>
  <c r="F51" i="9" s="1"/>
  <c r="F49" i="9" s="1"/>
  <c r="O389" i="37"/>
  <c r="L389" i="37"/>
  <c r="E51" i="9" s="1"/>
  <c r="E49" i="9" s="1"/>
  <c r="K389" i="37"/>
  <c r="J389" i="37"/>
  <c r="D51" i="9" s="1"/>
  <c r="D49" i="9" s="1"/>
  <c r="I389" i="37"/>
  <c r="H389" i="37"/>
  <c r="C51" i="9" s="1"/>
  <c r="C49" i="9" s="1"/>
  <c r="G389" i="37"/>
  <c r="F389" i="37"/>
  <c r="B51" i="9" s="1"/>
  <c r="B49" i="9" s="1"/>
  <c r="E389" i="37"/>
  <c r="B51" i="5" s="1"/>
  <c r="D389" i="37"/>
  <c r="C389" i="37"/>
  <c r="ES388" i="37"/>
  <c r="ER388" i="37"/>
  <c r="EQ388" i="37"/>
  <c r="ET388" i="37" s="1"/>
  <c r="EO388" i="37"/>
  <c r="EM388" i="37"/>
  <c r="EP388" i="37" s="1"/>
  <c r="ES387" i="37"/>
  <c r="ER387" i="37"/>
  <c r="EQ387" i="37"/>
  <c r="ET387" i="37" s="1"/>
  <c r="EO387" i="37"/>
  <c r="EM387" i="37"/>
  <c r="EP387" i="37" s="1"/>
  <c r="ES386" i="37"/>
  <c r="ER386" i="37"/>
  <c r="ET386" i="37" s="1"/>
  <c r="EQ386" i="37"/>
  <c r="EO386" i="37"/>
  <c r="EO389" i="37" s="1"/>
  <c r="EN389" i="37"/>
  <c r="EM386" i="37"/>
  <c r="EM389" i="37" s="1"/>
  <c r="ES385" i="37"/>
  <c r="ER385" i="37"/>
  <c r="ET385" i="37" s="1"/>
  <c r="EQ385" i="37"/>
  <c r="EP385" i="37"/>
  <c r="EL384" i="37"/>
  <c r="EK384" i="37"/>
  <c r="EJ384" i="37"/>
  <c r="EI384" i="37"/>
  <c r="EH384" i="37"/>
  <c r="EG384" i="37"/>
  <c r="ED384" i="37"/>
  <c r="EC384" i="37"/>
  <c r="EB384" i="37"/>
  <c r="EA384" i="37"/>
  <c r="DZ384" i="37"/>
  <c r="DY384" i="37"/>
  <c r="DV384" i="37"/>
  <c r="DU384" i="37"/>
  <c r="DT384" i="37"/>
  <c r="DS384" i="37"/>
  <c r="DP384" i="37"/>
  <c r="DO384" i="37"/>
  <c r="DN384" i="37"/>
  <c r="DM384" i="37"/>
  <c r="DH384" i="37"/>
  <c r="DG384" i="37"/>
  <c r="DF384" i="37"/>
  <c r="DE384" i="37"/>
  <c r="DC384" i="37"/>
  <c r="DB384" i="37"/>
  <c r="DA384" i="37"/>
  <c r="CZ384" i="37"/>
  <c r="CY384" i="37"/>
  <c r="CX384" i="37"/>
  <c r="CW384" i="37"/>
  <c r="CV384" i="37"/>
  <c r="CU384" i="37"/>
  <c r="CT384" i="37"/>
  <c r="CS384" i="37"/>
  <c r="CR384" i="37"/>
  <c r="CQ384" i="37"/>
  <c r="CP384" i="37"/>
  <c r="CO384" i="37"/>
  <c r="CN384" i="37"/>
  <c r="CM384" i="37"/>
  <c r="CJ384" i="37"/>
  <c r="CI384" i="37"/>
  <c r="CH384" i="37"/>
  <c r="CG384" i="37"/>
  <c r="CD384" i="37"/>
  <c r="CC384" i="37"/>
  <c r="CB384" i="37"/>
  <c r="CA384" i="37"/>
  <c r="BZ384" i="37"/>
  <c r="BY384" i="37"/>
  <c r="BX384" i="37"/>
  <c r="BW384" i="37"/>
  <c r="BV384" i="37"/>
  <c r="BU384" i="37"/>
  <c r="BT384" i="37"/>
  <c r="BS384" i="37"/>
  <c r="BR384" i="37"/>
  <c r="BQ384" i="37"/>
  <c r="BP384" i="37"/>
  <c r="BO384" i="37"/>
  <c r="BN384" i="37"/>
  <c r="BM384" i="37"/>
  <c r="BL384" i="37"/>
  <c r="BK384" i="37"/>
  <c r="BJ384" i="37"/>
  <c r="BI384" i="37"/>
  <c r="BH384" i="37"/>
  <c r="BG384" i="37"/>
  <c r="BD384" i="37"/>
  <c r="BC384" i="37"/>
  <c r="BB384" i="37"/>
  <c r="BA384" i="37"/>
  <c r="AX384" i="37"/>
  <c r="AW384" i="37"/>
  <c r="AV384" i="37"/>
  <c r="AU384" i="37"/>
  <c r="AT384" i="37"/>
  <c r="AS384" i="37"/>
  <c r="AR384" i="37"/>
  <c r="AQ384" i="37"/>
  <c r="ES384" i="37" s="1"/>
  <c r="AP384" i="37"/>
  <c r="AO384" i="37"/>
  <c r="AN384" i="37"/>
  <c r="AM384" i="37"/>
  <c r="AL384" i="37"/>
  <c r="AK384" i="37"/>
  <c r="AJ384" i="37"/>
  <c r="AI384" i="37"/>
  <c r="AH384" i="37"/>
  <c r="AG384" i="37"/>
  <c r="AF384" i="37"/>
  <c r="AE384" i="37"/>
  <c r="AB384" i="37"/>
  <c r="AA384" i="37"/>
  <c r="Z384" i="37"/>
  <c r="Y384" i="37"/>
  <c r="X384" i="37"/>
  <c r="W384" i="37"/>
  <c r="V384" i="37"/>
  <c r="U384" i="37"/>
  <c r="T384" i="37"/>
  <c r="S384" i="37"/>
  <c r="R384" i="37"/>
  <c r="Q384" i="37"/>
  <c r="P384" i="37"/>
  <c r="O384" i="37"/>
  <c r="L384" i="37"/>
  <c r="K384" i="37"/>
  <c r="J384" i="37"/>
  <c r="I384" i="37"/>
  <c r="H384" i="37"/>
  <c r="G384" i="37"/>
  <c r="F384" i="37"/>
  <c r="E384" i="37"/>
  <c r="D384" i="37"/>
  <c r="ER384" i="37" s="1"/>
  <c r="C384" i="37"/>
  <c r="ES383" i="37"/>
  <c r="ER383" i="37"/>
  <c r="EQ383" i="37"/>
  <c r="ET383" i="37" s="1"/>
  <c r="EO383" i="37"/>
  <c r="EM383" i="37"/>
  <c r="EP383" i="37" s="1"/>
  <c r="ES382" i="37"/>
  <c r="ER382" i="37"/>
  <c r="EQ382" i="37"/>
  <c r="ET382" i="37" s="1"/>
  <c r="EO382" i="37"/>
  <c r="EM382" i="37"/>
  <c r="EP382" i="37" s="1"/>
  <c r="ES381" i="37"/>
  <c r="ER381" i="37"/>
  <c r="EQ381" i="37"/>
  <c r="ET381" i="37" s="1"/>
  <c r="EO381" i="37"/>
  <c r="EO384" i="37" s="1"/>
  <c r="EP381" i="37"/>
  <c r="EM381" i="37"/>
  <c r="EM384" i="37" s="1"/>
  <c r="ES380" i="37"/>
  <c r="ER380" i="37"/>
  <c r="ET380" i="37" s="1"/>
  <c r="EQ380" i="37"/>
  <c r="EP380" i="37"/>
  <c r="EL379" i="37"/>
  <c r="EK379" i="37"/>
  <c r="EJ379" i="37"/>
  <c r="EI379" i="37"/>
  <c r="EH379" i="37"/>
  <c r="EG379" i="37"/>
  <c r="ED379" i="37"/>
  <c r="EC379" i="37"/>
  <c r="EB379" i="37"/>
  <c r="EA379" i="37"/>
  <c r="DZ379" i="37"/>
  <c r="DY379" i="37"/>
  <c r="DV379" i="37"/>
  <c r="DU379" i="37"/>
  <c r="DT379" i="37"/>
  <c r="DS379" i="37"/>
  <c r="DP379" i="37"/>
  <c r="DO379" i="37"/>
  <c r="DN379" i="37"/>
  <c r="DM379" i="37"/>
  <c r="DH379" i="37"/>
  <c r="DG379" i="37"/>
  <c r="DF379" i="37"/>
  <c r="DE379" i="37"/>
  <c r="DC379" i="37"/>
  <c r="DB379" i="37"/>
  <c r="DA379" i="37"/>
  <c r="CZ379" i="37"/>
  <c r="CY379" i="37"/>
  <c r="CX379" i="37"/>
  <c r="CW379" i="37"/>
  <c r="CV379" i="37"/>
  <c r="CU379" i="37"/>
  <c r="CT379" i="37"/>
  <c r="CS379" i="37"/>
  <c r="CR379" i="37"/>
  <c r="CQ379" i="37"/>
  <c r="CP379" i="37"/>
  <c r="CO379" i="37"/>
  <c r="CN379" i="37"/>
  <c r="CM379" i="37"/>
  <c r="CJ379" i="37"/>
  <c r="CI379" i="37"/>
  <c r="CH379" i="37"/>
  <c r="CG379" i="37"/>
  <c r="CD379" i="37"/>
  <c r="CC379" i="37"/>
  <c r="CB379" i="37"/>
  <c r="CA379" i="37"/>
  <c r="BZ379" i="37"/>
  <c r="BY379" i="37"/>
  <c r="BX379" i="37"/>
  <c r="BW379" i="37"/>
  <c r="BV379" i="37"/>
  <c r="BU379" i="37"/>
  <c r="BT379" i="37"/>
  <c r="BS379" i="37"/>
  <c r="BR379" i="37"/>
  <c r="BQ379" i="37"/>
  <c r="BP379" i="37"/>
  <c r="BO379" i="37"/>
  <c r="BN379" i="37"/>
  <c r="BM379" i="37"/>
  <c r="BL379" i="37"/>
  <c r="BK379" i="37"/>
  <c r="BJ379" i="37"/>
  <c r="BI379" i="37"/>
  <c r="BH379" i="37"/>
  <c r="BG379" i="37"/>
  <c r="BD379" i="37"/>
  <c r="BC379" i="37"/>
  <c r="BB379" i="37"/>
  <c r="BA379" i="37"/>
  <c r="AX379" i="37"/>
  <c r="AW379" i="37"/>
  <c r="AV379" i="37"/>
  <c r="AU379" i="37"/>
  <c r="AT379" i="37"/>
  <c r="AS379" i="37"/>
  <c r="AR379" i="37"/>
  <c r="AQ379" i="37"/>
  <c r="ES379" i="37" s="1"/>
  <c r="AP379" i="37"/>
  <c r="AO379" i="37"/>
  <c r="AN379" i="37"/>
  <c r="AM379" i="37"/>
  <c r="AL379" i="37"/>
  <c r="AK379" i="37"/>
  <c r="AJ379" i="37"/>
  <c r="AI379" i="37"/>
  <c r="AH379" i="37"/>
  <c r="AG379" i="37"/>
  <c r="AF379" i="37"/>
  <c r="AE379" i="37"/>
  <c r="AB379" i="37"/>
  <c r="AA379" i="37"/>
  <c r="Z379" i="37"/>
  <c r="Y379" i="37"/>
  <c r="X379" i="37"/>
  <c r="W379" i="37"/>
  <c r="V379" i="37"/>
  <c r="U379" i="37"/>
  <c r="T379" i="37"/>
  <c r="S379" i="37"/>
  <c r="R379" i="37"/>
  <c r="Q379" i="37"/>
  <c r="P379" i="37"/>
  <c r="O379" i="37"/>
  <c r="L379" i="37"/>
  <c r="K379" i="37"/>
  <c r="J379" i="37"/>
  <c r="I379" i="37"/>
  <c r="H379" i="37"/>
  <c r="G379" i="37"/>
  <c r="F379" i="37"/>
  <c r="E379" i="37"/>
  <c r="D379" i="37"/>
  <c r="C379" i="37"/>
  <c r="EQ379" i="37" s="1"/>
  <c r="ES378" i="37"/>
  <c r="ER378" i="37"/>
  <c r="EQ378" i="37"/>
  <c r="ET378" i="37" s="1"/>
  <c r="EO378" i="37"/>
  <c r="EM378" i="37"/>
  <c r="EP378" i="37" s="1"/>
  <c r="ES377" i="37"/>
  <c r="ER377" i="37"/>
  <c r="EQ377" i="37"/>
  <c r="ET377" i="37" s="1"/>
  <c r="EO377" i="37"/>
  <c r="EM377" i="37"/>
  <c r="EP377" i="37" s="1"/>
  <c r="ES376" i="37"/>
  <c r="ER376" i="37"/>
  <c r="ET376" i="37" s="1"/>
  <c r="EQ376" i="37"/>
  <c r="EO376" i="37"/>
  <c r="EO379" i="37" s="1"/>
  <c r="EP376" i="37"/>
  <c r="EM376" i="37"/>
  <c r="EM379" i="37" s="1"/>
  <c r="ES375" i="37"/>
  <c r="ER375" i="37"/>
  <c r="ET375" i="37" s="1"/>
  <c r="EQ375" i="37"/>
  <c r="EP375" i="37"/>
  <c r="EL374" i="37"/>
  <c r="EK374" i="37"/>
  <c r="EJ374" i="37"/>
  <c r="EI374" i="37"/>
  <c r="EH374" i="37"/>
  <c r="EG374" i="37"/>
  <c r="ED374" i="37"/>
  <c r="EC374" i="37"/>
  <c r="EB374" i="37"/>
  <c r="EA374" i="37"/>
  <c r="DZ374" i="37"/>
  <c r="DY374" i="37"/>
  <c r="DV374" i="37"/>
  <c r="DU374" i="37"/>
  <c r="DT374" i="37"/>
  <c r="DS374" i="37"/>
  <c r="DP374" i="37"/>
  <c r="DO374" i="37"/>
  <c r="DN374" i="37"/>
  <c r="DM374" i="37"/>
  <c r="DH374" i="37"/>
  <c r="AL47" i="9" s="1"/>
  <c r="DG374" i="37"/>
  <c r="AL47" i="5" s="1"/>
  <c r="DF374" i="37"/>
  <c r="DE374" i="37"/>
  <c r="DD374" i="37"/>
  <c r="AK47" i="9" s="1"/>
  <c r="DC374" i="37"/>
  <c r="DB374" i="37"/>
  <c r="DA374" i="37"/>
  <c r="CZ374" i="37"/>
  <c r="CY374" i="37"/>
  <c r="CX374" i="37"/>
  <c r="AA47" i="9" s="1"/>
  <c r="CW374" i="37"/>
  <c r="AA47" i="5" s="1"/>
  <c r="CV374" i="37"/>
  <c r="CU374" i="37"/>
  <c r="CT374" i="37"/>
  <c r="Y47" i="9" s="1"/>
  <c r="CS374" i="37"/>
  <c r="Y47" i="5" s="1"/>
  <c r="CR374" i="37"/>
  <c r="CQ374" i="37"/>
  <c r="CP374" i="37"/>
  <c r="CO374" i="37"/>
  <c r="CN374" i="37"/>
  <c r="CM374" i="37"/>
  <c r="CJ374" i="37"/>
  <c r="Q47" i="9" s="1"/>
  <c r="CI374" i="37"/>
  <c r="Q47" i="5" s="1"/>
  <c r="CH374" i="37"/>
  <c r="CG374" i="37"/>
  <c r="CD374" i="37"/>
  <c r="W47" i="5" s="1"/>
  <c r="CC374" i="37"/>
  <c r="CB374" i="37"/>
  <c r="V47" i="9" s="1"/>
  <c r="CA374" i="37"/>
  <c r="BZ374" i="37"/>
  <c r="BY374" i="37"/>
  <c r="BX374" i="37"/>
  <c r="P47" i="9" s="1"/>
  <c r="BW374" i="37"/>
  <c r="BV374" i="37"/>
  <c r="U47" i="9" s="1"/>
  <c r="BU374" i="37"/>
  <c r="U47" i="5" s="1"/>
  <c r="BT374" i="37"/>
  <c r="BS374" i="37"/>
  <c r="BR374" i="37"/>
  <c r="T47" i="5" s="1"/>
  <c r="BQ374" i="37"/>
  <c r="BP374" i="37"/>
  <c r="S47" i="9" s="1"/>
  <c r="BO374" i="37"/>
  <c r="BN374" i="37"/>
  <c r="R47" i="9" s="1"/>
  <c r="BM374" i="37"/>
  <c r="R47" i="5" s="1"/>
  <c r="BL374" i="37"/>
  <c r="BK374" i="37"/>
  <c r="BJ374" i="37"/>
  <c r="O47" i="9" s="1"/>
  <c r="BI374" i="37"/>
  <c r="O47" i="5" s="1"/>
  <c r="BH374" i="37"/>
  <c r="BG374" i="37"/>
  <c r="BD374" i="37"/>
  <c r="N47" i="9" s="1"/>
  <c r="BC374" i="37"/>
  <c r="N47" i="5" s="1"/>
  <c r="BB374" i="37"/>
  <c r="BA374" i="37"/>
  <c r="AX374" i="37"/>
  <c r="AW374" i="37"/>
  <c r="AV374" i="37"/>
  <c r="AU374" i="37"/>
  <c r="AT374" i="37"/>
  <c r="AS374" i="37"/>
  <c r="J47" i="9" s="1"/>
  <c r="AR374" i="37"/>
  <c r="J47" i="5" s="1"/>
  <c r="AQ374" i="37"/>
  <c r="ES374" i="37" s="1"/>
  <c r="AP374" i="37"/>
  <c r="AO374" i="37"/>
  <c r="AN374" i="37"/>
  <c r="I47" i="5" s="1"/>
  <c r="AM374" i="37"/>
  <c r="AL374" i="37"/>
  <c r="AK374" i="37"/>
  <c r="AJ374" i="37"/>
  <c r="AI374" i="37"/>
  <c r="AH374" i="37"/>
  <c r="AG374" i="37"/>
  <c r="AF374" i="37"/>
  <c r="AE374" i="37"/>
  <c r="AB374" i="37"/>
  <c r="AJ47" i="9" s="1"/>
  <c r="AA374" i="37"/>
  <c r="AJ47" i="5" s="1"/>
  <c r="Z374" i="37"/>
  <c r="Y374" i="37"/>
  <c r="X374" i="37"/>
  <c r="M47" i="9" s="1"/>
  <c r="W374" i="37"/>
  <c r="M47" i="5" s="1"/>
  <c r="V374" i="37"/>
  <c r="U374" i="37"/>
  <c r="T374" i="37"/>
  <c r="L47" i="9" s="1"/>
  <c r="S374" i="37"/>
  <c r="L47" i="5" s="1"/>
  <c r="R374" i="37"/>
  <c r="Q374" i="37"/>
  <c r="P374" i="37"/>
  <c r="F47" i="9" s="1"/>
  <c r="O374" i="37"/>
  <c r="L374" i="37"/>
  <c r="E47" i="9" s="1"/>
  <c r="K374" i="37"/>
  <c r="J374" i="37"/>
  <c r="D47" i="9" s="1"/>
  <c r="I374" i="37"/>
  <c r="H374" i="37"/>
  <c r="C47" i="9" s="1"/>
  <c r="G374" i="37"/>
  <c r="F374" i="37"/>
  <c r="B47" i="9" s="1"/>
  <c r="E374" i="37"/>
  <c r="B47" i="5" s="1"/>
  <c r="D374" i="37"/>
  <c r="C374" i="37"/>
  <c r="EQ374" i="37" s="1"/>
  <c r="ES373" i="37"/>
  <c r="ER373" i="37"/>
  <c r="EQ373" i="37"/>
  <c r="ET373" i="37" s="1"/>
  <c r="EO373" i="37"/>
  <c r="EM373" i="37"/>
  <c r="EP373" i="37" s="1"/>
  <c r="ES372" i="37"/>
  <c r="ER372" i="37"/>
  <c r="EQ372" i="37"/>
  <c r="ET372" i="37" s="1"/>
  <c r="EO372" i="37"/>
  <c r="EP372" i="37"/>
  <c r="EM372" i="37"/>
  <c r="ES371" i="37"/>
  <c r="ER371" i="37"/>
  <c r="ET371" i="37" s="1"/>
  <c r="EQ371" i="37"/>
  <c r="EO371" i="37"/>
  <c r="EP371" i="37"/>
  <c r="EM371" i="37"/>
  <c r="ES370" i="37"/>
  <c r="ER370" i="37"/>
  <c r="ET370" i="37" s="1"/>
  <c r="EQ370" i="37"/>
  <c r="EO370" i="37"/>
  <c r="EO374" i="37" s="1"/>
  <c r="EN374" i="37"/>
  <c r="EM370" i="37"/>
  <c r="EM374" i="37" s="1"/>
  <c r="ES369" i="37"/>
  <c r="ER369" i="37"/>
  <c r="ET369" i="37" s="1"/>
  <c r="EQ369" i="37"/>
  <c r="EP369" i="37"/>
  <c r="EL368" i="37"/>
  <c r="EK368" i="37"/>
  <c r="EJ368" i="37"/>
  <c r="EI368" i="37"/>
  <c r="EH368" i="37"/>
  <c r="EG368" i="37"/>
  <c r="ED368" i="37"/>
  <c r="EC368" i="37"/>
  <c r="EB368" i="37"/>
  <c r="EA368" i="37"/>
  <c r="DZ368" i="37"/>
  <c r="DY368" i="37"/>
  <c r="DV368" i="37"/>
  <c r="DU368" i="37"/>
  <c r="DT368" i="37"/>
  <c r="DS368" i="37"/>
  <c r="DO368" i="37"/>
  <c r="DN368" i="37"/>
  <c r="DM368" i="37"/>
  <c r="DH368" i="37"/>
  <c r="AL46" i="9" s="1"/>
  <c r="DG368" i="37"/>
  <c r="AL46" i="5" s="1"/>
  <c r="DF368" i="37"/>
  <c r="DE368" i="37"/>
  <c r="DD368" i="37"/>
  <c r="AK46" i="9" s="1"/>
  <c r="DC368" i="37"/>
  <c r="CZ368" i="37"/>
  <c r="CY368" i="37"/>
  <c r="CX368" i="37"/>
  <c r="AA46" i="9" s="1"/>
  <c r="CW368" i="37"/>
  <c r="AA46" i="5" s="1"/>
  <c r="CV368" i="37"/>
  <c r="CU368" i="37"/>
  <c r="CT368" i="37"/>
  <c r="Y46" i="9" s="1"/>
  <c r="CS368" i="37"/>
  <c r="Y46" i="5" s="1"/>
  <c r="CR368" i="37"/>
  <c r="CQ368" i="37"/>
  <c r="CP368" i="37"/>
  <c r="CO368" i="37"/>
  <c r="CN368" i="37"/>
  <c r="CM368" i="37"/>
  <c r="CJ368" i="37"/>
  <c r="Q46" i="9" s="1"/>
  <c r="CI368" i="37"/>
  <c r="Q46" i="5" s="1"/>
  <c r="CH368" i="37"/>
  <c r="CG368" i="37"/>
  <c r="CD368" i="37"/>
  <c r="W46" i="5" s="1"/>
  <c r="CC368" i="37"/>
  <c r="CB368" i="37"/>
  <c r="V46" i="9" s="1"/>
  <c r="CA368" i="37"/>
  <c r="BZ368" i="37"/>
  <c r="BY368" i="37"/>
  <c r="BX368" i="37"/>
  <c r="P46" i="9" s="1"/>
  <c r="BW368" i="37"/>
  <c r="BV368" i="37"/>
  <c r="U46" i="9" s="1"/>
  <c r="BU368" i="37"/>
  <c r="U46" i="5" s="1"/>
  <c r="BT368" i="37"/>
  <c r="BS368" i="37"/>
  <c r="BR368" i="37"/>
  <c r="T46" i="5" s="1"/>
  <c r="BQ368" i="37"/>
  <c r="BP368" i="37"/>
  <c r="S46" i="9" s="1"/>
  <c r="BO368" i="37"/>
  <c r="BN368" i="37"/>
  <c r="R46" i="9" s="1"/>
  <c r="BM368" i="37"/>
  <c r="R46" i="5" s="1"/>
  <c r="BL368" i="37"/>
  <c r="BK368" i="37"/>
  <c r="BJ368" i="37"/>
  <c r="O46" i="9" s="1"/>
  <c r="BI368" i="37"/>
  <c r="O46" i="5" s="1"/>
  <c r="BH368" i="37"/>
  <c r="BG368" i="37"/>
  <c r="BD368" i="37"/>
  <c r="N46" i="9" s="1"/>
  <c r="BC368" i="37"/>
  <c r="N46" i="5" s="1"/>
  <c r="BB368" i="37"/>
  <c r="BA368" i="37"/>
  <c r="AX368" i="37"/>
  <c r="AW368" i="37"/>
  <c r="AV368" i="37"/>
  <c r="AU368" i="37"/>
  <c r="AT368" i="37"/>
  <c r="AS368" i="37"/>
  <c r="J46" i="9" s="1"/>
  <c r="AR368" i="37"/>
  <c r="J46" i="5" s="1"/>
  <c r="AQ368" i="37"/>
  <c r="ES368" i="37" s="1"/>
  <c r="AP368" i="37"/>
  <c r="AO368" i="37"/>
  <c r="AN368" i="37"/>
  <c r="I46" i="5" s="1"/>
  <c r="AM368" i="37"/>
  <c r="AL368" i="37"/>
  <c r="AK368" i="37"/>
  <c r="AJ368" i="37"/>
  <c r="AI368" i="37"/>
  <c r="AH368" i="37"/>
  <c r="AG368" i="37"/>
  <c r="AF368" i="37"/>
  <c r="AE368" i="37"/>
  <c r="AB368" i="37"/>
  <c r="AJ46" i="9" s="1"/>
  <c r="AA368" i="37"/>
  <c r="AJ46" i="5" s="1"/>
  <c r="Z368" i="37"/>
  <c r="Y368" i="37"/>
  <c r="X368" i="37"/>
  <c r="M46" i="9" s="1"/>
  <c r="W368" i="37"/>
  <c r="M46" i="5" s="1"/>
  <c r="V368" i="37"/>
  <c r="U368" i="37"/>
  <c r="T368" i="37"/>
  <c r="L46" i="9" s="1"/>
  <c r="S368" i="37"/>
  <c r="L46" i="5" s="1"/>
  <c r="R368" i="37"/>
  <c r="Q368" i="37"/>
  <c r="P368" i="37"/>
  <c r="F46" i="9" s="1"/>
  <c r="O368" i="37"/>
  <c r="L368" i="37"/>
  <c r="E46" i="9" s="1"/>
  <c r="K368" i="37"/>
  <c r="J368" i="37"/>
  <c r="D46" i="9" s="1"/>
  <c r="I368" i="37"/>
  <c r="H368" i="37"/>
  <c r="C46" i="9" s="1"/>
  <c r="G368" i="37"/>
  <c r="F368" i="37"/>
  <c r="B46" i="9" s="1"/>
  <c r="E368" i="37"/>
  <c r="B46" i="5" s="1"/>
  <c r="D368" i="37"/>
  <c r="C368" i="37"/>
  <c r="EQ368" i="37" s="1"/>
  <c r="ES367" i="37"/>
  <c r="ER367" i="37"/>
  <c r="EQ367" i="37"/>
  <c r="ET367" i="37" s="1"/>
  <c r="EO367" i="37"/>
  <c r="ES366" i="37"/>
  <c r="ER366" i="37"/>
  <c r="ET366" i="37" s="1"/>
  <c r="EQ366" i="37"/>
  <c r="EO366" i="37"/>
  <c r="EP366" i="37"/>
  <c r="EM366" i="37"/>
  <c r="ES365" i="37"/>
  <c r="ER365" i="37"/>
  <c r="ET365" i="37" s="1"/>
  <c r="EQ365" i="37"/>
  <c r="EO365" i="37"/>
  <c r="EP365" i="37"/>
  <c r="EM365" i="37"/>
  <c r="ES364" i="37"/>
  <c r="ER364" i="37"/>
  <c r="ET364" i="37" s="1"/>
  <c r="EQ364" i="37"/>
  <c r="EO364" i="37"/>
  <c r="EP364" i="37"/>
  <c r="EM364" i="37"/>
  <c r="ES363" i="37"/>
  <c r="ER363" i="37"/>
  <c r="ET363" i="37" s="1"/>
  <c r="EQ363" i="37"/>
  <c r="EO363" i="37"/>
  <c r="EP363" i="37"/>
  <c r="EM363" i="37"/>
  <c r="ES362" i="37"/>
  <c r="ER362" i="37"/>
  <c r="ET362" i="37" s="1"/>
  <c r="EQ362" i="37"/>
  <c r="EO362" i="37"/>
  <c r="EP362" i="37"/>
  <c r="EM362" i="37"/>
  <c r="ES361" i="37"/>
  <c r="ER361" i="37"/>
  <c r="ET361" i="37" s="1"/>
  <c r="EQ361" i="37"/>
  <c r="EO361" i="37"/>
  <c r="EP361" i="37"/>
  <c r="EM361" i="37"/>
  <c r="ES360" i="37"/>
  <c r="ER360" i="37"/>
  <c r="ET360" i="37" s="1"/>
  <c r="EQ360" i="37"/>
  <c r="EO360" i="37"/>
  <c r="EP360" i="37"/>
  <c r="EM360" i="37"/>
  <c r="ES359" i="37"/>
  <c r="ER359" i="37"/>
  <c r="ET359" i="37" s="1"/>
  <c r="EQ359" i="37"/>
  <c r="EO359" i="37"/>
  <c r="EP359" i="37"/>
  <c r="EM359" i="37"/>
  <c r="ES358" i="37"/>
  <c r="ER358" i="37"/>
  <c r="ET358" i="37" s="1"/>
  <c r="EQ358" i="37"/>
  <c r="EO358" i="37"/>
  <c r="EP358" i="37"/>
  <c r="EM358" i="37"/>
  <c r="ES357" i="37"/>
  <c r="ER357" i="37"/>
  <c r="ET357" i="37" s="1"/>
  <c r="EQ357" i="37"/>
  <c r="EO357" i="37"/>
  <c r="EP357" i="37"/>
  <c r="EM357" i="37"/>
  <c r="ES356" i="37"/>
  <c r="ER356" i="37"/>
  <c r="ET356" i="37" s="1"/>
  <c r="EQ356" i="37"/>
  <c r="EO356" i="37"/>
  <c r="EP356" i="37"/>
  <c r="EM356" i="37"/>
  <c r="ES355" i="37"/>
  <c r="ER355" i="37"/>
  <c r="ET355" i="37" s="1"/>
  <c r="EQ355" i="37"/>
  <c r="EO355" i="37"/>
  <c r="EP355" i="37"/>
  <c r="EM355" i="37"/>
  <c r="ES354" i="37"/>
  <c r="ER354" i="37"/>
  <c r="ET354" i="37" s="1"/>
  <c r="EQ354" i="37"/>
  <c r="EO354" i="37"/>
  <c r="EP354" i="37"/>
  <c r="EM354" i="37"/>
  <c r="ES353" i="37"/>
  <c r="ER353" i="37"/>
  <c r="ET353" i="37" s="1"/>
  <c r="EQ353" i="37"/>
  <c r="EO353" i="37"/>
  <c r="EP353" i="37"/>
  <c r="EM353" i="37"/>
  <c r="ES352" i="37"/>
  <c r="ER352" i="37"/>
  <c r="ET352" i="37" s="1"/>
  <c r="EQ352" i="37"/>
  <c r="EO352" i="37"/>
  <c r="EP352" i="37"/>
  <c r="EM352" i="37"/>
  <c r="ES351" i="37"/>
  <c r="ER351" i="37"/>
  <c r="ET351" i="37" s="1"/>
  <c r="EQ351" i="37"/>
  <c r="EO351" i="37"/>
  <c r="EP351" i="37"/>
  <c r="EM351" i="37"/>
  <c r="ES350" i="37"/>
  <c r="ER350" i="37"/>
  <c r="ET350" i="37" s="1"/>
  <c r="EQ350" i="37"/>
  <c r="EO350" i="37"/>
  <c r="EP350" i="37"/>
  <c r="EM350" i="37"/>
  <c r="ES349" i="37"/>
  <c r="ER349" i="37"/>
  <c r="ET349" i="37" s="1"/>
  <c r="EQ349" i="37"/>
  <c r="EO349" i="37"/>
  <c r="EP349" i="37"/>
  <c r="EM349" i="37"/>
  <c r="ES348" i="37"/>
  <c r="ER348" i="37"/>
  <c r="ET348" i="37" s="1"/>
  <c r="EQ348" i="37"/>
  <c r="EO348" i="37"/>
  <c r="EO368" i="37" s="1"/>
  <c r="EM348" i="37"/>
  <c r="ES347" i="37"/>
  <c r="ER347" i="37"/>
  <c r="ET347" i="37" s="1"/>
  <c r="EQ347" i="37"/>
  <c r="EP347" i="37"/>
  <c r="EL346" i="37"/>
  <c r="EK346" i="37"/>
  <c r="EJ346" i="37"/>
  <c r="EI346" i="37"/>
  <c r="EH346" i="37"/>
  <c r="EG346" i="37"/>
  <c r="ED346" i="37"/>
  <c r="EC346" i="37"/>
  <c r="EB346" i="37"/>
  <c r="EA346" i="37"/>
  <c r="DZ346" i="37"/>
  <c r="DY346" i="37"/>
  <c r="DV346" i="37"/>
  <c r="DU346" i="37"/>
  <c r="DT346" i="37"/>
  <c r="DS346" i="37"/>
  <c r="DO346" i="37"/>
  <c r="DN346" i="37"/>
  <c r="DM346" i="37"/>
  <c r="DH346" i="37"/>
  <c r="AL45" i="9" s="1"/>
  <c r="AL41" i="9" s="1"/>
  <c r="AL40" i="9" s="1"/>
  <c r="DG346" i="37"/>
  <c r="AL45" i="5" s="1"/>
  <c r="AL41" i="5" s="1"/>
  <c r="AL40" i="5" s="1"/>
  <c r="DF346" i="37"/>
  <c r="DE346" i="37"/>
  <c r="DD346" i="37"/>
  <c r="AK45" i="9" s="1"/>
  <c r="AK41" i="9" s="1"/>
  <c r="AK40" i="9" s="1"/>
  <c r="DC346" i="37"/>
  <c r="CZ346" i="37"/>
  <c r="CY346" i="37"/>
  <c r="CX346" i="37"/>
  <c r="AA45" i="9" s="1"/>
  <c r="AA41" i="9" s="1"/>
  <c r="AA40" i="9" s="1"/>
  <c r="CW346" i="37"/>
  <c r="AA45" i="5" s="1"/>
  <c r="AA41" i="5" s="1"/>
  <c r="AA40" i="5" s="1"/>
  <c r="CV346" i="37"/>
  <c r="CU346" i="37"/>
  <c r="CT346" i="37"/>
  <c r="Y45" i="9" s="1"/>
  <c r="Y41" i="9" s="1"/>
  <c r="Y40" i="9" s="1"/>
  <c r="CS346" i="37"/>
  <c r="Y45" i="5" s="1"/>
  <c r="Y41" i="5" s="1"/>
  <c r="Y40" i="5" s="1"/>
  <c r="CR346" i="37"/>
  <c r="CQ346" i="37"/>
  <c r="CP346" i="37"/>
  <c r="CO346" i="37"/>
  <c r="CN346" i="37"/>
  <c r="CM346" i="37"/>
  <c r="CJ346" i="37"/>
  <c r="Q45" i="9" s="1"/>
  <c r="Q41" i="9" s="1"/>
  <c r="Q40" i="9" s="1"/>
  <c r="CI346" i="37"/>
  <c r="Q45" i="5" s="1"/>
  <c r="Q41" i="5" s="1"/>
  <c r="Q40" i="5" s="1"/>
  <c r="CH346" i="37"/>
  <c r="CG346" i="37"/>
  <c r="CD346" i="37"/>
  <c r="W45" i="5" s="1"/>
  <c r="W41" i="5" s="1"/>
  <c r="W40" i="5" s="1"/>
  <c r="CC346" i="37"/>
  <c r="CB346" i="37"/>
  <c r="V45" i="9" s="1"/>
  <c r="V41" i="9" s="1"/>
  <c r="V40" i="9" s="1"/>
  <c r="CA346" i="37"/>
  <c r="BZ346" i="37"/>
  <c r="BY346" i="37"/>
  <c r="BX346" i="37"/>
  <c r="P45" i="9" s="1"/>
  <c r="P41" i="9" s="1"/>
  <c r="P40" i="9" s="1"/>
  <c r="BW346" i="37"/>
  <c r="BV346" i="37"/>
  <c r="U45" i="9" s="1"/>
  <c r="U41" i="9" s="1"/>
  <c r="U40" i="9" s="1"/>
  <c r="BU346" i="37"/>
  <c r="U45" i="5" s="1"/>
  <c r="U41" i="5" s="1"/>
  <c r="U40" i="5" s="1"/>
  <c r="BT346" i="37"/>
  <c r="BS346" i="37"/>
  <c r="BR346" i="37"/>
  <c r="T45" i="5" s="1"/>
  <c r="T41" i="5" s="1"/>
  <c r="T40" i="5" s="1"/>
  <c r="BQ346" i="37"/>
  <c r="BP346" i="37"/>
  <c r="S45" i="9" s="1"/>
  <c r="S41" i="9" s="1"/>
  <c r="S40" i="9" s="1"/>
  <c r="BO346" i="37"/>
  <c r="BN346" i="37"/>
  <c r="R45" i="9" s="1"/>
  <c r="R41" i="9" s="1"/>
  <c r="R40" i="9" s="1"/>
  <c r="BM346" i="37"/>
  <c r="R45" i="5" s="1"/>
  <c r="R41" i="5" s="1"/>
  <c r="R40" i="5" s="1"/>
  <c r="BL346" i="37"/>
  <c r="BK346" i="37"/>
  <c r="BJ346" i="37"/>
  <c r="O45" i="9" s="1"/>
  <c r="O41" i="9" s="1"/>
  <c r="O40" i="9" s="1"/>
  <c r="BI346" i="37"/>
  <c r="O45" i="5" s="1"/>
  <c r="O41" i="5" s="1"/>
  <c r="O40" i="5" s="1"/>
  <c r="BH346" i="37"/>
  <c r="BG346" i="37"/>
  <c r="BD346" i="37"/>
  <c r="N45" i="9" s="1"/>
  <c r="N41" i="9" s="1"/>
  <c r="N40" i="9" s="1"/>
  <c r="BC346" i="37"/>
  <c r="N45" i="5" s="1"/>
  <c r="N41" i="5" s="1"/>
  <c r="N40" i="5" s="1"/>
  <c r="BB346" i="37"/>
  <c r="BA346" i="37"/>
  <c r="AX346" i="37"/>
  <c r="AW346" i="37"/>
  <c r="AV346" i="37"/>
  <c r="AU346" i="37"/>
  <c r="AT346" i="37"/>
  <c r="AS346" i="37"/>
  <c r="J45" i="9" s="1"/>
  <c r="J41" i="9" s="1"/>
  <c r="J40" i="9" s="1"/>
  <c r="AR346" i="37"/>
  <c r="J45" i="5" s="1"/>
  <c r="AQ346" i="37"/>
  <c r="ES346" i="37" s="1"/>
  <c r="AP346" i="37"/>
  <c r="AO346" i="37"/>
  <c r="AN346" i="37"/>
  <c r="I45" i="5" s="1"/>
  <c r="I41" i="5" s="1"/>
  <c r="I40" i="5" s="1"/>
  <c r="AM346" i="37"/>
  <c r="AL346" i="37"/>
  <c r="AK346" i="37"/>
  <c r="AJ346" i="37"/>
  <c r="AI346" i="37"/>
  <c r="AH346" i="37"/>
  <c r="AG346" i="37"/>
  <c r="AF346" i="37"/>
  <c r="AE346" i="37"/>
  <c r="AB346" i="37"/>
  <c r="AJ45" i="9" s="1"/>
  <c r="AJ41" i="9" s="1"/>
  <c r="AJ40" i="9" s="1"/>
  <c r="AA346" i="37"/>
  <c r="AJ45" i="5" s="1"/>
  <c r="AJ41" i="5" s="1"/>
  <c r="AJ40" i="5" s="1"/>
  <c r="Z346" i="37"/>
  <c r="Y346" i="37"/>
  <c r="X346" i="37"/>
  <c r="M45" i="9" s="1"/>
  <c r="M41" i="9" s="1"/>
  <c r="M40" i="9" s="1"/>
  <c r="W346" i="37"/>
  <c r="M45" i="5" s="1"/>
  <c r="M41" i="5" s="1"/>
  <c r="M40" i="5" s="1"/>
  <c r="V346" i="37"/>
  <c r="U346" i="37"/>
  <c r="T346" i="37"/>
  <c r="L45" i="9" s="1"/>
  <c r="L41" i="9" s="1"/>
  <c r="L40" i="9" s="1"/>
  <c r="S346" i="37"/>
  <c r="L45" i="5" s="1"/>
  <c r="L41" i="5" s="1"/>
  <c r="L40" i="5" s="1"/>
  <c r="R346" i="37"/>
  <c r="Q346" i="37"/>
  <c r="P346" i="37"/>
  <c r="F45" i="9" s="1"/>
  <c r="F41" i="9" s="1"/>
  <c r="F40" i="9" s="1"/>
  <c r="O346" i="37"/>
  <c r="L346" i="37"/>
  <c r="E45" i="9" s="1"/>
  <c r="E41" i="9" s="1"/>
  <c r="K346" i="37"/>
  <c r="J346" i="37"/>
  <c r="D45" i="9" s="1"/>
  <c r="D41" i="9" s="1"/>
  <c r="D40" i="9" s="1"/>
  <c r="I346" i="37"/>
  <c r="H346" i="37"/>
  <c r="C45" i="9" s="1"/>
  <c r="C41" i="9" s="1"/>
  <c r="C40" i="9" s="1"/>
  <c r="G346" i="37"/>
  <c r="F346" i="37"/>
  <c r="B45" i="9" s="1"/>
  <c r="B41" i="9" s="1"/>
  <c r="B40" i="9" s="1"/>
  <c r="E346" i="37"/>
  <c r="B45" i="5" s="1"/>
  <c r="D346" i="37"/>
  <c r="C346" i="37"/>
  <c r="EQ346" i="37" s="1"/>
  <c r="ES345" i="37"/>
  <c r="ER345" i="37"/>
  <c r="EQ345" i="37"/>
  <c r="ET345" i="37" s="1"/>
  <c r="EO345" i="37"/>
  <c r="ES344" i="37"/>
  <c r="ER344" i="37"/>
  <c r="EQ344" i="37"/>
  <c r="ET344" i="37" s="1"/>
  <c r="EO344" i="37"/>
  <c r="EM344" i="37"/>
  <c r="EP344" i="37" s="1"/>
  <c r="ES343" i="37"/>
  <c r="ER343" i="37"/>
  <c r="EQ343" i="37"/>
  <c r="ET343" i="37" s="1"/>
  <c r="EO343" i="37"/>
  <c r="EM343" i="37"/>
  <c r="EP343" i="37" s="1"/>
  <c r="ES342" i="37"/>
  <c r="ER342" i="37"/>
  <c r="EQ342" i="37"/>
  <c r="ET342" i="37" s="1"/>
  <c r="EO342" i="37"/>
  <c r="EO346" i="37" s="1"/>
  <c r="EM342" i="37"/>
  <c r="ES341" i="37"/>
  <c r="ER341" i="37"/>
  <c r="EQ341" i="37"/>
  <c r="ET341" i="37" s="1"/>
  <c r="EP341" i="37"/>
  <c r="EL340" i="37"/>
  <c r="EK340" i="37"/>
  <c r="EJ340" i="37"/>
  <c r="EI340" i="37"/>
  <c r="EH340" i="37"/>
  <c r="EG340" i="37"/>
  <c r="ED340" i="37"/>
  <c r="EC340" i="37"/>
  <c r="EB340" i="37"/>
  <c r="EA340" i="37"/>
  <c r="DZ340" i="37"/>
  <c r="DY340" i="37"/>
  <c r="DV340" i="37"/>
  <c r="DU340" i="37"/>
  <c r="DT340" i="37"/>
  <c r="DS340" i="37"/>
  <c r="DP340" i="37"/>
  <c r="DO340" i="37"/>
  <c r="DN340" i="37"/>
  <c r="DM340" i="37"/>
  <c r="DH340" i="37"/>
  <c r="DG340" i="37"/>
  <c r="DF340" i="37"/>
  <c r="DE340" i="37"/>
  <c r="DD340" i="37"/>
  <c r="DC340" i="37"/>
  <c r="DB340" i="37"/>
  <c r="DA340" i="37"/>
  <c r="CZ340" i="37"/>
  <c r="CY340" i="37"/>
  <c r="CX340" i="37"/>
  <c r="CW340" i="37"/>
  <c r="CV340" i="37"/>
  <c r="CU340" i="37"/>
  <c r="CT340" i="37"/>
  <c r="CS340" i="37"/>
  <c r="CR340" i="37"/>
  <c r="CQ340" i="37"/>
  <c r="CP340" i="37"/>
  <c r="CO340" i="37"/>
  <c r="CN340" i="37"/>
  <c r="CM340" i="37"/>
  <c r="CJ340" i="37"/>
  <c r="CI340" i="37"/>
  <c r="CH340" i="37"/>
  <c r="CG340" i="37"/>
  <c r="CD340" i="37"/>
  <c r="CC340" i="37"/>
  <c r="CB340" i="37"/>
  <c r="CA340" i="37"/>
  <c r="BZ340" i="37"/>
  <c r="BY340" i="37"/>
  <c r="BX340" i="37"/>
  <c r="BW340" i="37"/>
  <c r="BV340" i="37"/>
  <c r="BU340" i="37"/>
  <c r="BT340" i="37"/>
  <c r="BS340" i="37"/>
  <c r="BR340" i="37"/>
  <c r="BQ340" i="37"/>
  <c r="BP340" i="37"/>
  <c r="BO340" i="37"/>
  <c r="BN340" i="37"/>
  <c r="BM340" i="37"/>
  <c r="BL340" i="37"/>
  <c r="BK340" i="37"/>
  <c r="BJ340" i="37"/>
  <c r="BI340" i="37"/>
  <c r="BH340" i="37"/>
  <c r="BG340" i="37"/>
  <c r="BD340" i="37"/>
  <c r="BC340" i="37"/>
  <c r="BB340" i="37"/>
  <c r="BA340" i="37"/>
  <c r="AX340" i="37"/>
  <c r="AW340" i="37"/>
  <c r="AV340" i="37"/>
  <c r="AU340" i="37"/>
  <c r="AT340" i="37"/>
  <c r="AS340" i="37"/>
  <c r="AR340" i="37"/>
  <c r="AQ340" i="37"/>
  <c r="ES340" i="37" s="1"/>
  <c r="AP340" i="37"/>
  <c r="AO340" i="37"/>
  <c r="AN340" i="37"/>
  <c r="AM340" i="37"/>
  <c r="AL340" i="37"/>
  <c r="AK340" i="37"/>
  <c r="AJ340" i="37"/>
  <c r="AI340" i="37"/>
  <c r="AH340" i="37"/>
  <c r="AG340" i="37"/>
  <c r="AF340" i="37"/>
  <c r="AE340" i="37"/>
  <c r="AB340" i="37"/>
  <c r="AA340" i="37"/>
  <c r="Z340" i="37"/>
  <c r="Y340" i="37"/>
  <c r="X340" i="37"/>
  <c r="W340" i="37"/>
  <c r="V340" i="37"/>
  <c r="U340" i="37"/>
  <c r="T340" i="37"/>
  <c r="S340" i="37"/>
  <c r="R340" i="37"/>
  <c r="Q340" i="37"/>
  <c r="P340" i="37"/>
  <c r="O340" i="37"/>
  <c r="L340" i="37"/>
  <c r="K340" i="37"/>
  <c r="J340" i="37"/>
  <c r="I340" i="37"/>
  <c r="H340" i="37"/>
  <c r="G340" i="37"/>
  <c r="F340" i="37"/>
  <c r="E340" i="37"/>
  <c r="D340" i="37"/>
  <c r="C340" i="37"/>
  <c r="EQ340" i="37" s="1"/>
  <c r="ES339" i="37"/>
  <c r="ER339" i="37"/>
  <c r="ET339" i="37" s="1"/>
  <c r="EQ339" i="37"/>
  <c r="EO339" i="37"/>
  <c r="EP339" i="37"/>
  <c r="EM339" i="37"/>
  <c r="ES338" i="37"/>
  <c r="ER338" i="37"/>
  <c r="ET338" i="37" s="1"/>
  <c r="EQ338" i="37"/>
  <c r="EO338" i="37"/>
  <c r="EO340" i="37" s="1"/>
  <c r="EN340" i="37"/>
  <c r="EM338" i="37"/>
  <c r="EM340" i="37" s="1"/>
  <c r="ES337" i="37"/>
  <c r="ER337" i="37"/>
  <c r="ET337" i="37" s="1"/>
  <c r="EQ337" i="37"/>
  <c r="EP337" i="37"/>
  <c r="EL335" i="37"/>
  <c r="EK335" i="37"/>
  <c r="EJ335" i="37"/>
  <c r="EI335" i="37"/>
  <c r="EH335" i="37"/>
  <c r="EG335" i="37"/>
  <c r="ED335" i="37"/>
  <c r="EC335" i="37"/>
  <c r="EB335" i="37"/>
  <c r="EA335" i="37"/>
  <c r="DZ335" i="37"/>
  <c r="DY335" i="37"/>
  <c r="DV335" i="37"/>
  <c r="DU335" i="37"/>
  <c r="DT335" i="37"/>
  <c r="DS335" i="37"/>
  <c r="DP335" i="37"/>
  <c r="DO335" i="37"/>
  <c r="DN335" i="37"/>
  <c r="DM335" i="37"/>
  <c r="DH335" i="37"/>
  <c r="DG335" i="37"/>
  <c r="DF335" i="37"/>
  <c r="DE335" i="37"/>
  <c r="DD335" i="37"/>
  <c r="DC335" i="37"/>
  <c r="DB335" i="37"/>
  <c r="DA335" i="37"/>
  <c r="CZ335" i="37"/>
  <c r="CY335" i="37"/>
  <c r="CX335" i="37"/>
  <c r="CW335" i="37"/>
  <c r="CV335" i="37"/>
  <c r="CU335" i="37"/>
  <c r="CT335" i="37"/>
  <c r="CS335" i="37"/>
  <c r="CR335" i="37"/>
  <c r="CQ335" i="37"/>
  <c r="CP335" i="37"/>
  <c r="CO335" i="37"/>
  <c r="CN335" i="37"/>
  <c r="CM335" i="37"/>
  <c r="CJ335" i="37"/>
  <c r="CI335" i="37"/>
  <c r="CH335" i="37"/>
  <c r="CG335" i="37"/>
  <c r="CD335" i="37"/>
  <c r="CC335" i="37"/>
  <c r="CB335" i="37"/>
  <c r="CA335" i="37"/>
  <c r="BZ335" i="37"/>
  <c r="BY335" i="37"/>
  <c r="BX335" i="37"/>
  <c r="BW335" i="37"/>
  <c r="BV335" i="37"/>
  <c r="BU335" i="37"/>
  <c r="BT335" i="37"/>
  <c r="BS335" i="37"/>
  <c r="BR335" i="37"/>
  <c r="BQ335" i="37"/>
  <c r="BP335" i="37"/>
  <c r="BO335" i="37"/>
  <c r="BN335" i="37"/>
  <c r="BM335" i="37"/>
  <c r="BL335" i="37"/>
  <c r="BK335" i="37"/>
  <c r="BJ335" i="37"/>
  <c r="BI335" i="37"/>
  <c r="BH335" i="37"/>
  <c r="BG335" i="37"/>
  <c r="BD335" i="37"/>
  <c r="BC335" i="37"/>
  <c r="BB335" i="37"/>
  <c r="BA335" i="37"/>
  <c r="AX335" i="37"/>
  <c r="AW335" i="37"/>
  <c r="AV335" i="37"/>
  <c r="AU335" i="37"/>
  <c r="AT335" i="37"/>
  <c r="AS335" i="37"/>
  <c r="AR335" i="37"/>
  <c r="AQ335" i="37"/>
  <c r="AP335" i="37"/>
  <c r="AO335" i="37"/>
  <c r="AN335" i="37"/>
  <c r="AM335" i="37"/>
  <c r="AL335" i="37"/>
  <c r="AK335" i="37"/>
  <c r="AJ335" i="37"/>
  <c r="AI335" i="37"/>
  <c r="AH335" i="37"/>
  <c r="AG335" i="37"/>
  <c r="AF335" i="37"/>
  <c r="AE335" i="37"/>
  <c r="AB335" i="37"/>
  <c r="AA335" i="37"/>
  <c r="Z335" i="37"/>
  <c r="Y335" i="37"/>
  <c r="X335" i="37"/>
  <c r="W335" i="37"/>
  <c r="V335" i="37"/>
  <c r="U335" i="37"/>
  <c r="T335" i="37"/>
  <c r="S335" i="37"/>
  <c r="R335" i="37"/>
  <c r="Q335" i="37"/>
  <c r="P335" i="37"/>
  <c r="O335" i="37"/>
  <c r="L335" i="37"/>
  <c r="K335" i="37"/>
  <c r="J335" i="37"/>
  <c r="I335" i="37"/>
  <c r="H335" i="37"/>
  <c r="G335" i="37"/>
  <c r="F335" i="37"/>
  <c r="E335" i="37"/>
  <c r="D335" i="37"/>
  <c r="C335" i="37"/>
  <c r="ES334" i="37"/>
  <c r="ER334" i="37"/>
  <c r="EQ334" i="37"/>
  <c r="ET334" i="37" s="1"/>
  <c r="EO334" i="37"/>
  <c r="EM334" i="37"/>
  <c r="EP334" i="37" s="1"/>
  <c r="ES333" i="37"/>
  <c r="ER333" i="37"/>
  <c r="EQ333" i="37"/>
  <c r="ET333" i="37" s="1"/>
  <c r="EO333" i="37"/>
  <c r="EO335" i="37" s="1"/>
  <c r="EN335" i="37"/>
  <c r="EM333" i="37"/>
  <c r="EM335" i="37" s="1"/>
  <c r="ES332" i="37"/>
  <c r="ER332" i="37"/>
  <c r="ET332" i="37" s="1"/>
  <c r="EQ332" i="37"/>
  <c r="EP332" i="37"/>
  <c r="EO331" i="37"/>
  <c r="EL331" i="37"/>
  <c r="EK331" i="37"/>
  <c r="EJ331" i="37"/>
  <c r="EI331" i="37"/>
  <c r="EH331" i="37"/>
  <c r="EG331" i="37"/>
  <c r="ED331" i="37"/>
  <c r="EC331" i="37"/>
  <c r="EB331" i="37"/>
  <c r="EA331" i="37"/>
  <c r="DZ331" i="37"/>
  <c r="DY331" i="37"/>
  <c r="DV331" i="37"/>
  <c r="DU331" i="37"/>
  <c r="DT331" i="37"/>
  <c r="DS331" i="37"/>
  <c r="DP331" i="37"/>
  <c r="DO331" i="37"/>
  <c r="DN331" i="37"/>
  <c r="DM331" i="37"/>
  <c r="DH331" i="37"/>
  <c r="DG331" i="37"/>
  <c r="DF331" i="37"/>
  <c r="DE331" i="37"/>
  <c r="DD331" i="37"/>
  <c r="DC331" i="37"/>
  <c r="DB331" i="37"/>
  <c r="DA331" i="37"/>
  <c r="CZ331" i="37"/>
  <c r="CY331" i="37"/>
  <c r="CX331" i="37"/>
  <c r="CW331" i="37"/>
  <c r="CV331" i="37"/>
  <c r="CU331" i="37"/>
  <c r="CT331" i="37"/>
  <c r="CS331" i="37"/>
  <c r="CR331" i="37"/>
  <c r="CQ331" i="37"/>
  <c r="CP331" i="37"/>
  <c r="CO331" i="37"/>
  <c r="CN331" i="37"/>
  <c r="CM331" i="37"/>
  <c r="CJ331" i="37"/>
  <c r="CI331" i="37"/>
  <c r="CH331" i="37"/>
  <c r="CG331" i="37"/>
  <c r="CD331" i="37"/>
  <c r="CC331" i="37"/>
  <c r="CB331" i="37"/>
  <c r="CA331" i="37"/>
  <c r="BZ331" i="37"/>
  <c r="BY331" i="37"/>
  <c r="BX331" i="37"/>
  <c r="BW331" i="37"/>
  <c r="BV331" i="37"/>
  <c r="BU331" i="37"/>
  <c r="BT331" i="37"/>
  <c r="BS331" i="37"/>
  <c r="BR331" i="37"/>
  <c r="BQ331" i="37"/>
  <c r="BP331" i="37"/>
  <c r="BO331" i="37"/>
  <c r="BN331" i="37"/>
  <c r="BM331" i="37"/>
  <c r="BL331" i="37"/>
  <c r="BK331" i="37"/>
  <c r="BJ331" i="37"/>
  <c r="BI331" i="37"/>
  <c r="BH331" i="37"/>
  <c r="BG331" i="37"/>
  <c r="BD331" i="37"/>
  <c r="BC331" i="37"/>
  <c r="BB331" i="37"/>
  <c r="BA331" i="37"/>
  <c r="AV331" i="37"/>
  <c r="AU331" i="37"/>
  <c r="AT331" i="37"/>
  <c r="AS331" i="37"/>
  <c r="AR331" i="37"/>
  <c r="AQ331" i="37"/>
  <c r="ES331" i="37" s="1"/>
  <c r="AP331" i="37"/>
  <c r="AO331" i="37"/>
  <c r="AN331" i="37"/>
  <c r="AM331" i="37"/>
  <c r="AL331" i="37"/>
  <c r="AK331" i="37"/>
  <c r="AJ331" i="37"/>
  <c r="AI331" i="37"/>
  <c r="AH331" i="37"/>
  <c r="AG331" i="37"/>
  <c r="AF331" i="37"/>
  <c r="AE331" i="37"/>
  <c r="AB331" i="37"/>
  <c r="AA331" i="37"/>
  <c r="Z331" i="37"/>
  <c r="Y331" i="37"/>
  <c r="X331" i="37"/>
  <c r="W331" i="37"/>
  <c r="V331" i="37"/>
  <c r="U331" i="37"/>
  <c r="T331" i="37"/>
  <c r="S331" i="37"/>
  <c r="R331" i="37"/>
  <c r="Q331" i="37"/>
  <c r="P331" i="37"/>
  <c r="O331" i="37"/>
  <c r="L331" i="37"/>
  <c r="K331" i="37"/>
  <c r="J331" i="37"/>
  <c r="I331" i="37"/>
  <c r="H331" i="37"/>
  <c r="G331" i="37"/>
  <c r="F331" i="37"/>
  <c r="E331" i="37"/>
  <c r="D331" i="37"/>
  <c r="C331" i="37"/>
  <c r="EQ331" i="37" s="1"/>
  <c r="ES330" i="37"/>
  <c r="ER330" i="37"/>
  <c r="EQ330" i="37"/>
  <c r="ET330" i="37" s="1"/>
  <c r="EM330" i="37"/>
  <c r="EP330" i="37" s="1"/>
  <c r="ES329" i="37"/>
  <c r="ER329" i="37"/>
  <c r="EQ329" i="37"/>
  <c r="ET329" i="37" s="1"/>
  <c r="ES328" i="37"/>
  <c r="ER328" i="37"/>
  <c r="EQ328" i="37"/>
  <c r="ET328" i="37" s="1"/>
  <c r="EP328" i="37"/>
  <c r="CB327" i="37"/>
  <c r="CA327" i="37"/>
  <c r="BZ327" i="37"/>
  <c r="BY327" i="37"/>
  <c r="BX327" i="37"/>
  <c r="BW327" i="37"/>
  <c r="BV327" i="37"/>
  <c r="BU327" i="37"/>
  <c r="BT327" i="37"/>
  <c r="BS327" i="37"/>
  <c r="BR327" i="37"/>
  <c r="BQ327" i="37"/>
  <c r="BP327" i="37"/>
  <c r="BO327" i="37"/>
  <c r="BN327" i="37"/>
  <c r="BM327" i="37"/>
  <c r="BL327" i="37"/>
  <c r="BK327" i="37"/>
  <c r="BJ327" i="37"/>
  <c r="BI327" i="37"/>
  <c r="BH327" i="37"/>
  <c r="BG327" i="37"/>
  <c r="BD327" i="37"/>
  <c r="BC327" i="37"/>
  <c r="BB327" i="37"/>
  <c r="BA327" i="37"/>
  <c r="AX327" i="37"/>
  <c r="AW327" i="37"/>
  <c r="AV327" i="37"/>
  <c r="AU327" i="37"/>
  <c r="AT327" i="37"/>
  <c r="AS327" i="37"/>
  <c r="AR327" i="37"/>
  <c r="AQ327" i="37"/>
  <c r="ES327" i="37" s="1"/>
  <c r="AP327" i="37"/>
  <c r="AO327" i="37"/>
  <c r="AN327" i="37"/>
  <c r="AM327" i="37"/>
  <c r="AL327" i="37"/>
  <c r="AK327" i="37"/>
  <c r="AJ327" i="37"/>
  <c r="AI327" i="37"/>
  <c r="AH327" i="37"/>
  <c r="AG327" i="37"/>
  <c r="AF327" i="37"/>
  <c r="AE327" i="37"/>
  <c r="AB327" i="37"/>
  <c r="AA327" i="37"/>
  <c r="Z327" i="37"/>
  <c r="Y327" i="37"/>
  <c r="X327" i="37"/>
  <c r="W327" i="37"/>
  <c r="V327" i="37"/>
  <c r="U327" i="37"/>
  <c r="T327" i="37"/>
  <c r="S327" i="37"/>
  <c r="R327" i="37"/>
  <c r="Q327" i="37"/>
  <c r="P327" i="37"/>
  <c r="O327" i="37"/>
  <c r="L327" i="37"/>
  <c r="K327" i="37"/>
  <c r="J327" i="37"/>
  <c r="I327" i="37"/>
  <c r="H327" i="37"/>
  <c r="G327" i="37"/>
  <c r="F327" i="37"/>
  <c r="E327" i="37"/>
  <c r="D327" i="37"/>
  <c r="C327" i="37"/>
  <c r="ES326" i="37"/>
  <c r="ER326" i="37"/>
  <c r="EQ326" i="37"/>
  <c r="ET326" i="37" s="1"/>
  <c r="EO326" i="37"/>
  <c r="EM326" i="37"/>
  <c r="EP326" i="37" s="1"/>
  <c r="ES325" i="37"/>
  <c r="ER325" i="37"/>
  <c r="ET325" i="37" s="1"/>
  <c r="EQ325" i="37"/>
  <c r="EO325" i="37"/>
  <c r="EP325" i="37"/>
  <c r="EM325" i="37"/>
  <c r="ES324" i="37"/>
  <c r="ER324" i="37"/>
  <c r="ET324" i="37" s="1"/>
  <c r="EQ324" i="37"/>
  <c r="EP324" i="37"/>
  <c r="EL323" i="37"/>
  <c r="EL327" i="37" s="1"/>
  <c r="EK323" i="37"/>
  <c r="EK327" i="37" s="1"/>
  <c r="EJ323" i="37"/>
  <c r="EJ327" i="37" s="1"/>
  <c r="EI323" i="37"/>
  <c r="EI327" i="37" s="1"/>
  <c r="EH323" i="37"/>
  <c r="EH327" i="37" s="1"/>
  <c r="EG323" i="37"/>
  <c r="EG327" i="37" s="1"/>
  <c r="ED323" i="37"/>
  <c r="ED327" i="37" s="1"/>
  <c r="EC323" i="37"/>
  <c r="EC327" i="37" s="1"/>
  <c r="EB323" i="37"/>
  <c r="EB327" i="37" s="1"/>
  <c r="EA323" i="37"/>
  <c r="EA327" i="37" s="1"/>
  <c r="DZ323" i="37"/>
  <c r="DZ327" i="37" s="1"/>
  <c r="DY323" i="37"/>
  <c r="DY327" i="37" s="1"/>
  <c r="DV323" i="37"/>
  <c r="DV327" i="37" s="1"/>
  <c r="DU323" i="37"/>
  <c r="DU327" i="37" s="1"/>
  <c r="DT323" i="37"/>
  <c r="DT327" i="37" s="1"/>
  <c r="DS323" i="37"/>
  <c r="DS327" i="37" s="1"/>
  <c r="DP323" i="37"/>
  <c r="DP327" i="37" s="1"/>
  <c r="DO323" i="37"/>
  <c r="DO327" i="37" s="1"/>
  <c r="DN323" i="37"/>
  <c r="DN327" i="37" s="1"/>
  <c r="DM323" i="37"/>
  <c r="DM327" i="37" s="1"/>
  <c r="DH323" i="37"/>
  <c r="DH327" i="37" s="1"/>
  <c r="DG323" i="37"/>
  <c r="DG327" i="37" s="1"/>
  <c r="DF323" i="37"/>
  <c r="DF327" i="37" s="1"/>
  <c r="DE323" i="37"/>
  <c r="DE327" i="37" s="1"/>
  <c r="DD323" i="37"/>
  <c r="DD327" i="37" s="1"/>
  <c r="DC323" i="37"/>
  <c r="DC327" i="37" s="1"/>
  <c r="DB323" i="37"/>
  <c r="DB327" i="37" s="1"/>
  <c r="DA323" i="37"/>
  <c r="DA327" i="37" s="1"/>
  <c r="CZ323" i="37"/>
  <c r="CZ327" i="37" s="1"/>
  <c r="CY323" i="37"/>
  <c r="CY327" i="37" s="1"/>
  <c r="CX323" i="37"/>
  <c r="CX327" i="37" s="1"/>
  <c r="CW323" i="37"/>
  <c r="CW327" i="37" s="1"/>
  <c r="CV323" i="37"/>
  <c r="CV327" i="37" s="1"/>
  <c r="CU323" i="37"/>
  <c r="CU327" i="37" s="1"/>
  <c r="CT323" i="37"/>
  <c r="CT327" i="37" s="1"/>
  <c r="CS323" i="37"/>
  <c r="CS327" i="37" s="1"/>
  <c r="CR323" i="37"/>
  <c r="CR327" i="37" s="1"/>
  <c r="CQ323" i="37"/>
  <c r="CQ327" i="37" s="1"/>
  <c r="CP323" i="37"/>
  <c r="CP327" i="37" s="1"/>
  <c r="CO323" i="37"/>
  <c r="CO327" i="37" s="1"/>
  <c r="CN323" i="37"/>
  <c r="CN327" i="37" s="1"/>
  <c r="CM323" i="37"/>
  <c r="CM327" i="37" s="1"/>
  <c r="CJ323" i="37"/>
  <c r="CJ327" i="37" s="1"/>
  <c r="CI323" i="37"/>
  <c r="CI327" i="37" s="1"/>
  <c r="CH323" i="37"/>
  <c r="CH327" i="37" s="1"/>
  <c r="CG323" i="37"/>
  <c r="CG327" i="37" s="1"/>
  <c r="CD323" i="37"/>
  <c r="CD327" i="37" s="1"/>
  <c r="CC323" i="37"/>
  <c r="CC327" i="37" s="1"/>
  <c r="CB323" i="37"/>
  <c r="CA323" i="37"/>
  <c r="BZ323" i="37"/>
  <c r="BY323" i="37"/>
  <c r="BX323" i="37"/>
  <c r="BW323" i="37"/>
  <c r="BV323" i="37"/>
  <c r="BU323" i="37"/>
  <c r="BT323" i="37"/>
  <c r="BS323" i="37"/>
  <c r="BR323" i="37"/>
  <c r="BQ323" i="37"/>
  <c r="BP323" i="37"/>
  <c r="BO323" i="37"/>
  <c r="BN323" i="37"/>
  <c r="BM323" i="37"/>
  <c r="BL323" i="37"/>
  <c r="BK323" i="37"/>
  <c r="BJ323" i="37"/>
  <c r="BI323" i="37"/>
  <c r="BH323" i="37"/>
  <c r="BG323" i="37"/>
  <c r="BD323" i="37"/>
  <c r="BC323" i="37"/>
  <c r="BB323" i="37"/>
  <c r="BA323" i="37"/>
  <c r="AX323" i="37"/>
  <c r="AW323" i="37"/>
  <c r="AV323" i="37"/>
  <c r="AU323" i="37"/>
  <c r="AT323" i="37"/>
  <c r="AS323" i="37"/>
  <c r="AR323" i="37"/>
  <c r="AQ323" i="37"/>
  <c r="ES323" i="37" s="1"/>
  <c r="AP323" i="37"/>
  <c r="AO323" i="37"/>
  <c r="AN323" i="37"/>
  <c r="AM323" i="37"/>
  <c r="AL323" i="37"/>
  <c r="AK323" i="37"/>
  <c r="AJ323" i="37"/>
  <c r="AI323" i="37"/>
  <c r="AH323" i="37"/>
  <c r="AG323" i="37"/>
  <c r="AF323" i="37"/>
  <c r="AE323" i="37"/>
  <c r="AB323" i="37"/>
  <c r="AA323" i="37"/>
  <c r="Z323" i="37"/>
  <c r="Y323" i="37"/>
  <c r="X323" i="37"/>
  <c r="W323" i="37"/>
  <c r="V323" i="37"/>
  <c r="U323" i="37"/>
  <c r="T323" i="37"/>
  <c r="S323" i="37"/>
  <c r="R323" i="37"/>
  <c r="Q323" i="37"/>
  <c r="P323" i="37"/>
  <c r="O323" i="37"/>
  <c r="L323" i="37"/>
  <c r="K323" i="37"/>
  <c r="J323" i="37"/>
  <c r="I323" i="37"/>
  <c r="H323" i="37"/>
  <c r="G323" i="37"/>
  <c r="F323" i="37"/>
  <c r="E323" i="37"/>
  <c r="D323" i="37"/>
  <c r="C323" i="37"/>
  <c r="EQ323" i="37" s="1"/>
  <c r="ES322" i="37"/>
  <c r="ER322" i="37"/>
  <c r="EQ322" i="37"/>
  <c r="ET322" i="37" s="1"/>
  <c r="EO322" i="37"/>
  <c r="EM322" i="37"/>
  <c r="EP322" i="37" s="1"/>
  <c r="ES321" i="37"/>
  <c r="ER321" i="37"/>
  <c r="EQ321" i="37"/>
  <c r="ET321" i="37" s="1"/>
  <c r="EO321" i="37"/>
  <c r="EM321" i="37"/>
  <c r="EP321" i="37" s="1"/>
  <c r="ES320" i="37"/>
  <c r="ER320" i="37"/>
  <c r="EQ320" i="37"/>
  <c r="ET320" i="37" s="1"/>
  <c r="EO320" i="37"/>
  <c r="EO323" i="37" s="1"/>
  <c r="EO327" i="37" s="1"/>
  <c r="EN323" i="37"/>
  <c r="EN327" i="37" s="1"/>
  <c r="EM320" i="37"/>
  <c r="EM323" i="37" s="1"/>
  <c r="ES319" i="37"/>
  <c r="ER319" i="37"/>
  <c r="ET319" i="37" s="1"/>
  <c r="EQ319" i="37"/>
  <c r="EP319" i="37"/>
  <c r="EL317" i="37"/>
  <c r="EK317" i="37"/>
  <c r="EJ317" i="37"/>
  <c r="EI317" i="37"/>
  <c r="EH317" i="37"/>
  <c r="EG317" i="37"/>
  <c r="ED317" i="37"/>
  <c r="EC317" i="37"/>
  <c r="EB317" i="37"/>
  <c r="EA317" i="37"/>
  <c r="DZ317" i="37"/>
  <c r="DY317" i="37"/>
  <c r="DV317" i="37"/>
  <c r="DU317" i="37"/>
  <c r="DT317" i="37"/>
  <c r="DS317" i="37"/>
  <c r="DP317" i="37"/>
  <c r="DO317" i="37"/>
  <c r="DN317" i="37"/>
  <c r="DM317" i="37"/>
  <c r="DH317" i="37"/>
  <c r="AL39" i="9" s="1"/>
  <c r="AL37" i="9" s="1"/>
  <c r="DG317" i="37"/>
  <c r="AL39" i="5" s="1"/>
  <c r="AL37" i="5" s="1"/>
  <c r="DF317" i="37"/>
  <c r="DE317" i="37"/>
  <c r="DD317" i="37"/>
  <c r="AK39" i="9" s="1"/>
  <c r="AK37" i="9" s="1"/>
  <c r="DC317" i="37"/>
  <c r="DB317" i="37"/>
  <c r="DA317" i="37"/>
  <c r="CZ317" i="37"/>
  <c r="CY317" i="37"/>
  <c r="CX317" i="37"/>
  <c r="AA39" i="9" s="1"/>
  <c r="AA37" i="9" s="1"/>
  <c r="CW317" i="37"/>
  <c r="AA39" i="5" s="1"/>
  <c r="AA37" i="5" s="1"/>
  <c r="CV317" i="37"/>
  <c r="CU317" i="37"/>
  <c r="CT317" i="37"/>
  <c r="Y39" i="9" s="1"/>
  <c r="Y37" i="9" s="1"/>
  <c r="CS317" i="37"/>
  <c r="Y39" i="5" s="1"/>
  <c r="Y37" i="5" s="1"/>
  <c r="CR317" i="37"/>
  <c r="CQ317" i="37"/>
  <c r="CP317" i="37"/>
  <c r="CO317" i="37"/>
  <c r="CN317" i="37"/>
  <c r="CM317" i="37"/>
  <c r="CJ317" i="37"/>
  <c r="Q39" i="9" s="1"/>
  <c r="Q37" i="9" s="1"/>
  <c r="CI317" i="37"/>
  <c r="Q39" i="5" s="1"/>
  <c r="Q37" i="5" s="1"/>
  <c r="CH317" i="37"/>
  <c r="CG317" i="37"/>
  <c r="CD317" i="37"/>
  <c r="W39" i="5" s="1"/>
  <c r="W37" i="5" s="1"/>
  <c r="CC317" i="37"/>
  <c r="CB317" i="37"/>
  <c r="V39" i="9" s="1"/>
  <c r="V37" i="9" s="1"/>
  <c r="CA317" i="37"/>
  <c r="BZ317" i="37"/>
  <c r="BY317" i="37"/>
  <c r="BX317" i="37"/>
  <c r="P39" i="9" s="1"/>
  <c r="P37" i="9" s="1"/>
  <c r="BW317" i="37"/>
  <c r="BV317" i="37"/>
  <c r="U39" i="9" s="1"/>
  <c r="U37" i="9" s="1"/>
  <c r="BU317" i="37"/>
  <c r="U39" i="5" s="1"/>
  <c r="U37" i="5" s="1"/>
  <c r="BT317" i="37"/>
  <c r="BS317" i="37"/>
  <c r="BR317" i="37"/>
  <c r="T39" i="5" s="1"/>
  <c r="T37" i="5" s="1"/>
  <c r="BQ317" i="37"/>
  <c r="BP317" i="37"/>
  <c r="S39" i="9" s="1"/>
  <c r="S37" i="9" s="1"/>
  <c r="BO317" i="37"/>
  <c r="BN317" i="37"/>
  <c r="R39" i="9" s="1"/>
  <c r="R37" i="9" s="1"/>
  <c r="BM317" i="37"/>
  <c r="R39" i="5" s="1"/>
  <c r="R37" i="5" s="1"/>
  <c r="BL317" i="37"/>
  <c r="BK317" i="37"/>
  <c r="BJ317" i="37"/>
  <c r="O39" i="9" s="1"/>
  <c r="O37" i="9" s="1"/>
  <c r="BI317" i="37"/>
  <c r="O39" i="5" s="1"/>
  <c r="O37" i="5" s="1"/>
  <c r="BH317" i="37"/>
  <c r="BG317" i="37"/>
  <c r="BD317" i="37"/>
  <c r="N39" i="9" s="1"/>
  <c r="N37" i="9" s="1"/>
  <c r="BC317" i="37"/>
  <c r="N39" i="5" s="1"/>
  <c r="N37" i="5" s="1"/>
  <c r="BB317" i="37"/>
  <c r="BA317" i="37"/>
  <c r="AX317" i="37"/>
  <c r="AW317" i="37"/>
  <c r="AV317" i="37"/>
  <c r="AU317" i="37"/>
  <c r="AT317" i="37"/>
  <c r="AS317" i="37"/>
  <c r="J39" i="9" s="1"/>
  <c r="J37" i="9" s="1"/>
  <c r="AR317" i="37"/>
  <c r="J39" i="5" s="1"/>
  <c r="AQ317" i="37"/>
  <c r="AP317" i="37"/>
  <c r="AO317" i="37"/>
  <c r="AN317" i="37"/>
  <c r="I39" i="5" s="1"/>
  <c r="I37" i="5" s="1"/>
  <c r="AM317" i="37"/>
  <c r="AL317" i="37"/>
  <c r="AK317" i="37"/>
  <c r="AJ317" i="37"/>
  <c r="AI317" i="37"/>
  <c r="AH317" i="37"/>
  <c r="AG317" i="37"/>
  <c r="AF317" i="37"/>
  <c r="AE317" i="37"/>
  <c r="AB317" i="37"/>
  <c r="AJ39" i="9" s="1"/>
  <c r="AJ37" i="9" s="1"/>
  <c r="AA317" i="37"/>
  <c r="AJ39" i="5" s="1"/>
  <c r="AJ37" i="5" s="1"/>
  <c r="Z317" i="37"/>
  <c r="Y317" i="37"/>
  <c r="X317" i="37"/>
  <c r="M39" i="9" s="1"/>
  <c r="M37" i="9" s="1"/>
  <c r="W317" i="37"/>
  <c r="M39" i="5" s="1"/>
  <c r="M37" i="5" s="1"/>
  <c r="V317" i="37"/>
  <c r="U317" i="37"/>
  <c r="T317" i="37"/>
  <c r="L39" i="9" s="1"/>
  <c r="L37" i="9" s="1"/>
  <c r="S317" i="37"/>
  <c r="L39" i="5" s="1"/>
  <c r="L37" i="5" s="1"/>
  <c r="R317" i="37"/>
  <c r="Q317" i="37"/>
  <c r="P317" i="37"/>
  <c r="F39" i="9" s="1"/>
  <c r="F37" i="9" s="1"/>
  <c r="O317" i="37"/>
  <c r="L317" i="37"/>
  <c r="E39" i="9" s="1"/>
  <c r="E37" i="9" s="1"/>
  <c r="K317" i="37"/>
  <c r="J317" i="37"/>
  <c r="D39" i="9" s="1"/>
  <c r="D37" i="9" s="1"/>
  <c r="I317" i="37"/>
  <c r="H317" i="37"/>
  <c r="C39" i="9" s="1"/>
  <c r="C37" i="9" s="1"/>
  <c r="G317" i="37"/>
  <c r="F317" i="37"/>
  <c r="B39" i="9" s="1"/>
  <c r="B37" i="9" s="1"/>
  <c r="E317" i="37"/>
  <c r="B39" i="5" s="1"/>
  <c r="D317" i="37"/>
  <c r="C317" i="37"/>
  <c r="ES316" i="37"/>
  <c r="ER316" i="37"/>
  <c r="EQ316" i="37"/>
  <c r="ET316" i="37" s="1"/>
  <c r="EO316" i="37"/>
  <c r="EM316" i="37"/>
  <c r="EP316" i="37" s="1"/>
  <c r="ES315" i="37"/>
  <c r="ER315" i="37"/>
  <c r="EQ315" i="37"/>
  <c r="ET315" i="37" s="1"/>
  <c r="EO315" i="37"/>
  <c r="EP315" i="37"/>
  <c r="EM315" i="37"/>
  <c r="ES314" i="37"/>
  <c r="ER314" i="37"/>
  <c r="ET314" i="37" s="1"/>
  <c r="EQ314" i="37"/>
  <c r="EO314" i="37"/>
  <c r="EO317" i="37" s="1"/>
  <c r="EN317" i="37"/>
  <c r="EM314" i="37"/>
  <c r="EM317" i="37" s="1"/>
  <c r="ES313" i="37"/>
  <c r="ER313" i="37"/>
  <c r="ET313" i="37" s="1"/>
  <c r="EQ313" i="37"/>
  <c r="EP313" i="37"/>
  <c r="EL312" i="37"/>
  <c r="EK312" i="37"/>
  <c r="EJ312" i="37"/>
  <c r="EI312" i="37"/>
  <c r="EH312" i="37"/>
  <c r="EG312" i="37"/>
  <c r="ED312" i="37"/>
  <c r="EC312" i="37"/>
  <c r="EB312" i="37"/>
  <c r="EA312" i="37"/>
  <c r="AM36" i="5" s="1"/>
  <c r="AM28" i="5" s="1"/>
  <c r="AM52" i="5" s="1"/>
  <c r="AM27" i="5" s="1"/>
  <c r="DZ312" i="37"/>
  <c r="DY312" i="37"/>
  <c r="DV312" i="37"/>
  <c r="DU312" i="37"/>
  <c r="DT312" i="37"/>
  <c r="DS312" i="37"/>
  <c r="DP312" i="37"/>
  <c r="DO312" i="37"/>
  <c r="DN312" i="37"/>
  <c r="DM312" i="37"/>
  <c r="DH312" i="37"/>
  <c r="AL36" i="9" s="1"/>
  <c r="DG312" i="37"/>
  <c r="AL36" i="5" s="1"/>
  <c r="DF312" i="37"/>
  <c r="DE312" i="37"/>
  <c r="DD312" i="37"/>
  <c r="AK36" i="9" s="1"/>
  <c r="DC312" i="37"/>
  <c r="CZ312" i="37"/>
  <c r="CY312" i="37"/>
  <c r="CX312" i="37"/>
  <c r="AA36" i="9" s="1"/>
  <c r="CW312" i="37"/>
  <c r="AA36" i="5" s="1"/>
  <c r="CV312" i="37"/>
  <c r="CU312" i="37"/>
  <c r="CT312" i="37"/>
  <c r="Y36" i="9" s="1"/>
  <c r="CS312" i="37"/>
  <c r="Y36" i="5" s="1"/>
  <c r="CR312" i="37"/>
  <c r="CQ312" i="37"/>
  <c r="CP312" i="37"/>
  <c r="CO312" i="37"/>
  <c r="CN312" i="37"/>
  <c r="CM312" i="37"/>
  <c r="CJ312" i="37"/>
  <c r="Q36" i="9" s="1"/>
  <c r="CI312" i="37"/>
  <c r="Q36" i="5" s="1"/>
  <c r="CH312" i="37"/>
  <c r="CG312" i="37"/>
  <c r="CD312" i="37"/>
  <c r="W36" i="5" s="1"/>
  <c r="CC312" i="37"/>
  <c r="CB312" i="37"/>
  <c r="V36" i="9" s="1"/>
  <c r="CA312" i="37"/>
  <c r="BZ312" i="37"/>
  <c r="BY312" i="37"/>
  <c r="BX312" i="37"/>
  <c r="P36" i="9" s="1"/>
  <c r="BW312" i="37"/>
  <c r="BV312" i="37"/>
  <c r="U36" i="9" s="1"/>
  <c r="BU312" i="37"/>
  <c r="U36" i="5" s="1"/>
  <c r="BT312" i="37"/>
  <c r="BS312" i="37"/>
  <c r="BR312" i="37"/>
  <c r="T36" i="5" s="1"/>
  <c r="BQ312" i="37"/>
  <c r="BP312" i="37"/>
  <c r="S36" i="9" s="1"/>
  <c r="BO312" i="37"/>
  <c r="BN312" i="37"/>
  <c r="R36" i="9" s="1"/>
  <c r="BM312" i="37"/>
  <c r="R36" i="5" s="1"/>
  <c r="BL312" i="37"/>
  <c r="BJ312" i="37"/>
  <c r="O36" i="9" s="1"/>
  <c r="BI312" i="37"/>
  <c r="O36" i="5" s="1"/>
  <c r="BH312" i="37"/>
  <c r="BG312" i="37"/>
  <c r="BD312" i="37"/>
  <c r="N36" i="9" s="1"/>
  <c r="BC312" i="37"/>
  <c r="N36" i="5" s="1"/>
  <c r="BB312" i="37"/>
  <c r="BA312" i="37"/>
  <c r="AX312" i="37"/>
  <c r="AW312" i="37"/>
  <c r="AV312" i="37"/>
  <c r="AU312" i="37"/>
  <c r="AT312" i="37"/>
  <c r="AS312" i="37"/>
  <c r="J36" i="9" s="1"/>
  <c r="AR312" i="37"/>
  <c r="J36" i="5" s="1"/>
  <c r="AQ312" i="37"/>
  <c r="ES312" i="37" s="1"/>
  <c r="AP312" i="37"/>
  <c r="AO312" i="37"/>
  <c r="AN312" i="37"/>
  <c r="I36" i="5" s="1"/>
  <c r="AM312" i="37"/>
  <c r="AL312" i="37"/>
  <c r="AK312" i="37"/>
  <c r="AJ312" i="37"/>
  <c r="AI312" i="37"/>
  <c r="AH312" i="37"/>
  <c r="AG312" i="37"/>
  <c r="AF312" i="37"/>
  <c r="AE312" i="37"/>
  <c r="AB312" i="37"/>
  <c r="AJ36" i="9" s="1"/>
  <c r="AA312" i="37"/>
  <c r="AJ36" i="5" s="1"/>
  <c r="Z312" i="37"/>
  <c r="Y312" i="37"/>
  <c r="X312" i="37"/>
  <c r="M36" i="9" s="1"/>
  <c r="W312" i="37"/>
  <c r="M36" i="5" s="1"/>
  <c r="V312" i="37"/>
  <c r="U312" i="37"/>
  <c r="T312" i="37"/>
  <c r="L36" i="9" s="1"/>
  <c r="S312" i="37"/>
  <c r="L36" i="5" s="1"/>
  <c r="R312" i="37"/>
  <c r="Q312" i="37"/>
  <c r="P312" i="37"/>
  <c r="F36" i="9" s="1"/>
  <c r="O312" i="37"/>
  <c r="L312" i="37"/>
  <c r="E36" i="9" s="1"/>
  <c r="K312" i="37"/>
  <c r="J312" i="37"/>
  <c r="D36" i="9" s="1"/>
  <c r="I312" i="37"/>
  <c r="H312" i="37"/>
  <c r="C36" i="9" s="1"/>
  <c r="G312" i="37"/>
  <c r="F312" i="37"/>
  <c r="B36" i="9" s="1"/>
  <c r="E312" i="37"/>
  <c r="B36" i="5" s="1"/>
  <c r="D312" i="37"/>
  <c r="ER312" i="37" s="1"/>
  <c r="C312" i="37"/>
  <c r="ES311" i="37"/>
  <c r="ER311" i="37"/>
  <c r="EQ311" i="37"/>
  <c r="ET311" i="37" s="1"/>
  <c r="EO311" i="37"/>
  <c r="ES310" i="37"/>
  <c r="ER310" i="37"/>
  <c r="EQ310" i="37"/>
  <c r="ET310" i="37" s="1"/>
  <c r="EO310" i="37"/>
  <c r="EM310" i="37"/>
  <c r="EP310" i="37" s="1"/>
  <c r="ES309" i="37"/>
  <c r="ER309" i="37"/>
  <c r="ET309" i="37" s="1"/>
  <c r="EQ309" i="37"/>
  <c r="EO309" i="37"/>
  <c r="EP309" i="37"/>
  <c r="EM309" i="37"/>
  <c r="ES308" i="37"/>
  <c r="ER308" i="37"/>
  <c r="ET308" i="37" s="1"/>
  <c r="EQ308" i="37"/>
  <c r="EO308" i="37"/>
  <c r="EP308" i="37"/>
  <c r="EM308" i="37"/>
  <c r="ES307" i="37"/>
  <c r="ER307" i="37"/>
  <c r="ET307" i="37" s="1"/>
  <c r="EQ307" i="37"/>
  <c r="EO307" i="37"/>
  <c r="EP307" i="37"/>
  <c r="EM307" i="37"/>
  <c r="ES306" i="37"/>
  <c r="ER306" i="37"/>
  <c r="ET306" i="37" s="1"/>
  <c r="EQ306" i="37"/>
  <c r="EO306" i="37"/>
  <c r="EP306" i="37"/>
  <c r="EM306" i="37"/>
  <c r="ES305" i="37"/>
  <c r="ER305" i="37"/>
  <c r="ET305" i="37" s="1"/>
  <c r="EQ305" i="37"/>
  <c r="EO305" i="37"/>
  <c r="EP305" i="37"/>
  <c r="EM305" i="37"/>
  <c r="ES304" i="37"/>
  <c r="ER304" i="37"/>
  <c r="ET304" i="37" s="1"/>
  <c r="EQ304" i="37"/>
  <c r="EO304" i="37"/>
  <c r="EP304" i="37"/>
  <c r="EM304" i="37"/>
  <c r="ES303" i="37"/>
  <c r="ER303" i="37"/>
  <c r="ET303" i="37" s="1"/>
  <c r="EQ303" i="37"/>
  <c r="EO303" i="37"/>
  <c r="EP303" i="37"/>
  <c r="EM303" i="37"/>
  <c r="ES302" i="37"/>
  <c r="ER302" i="37"/>
  <c r="ET302" i="37" s="1"/>
  <c r="EQ302" i="37"/>
  <c r="EO302" i="37"/>
  <c r="EP302" i="37"/>
  <c r="EM302" i="37"/>
  <c r="ES301" i="37"/>
  <c r="ER301" i="37"/>
  <c r="ET301" i="37" s="1"/>
  <c r="EQ301" i="37"/>
  <c r="EO301" i="37"/>
  <c r="EP301" i="37"/>
  <c r="EM301" i="37"/>
  <c r="ES300" i="37"/>
  <c r="ER300" i="37"/>
  <c r="ET300" i="37" s="1"/>
  <c r="EQ300" i="37"/>
  <c r="EO300" i="37"/>
  <c r="EP300" i="37"/>
  <c r="EM300" i="37"/>
  <c r="ES299" i="37"/>
  <c r="ER299" i="37"/>
  <c r="ET299" i="37" s="1"/>
  <c r="EQ299" i="37"/>
  <c r="EO299" i="37"/>
  <c r="EP299" i="37"/>
  <c r="EM299" i="37"/>
  <c r="ES298" i="37"/>
  <c r="ER298" i="37"/>
  <c r="ET298" i="37" s="1"/>
  <c r="EQ298" i="37"/>
  <c r="EO298" i="37"/>
  <c r="EP298" i="37"/>
  <c r="EM298" i="37"/>
  <c r="ES297" i="37"/>
  <c r="ER297" i="37"/>
  <c r="ET297" i="37" s="1"/>
  <c r="EQ297" i="37"/>
  <c r="EO297" i="37"/>
  <c r="EP297" i="37"/>
  <c r="EM297" i="37"/>
  <c r="ES296" i="37"/>
  <c r="ER296" i="37"/>
  <c r="ET296" i="37" s="1"/>
  <c r="EQ296" i="37"/>
  <c r="EO296" i="37"/>
  <c r="EP296" i="37"/>
  <c r="EM296" i="37"/>
  <c r="ES295" i="37"/>
  <c r="ER295" i="37"/>
  <c r="ET295" i="37" s="1"/>
  <c r="EQ295" i="37"/>
  <c r="EO295" i="37"/>
  <c r="EP295" i="37"/>
  <c r="EM295" i="37"/>
  <c r="ES294" i="37"/>
  <c r="ER294" i="37"/>
  <c r="ET294" i="37" s="1"/>
  <c r="EQ294" i="37"/>
  <c r="EO294" i="37"/>
  <c r="EP294" i="37"/>
  <c r="EM294" i="37"/>
  <c r="ES293" i="37"/>
  <c r="ER293" i="37"/>
  <c r="ET293" i="37" s="1"/>
  <c r="EQ293" i="37"/>
  <c r="EO293" i="37"/>
  <c r="EP293" i="37"/>
  <c r="EM293" i="37"/>
  <c r="ES292" i="37"/>
  <c r="ER292" i="37"/>
  <c r="ET292" i="37" s="1"/>
  <c r="EQ292" i="37"/>
  <c r="EO292" i="37"/>
  <c r="EP292" i="37"/>
  <c r="EM292" i="37"/>
  <c r="ES291" i="37"/>
  <c r="ER291" i="37"/>
  <c r="ET291" i="37" s="1"/>
  <c r="EQ291" i="37"/>
  <c r="EO291" i="37"/>
  <c r="EP291" i="37"/>
  <c r="EM291" i="37"/>
  <c r="ES290" i="37"/>
  <c r="ER290" i="37"/>
  <c r="ET290" i="37" s="1"/>
  <c r="EQ290" i="37"/>
  <c r="EO290" i="37"/>
  <c r="EP290" i="37"/>
  <c r="EM290" i="37"/>
  <c r="ES289" i="37"/>
  <c r="ER289" i="37"/>
  <c r="ET289" i="37" s="1"/>
  <c r="EQ289" i="37"/>
  <c r="EO289" i="37"/>
  <c r="EP289" i="37"/>
  <c r="EM289" i="37"/>
  <c r="ES288" i="37"/>
  <c r="ER288" i="37"/>
  <c r="ET288" i="37" s="1"/>
  <c r="EQ288" i="37"/>
  <c r="EO288" i="37"/>
  <c r="EP288" i="37"/>
  <c r="EM288" i="37"/>
  <c r="ES287" i="37"/>
  <c r="ER287" i="37"/>
  <c r="ET287" i="37" s="1"/>
  <c r="EQ287" i="37"/>
  <c r="EO287" i="37"/>
  <c r="EP287" i="37"/>
  <c r="EM287" i="37"/>
  <c r="ES286" i="37"/>
  <c r="ER286" i="37"/>
  <c r="ET286" i="37" s="1"/>
  <c r="EQ286" i="37"/>
  <c r="EO286" i="37"/>
  <c r="EP286" i="37"/>
  <c r="EM286" i="37"/>
  <c r="ES285" i="37"/>
  <c r="ER285" i="37"/>
  <c r="ET285" i="37" s="1"/>
  <c r="EQ285" i="37"/>
  <c r="EO285" i="37"/>
  <c r="EP285" i="37"/>
  <c r="EM285" i="37"/>
  <c r="ES284" i="37"/>
  <c r="ER284" i="37"/>
  <c r="ET284" i="37" s="1"/>
  <c r="EQ284" i="37"/>
  <c r="EO284" i="37"/>
  <c r="EP284" i="37"/>
  <c r="EM284" i="37"/>
  <c r="ES283" i="37"/>
  <c r="ER283" i="37"/>
  <c r="ET283" i="37" s="1"/>
  <c r="EQ283" i="37"/>
  <c r="EO283" i="37"/>
  <c r="EP283" i="37"/>
  <c r="EM283" i="37"/>
  <c r="ES282" i="37"/>
  <c r="ER282" i="37"/>
  <c r="ET282" i="37" s="1"/>
  <c r="EQ282" i="37"/>
  <c r="EO282" i="37"/>
  <c r="EP282" i="37"/>
  <c r="EM282" i="37"/>
  <c r="ES281" i="37"/>
  <c r="ER281" i="37"/>
  <c r="ET281" i="37" s="1"/>
  <c r="EQ281" i="37"/>
  <c r="EO281" i="37"/>
  <c r="EP281" i="37"/>
  <c r="EM281" i="37"/>
  <c r="ES280" i="37"/>
  <c r="ER280" i="37"/>
  <c r="ET280" i="37" s="1"/>
  <c r="EQ280" i="37"/>
  <c r="EO280" i="37"/>
  <c r="EP280" i="37"/>
  <c r="EM280" i="37"/>
  <c r="ES279" i="37"/>
  <c r="ER279" i="37"/>
  <c r="EO279" i="37"/>
  <c r="EP279" i="37"/>
  <c r="EM279" i="37"/>
  <c r="BK279" i="37"/>
  <c r="EQ279" i="37" s="1"/>
  <c r="ET279" i="37" s="1"/>
  <c r="ES278" i="37"/>
  <c r="ER278" i="37"/>
  <c r="EQ278" i="37"/>
  <c r="ET278" i="37" s="1"/>
  <c r="EO278" i="37"/>
  <c r="EM278" i="37"/>
  <c r="EP278" i="37" s="1"/>
  <c r="BK278" i="37"/>
  <c r="ES277" i="37"/>
  <c r="ER277" i="37"/>
  <c r="ET277" i="37" s="1"/>
  <c r="EQ277" i="37"/>
  <c r="EO277" i="37"/>
  <c r="EP277" i="37"/>
  <c r="EM277" i="37"/>
  <c r="ES276" i="37"/>
  <c r="ER276" i="37"/>
  <c r="ET276" i="37" s="1"/>
  <c r="EQ276" i="37"/>
  <c r="EO276" i="37"/>
  <c r="EM276" i="37"/>
  <c r="ES275" i="37"/>
  <c r="ER275" i="37"/>
  <c r="ET275" i="37" s="1"/>
  <c r="EQ275" i="37"/>
  <c r="EP275" i="37"/>
  <c r="EL274" i="37"/>
  <c r="EK274" i="37"/>
  <c r="EJ274" i="37"/>
  <c r="EI274" i="37"/>
  <c r="EH274" i="37"/>
  <c r="EG274" i="37"/>
  <c r="ED274" i="37"/>
  <c r="EC274" i="37"/>
  <c r="EB274" i="37"/>
  <c r="EA274" i="37"/>
  <c r="DZ274" i="37"/>
  <c r="DY274" i="37"/>
  <c r="DV274" i="37"/>
  <c r="DU274" i="37"/>
  <c r="DT274" i="37"/>
  <c r="DS274" i="37"/>
  <c r="DP274" i="37"/>
  <c r="DO274" i="37"/>
  <c r="DN274" i="37"/>
  <c r="DM274" i="37"/>
  <c r="DH274" i="37"/>
  <c r="AL35" i="9" s="1"/>
  <c r="DG274" i="37"/>
  <c r="AL35" i="5" s="1"/>
  <c r="DF274" i="37"/>
  <c r="DE274" i="37"/>
  <c r="DD274" i="37"/>
  <c r="AK35" i="9" s="1"/>
  <c r="DC274" i="37"/>
  <c r="DB274" i="37"/>
  <c r="DA274" i="37"/>
  <c r="CZ274" i="37"/>
  <c r="CY274" i="37"/>
  <c r="CX274" i="37"/>
  <c r="AA35" i="9" s="1"/>
  <c r="CW274" i="37"/>
  <c r="AA35" i="5" s="1"/>
  <c r="CV274" i="37"/>
  <c r="CU274" i="37"/>
  <c r="CT274" i="37"/>
  <c r="Y35" i="9" s="1"/>
  <c r="CS274" i="37"/>
  <c r="Y35" i="5" s="1"/>
  <c r="CR274" i="37"/>
  <c r="CQ274" i="37"/>
  <c r="CP274" i="37"/>
  <c r="CO274" i="37"/>
  <c r="CN274" i="37"/>
  <c r="CM274" i="37"/>
  <c r="CJ274" i="37"/>
  <c r="Q35" i="9" s="1"/>
  <c r="CI274" i="37"/>
  <c r="Q35" i="5" s="1"/>
  <c r="CH274" i="37"/>
  <c r="CG274" i="37"/>
  <c r="CD274" i="37"/>
  <c r="W35" i="5" s="1"/>
  <c r="CC274" i="37"/>
  <c r="CB274" i="37"/>
  <c r="V35" i="9" s="1"/>
  <c r="CA274" i="37"/>
  <c r="BZ274" i="37"/>
  <c r="BY274" i="37"/>
  <c r="BX274" i="37"/>
  <c r="P35" i="9" s="1"/>
  <c r="BW274" i="37"/>
  <c r="BV274" i="37"/>
  <c r="U35" i="9" s="1"/>
  <c r="BU274" i="37"/>
  <c r="U35" i="5" s="1"/>
  <c r="BT274" i="37"/>
  <c r="BS274" i="37"/>
  <c r="BR274" i="37"/>
  <c r="T35" i="5" s="1"/>
  <c r="BQ274" i="37"/>
  <c r="BP274" i="37"/>
  <c r="S35" i="9" s="1"/>
  <c r="BO274" i="37"/>
  <c r="BN274" i="37"/>
  <c r="R35" i="9" s="1"/>
  <c r="BM274" i="37"/>
  <c r="R35" i="5" s="1"/>
  <c r="BL274" i="37"/>
  <c r="BK274" i="37"/>
  <c r="BJ274" i="37"/>
  <c r="O35" i="9" s="1"/>
  <c r="BI274" i="37"/>
  <c r="O35" i="5" s="1"/>
  <c r="BH274" i="37"/>
  <c r="BG274" i="37"/>
  <c r="BD274" i="37"/>
  <c r="N35" i="9" s="1"/>
  <c r="BC274" i="37"/>
  <c r="N35" i="5" s="1"/>
  <c r="BB274" i="37"/>
  <c r="BA274" i="37"/>
  <c r="AX274" i="37"/>
  <c r="AW274" i="37"/>
  <c r="AV274" i="37"/>
  <c r="AU274" i="37"/>
  <c r="AT274" i="37"/>
  <c r="AS274" i="37"/>
  <c r="J35" i="9" s="1"/>
  <c r="AR274" i="37"/>
  <c r="J35" i="5" s="1"/>
  <c r="AQ274" i="37"/>
  <c r="ES274" i="37" s="1"/>
  <c r="AP274" i="37"/>
  <c r="AO274" i="37"/>
  <c r="AN274" i="37"/>
  <c r="I35" i="5" s="1"/>
  <c r="AL274" i="37"/>
  <c r="AK274" i="37"/>
  <c r="AJ274" i="37"/>
  <c r="AI274" i="37"/>
  <c r="AH274" i="37"/>
  <c r="AG274" i="37"/>
  <c r="AF274" i="37"/>
  <c r="AE274" i="37"/>
  <c r="AB274" i="37"/>
  <c r="AJ35" i="9" s="1"/>
  <c r="AA274" i="37"/>
  <c r="AJ35" i="5" s="1"/>
  <c r="Z274" i="37"/>
  <c r="Y274" i="37"/>
  <c r="X274" i="37"/>
  <c r="M35" i="9" s="1"/>
  <c r="W274" i="37"/>
  <c r="M35" i="5" s="1"/>
  <c r="V274" i="37"/>
  <c r="U274" i="37"/>
  <c r="T274" i="37"/>
  <c r="L35" i="9" s="1"/>
  <c r="S274" i="37"/>
  <c r="L35" i="5" s="1"/>
  <c r="R274" i="37"/>
  <c r="Q274" i="37"/>
  <c r="P274" i="37"/>
  <c r="F35" i="9" s="1"/>
  <c r="O274" i="37"/>
  <c r="L274" i="37"/>
  <c r="E35" i="9" s="1"/>
  <c r="K274" i="37"/>
  <c r="J274" i="37"/>
  <c r="D35" i="9" s="1"/>
  <c r="I274" i="37"/>
  <c r="H274" i="37"/>
  <c r="C35" i="9" s="1"/>
  <c r="G274" i="37"/>
  <c r="F274" i="37"/>
  <c r="B35" i="9" s="1"/>
  <c r="E274" i="37"/>
  <c r="B35" i="5" s="1"/>
  <c r="D274" i="37"/>
  <c r="ER274" i="37" s="1"/>
  <c r="C274" i="37"/>
  <c r="ES273" i="37"/>
  <c r="ER273" i="37"/>
  <c r="EQ273" i="37"/>
  <c r="ET273" i="37" s="1"/>
  <c r="EO273" i="37"/>
  <c r="EM273" i="37"/>
  <c r="EP273" i="37" s="1"/>
  <c r="ES272" i="37"/>
  <c r="ER272" i="37"/>
  <c r="EO272" i="37"/>
  <c r="EM272" i="37"/>
  <c r="EP272" i="37" s="1"/>
  <c r="AM272" i="37"/>
  <c r="EQ272" i="37" s="1"/>
  <c r="ET272" i="37" s="1"/>
  <c r="ES271" i="37"/>
  <c r="ER271" i="37"/>
  <c r="EO271" i="37"/>
  <c r="EP271" i="37"/>
  <c r="EM271" i="37"/>
  <c r="AM271" i="37"/>
  <c r="EQ271" i="37" s="1"/>
  <c r="ET271" i="37" s="1"/>
  <c r="ES270" i="37"/>
  <c r="ER270" i="37"/>
  <c r="EO270" i="37"/>
  <c r="EM270" i="37"/>
  <c r="EP270" i="37" s="1"/>
  <c r="AM270" i="37"/>
  <c r="EQ270" i="37" s="1"/>
  <c r="ET270" i="37" s="1"/>
  <c r="ES269" i="37"/>
  <c r="ER269" i="37"/>
  <c r="EO269" i="37"/>
  <c r="EM269" i="37"/>
  <c r="EP269" i="37" s="1"/>
  <c r="AM269" i="37"/>
  <c r="EQ269" i="37" s="1"/>
  <c r="ET269" i="37" s="1"/>
  <c r="ES268" i="37"/>
  <c r="ER268" i="37"/>
  <c r="EO268" i="37"/>
  <c r="EM268" i="37"/>
  <c r="EP268" i="37" s="1"/>
  <c r="AM268" i="37"/>
  <c r="EQ268" i="37" s="1"/>
  <c r="ET268" i="37" s="1"/>
  <c r="ES267" i="37"/>
  <c r="ER267" i="37"/>
  <c r="EO267" i="37"/>
  <c r="EP267" i="37"/>
  <c r="EM267" i="37"/>
  <c r="AM267" i="37"/>
  <c r="EQ267" i="37" s="1"/>
  <c r="ET267" i="37" s="1"/>
  <c r="ES266" i="37"/>
  <c r="ER266" i="37"/>
  <c r="EO266" i="37"/>
  <c r="EM266" i="37"/>
  <c r="EP266" i="37" s="1"/>
  <c r="AM266" i="37"/>
  <c r="ES265" i="37"/>
  <c r="ER265" i="37"/>
  <c r="ET265" i="37" s="1"/>
  <c r="EQ265" i="37"/>
  <c r="EO265" i="37"/>
  <c r="EO274" i="37" s="1"/>
  <c r="EP265" i="37"/>
  <c r="EM265" i="37"/>
  <c r="ES264" i="37"/>
  <c r="ER264" i="37"/>
  <c r="ET264" i="37" s="1"/>
  <c r="EQ264" i="37"/>
  <c r="EP264" i="37"/>
  <c r="EL263" i="37"/>
  <c r="EK263" i="37"/>
  <c r="EJ263" i="37"/>
  <c r="EI263" i="37"/>
  <c r="EH263" i="37"/>
  <c r="EG263" i="37"/>
  <c r="ED263" i="37"/>
  <c r="EC263" i="37"/>
  <c r="EB263" i="37"/>
  <c r="EA263" i="37"/>
  <c r="DZ263" i="37"/>
  <c r="DY263" i="37"/>
  <c r="DV263" i="37"/>
  <c r="DU263" i="37"/>
  <c r="DT263" i="37"/>
  <c r="DS263" i="37"/>
  <c r="DP263" i="37"/>
  <c r="DO263" i="37"/>
  <c r="DN263" i="37"/>
  <c r="DM263" i="37"/>
  <c r="DH263" i="37"/>
  <c r="AL34" i="9" s="1"/>
  <c r="AL29" i="9" s="1"/>
  <c r="AL28" i="9" s="1"/>
  <c r="DG263" i="37"/>
  <c r="AL34" i="5" s="1"/>
  <c r="AL29" i="5" s="1"/>
  <c r="DF263" i="37"/>
  <c r="DE263" i="37"/>
  <c r="DD263" i="37"/>
  <c r="AK34" i="9" s="1"/>
  <c r="AK29" i="9" s="1"/>
  <c r="AK28" i="9" s="1"/>
  <c r="AK52" i="9" s="1"/>
  <c r="AK27" i="9" s="1"/>
  <c r="DC263" i="37"/>
  <c r="DB263" i="37"/>
  <c r="DA263" i="37"/>
  <c r="CZ263" i="37"/>
  <c r="CY263" i="37"/>
  <c r="CX263" i="37"/>
  <c r="AA34" i="9" s="1"/>
  <c r="AA29" i="9" s="1"/>
  <c r="AA28" i="9" s="1"/>
  <c r="CW263" i="37"/>
  <c r="AA34" i="5" s="1"/>
  <c r="AA29" i="5" s="1"/>
  <c r="CV263" i="37"/>
  <c r="CU263" i="37"/>
  <c r="CT263" i="37"/>
  <c r="Y34" i="9" s="1"/>
  <c r="Y29" i="9" s="1"/>
  <c r="Y28" i="9" s="1"/>
  <c r="Y52" i="9" s="1"/>
  <c r="Y27" i="9" s="1"/>
  <c r="CS263" i="37"/>
  <c r="Y34" i="5" s="1"/>
  <c r="Y29" i="5" s="1"/>
  <c r="CR263" i="37"/>
  <c r="CQ263" i="37"/>
  <c r="CP263" i="37"/>
  <c r="CO263" i="37"/>
  <c r="CN263" i="37"/>
  <c r="CM263" i="37"/>
  <c r="CJ263" i="37"/>
  <c r="Q34" i="9" s="1"/>
  <c r="Q29" i="9" s="1"/>
  <c r="Q28" i="9" s="1"/>
  <c r="Q52" i="9" s="1"/>
  <c r="Q27" i="9" s="1"/>
  <c r="CI263" i="37"/>
  <c r="Q34" i="5" s="1"/>
  <c r="Q29" i="5" s="1"/>
  <c r="CH263" i="37"/>
  <c r="CG263" i="37"/>
  <c r="CD263" i="37"/>
  <c r="W34" i="5" s="1"/>
  <c r="W29" i="5" s="1"/>
  <c r="W28" i="5" s="1"/>
  <c r="W52" i="5" s="1"/>
  <c r="W27" i="5" s="1"/>
  <c r="CC263" i="37"/>
  <c r="CB263" i="37"/>
  <c r="V34" i="9" s="1"/>
  <c r="V29" i="9" s="1"/>
  <c r="V28" i="9" s="1"/>
  <c r="CA263" i="37"/>
  <c r="BZ263" i="37"/>
  <c r="BY263" i="37"/>
  <c r="BX263" i="37"/>
  <c r="P34" i="9" s="1"/>
  <c r="P29" i="9" s="1"/>
  <c r="P28" i="9" s="1"/>
  <c r="P52" i="9" s="1"/>
  <c r="P27" i="9" s="1"/>
  <c r="BW263" i="37"/>
  <c r="BV263" i="37"/>
  <c r="U34" i="9" s="1"/>
  <c r="U29" i="9" s="1"/>
  <c r="U28" i="9" s="1"/>
  <c r="BU263" i="37"/>
  <c r="U34" i="5" s="1"/>
  <c r="U29" i="5" s="1"/>
  <c r="BT263" i="37"/>
  <c r="BS263" i="37"/>
  <c r="BR263" i="37"/>
  <c r="T34" i="5" s="1"/>
  <c r="T29" i="5" s="1"/>
  <c r="T28" i="5" s="1"/>
  <c r="T52" i="5" s="1"/>
  <c r="T27" i="5" s="1"/>
  <c r="BQ263" i="37"/>
  <c r="BP263" i="37"/>
  <c r="S34" i="9" s="1"/>
  <c r="S29" i="9" s="1"/>
  <c r="S28" i="9" s="1"/>
  <c r="BO263" i="37"/>
  <c r="BN263" i="37"/>
  <c r="R34" i="9" s="1"/>
  <c r="R29" i="9" s="1"/>
  <c r="R28" i="9" s="1"/>
  <c r="R52" i="9" s="1"/>
  <c r="R27" i="9" s="1"/>
  <c r="BM263" i="37"/>
  <c r="R34" i="5" s="1"/>
  <c r="R29" i="5" s="1"/>
  <c r="BL263" i="37"/>
  <c r="BK263" i="37"/>
  <c r="BJ263" i="37"/>
  <c r="O34" i="9" s="1"/>
  <c r="O29" i="9" s="1"/>
  <c r="O28" i="9" s="1"/>
  <c r="O52" i="9" s="1"/>
  <c r="O27" i="9" s="1"/>
  <c r="BI263" i="37"/>
  <c r="O34" i="5" s="1"/>
  <c r="O29" i="5" s="1"/>
  <c r="BH263" i="37"/>
  <c r="BG263" i="37"/>
  <c r="BD263" i="37"/>
  <c r="N34" i="9" s="1"/>
  <c r="N29" i="9" s="1"/>
  <c r="N28" i="9" s="1"/>
  <c r="BC263" i="37"/>
  <c r="N34" i="5" s="1"/>
  <c r="N29" i="5" s="1"/>
  <c r="BB263" i="37"/>
  <c r="BA263" i="37"/>
  <c r="AX263" i="37"/>
  <c r="AW263" i="37"/>
  <c r="AV263" i="37"/>
  <c r="AU263" i="37"/>
  <c r="AT263" i="37"/>
  <c r="AS263" i="37"/>
  <c r="J34" i="9" s="1"/>
  <c r="J29" i="9" s="1"/>
  <c r="AR263" i="37"/>
  <c r="J34" i="5" s="1"/>
  <c r="AQ263" i="37"/>
  <c r="ES263" i="37" s="1"/>
  <c r="AP263" i="37"/>
  <c r="AO263" i="37"/>
  <c r="AN263" i="37"/>
  <c r="I34" i="5" s="1"/>
  <c r="I29" i="5" s="1"/>
  <c r="I28" i="5" s="1"/>
  <c r="I52" i="5" s="1"/>
  <c r="I27" i="5" s="1"/>
  <c r="AM263" i="37"/>
  <c r="AL263" i="37"/>
  <c r="AK263" i="37"/>
  <c r="AJ263" i="37"/>
  <c r="AI263" i="37"/>
  <c r="AH263" i="37"/>
  <c r="AG263" i="37"/>
  <c r="AF263" i="37"/>
  <c r="AE263" i="37"/>
  <c r="AB263" i="37"/>
  <c r="AJ34" i="9" s="1"/>
  <c r="AJ29" i="9" s="1"/>
  <c r="AJ28" i="9" s="1"/>
  <c r="AA263" i="37"/>
  <c r="AJ34" i="5" s="1"/>
  <c r="AJ29" i="5" s="1"/>
  <c r="Z263" i="37"/>
  <c r="Y263" i="37"/>
  <c r="X263" i="37"/>
  <c r="M34" i="9" s="1"/>
  <c r="M29" i="9" s="1"/>
  <c r="M28" i="9" s="1"/>
  <c r="W263" i="37"/>
  <c r="M34" i="5" s="1"/>
  <c r="M29" i="5" s="1"/>
  <c r="V263" i="37"/>
  <c r="U263" i="37"/>
  <c r="T263" i="37"/>
  <c r="L34" i="9" s="1"/>
  <c r="L29" i="9" s="1"/>
  <c r="L28" i="9" s="1"/>
  <c r="S263" i="37"/>
  <c r="L34" i="5" s="1"/>
  <c r="L29" i="5" s="1"/>
  <c r="R263" i="37"/>
  <c r="Q263" i="37"/>
  <c r="P263" i="37"/>
  <c r="F34" i="9" s="1"/>
  <c r="F29" i="9" s="1"/>
  <c r="F28" i="9" s="1"/>
  <c r="O263" i="37"/>
  <c r="L263" i="37"/>
  <c r="E34" i="9" s="1"/>
  <c r="E29" i="9" s="1"/>
  <c r="E28" i="9" s="1"/>
  <c r="K263" i="37"/>
  <c r="J263" i="37"/>
  <c r="D34" i="9" s="1"/>
  <c r="D29" i="9" s="1"/>
  <c r="D28" i="9" s="1"/>
  <c r="D52" i="9" s="1"/>
  <c r="D27" i="9" s="1"/>
  <c r="I263" i="37"/>
  <c r="H263" i="37"/>
  <c r="C34" i="9" s="1"/>
  <c r="C29" i="9" s="1"/>
  <c r="C28" i="9" s="1"/>
  <c r="G263" i="37"/>
  <c r="F263" i="37"/>
  <c r="B34" i="9" s="1"/>
  <c r="B29" i="9" s="1"/>
  <c r="B28" i="9" s="1"/>
  <c r="E263" i="37"/>
  <c r="B34" i="5" s="1"/>
  <c r="D263" i="37"/>
  <c r="ER263" i="37" s="1"/>
  <c r="C263" i="37"/>
  <c r="EQ263" i="37" s="1"/>
  <c r="ES262" i="37"/>
  <c r="ER262" i="37"/>
  <c r="EQ262" i="37"/>
  <c r="ET262" i="37" s="1"/>
  <c r="EO262" i="37"/>
  <c r="EM262" i="37"/>
  <c r="EP262" i="37" s="1"/>
  <c r="ES261" i="37"/>
  <c r="ER261" i="37"/>
  <c r="EQ261" i="37"/>
  <c r="ET261" i="37" s="1"/>
  <c r="EO261" i="37"/>
  <c r="EM261" i="37"/>
  <c r="EP261" i="37" s="1"/>
  <c r="ES260" i="37"/>
  <c r="ER260" i="37"/>
  <c r="EQ260" i="37"/>
  <c r="ET260" i="37" s="1"/>
  <c r="EO260" i="37"/>
  <c r="EM260" i="37"/>
  <c r="EP260" i="37" s="1"/>
  <c r="ES259" i="37"/>
  <c r="ER259" i="37"/>
  <c r="EQ259" i="37"/>
  <c r="ET259" i="37" s="1"/>
  <c r="EO259" i="37"/>
  <c r="EM259" i="37"/>
  <c r="EP259" i="37" s="1"/>
  <c r="ES258" i="37"/>
  <c r="ER258" i="37"/>
  <c r="EQ258" i="37"/>
  <c r="ET258" i="37" s="1"/>
  <c r="EO258" i="37"/>
  <c r="EO263" i="37" s="1"/>
  <c r="EN263" i="37"/>
  <c r="EM258" i="37"/>
  <c r="ES257" i="37"/>
  <c r="ER257" i="37"/>
  <c r="EQ257" i="37"/>
  <c r="ET257" i="37" s="1"/>
  <c r="EP257" i="37"/>
  <c r="EL256" i="37"/>
  <c r="EK256" i="37"/>
  <c r="EJ256" i="37"/>
  <c r="EI256" i="37"/>
  <c r="EH256" i="37"/>
  <c r="EG256" i="37"/>
  <c r="ED256" i="37"/>
  <c r="EC256" i="37"/>
  <c r="EB256" i="37"/>
  <c r="EA256" i="37"/>
  <c r="DZ256" i="37"/>
  <c r="DY256" i="37"/>
  <c r="DV256" i="37"/>
  <c r="DU256" i="37"/>
  <c r="DT256" i="37"/>
  <c r="DS256" i="37"/>
  <c r="DP256" i="37"/>
  <c r="DO256" i="37"/>
  <c r="DN256" i="37"/>
  <c r="DM256" i="37"/>
  <c r="DH256" i="37"/>
  <c r="DG256" i="37"/>
  <c r="DF256" i="37"/>
  <c r="DE256" i="37"/>
  <c r="DD256" i="37"/>
  <c r="DC256" i="37"/>
  <c r="DB256" i="37"/>
  <c r="DA256" i="37"/>
  <c r="CZ256" i="37"/>
  <c r="CY256" i="37"/>
  <c r="CX256" i="37"/>
  <c r="CW256" i="37"/>
  <c r="CV256" i="37"/>
  <c r="CU256" i="37"/>
  <c r="CT256" i="37"/>
  <c r="CS256" i="37"/>
  <c r="CR256" i="37"/>
  <c r="CQ256" i="37"/>
  <c r="CP256" i="37"/>
  <c r="CO256" i="37"/>
  <c r="CN256" i="37"/>
  <c r="CM256" i="37"/>
  <c r="CJ256" i="37"/>
  <c r="CI256" i="37"/>
  <c r="CH256" i="37"/>
  <c r="CG256" i="37"/>
  <c r="CD256" i="37"/>
  <c r="CC256" i="37"/>
  <c r="CB256" i="37"/>
  <c r="CA256" i="37"/>
  <c r="BZ256" i="37"/>
  <c r="BY256" i="37"/>
  <c r="BX256" i="37"/>
  <c r="BW256" i="37"/>
  <c r="BV256" i="37"/>
  <c r="BU256" i="37"/>
  <c r="BT256" i="37"/>
  <c r="BS256" i="37"/>
  <c r="BR256" i="37"/>
  <c r="BQ256" i="37"/>
  <c r="BP256" i="37"/>
  <c r="BO256" i="37"/>
  <c r="BN256" i="37"/>
  <c r="BM256" i="37"/>
  <c r="BL256" i="37"/>
  <c r="BK256" i="37"/>
  <c r="BJ256" i="37"/>
  <c r="BI256" i="37"/>
  <c r="BH256" i="37"/>
  <c r="BG256" i="37"/>
  <c r="BD256" i="37"/>
  <c r="BC256" i="37"/>
  <c r="BB256" i="37"/>
  <c r="BA256" i="37"/>
  <c r="AX256" i="37"/>
  <c r="AW256" i="37"/>
  <c r="AV256" i="37"/>
  <c r="AU256" i="37"/>
  <c r="AT256" i="37"/>
  <c r="AS256" i="37"/>
  <c r="AR256" i="37"/>
  <c r="AQ256" i="37"/>
  <c r="ES256" i="37" s="1"/>
  <c r="AP256" i="37"/>
  <c r="AO256" i="37"/>
  <c r="AN256" i="37"/>
  <c r="AM256" i="37"/>
  <c r="AL256" i="37"/>
  <c r="AK256" i="37"/>
  <c r="AJ256" i="37"/>
  <c r="AI256" i="37"/>
  <c r="AH256" i="37"/>
  <c r="AG256" i="37"/>
  <c r="AF256" i="37"/>
  <c r="AE256" i="37"/>
  <c r="AB256" i="37"/>
  <c r="AA256" i="37"/>
  <c r="Z256" i="37"/>
  <c r="Y256" i="37"/>
  <c r="X256" i="37"/>
  <c r="W256" i="37"/>
  <c r="V256" i="37"/>
  <c r="U256" i="37"/>
  <c r="T256" i="37"/>
  <c r="S256" i="37"/>
  <c r="R256" i="37"/>
  <c r="Q256" i="37"/>
  <c r="P256" i="37"/>
  <c r="O256" i="37"/>
  <c r="L256" i="37"/>
  <c r="K256" i="37"/>
  <c r="J256" i="37"/>
  <c r="I256" i="37"/>
  <c r="H256" i="37"/>
  <c r="G256" i="37"/>
  <c r="F256" i="37"/>
  <c r="E256" i="37"/>
  <c r="D256" i="37"/>
  <c r="ER256" i="37" s="1"/>
  <c r="C256" i="37"/>
  <c r="EQ256" i="37" s="1"/>
  <c r="ES255" i="37"/>
  <c r="ER255" i="37"/>
  <c r="ET255" i="37" s="1"/>
  <c r="EQ255" i="37"/>
  <c r="EO255" i="37"/>
  <c r="EP255" i="37"/>
  <c r="EM255" i="37"/>
  <c r="ES254" i="37"/>
  <c r="ER254" i="37"/>
  <c r="ET254" i="37" s="1"/>
  <c r="EQ254" i="37"/>
  <c r="EO254" i="37"/>
  <c r="EP254" i="37"/>
  <c r="EM254" i="37"/>
  <c r="ES253" i="37"/>
  <c r="ER253" i="37"/>
  <c r="ET253" i="37" s="1"/>
  <c r="EQ253" i="37"/>
  <c r="EO253" i="37"/>
  <c r="EO256" i="37" s="1"/>
  <c r="EN256" i="37"/>
  <c r="EM253" i="37"/>
  <c r="EM256" i="37" s="1"/>
  <c r="ES252" i="37"/>
  <c r="ER252" i="37"/>
  <c r="ET252" i="37" s="1"/>
  <c r="EQ252" i="37"/>
  <c r="EP252" i="37"/>
  <c r="EL251" i="37"/>
  <c r="EK251" i="37"/>
  <c r="EJ251" i="37"/>
  <c r="EI251" i="37"/>
  <c r="EH251" i="37"/>
  <c r="EG251" i="37"/>
  <c r="ED251" i="37"/>
  <c r="EC251" i="37"/>
  <c r="EB251" i="37"/>
  <c r="EA251" i="37"/>
  <c r="DZ251" i="37"/>
  <c r="DY251" i="37"/>
  <c r="DV251" i="37"/>
  <c r="DU251" i="37"/>
  <c r="DT251" i="37"/>
  <c r="DS251" i="37"/>
  <c r="DP251" i="37"/>
  <c r="DO251" i="37"/>
  <c r="DN251" i="37"/>
  <c r="DM251" i="37"/>
  <c r="DH251" i="37"/>
  <c r="DG251" i="37"/>
  <c r="DF251" i="37"/>
  <c r="DE251" i="37"/>
  <c r="DD251" i="37"/>
  <c r="DC251" i="37"/>
  <c r="DB251" i="37"/>
  <c r="DA251" i="37"/>
  <c r="CZ251" i="37"/>
  <c r="CY251" i="37"/>
  <c r="CX251" i="37"/>
  <c r="CW251" i="37"/>
  <c r="CV251" i="37"/>
  <c r="CU251" i="37"/>
  <c r="CT251" i="37"/>
  <c r="CS251" i="37"/>
  <c r="CR251" i="37"/>
  <c r="CQ251" i="37"/>
  <c r="CP251" i="37"/>
  <c r="CO251" i="37"/>
  <c r="CN251" i="37"/>
  <c r="CM251" i="37"/>
  <c r="CJ251" i="37"/>
  <c r="CI251" i="37"/>
  <c r="CH251" i="37"/>
  <c r="CG251" i="37"/>
  <c r="CD251" i="37"/>
  <c r="CC251" i="37"/>
  <c r="CB251" i="37"/>
  <c r="CA251" i="37"/>
  <c r="BZ251" i="37"/>
  <c r="BY251" i="37"/>
  <c r="BX251" i="37"/>
  <c r="BW251" i="37"/>
  <c r="BV251" i="37"/>
  <c r="BU251" i="37"/>
  <c r="BT251" i="37"/>
  <c r="BS251" i="37"/>
  <c r="BR251" i="37"/>
  <c r="BQ251" i="37"/>
  <c r="BP251" i="37"/>
  <c r="BO251" i="37"/>
  <c r="BN251" i="37"/>
  <c r="BM251" i="37"/>
  <c r="BL251" i="37"/>
  <c r="BK251" i="37"/>
  <c r="BJ251" i="37"/>
  <c r="BI251" i="37"/>
  <c r="BH251" i="37"/>
  <c r="BG251" i="37"/>
  <c r="BD251" i="37"/>
  <c r="BC251" i="37"/>
  <c r="BB251" i="37"/>
  <c r="BA251" i="37"/>
  <c r="AX251" i="37"/>
  <c r="AW251" i="37"/>
  <c r="AV251" i="37"/>
  <c r="AU251" i="37"/>
  <c r="AT251" i="37"/>
  <c r="AS251" i="37"/>
  <c r="AQ251" i="37"/>
  <c r="ES251" i="37" s="1"/>
  <c r="AP251" i="37"/>
  <c r="AO251" i="37"/>
  <c r="AN251" i="37"/>
  <c r="AM251" i="37"/>
  <c r="AL251" i="37"/>
  <c r="AK251" i="37"/>
  <c r="AJ251" i="37"/>
  <c r="AI251" i="37"/>
  <c r="AH251" i="37"/>
  <c r="AG251" i="37"/>
  <c r="AF251" i="37"/>
  <c r="AE251" i="37"/>
  <c r="AB251" i="37"/>
  <c r="AA251" i="37"/>
  <c r="Z251" i="37"/>
  <c r="Y251" i="37"/>
  <c r="X251" i="37"/>
  <c r="W251" i="37"/>
  <c r="V251" i="37"/>
  <c r="U251" i="37"/>
  <c r="T251" i="37"/>
  <c r="S251" i="37"/>
  <c r="R251" i="37"/>
  <c r="Q251" i="37"/>
  <c r="P251" i="37"/>
  <c r="O251" i="37"/>
  <c r="L251" i="37"/>
  <c r="K251" i="37"/>
  <c r="J251" i="37"/>
  <c r="I251" i="37"/>
  <c r="H251" i="37"/>
  <c r="G251" i="37"/>
  <c r="F251" i="37"/>
  <c r="E251" i="37"/>
  <c r="D251" i="37"/>
  <c r="ER251" i="37" s="1"/>
  <c r="C251" i="37"/>
  <c r="EQ251" i="37" s="1"/>
  <c r="ES250" i="37"/>
  <c r="ER250" i="37"/>
  <c r="EQ250" i="37"/>
  <c r="ET250" i="37" s="1"/>
  <c r="EO250" i="37"/>
  <c r="ES249" i="37"/>
  <c r="ER249" i="37"/>
  <c r="EQ249" i="37"/>
  <c r="ET249" i="37" s="1"/>
  <c r="EO249" i="37"/>
  <c r="EM249" i="37"/>
  <c r="EP249" i="37" s="1"/>
  <c r="ES248" i="37"/>
  <c r="ER248" i="37"/>
  <c r="EQ248" i="37"/>
  <c r="ET248" i="37" s="1"/>
  <c r="EO248" i="37"/>
  <c r="EP248" i="37"/>
  <c r="EM248" i="37"/>
  <c r="ES247" i="37"/>
  <c r="ER247" i="37"/>
  <c r="ET247" i="37" s="1"/>
  <c r="EQ247" i="37"/>
  <c r="EO247" i="37"/>
  <c r="EO251" i="37" s="1"/>
  <c r="EN251" i="37"/>
  <c r="EM247" i="37"/>
  <c r="ES246" i="37"/>
  <c r="ER246" i="37"/>
  <c r="ET246" i="37" s="1"/>
  <c r="EQ246" i="37"/>
  <c r="EP246" i="37"/>
  <c r="EL241" i="37"/>
  <c r="EK241" i="37"/>
  <c r="EJ241" i="37"/>
  <c r="EI241" i="37"/>
  <c r="EH241" i="37"/>
  <c r="EG241" i="37"/>
  <c r="ED241" i="37"/>
  <c r="EC241" i="37"/>
  <c r="EB241" i="37"/>
  <c r="EA241" i="37"/>
  <c r="DZ241" i="37"/>
  <c r="DY241" i="37"/>
  <c r="DV241" i="37"/>
  <c r="DU241" i="37"/>
  <c r="DT241" i="37"/>
  <c r="DS241" i="37"/>
  <c r="DP241" i="37"/>
  <c r="DO241" i="37"/>
  <c r="DN241" i="37"/>
  <c r="DM241" i="37"/>
  <c r="DH241" i="37"/>
  <c r="DG241" i="37"/>
  <c r="DF241" i="37"/>
  <c r="DE241" i="37"/>
  <c r="DD241" i="37"/>
  <c r="DC241" i="37"/>
  <c r="DB241" i="37"/>
  <c r="DA241" i="37"/>
  <c r="CZ241" i="37"/>
  <c r="CY241" i="37"/>
  <c r="CX241" i="37"/>
  <c r="CW241" i="37"/>
  <c r="CV241" i="37"/>
  <c r="CU241" i="37"/>
  <c r="CT241" i="37"/>
  <c r="CS241" i="37"/>
  <c r="CR241" i="37"/>
  <c r="CQ241" i="37"/>
  <c r="CP241" i="37"/>
  <c r="CO241" i="37"/>
  <c r="CN241" i="37"/>
  <c r="CM241" i="37"/>
  <c r="CJ241" i="37"/>
  <c r="CI241" i="37"/>
  <c r="CH241" i="37"/>
  <c r="CG241" i="37"/>
  <c r="CD241" i="37"/>
  <c r="CC241" i="37"/>
  <c r="CB241" i="37"/>
  <c r="CA241" i="37"/>
  <c r="BZ241" i="37"/>
  <c r="BY241" i="37"/>
  <c r="BX241" i="37"/>
  <c r="BW241" i="37"/>
  <c r="BV241" i="37"/>
  <c r="BU241" i="37"/>
  <c r="BT241" i="37"/>
  <c r="BS241" i="37"/>
  <c r="BR241" i="37"/>
  <c r="BQ241" i="37"/>
  <c r="BP241" i="37"/>
  <c r="BO241" i="37"/>
  <c r="BN241" i="37"/>
  <c r="BM241" i="37"/>
  <c r="BL241" i="37"/>
  <c r="BK241" i="37"/>
  <c r="BJ241" i="37"/>
  <c r="BI241" i="37"/>
  <c r="BH241" i="37"/>
  <c r="BG241" i="37"/>
  <c r="BD241" i="37"/>
  <c r="BC241" i="37"/>
  <c r="BB241" i="37"/>
  <c r="BA241" i="37"/>
  <c r="AX241" i="37"/>
  <c r="AW241" i="37"/>
  <c r="AV241" i="37"/>
  <c r="AU241" i="37"/>
  <c r="AT241" i="37"/>
  <c r="AS241" i="37"/>
  <c r="AR241" i="37"/>
  <c r="AQ241" i="37"/>
  <c r="ES241" i="37" s="1"/>
  <c r="AP241" i="37"/>
  <c r="AO241" i="37"/>
  <c r="AN241" i="37"/>
  <c r="AM241" i="37"/>
  <c r="AL241" i="37"/>
  <c r="AK241" i="37"/>
  <c r="AJ241" i="37"/>
  <c r="AI241" i="37"/>
  <c r="AH241" i="37"/>
  <c r="AG241" i="37"/>
  <c r="AF241" i="37"/>
  <c r="AE241" i="37"/>
  <c r="AB241" i="37"/>
  <c r="AA241" i="37"/>
  <c r="Z241" i="37"/>
  <c r="Y241" i="37"/>
  <c r="X241" i="37"/>
  <c r="W241" i="37"/>
  <c r="V241" i="37"/>
  <c r="U241" i="37"/>
  <c r="T241" i="37"/>
  <c r="S241" i="37"/>
  <c r="R241" i="37"/>
  <c r="Q241" i="37"/>
  <c r="P241" i="37"/>
  <c r="O241" i="37"/>
  <c r="L241" i="37"/>
  <c r="K241" i="37"/>
  <c r="J241" i="37"/>
  <c r="I241" i="37"/>
  <c r="H241" i="37"/>
  <c r="G241" i="37"/>
  <c r="F241" i="37"/>
  <c r="E241" i="37"/>
  <c r="D241" i="37"/>
  <c r="ER241" i="37" s="1"/>
  <c r="C241" i="37"/>
  <c r="EQ241" i="37" s="1"/>
  <c r="ES240" i="37"/>
  <c r="ER240" i="37"/>
  <c r="EQ240" i="37"/>
  <c r="ET240" i="37" s="1"/>
  <c r="EO240" i="37"/>
  <c r="EN240" i="37"/>
  <c r="EM240" i="37"/>
  <c r="EP240" i="37" s="1"/>
  <c r="ES239" i="37"/>
  <c r="ER239" i="37"/>
  <c r="EQ239" i="37"/>
  <c r="ET239" i="37" s="1"/>
  <c r="EO239" i="37"/>
  <c r="EO241" i="37" s="1"/>
  <c r="EN239" i="37"/>
  <c r="EN241" i="37" s="1"/>
  <c r="EM239" i="37"/>
  <c r="EM241" i="37" s="1"/>
  <c r="ES238" i="37"/>
  <c r="ER238" i="37"/>
  <c r="ET238" i="37" s="1"/>
  <c r="EQ238" i="37"/>
  <c r="EP238" i="37"/>
  <c r="EL237" i="37"/>
  <c r="EL242" i="37" s="1"/>
  <c r="EK237" i="37"/>
  <c r="EK242" i="37" s="1"/>
  <c r="EJ237" i="37"/>
  <c r="EJ242" i="37" s="1"/>
  <c r="EI237" i="37"/>
  <c r="EI242" i="37" s="1"/>
  <c r="EH237" i="37"/>
  <c r="EH242" i="37" s="1"/>
  <c r="EG237" i="37"/>
  <c r="EG242" i="37" s="1"/>
  <c r="ED237" i="37"/>
  <c r="ED242" i="37" s="1"/>
  <c r="EC237" i="37"/>
  <c r="EC242" i="37" s="1"/>
  <c r="EB237" i="37"/>
  <c r="EB242" i="37" s="1"/>
  <c r="EA237" i="37"/>
  <c r="EA242" i="37" s="1"/>
  <c r="DZ237" i="37"/>
  <c r="DZ242" i="37" s="1"/>
  <c r="DY237" i="37"/>
  <c r="DY242" i="37" s="1"/>
  <c r="DV237" i="37"/>
  <c r="DV242" i="37" s="1"/>
  <c r="DU237" i="37"/>
  <c r="DU242" i="37" s="1"/>
  <c r="DT237" i="37"/>
  <c r="DT242" i="37" s="1"/>
  <c r="DS237" i="37"/>
  <c r="DS242" i="37" s="1"/>
  <c r="DP237" i="37"/>
  <c r="DP242" i="37" s="1"/>
  <c r="DO237" i="37"/>
  <c r="DO242" i="37" s="1"/>
  <c r="DN237" i="37"/>
  <c r="DN242" i="37" s="1"/>
  <c r="DM237" i="37"/>
  <c r="DM242" i="37" s="1"/>
  <c r="DH237" i="37"/>
  <c r="DH242" i="37" s="1"/>
  <c r="DG237" i="37"/>
  <c r="DG242" i="37" s="1"/>
  <c r="DF237" i="37"/>
  <c r="DF242" i="37" s="1"/>
  <c r="DE237" i="37"/>
  <c r="DE242" i="37" s="1"/>
  <c r="DD237" i="37"/>
  <c r="DD242" i="37" s="1"/>
  <c r="DC237" i="37"/>
  <c r="DC242" i="37" s="1"/>
  <c r="DB237" i="37"/>
  <c r="DB242" i="37" s="1"/>
  <c r="DA237" i="37"/>
  <c r="DA242" i="37" s="1"/>
  <c r="CZ237" i="37"/>
  <c r="CZ242" i="37" s="1"/>
  <c r="CY237" i="37"/>
  <c r="CY242" i="37" s="1"/>
  <c r="CX237" i="37"/>
  <c r="CX242" i="37" s="1"/>
  <c r="CW237" i="37"/>
  <c r="CW242" i="37" s="1"/>
  <c r="CV237" i="37"/>
  <c r="CV242" i="37" s="1"/>
  <c r="CU237" i="37"/>
  <c r="CU242" i="37" s="1"/>
  <c r="CT237" i="37"/>
  <c r="CT242" i="37" s="1"/>
  <c r="CS237" i="37"/>
  <c r="CS242" i="37" s="1"/>
  <c r="CR237" i="37"/>
  <c r="CR242" i="37" s="1"/>
  <c r="CQ237" i="37"/>
  <c r="CQ242" i="37" s="1"/>
  <c r="CP237" i="37"/>
  <c r="CP242" i="37" s="1"/>
  <c r="CO237" i="37"/>
  <c r="CO242" i="37" s="1"/>
  <c r="CN237" i="37"/>
  <c r="CN242" i="37" s="1"/>
  <c r="CM237" i="37"/>
  <c r="CM242" i="37" s="1"/>
  <c r="CJ237" i="37"/>
  <c r="CJ242" i="37" s="1"/>
  <c r="CI237" i="37"/>
  <c r="CI242" i="37" s="1"/>
  <c r="CH237" i="37"/>
  <c r="CH242" i="37" s="1"/>
  <c r="CG237" i="37"/>
  <c r="CG242" i="37" s="1"/>
  <c r="CD237" i="37"/>
  <c r="CD242" i="37" s="1"/>
  <c r="CC237" i="37"/>
  <c r="CC242" i="37" s="1"/>
  <c r="CB237" i="37"/>
  <c r="CB242" i="37" s="1"/>
  <c r="CA237" i="37"/>
  <c r="CA242" i="37" s="1"/>
  <c r="BZ237" i="37"/>
  <c r="BZ242" i="37" s="1"/>
  <c r="BY237" i="37"/>
  <c r="BY242" i="37" s="1"/>
  <c r="BX237" i="37"/>
  <c r="BX242" i="37" s="1"/>
  <c r="BW237" i="37"/>
  <c r="BW242" i="37" s="1"/>
  <c r="BV237" i="37"/>
  <c r="BV242" i="37" s="1"/>
  <c r="BU237" i="37"/>
  <c r="BU242" i="37" s="1"/>
  <c r="BT237" i="37"/>
  <c r="BT242" i="37" s="1"/>
  <c r="BS237" i="37"/>
  <c r="BS242" i="37" s="1"/>
  <c r="BR237" i="37"/>
  <c r="BR242" i="37" s="1"/>
  <c r="BQ237" i="37"/>
  <c r="BQ242" i="37" s="1"/>
  <c r="BP237" i="37"/>
  <c r="BP242" i="37" s="1"/>
  <c r="BO237" i="37"/>
  <c r="BO242" i="37" s="1"/>
  <c r="BN237" i="37"/>
  <c r="BN242" i="37" s="1"/>
  <c r="BM237" i="37"/>
  <c r="BM242" i="37" s="1"/>
  <c r="BL237" i="37"/>
  <c r="BL242" i="37" s="1"/>
  <c r="BK237" i="37"/>
  <c r="BK242" i="37" s="1"/>
  <c r="BJ237" i="37"/>
  <c r="BJ242" i="37" s="1"/>
  <c r="BI237" i="37"/>
  <c r="BI242" i="37" s="1"/>
  <c r="BH237" i="37"/>
  <c r="BH242" i="37" s="1"/>
  <c r="BG237" i="37"/>
  <c r="BG242" i="37" s="1"/>
  <c r="BD237" i="37"/>
  <c r="BD242" i="37" s="1"/>
  <c r="BC237" i="37"/>
  <c r="BC242" i="37" s="1"/>
  <c r="BB237" i="37"/>
  <c r="BB242" i="37" s="1"/>
  <c r="BA237" i="37"/>
  <c r="BA242" i="37" s="1"/>
  <c r="AX237" i="37"/>
  <c r="AX242" i="37" s="1"/>
  <c r="AW237" i="37"/>
  <c r="AW242" i="37" s="1"/>
  <c r="AV237" i="37"/>
  <c r="AV242" i="37" s="1"/>
  <c r="AU237" i="37"/>
  <c r="AU242" i="37" s="1"/>
  <c r="AT237" i="37"/>
  <c r="AT242" i="37" s="1"/>
  <c r="AQ237" i="37"/>
  <c r="AQ242" i="37" s="1"/>
  <c r="ES242" i="37" s="1"/>
  <c r="AP237" i="37"/>
  <c r="AP242" i="37" s="1"/>
  <c r="AO237" i="37"/>
  <c r="AO242" i="37" s="1"/>
  <c r="AN237" i="37"/>
  <c r="AN242" i="37" s="1"/>
  <c r="AM237" i="37"/>
  <c r="AM242" i="37" s="1"/>
  <c r="AL237" i="37"/>
  <c r="AL242" i="37" s="1"/>
  <c r="AK237" i="37"/>
  <c r="AK242" i="37" s="1"/>
  <c r="AJ237" i="37"/>
  <c r="AJ242" i="37" s="1"/>
  <c r="AI237" i="37"/>
  <c r="AI242" i="37" s="1"/>
  <c r="AH237" i="37"/>
  <c r="AH242" i="37" s="1"/>
  <c r="AG237" i="37"/>
  <c r="AG242" i="37" s="1"/>
  <c r="AF237" i="37"/>
  <c r="AF242" i="37" s="1"/>
  <c r="AE237" i="37"/>
  <c r="AE242" i="37" s="1"/>
  <c r="AB237" i="37"/>
  <c r="AB242" i="37" s="1"/>
  <c r="AA237" i="37"/>
  <c r="AA242" i="37" s="1"/>
  <c r="Z237" i="37"/>
  <c r="Z242" i="37" s="1"/>
  <c r="Y237" i="37"/>
  <c r="Y242" i="37" s="1"/>
  <c r="X237" i="37"/>
  <c r="X242" i="37" s="1"/>
  <c r="W237" i="37"/>
  <c r="W242" i="37" s="1"/>
  <c r="V237" i="37"/>
  <c r="V242" i="37" s="1"/>
  <c r="U237" i="37"/>
  <c r="U242" i="37" s="1"/>
  <c r="T237" i="37"/>
  <c r="T242" i="37" s="1"/>
  <c r="S237" i="37"/>
  <c r="S242" i="37" s="1"/>
  <c r="R237" i="37"/>
  <c r="R242" i="37" s="1"/>
  <c r="Q237" i="37"/>
  <c r="Q242" i="37" s="1"/>
  <c r="P237" i="37"/>
  <c r="P242" i="37" s="1"/>
  <c r="O237" i="37"/>
  <c r="O242" i="37" s="1"/>
  <c r="L237" i="37"/>
  <c r="L242" i="37" s="1"/>
  <c r="K237" i="37"/>
  <c r="K242" i="37" s="1"/>
  <c r="J237" i="37"/>
  <c r="J242" i="37" s="1"/>
  <c r="I237" i="37"/>
  <c r="I242" i="37" s="1"/>
  <c r="H237" i="37"/>
  <c r="H242" i="37" s="1"/>
  <c r="G237" i="37"/>
  <c r="G242" i="37" s="1"/>
  <c r="F237" i="37"/>
  <c r="F242" i="37" s="1"/>
  <c r="E237" i="37"/>
  <c r="E242" i="37" s="1"/>
  <c r="D237" i="37"/>
  <c r="ER237" i="37" s="1"/>
  <c r="C237" i="37"/>
  <c r="C242" i="37" s="1"/>
  <c r="EQ242" i="37" s="1"/>
  <c r="ES236" i="37"/>
  <c r="ER236" i="37"/>
  <c r="EQ236" i="37"/>
  <c r="ET236" i="37" s="1"/>
  <c r="EO236" i="37"/>
  <c r="ES235" i="37"/>
  <c r="ER235" i="37"/>
  <c r="EQ235" i="37"/>
  <c r="ET235" i="37" s="1"/>
  <c r="EO235" i="37"/>
  <c r="EM235" i="37"/>
  <c r="EP235" i="37" s="1"/>
  <c r="ES234" i="37"/>
  <c r="ER234" i="37"/>
  <c r="EQ234" i="37"/>
  <c r="ET234" i="37" s="1"/>
  <c r="EO234" i="37"/>
  <c r="EO237" i="37" s="1"/>
  <c r="EO242" i="37" s="1"/>
  <c r="EM234" i="37"/>
  <c r="EP234" i="37" s="1"/>
  <c r="ES233" i="37"/>
  <c r="ER233" i="37"/>
  <c r="ET233" i="37" s="1"/>
  <c r="EQ233" i="37"/>
  <c r="EP233" i="37"/>
  <c r="EL231" i="37"/>
  <c r="EK231" i="37"/>
  <c r="EJ231" i="37"/>
  <c r="EI231" i="37"/>
  <c r="EH231" i="37"/>
  <c r="EG231" i="37"/>
  <c r="ED231" i="37"/>
  <c r="EC231" i="37"/>
  <c r="EB231" i="37"/>
  <c r="EA231" i="37"/>
  <c r="DZ231" i="37"/>
  <c r="DY231" i="37"/>
  <c r="DV231" i="37"/>
  <c r="DU231" i="37"/>
  <c r="DT231" i="37"/>
  <c r="DS231" i="37"/>
  <c r="DP231" i="37"/>
  <c r="DO231" i="37"/>
  <c r="DN231" i="37"/>
  <c r="DM231" i="37"/>
  <c r="DH231" i="37"/>
  <c r="DG231" i="37"/>
  <c r="DF231" i="37"/>
  <c r="DE231" i="37"/>
  <c r="DD231" i="37"/>
  <c r="DC231" i="37"/>
  <c r="DB231" i="37"/>
  <c r="DA231" i="37"/>
  <c r="CZ231" i="37"/>
  <c r="CY231" i="37"/>
  <c r="CX231" i="37"/>
  <c r="CW231" i="37"/>
  <c r="CV231" i="37"/>
  <c r="CU231" i="37"/>
  <c r="CT231" i="37"/>
  <c r="CS231" i="37"/>
  <c r="CR231" i="37"/>
  <c r="CQ231" i="37"/>
  <c r="CP231" i="37"/>
  <c r="CO231" i="37"/>
  <c r="CN231" i="37"/>
  <c r="CM231" i="37"/>
  <c r="CJ231" i="37"/>
  <c r="CI231" i="37"/>
  <c r="CH231" i="37"/>
  <c r="CG231" i="37"/>
  <c r="CD231" i="37"/>
  <c r="CC231" i="37"/>
  <c r="CB231" i="37"/>
  <c r="CA231" i="37"/>
  <c r="BZ231" i="37"/>
  <c r="BY231" i="37"/>
  <c r="BX231" i="37"/>
  <c r="BW231" i="37"/>
  <c r="BV231" i="37"/>
  <c r="BU231" i="37"/>
  <c r="BT231" i="37"/>
  <c r="BS231" i="37"/>
  <c r="BR231" i="37"/>
  <c r="BQ231" i="37"/>
  <c r="BP231" i="37"/>
  <c r="BO231" i="37"/>
  <c r="BN231" i="37"/>
  <c r="BM231" i="37"/>
  <c r="BL231" i="37"/>
  <c r="BK231" i="37"/>
  <c r="BJ231" i="37"/>
  <c r="BI231" i="37"/>
  <c r="BH231" i="37"/>
  <c r="BG231" i="37"/>
  <c r="BD231" i="37"/>
  <c r="BC231" i="37"/>
  <c r="BB231" i="37"/>
  <c r="BA231" i="37"/>
  <c r="AX231" i="37"/>
  <c r="AW231" i="37"/>
  <c r="AV231" i="37"/>
  <c r="AU231" i="37"/>
  <c r="AT231" i="37"/>
  <c r="AS231" i="37"/>
  <c r="AR231" i="37"/>
  <c r="AQ231" i="37"/>
  <c r="ES231" i="37" s="1"/>
  <c r="AP231" i="37"/>
  <c r="AO231" i="37"/>
  <c r="AN231" i="37"/>
  <c r="AM231" i="37"/>
  <c r="AK231" i="37"/>
  <c r="AJ231" i="37"/>
  <c r="AI231" i="37"/>
  <c r="AH231" i="37"/>
  <c r="AG231" i="37"/>
  <c r="AF231" i="37"/>
  <c r="AE231" i="37"/>
  <c r="AB231" i="37"/>
  <c r="AA231" i="37"/>
  <c r="Z231" i="37"/>
  <c r="Y231" i="37"/>
  <c r="X231" i="37"/>
  <c r="W231" i="37"/>
  <c r="V231" i="37"/>
  <c r="U231" i="37"/>
  <c r="T231" i="37"/>
  <c r="S231" i="37"/>
  <c r="R231" i="37"/>
  <c r="Q231" i="37"/>
  <c r="P231" i="37"/>
  <c r="O231" i="37"/>
  <c r="L231" i="37"/>
  <c r="K231" i="37"/>
  <c r="J231" i="37"/>
  <c r="I231" i="37"/>
  <c r="H231" i="37"/>
  <c r="G231" i="37"/>
  <c r="F231" i="37"/>
  <c r="E231" i="37"/>
  <c r="D231" i="37"/>
  <c r="ER231" i="37" s="1"/>
  <c r="C231" i="37"/>
  <c r="EQ231" i="37" s="1"/>
  <c r="ES230" i="37"/>
  <c r="ER230" i="37"/>
  <c r="EQ230" i="37"/>
  <c r="ET230" i="37" s="1"/>
  <c r="EO230" i="37"/>
  <c r="EM230" i="37"/>
  <c r="ES229" i="37"/>
  <c r="ER229" i="37"/>
  <c r="EQ229" i="37"/>
  <c r="ET229" i="37" s="1"/>
  <c r="EO229" i="37"/>
  <c r="EP229" i="37"/>
  <c r="EM229" i="37"/>
  <c r="ES228" i="37"/>
  <c r="ER228" i="37"/>
  <c r="ET228" i="37" s="1"/>
  <c r="EQ228" i="37"/>
  <c r="EO228" i="37"/>
  <c r="EO231" i="37" s="1"/>
  <c r="EM228" i="37"/>
  <c r="EM231" i="37" s="1"/>
  <c r="ES227" i="37"/>
  <c r="ER227" i="37"/>
  <c r="ET227" i="37" s="1"/>
  <c r="EQ227" i="37"/>
  <c r="EP227" i="37"/>
  <c r="EL226" i="37"/>
  <c r="EK226" i="37"/>
  <c r="EI226" i="37"/>
  <c r="EH226" i="37"/>
  <c r="EG226" i="37"/>
  <c r="ED226" i="37"/>
  <c r="EC226" i="37"/>
  <c r="EB226" i="37"/>
  <c r="EA226" i="37"/>
  <c r="DZ226" i="37"/>
  <c r="DY226" i="37"/>
  <c r="DV226" i="37"/>
  <c r="DU226" i="37"/>
  <c r="DT226" i="37"/>
  <c r="DS226" i="37"/>
  <c r="DO226" i="37"/>
  <c r="DN226" i="37"/>
  <c r="DM226" i="37"/>
  <c r="DH226" i="37"/>
  <c r="AL24" i="9" s="1"/>
  <c r="DG226" i="37"/>
  <c r="AL24" i="5" s="1"/>
  <c r="DF226" i="37"/>
  <c r="DE226" i="37"/>
  <c r="DD226" i="37"/>
  <c r="AK24" i="9" s="1"/>
  <c r="CZ226" i="37"/>
  <c r="CY226" i="37"/>
  <c r="CX226" i="37"/>
  <c r="AA24" i="9" s="1"/>
  <c r="CW226" i="37"/>
  <c r="AA24" i="5" s="1"/>
  <c r="CV226" i="37"/>
  <c r="CU226" i="37"/>
  <c r="CT226" i="37"/>
  <c r="Y24" i="9" s="1"/>
  <c r="CS226" i="37"/>
  <c r="Y24" i="5" s="1"/>
  <c r="CR226" i="37"/>
  <c r="CQ226" i="37"/>
  <c r="CN226" i="37"/>
  <c r="CM226" i="37"/>
  <c r="CJ226" i="37"/>
  <c r="Q24" i="9" s="1"/>
  <c r="CI226" i="37"/>
  <c r="Q24" i="5" s="1"/>
  <c r="CH226" i="37"/>
  <c r="CG226" i="37"/>
  <c r="CD226" i="37"/>
  <c r="W24" i="5" s="1"/>
  <c r="CC226" i="37"/>
  <c r="CB226" i="37"/>
  <c r="V24" i="9" s="1"/>
  <c r="CA226" i="37"/>
  <c r="BZ226" i="37"/>
  <c r="BY226" i="37"/>
  <c r="BX226" i="37"/>
  <c r="P24" i="9" s="1"/>
  <c r="P21" i="9" s="1"/>
  <c r="BW226" i="37"/>
  <c r="BV226" i="37"/>
  <c r="U24" i="9" s="1"/>
  <c r="BU226" i="37"/>
  <c r="U24" i="5" s="1"/>
  <c r="BT226" i="37"/>
  <c r="BS226" i="37"/>
  <c r="BR226" i="37"/>
  <c r="T24" i="5" s="1"/>
  <c r="BQ226" i="37"/>
  <c r="BP226" i="37"/>
  <c r="S24" i="9" s="1"/>
  <c r="BO226" i="37"/>
  <c r="BN226" i="37"/>
  <c r="R24" i="9" s="1"/>
  <c r="BM226" i="37"/>
  <c r="R24" i="5" s="1"/>
  <c r="BL226" i="37"/>
  <c r="BK226" i="37"/>
  <c r="BJ226" i="37"/>
  <c r="O24" i="9" s="1"/>
  <c r="BI226" i="37"/>
  <c r="O24" i="5" s="1"/>
  <c r="BH226" i="37"/>
  <c r="BG226" i="37"/>
  <c r="BD226" i="37"/>
  <c r="N24" i="9" s="1"/>
  <c r="BC226" i="37"/>
  <c r="N24" i="5" s="1"/>
  <c r="BB226" i="37"/>
  <c r="BA226" i="37"/>
  <c r="AX226" i="37"/>
  <c r="AW226" i="37"/>
  <c r="AV226" i="37"/>
  <c r="AU226" i="37"/>
  <c r="AT226" i="37"/>
  <c r="AS226" i="37"/>
  <c r="J24" i="9" s="1"/>
  <c r="AR226" i="37"/>
  <c r="J24" i="5" s="1"/>
  <c r="AQ226" i="37"/>
  <c r="ES226" i="37" s="1"/>
  <c r="AP226" i="37"/>
  <c r="AO226" i="37"/>
  <c r="AN226" i="37"/>
  <c r="I24" i="5" s="1"/>
  <c r="AM226" i="37"/>
  <c r="AL226" i="37"/>
  <c r="AK226" i="37"/>
  <c r="AJ226" i="37"/>
  <c r="AI226" i="37"/>
  <c r="AH226" i="37"/>
  <c r="AG226" i="37"/>
  <c r="AF226" i="37"/>
  <c r="AE226" i="37"/>
  <c r="AB226" i="37"/>
  <c r="AJ24" i="9" s="1"/>
  <c r="AA226" i="37"/>
  <c r="AJ24" i="5" s="1"/>
  <c r="Z226" i="37"/>
  <c r="Y226" i="37"/>
  <c r="X226" i="37"/>
  <c r="M24" i="9" s="1"/>
  <c r="W226" i="37"/>
  <c r="M24" i="5" s="1"/>
  <c r="V226" i="37"/>
  <c r="U226" i="37"/>
  <c r="T226" i="37"/>
  <c r="L24" i="9" s="1"/>
  <c r="S226" i="37"/>
  <c r="L24" i="5" s="1"/>
  <c r="R226" i="37"/>
  <c r="Q226" i="37"/>
  <c r="P226" i="37"/>
  <c r="F24" i="9" s="1"/>
  <c r="L226" i="37"/>
  <c r="E24" i="9" s="1"/>
  <c r="K226" i="37"/>
  <c r="J226" i="37"/>
  <c r="D24" i="9" s="1"/>
  <c r="I226" i="37"/>
  <c r="H226" i="37"/>
  <c r="C24" i="9" s="1"/>
  <c r="G226" i="37"/>
  <c r="F226" i="37"/>
  <c r="B24" i="9" s="1"/>
  <c r="E226" i="37"/>
  <c r="B24" i="5" s="1"/>
  <c r="D226" i="37"/>
  <c r="C226" i="37"/>
  <c r="EQ226" i="37" s="1"/>
  <c r="ES225" i="37"/>
  <c r="ER225" i="37"/>
  <c r="EQ225" i="37"/>
  <c r="EO225" i="37"/>
  <c r="ES224" i="37"/>
  <c r="EQ224" i="37"/>
  <c r="EO224" i="37"/>
  <c r="EM224" i="37"/>
  <c r="EP224" i="37" s="1"/>
  <c r="DC224" i="37"/>
  <c r="ER224" i="37" s="1"/>
  <c r="ES223" i="37"/>
  <c r="ER223" i="37"/>
  <c r="EQ223" i="37"/>
  <c r="ET223" i="37" s="1"/>
  <c r="EO223" i="37"/>
  <c r="EM223" i="37"/>
  <c r="EP223" i="37" s="1"/>
  <c r="ES222" i="37"/>
  <c r="ER222" i="37"/>
  <c r="EQ222" i="37"/>
  <c r="ET222" i="37" s="1"/>
  <c r="EO222" i="37"/>
  <c r="EM222" i="37"/>
  <c r="EP222" i="37" s="1"/>
  <c r="ES221" i="37"/>
  <c r="EQ221" i="37"/>
  <c r="EO221" i="37"/>
  <c r="EM221" i="37"/>
  <c r="EP221" i="37" s="1"/>
  <c r="DC221" i="37"/>
  <c r="DC226" i="37" s="1"/>
  <c r="ES220" i="37"/>
  <c r="ER220" i="37"/>
  <c r="EQ220" i="37"/>
  <c r="ET220" i="37" s="1"/>
  <c r="EO220" i="37"/>
  <c r="EM220" i="37"/>
  <c r="EP220" i="37" s="1"/>
  <c r="ES219" i="37"/>
  <c r="ER219" i="37"/>
  <c r="EQ219" i="37"/>
  <c r="ET219" i="37" s="1"/>
  <c r="EO219" i="37"/>
  <c r="EM219" i="37"/>
  <c r="EP219" i="37" s="1"/>
  <c r="ES218" i="37"/>
  <c r="EQ218" i="37"/>
  <c r="EO218" i="37"/>
  <c r="EM218" i="37"/>
  <c r="EP218" i="37" s="1"/>
  <c r="O218" i="37"/>
  <c r="ER218" i="37" s="1"/>
  <c r="ES217" i="37"/>
  <c r="EQ217" i="37"/>
  <c r="EO217" i="37"/>
  <c r="EO226" i="37" s="1"/>
  <c r="EM217" i="37"/>
  <c r="EJ217" i="37"/>
  <c r="EJ226" i="37" s="1"/>
  <c r="ES216" i="37"/>
  <c r="ER216" i="37"/>
  <c r="EQ216" i="37"/>
  <c r="ET216" i="37" s="1"/>
  <c r="EP216" i="37"/>
  <c r="EL215" i="37"/>
  <c r="EK215" i="37"/>
  <c r="EJ215" i="37"/>
  <c r="EI215" i="37"/>
  <c r="EH215" i="37"/>
  <c r="EG215" i="37"/>
  <c r="ED215" i="37"/>
  <c r="EC215" i="37"/>
  <c r="EB215" i="37"/>
  <c r="EA215" i="37"/>
  <c r="DZ215" i="37"/>
  <c r="DY215" i="37"/>
  <c r="DV215" i="37"/>
  <c r="DU215" i="37"/>
  <c r="DT215" i="37"/>
  <c r="DS215" i="37"/>
  <c r="DP215" i="37"/>
  <c r="DO215" i="37"/>
  <c r="DN215" i="37"/>
  <c r="DM215" i="37"/>
  <c r="DH215" i="37"/>
  <c r="AL23" i="9" s="1"/>
  <c r="AL21" i="9" s="1"/>
  <c r="DG215" i="37"/>
  <c r="AL23" i="5" s="1"/>
  <c r="AL21" i="5" s="1"/>
  <c r="DF215" i="37"/>
  <c r="DE215" i="37"/>
  <c r="DD215" i="37"/>
  <c r="AK23" i="9" s="1"/>
  <c r="DC215" i="37"/>
  <c r="CZ215" i="37"/>
  <c r="CY215" i="37"/>
  <c r="CX215" i="37"/>
  <c r="AA23" i="9" s="1"/>
  <c r="CW215" i="37"/>
  <c r="AA23" i="5" s="1"/>
  <c r="CV215" i="37"/>
  <c r="CU215" i="37"/>
  <c r="CT215" i="37"/>
  <c r="Y23" i="9" s="1"/>
  <c r="CS215" i="37"/>
  <c r="Y23" i="5" s="1"/>
  <c r="CR215" i="37"/>
  <c r="CQ215" i="37"/>
  <c r="CN215" i="37"/>
  <c r="CM215" i="37"/>
  <c r="CJ215" i="37"/>
  <c r="Q23" i="9" s="1"/>
  <c r="CI215" i="37"/>
  <c r="Q23" i="5" s="1"/>
  <c r="CH215" i="37"/>
  <c r="CG215" i="37"/>
  <c r="CD215" i="37"/>
  <c r="W23" i="5" s="1"/>
  <c r="CC215" i="37"/>
  <c r="CB215" i="37"/>
  <c r="V23" i="9" s="1"/>
  <c r="CA215" i="37"/>
  <c r="BZ215" i="37"/>
  <c r="BY215" i="37"/>
  <c r="BX215" i="37"/>
  <c r="BW215" i="37"/>
  <c r="BV215" i="37"/>
  <c r="U23" i="9" s="1"/>
  <c r="BU215" i="37"/>
  <c r="U23" i="5" s="1"/>
  <c r="BT215" i="37"/>
  <c r="BS215" i="37"/>
  <c r="BR215" i="37"/>
  <c r="T23" i="5" s="1"/>
  <c r="BQ215" i="37"/>
  <c r="BP215" i="37"/>
  <c r="S23" i="9" s="1"/>
  <c r="BO215" i="37"/>
  <c r="BN215" i="37"/>
  <c r="R23" i="9" s="1"/>
  <c r="BM215" i="37"/>
  <c r="R23" i="5" s="1"/>
  <c r="BL215" i="37"/>
  <c r="BK215" i="37"/>
  <c r="BJ215" i="37"/>
  <c r="O23" i="9" s="1"/>
  <c r="BI215" i="37"/>
  <c r="O23" i="5" s="1"/>
  <c r="BH215" i="37"/>
  <c r="BG215" i="37"/>
  <c r="BD215" i="37"/>
  <c r="N23" i="9" s="1"/>
  <c r="BC215" i="37"/>
  <c r="N23" i="5" s="1"/>
  <c r="BB215" i="37"/>
  <c r="BA215" i="37"/>
  <c r="AX215" i="37"/>
  <c r="AW215" i="37"/>
  <c r="AV215" i="37"/>
  <c r="AU215" i="37"/>
  <c r="AT215" i="37"/>
  <c r="AS215" i="37"/>
  <c r="J23" i="9" s="1"/>
  <c r="AR215" i="37"/>
  <c r="J23" i="5" s="1"/>
  <c r="AQ215" i="37"/>
  <c r="ES215" i="37" s="1"/>
  <c r="AP215" i="37"/>
  <c r="AO215" i="37"/>
  <c r="AN215" i="37"/>
  <c r="I23" i="5" s="1"/>
  <c r="AM215" i="37"/>
  <c r="AL215" i="37"/>
  <c r="AK215" i="37"/>
  <c r="AJ215" i="37"/>
  <c r="AI215" i="37"/>
  <c r="AH215" i="37"/>
  <c r="AG215" i="37"/>
  <c r="AF215" i="37"/>
  <c r="AE215" i="37"/>
  <c r="AB215" i="37"/>
  <c r="AJ23" i="9" s="1"/>
  <c r="AA215" i="37"/>
  <c r="AJ23" i="5" s="1"/>
  <c r="Z215" i="37"/>
  <c r="Y215" i="37"/>
  <c r="X215" i="37"/>
  <c r="M23" i="9" s="1"/>
  <c r="W215" i="37"/>
  <c r="M23" i="5" s="1"/>
  <c r="V215" i="37"/>
  <c r="U215" i="37"/>
  <c r="T215" i="37"/>
  <c r="L23" i="9" s="1"/>
  <c r="S215" i="37"/>
  <c r="L23" i="5" s="1"/>
  <c r="R215" i="37"/>
  <c r="Q215" i="37"/>
  <c r="P215" i="37"/>
  <c r="F23" i="9" s="1"/>
  <c r="O215" i="37"/>
  <c r="L215" i="37"/>
  <c r="E23" i="9" s="1"/>
  <c r="E21" i="9" s="1"/>
  <c r="K215" i="37"/>
  <c r="J215" i="37"/>
  <c r="D23" i="9" s="1"/>
  <c r="D21" i="9" s="1"/>
  <c r="I215" i="37"/>
  <c r="H215" i="37"/>
  <c r="C23" i="9" s="1"/>
  <c r="C21" i="9" s="1"/>
  <c r="G215" i="37"/>
  <c r="F215" i="37"/>
  <c r="B23" i="9" s="1"/>
  <c r="B21" i="9" s="1"/>
  <c r="E215" i="37"/>
  <c r="B23" i="5" s="1"/>
  <c r="D215" i="37"/>
  <c r="C215" i="37"/>
  <c r="EQ215" i="37" s="1"/>
  <c r="ES214" i="37"/>
  <c r="ER214" i="37"/>
  <c r="EQ214" i="37"/>
  <c r="EO214" i="37"/>
  <c r="ES213" i="37"/>
  <c r="ER213" i="37"/>
  <c r="EQ213" i="37"/>
  <c r="ET213" i="37" s="1"/>
  <c r="EO213" i="37"/>
  <c r="EM213" i="37"/>
  <c r="EP213" i="37" s="1"/>
  <c r="ES212" i="37"/>
  <c r="ER212" i="37"/>
  <c r="ET212" i="37" s="1"/>
  <c r="EQ212" i="37"/>
  <c r="EO212" i="37"/>
  <c r="EP212" i="37"/>
  <c r="EM212" i="37"/>
  <c r="ES211" i="37"/>
  <c r="ER211" i="37"/>
  <c r="ET211" i="37" s="1"/>
  <c r="EQ211" i="37"/>
  <c r="EO211" i="37"/>
  <c r="EP211" i="37"/>
  <c r="EM211" i="37"/>
  <c r="ES210" i="37"/>
  <c r="ER210" i="37"/>
  <c r="ET210" i="37" s="1"/>
  <c r="EQ210" i="37"/>
  <c r="EO210" i="37"/>
  <c r="EO215" i="37" s="1"/>
  <c r="EM210" i="37"/>
  <c r="ES209" i="37"/>
  <c r="ER209" i="37"/>
  <c r="ET209" i="37" s="1"/>
  <c r="EQ209" i="37"/>
  <c r="EP209" i="37"/>
  <c r="EL208" i="37"/>
  <c r="EL232" i="37" s="1"/>
  <c r="EK208" i="37"/>
  <c r="EK232" i="37" s="1"/>
  <c r="EJ208" i="37"/>
  <c r="EJ232" i="37" s="1"/>
  <c r="EI208" i="37"/>
  <c r="EI232" i="37" s="1"/>
  <c r="EH208" i="37"/>
  <c r="EH232" i="37" s="1"/>
  <c r="EG208" i="37"/>
  <c r="EG232" i="37" s="1"/>
  <c r="ED208" i="37"/>
  <c r="ED232" i="37" s="1"/>
  <c r="EC208" i="37"/>
  <c r="EC232" i="37" s="1"/>
  <c r="EB208" i="37"/>
  <c r="EB232" i="37" s="1"/>
  <c r="EA208" i="37"/>
  <c r="EA232" i="37" s="1"/>
  <c r="DZ208" i="37"/>
  <c r="DY208" i="37"/>
  <c r="DY232" i="37" s="1"/>
  <c r="DV208" i="37"/>
  <c r="DV232" i="37" s="1"/>
  <c r="DU208" i="37"/>
  <c r="DU232" i="37" s="1"/>
  <c r="DT208" i="37"/>
  <c r="DT232" i="37" s="1"/>
  <c r="DS208" i="37"/>
  <c r="DS232" i="37" s="1"/>
  <c r="DP208" i="37"/>
  <c r="DO208" i="37"/>
  <c r="DO232" i="37" s="1"/>
  <c r="DN208" i="37"/>
  <c r="DM208" i="37"/>
  <c r="DM232" i="37" s="1"/>
  <c r="DH208" i="37"/>
  <c r="DG208" i="37"/>
  <c r="DF208" i="37"/>
  <c r="DE208" i="37"/>
  <c r="DC208" i="37"/>
  <c r="DB208" i="37"/>
  <c r="DA208" i="37"/>
  <c r="CZ208" i="37"/>
  <c r="CY208" i="37"/>
  <c r="CX208" i="37"/>
  <c r="CW208" i="37"/>
  <c r="CV208" i="37"/>
  <c r="CU208" i="37"/>
  <c r="CT208" i="37"/>
  <c r="CS208" i="37"/>
  <c r="CR208" i="37"/>
  <c r="CQ208" i="37"/>
  <c r="CP208" i="37"/>
  <c r="CO208" i="37"/>
  <c r="CN208" i="37"/>
  <c r="CM208" i="37"/>
  <c r="CJ208" i="37"/>
  <c r="CI208" i="37"/>
  <c r="CH208" i="37"/>
  <c r="CG208" i="37"/>
  <c r="CD208" i="37"/>
  <c r="CC208" i="37"/>
  <c r="CB208" i="37"/>
  <c r="CA208" i="37"/>
  <c r="BZ208" i="37"/>
  <c r="BY208" i="37"/>
  <c r="BX208" i="37"/>
  <c r="BW208" i="37"/>
  <c r="BV208" i="37"/>
  <c r="BU208" i="37"/>
  <c r="BT208" i="37"/>
  <c r="BS208" i="37"/>
  <c r="BR208" i="37"/>
  <c r="BQ208" i="37"/>
  <c r="BP208" i="37"/>
  <c r="BO208" i="37"/>
  <c r="BN208" i="37"/>
  <c r="BM208" i="37"/>
  <c r="BL208" i="37"/>
  <c r="BK208" i="37"/>
  <c r="BJ208" i="37"/>
  <c r="BI208" i="37"/>
  <c r="BH208" i="37"/>
  <c r="BG208" i="37"/>
  <c r="BD208" i="37"/>
  <c r="BC208" i="37"/>
  <c r="BB208" i="37"/>
  <c r="BA208" i="37"/>
  <c r="AX208" i="37"/>
  <c r="AW208" i="37"/>
  <c r="AV208" i="37"/>
  <c r="AU208" i="37"/>
  <c r="AT208" i="37"/>
  <c r="AS208" i="37"/>
  <c r="AR208" i="37"/>
  <c r="AQ208" i="37"/>
  <c r="AP208" i="37"/>
  <c r="AO208" i="37"/>
  <c r="AN208" i="37"/>
  <c r="AM208" i="37"/>
  <c r="AL208" i="37"/>
  <c r="AK208" i="37"/>
  <c r="AJ208" i="37"/>
  <c r="AI208" i="37"/>
  <c r="AH208" i="37"/>
  <c r="AG208" i="37"/>
  <c r="AF208" i="37"/>
  <c r="AE208" i="37"/>
  <c r="AB208" i="37"/>
  <c r="AA208" i="37"/>
  <c r="Z208" i="37"/>
  <c r="Y208" i="37"/>
  <c r="X208" i="37"/>
  <c r="W208" i="37"/>
  <c r="V208" i="37"/>
  <c r="U208" i="37"/>
  <c r="T208" i="37"/>
  <c r="S208" i="37"/>
  <c r="R208" i="37"/>
  <c r="Q208" i="37"/>
  <c r="P208" i="37"/>
  <c r="O208" i="37"/>
  <c r="L208" i="37"/>
  <c r="K208" i="37"/>
  <c r="J208" i="37"/>
  <c r="I208" i="37"/>
  <c r="H208" i="37"/>
  <c r="G208" i="37"/>
  <c r="F208" i="37"/>
  <c r="E208" i="37"/>
  <c r="D208" i="37"/>
  <c r="C208" i="37"/>
  <c r="ES207" i="37"/>
  <c r="ER207" i="37"/>
  <c r="EQ207" i="37"/>
  <c r="ET207" i="37" s="1"/>
  <c r="EO207" i="37"/>
  <c r="EM207" i="37"/>
  <c r="EP207" i="37" s="1"/>
  <c r="ES206" i="37"/>
  <c r="ER206" i="37"/>
  <c r="EQ206" i="37"/>
  <c r="ET206" i="37" s="1"/>
  <c r="EO206" i="37"/>
  <c r="EM206" i="37"/>
  <c r="EP206" i="37" s="1"/>
  <c r="ES205" i="37"/>
  <c r="ER205" i="37"/>
  <c r="EQ205" i="37"/>
  <c r="ET205" i="37" s="1"/>
  <c r="EO205" i="37"/>
  <c r="EM205" i="37"/>
  <c r="EP205" i="37" s="1"/>
  <c r="ES204" i="37"/>
  <c r="ER204" i="37"/>
  <c r="EQ204" i="37"/>
  <c r="ET204" i="37" s="1"/>
  <c r="EO204" i="37"/>
  <c r="EO208" i="37" s="1"/>
  <c r="EN208" i="37"/>
  <c r="EM204" i="37"/>
  <c r="EP204" i="37" s="1"/>
  <c r="ES203" i="37"/>
  <c r="ER203" i="37"/>
  <c r="EQ203" i="37"/>
  <c r="ET203" i="37" s="1"/>
  <c r="EP203" i="37"/>
  <c r="EL202" i="37"/>
  <c r="EK202" i="37"/>
  <c r="EJ202" i="37"/>
  <c r="EI202" i="37"/>
  <c r="EH202" i="37"/>
  <c r="EG202" i="37"/>
  <c r="ED202" i="37"/>
  <c r="EC202" i="37"/>
  <c r="EB202" i="37"/>
  <c r="EA202" i="37"/>
  <c r="DZ202" i="37"/>
  <c r="DY202" i="37"/>
  <c r="DV202" i="37"/>
  <c r="DU202" i="37"/>
  <c r="DT202" i="37"/>
  <c r="DS202" i="37"/>
  <c r="DO202" i="37"/>
  <c r="DN202" i="37"/>
  <c r="DM202" i="37"/>
  <c r="DH202" i="37"/>
  <c r="AL20" i="9" s="1"/>
  <c r="DG202" i="37"/>
  <c r="AL20" i="5" s="1"/>
  <c r="DF202" i="37"/>
  <c r="DE202" i="37"/>
  <c r="DD202" i="37"/>
  <c r="AK20" i="9" s="1"/>
  <c r="DC202" i="37"/>
  <c r="CZ202" i="37"/>
  <c r="CY202" i="37"/>
  <c r="CX202" i="37"/>
  <c r="AA20" i="9" s="1"/>
  <c r="CW202" i="37"/>
  <c r="AA20" i="5" s="1"/>
  <c r="CV202" i="37"/>
  <c r="CU202" i="37"/>
  <c r="CT202" i="37"/>
  <c r="Y20" i="9" s="1"/>
  <c r="CS202" i="37"/>
  <c r="Y20" i="5" s="1"/>
  <c r="CR202" i="37"/>
  <c r="CQ202" i="37"/>
  <c r="CN202" i="37"/>
  <c r="CM202" i="37"/>
  <c r="CJ202" i="37"/>
  <c r="Q20" i="9" s="1"/>
  <c r="CI202" i="37"/>
  <c r="Q20" i="5" s="1"/>
  <c r="CH202" i="37"/>
  <c r="CG202" i="37"/>
  <c r="CD202" i="37"/>
  <c r="W20" i="5" s="1"/>
  <c r="CC202" i="37"/>
  <c r="CB202" i="37"/>
  <c r="V20" i="9" s="1"/>
  <c r="CA202" i="37"/>
  <c r="BZ202" i="37"/>
  <c r="BY202" i="37"/>
  <c r="BX202" i="37"/>
  <c r="P20" i="9" s="1"/>
  <c r="BW202" i="37"/>
  <c r="BV202" i="37"/>
  <c r="U20" i="9" s="1"/>
  <c r="BU202" i="37"/>
  <c r="U20" i="5" s="1"/>
  <c r="BT202" i="37"/>
  <c r="BS202" i="37"/>
  <c r="BR202" i="37"/>
  <c r="T20" i="5" s="1"/>
  <c r="BQ202" i="37"/>
  <c r="BP202" i="37"/>
  <c r="S20" i="9" s="1"/>
  <c r="BO202" i="37"/>
  <c r="BN202" i="37"/>
  <c r="R20" i="9" s="1"/>
  <c r="BM202" i="37"/>
  <c r="R20" i="5" s="1"/>
  <c r="BL202" i="37"/>
  <c r="BK202" i="37"/>
  <c r="BJ202" i="37"/>
  <c r="O20" i="9" s="1"/>
  <c r="BI202" i="37"/>
  <c r="O20" i="5" s="1"/>
  <c r="BH202" i="37"/>
  <c r="BG202" i="37"/>
  <c r="BD202" i="37"/>
  <c r="N20" i="9" s="1"/>
  <c r="BC202" i="37"/>
  <c r="N20" i="5" s="1"/>
  <c r="BB202" i="37"/>
  <c r="BA202" i="37"/>
  <c r="AX202" i="37"/>
  <c r="AW202" i="37"/>
  <c r="AV202" i="37"/>
  <c r="AU202" i="37"/>
  <c r="AT202" i="37"/>
  <c r="AS202" i="37"/>
  <c r="J20" i="9" s="1"/>
  <c r="AR202" i="37"/>
  <c r="J20" i="5" s="1"/>
  <c r="AQ202" i="37"/>
  <c r="ES202" i="37" s="1"/>
  <c r="AP202" i="37"/>
  <c r="AO202" i="37"/>
  <c r="AN202" i="37"/>
  <c r="I20" i="5" s="1"/>
  <c r="AM202" i="37"/>
  <c r="AL202" i="37"/>
  <c r="AK202" i="37"/>
  <c r="AJ202" i="37"/>
  <c r="AI202" i="37"/>
  <c r="AH202" i="37"/>
  <c r="AG202" i="37"/>
  <c r="AF202" i="37"/>
  <c r="AE202" i="37"/>
  <c r="AB202" i="37"/>
  <c r="AJ20" i="9" s="1"/>
  <c r="AA202" i="37"/>
  <c r="AJ20" i="5" s="1"/>
  <c r="Z202" i="37"/>
  <c r="Y202" i="37"/>
  <c r="X202" i="37"/>
  <c r="M20" i="9" s="1"/>
  <c r="W202" i="37"/>
  <c r="M20" i="5" s="1"/>
  <c r="V202" i="37"/>
  <c r="U202" i="37"/>
  <c r="T202" i="37"/>
  <c r="L20" i="9" s="1"/>
  <c r="S202" i="37"/>
  <c r="L20" i="5" s="1"/>
  <c r="R202" i="37"/>
  <c r="Q202" i="37"/>
  <c r="P202" i="37"/>
  <c r="F20" i="9" s="1"/>
  <c r="O202" i="37"/>
  <c r="L202" i="37"/>
  <c r="E20" i="9" s="1"/>
  <c r="K202" i="37"/>
  <c r="J202" i="37"/>
  <c r="D20" i="9" s="1"/>
  <c r="I202" i="37"/>
  <c r="H202" i="37"/>
  <c r="C20" i="9" s="1"/>
  <c r="G202" i="37"/>
  <c r="F202" i="37"/>
  <c r="B20" i="9" s="1"/>
  <c r="E202" i="37"/>
  <c r="B20" i="5" s="1"/>
  <c r="D202" i="37"/>
  <c r="C202" i="37"/>
  <c r="EQ202" i="37" s="1"/>
  <c r="ES201" i="37"/>
  <c r="ER201" i="37"/>
  <c r="EQ201" i="37"/>
  <c r="EO201" i="37"/>
  <c r="ES200" i="37"/>
  <c r="ER200" i="37"/>
  <c r="ET200" i="37" s="1"/>
  <c r="EQ200" i="37"/>
  <c r="EO200" i="37"/>
  <c r="EP200" i="37"/>
  <c r="EM200" i="37"/>
  <c r="ES199" i="37"/>
  <c r="ER199" i="37"/>
  <c r="ET199" i="37" s="1"/>
  <c r="EQ199" i="37"/>
  <c r="EO199" i="37"/>
  <c r="EP199" i="37"/>
  <c r="EM199" i="37"/>
  <c r="ES198" i="37"/>
  <c r="ER198" i="37"/>
  <c r="ET198" i="37" s="1"/>
  <c r="EQ198" i="37"/>
  <c r="EO198" i="37"/>
  <c r="EP198" i="37"/>
  <c r="EM198" i="37"/>
  <c r="ES197" i="37"/>
  <c r="ER197" i="37"/>
  <c r="ET197" i="37" s="1"/>
  <c r="EQ197" i="37"/>
  <c r="EO197" i="37"/>
  <c r="EP197" i="37"/>
  <c r="EM197" i="37"/>
  <c r="ES196" i="37"/>
  <c r="ER196" i="37"/>
  <c r="ET196" i="37" s="1"/>
  <c r="EQ196" i="37"/>
  <c r="EO196" i="37"/>
  <c r="EP196" i="37"/>
  <c r="EM196" i="37"/>
  <c r="ES195" i="37"/>
  <c r="ER195" i="37"/>
  <c r="ET195" i="37" s="1"/>
  <c r="EQ195" i="37"/>
  <c r="EO195" i="37"/>
  <c r="EP195" i="37"/>
  <c r="EM195" i="37"/>
  <c r="ES194" i="37"/>
  <c r="ER194" i="37"/>
  <c r="ET194" i="37" s="1"/>
  <c r="EQ194" i="37"/>
  <c r="EO194" i="37"/>
  <c r="EP194" i="37"/>
  <c r="EM194" i="37"/>
  <c r="ES193" i="37"/>
  <c r="ER193" i="37"/>
  <c r="ET193" i="37" s="1"/>
  <c r="EQ193" i="37"/>
  <c r="EO193" i="37"/>
  <c r="EP193" i="37"/>
  <c r="EM193" i="37"/>
  <c r="ES192" i="37"/>
  <c r="ER192" i="37"/>
  <c r="ET192" i="37" s="1"/>
  <c r="EQ192" i="37"/>
  <c r="EO192" i="37"/>
  <c r="EP192" i="37"/>
  <c r="EM192" i="37"/>
  <c r="ES191" i="37"/>
  <c r="ER191" i="37"/>
  <c r="ET191" i="37" s="1"/>
  <c r="EQ191" i="37"/>
  <c r="EO191" i="37"/>
  <c r="EP191" i="37"/>
  <c r="EM191" i="37"/>
  <c r="ES190" i="37"/>
  <c r="ER190" i="37"/>
  <c r="ET190" i="37" s="1"/>
  <c r="EQ190" i="37"/>
  <c r="EO190" i="37"/>
  <c r="EP190" i="37"/>
  <c r="EM190" i="37"/>
  <c r="ES189" i="37"/>
  <c r="ER189" i="37"/>
  <c r="ET189" i="37" s="1"/>
  <c r="EQ189" i="37"/>
  <c r="EO189" i="37"/>
  <c r="EP189" i="37"/>
  <c r="EM189" i="37"/>
  <c r="ES188" i="37"/>
  <c r="ER188" i="37"/>
  <c r="ET188" i="37" s="1"/>
  <c r="EQ188" i="37"/>
  <c r="EO188" i="37"/>
  <c r="EP188" i="37"/>
  <c r="EM188" i="37"/>
  <c r="ES187" i="37"/>
  <c r="ER187" i="37"/>
  <c r="ET187" i="37" s="1"/>
  <c r="EQ187" i="37"/>
  <c r="EO187" i="37"/>
  <c r="EP187" i="37"/>
  <c r="EM187" i="37"/>
  <c r="ES186" i="37"/>
  <c r="ER186" i="37"/>
  <c r="ET186" i="37" s="1"/>
  <c r="EQ186" i="37"/>
  <c r="EO186" i="37"/>
  <c r="EP186" i="37"/>
  <c r="EM186" i="37"/>
  <c r="ES185" i="37"/>
  <c r="ER185" i="37"/>
  <c r="ET185" i="37" s="1"/>
  <c r="EQ185" i="37"/>
  <c r="EO185" i="37"/>
  <c r="EO202" i="37" s="1"/>
  <c r="EM185" i="37"/>
  <c r="ES184" i="37"/>
  <c r="ER184" i="37"/>
  <c r="ET184" i="37" s="1"/>
  <c r="EQ184" i="37"/>
  <c r="EP184" i="37"/>
  <c r="EL183" i="37"/>
  <c r="EK183" i="37"/>
  <c r="EJ183" i="37"/>
  <c r="EI183" i="37"/>
  <c r="EH183" i="37"/>
  <c r="EG183" i="37"/>
  <c r="ED183" i="37"/>
  <c r="EC183" i="37"/>
  <c r="EB183" i="37"/>
  <c r="EA183" i="37"/>
  <c r="DY183" i="37"/>
  <c r="DV183" i="37"/>
  <c r="DU183" i="37"/>
  <c r="DT183" i="37"/>
  <c r="DS183" i="37"/>
  <c r="DO183" i="37"/>
  <c r="DN183" i="37"/>
  <c r="DM183" i="37"/>
  <c r="DH183" i="37"/>
  <c r="AL19" i="9" s="1"/>
  <c r="DG183" i="37"/>
  <c r="AL19" i="5" s="1"/>
  <c r="DF183" i="37"/>
  <c r="DE183" i="37"/>
  <c r="DD183" i="37"/>
  <c r="AK19" i="9" s="1"/>
  <c r="DC183" i="37"/>
  <c r="DB183" i="37"/>
  <c r="CZ183" i="37"/>
  <c r="CY183" i="37"/>
  <c r="CX183" i="37"/>
  <c r="AA19" i="9" s="1"/>
  <c r="CW183" i="37"/>
  <c r="AA19" i="5" s="1"/>
  <c r="CV183" i="37"/>
  <c r="CU183" i="37"/>
  <c r="CT183" i="37"/>
  <c r="Y19" i="9" s="1"/>
  <c r="CS183" i="37"/>
  <c r="Y19" i="5" s="1"/>
  <c r="CR183" i="37"/>
  <c r="CQ183" i="37"/>
  <c r="CN183" i="37"/>
  <c r="CM183" i="37"/>
  <c r="CJ183" i="37"/>
  <c r="Q19" i="9" s="1"/>
  <c r="CI183" i="37"/>
  <c r="Q19" i="5" s="1"/>
  <c r="CH183" i="37"/>
  <c r="CG183" i="37"/>
  <c r="CD183" i="37"/>
  <c r="W19" i="5" s="1"/>
  <c r="CC183" i="37"/>
  <c r="CB183" i="37"/>
  <c r="V19" i="9" s="1"/>
  <c r="CA183" i="37"/>
  <c r="BZ183" i="37"/>
  <c r="BY183" i="37"/>
  <c r="BX183" i="37"/>
  <c r="P19" i="9" s="1"/>
  <c r="BW183" i="37"/>
  <c r="BV183" i="37"/>
  <c r="U19" i="9" s="1"/>
  <c r="BU183" i="37"/>
  <c r="U19" i="5" s="1"/>
  <c r="BS183" i="37"/>
  <c r="BR183" i="37"/>
  <c r="T19" i="5" s="1"/>
  <c r="BQ183" i="37"/>
  <c r="BP183" i="37"/>
  <c r="S19" i="9" s="1"/>
  <c r="BO183" i="37"/>
  <c r="BN183" i="37"/>
  <c r="R19" i="9" s="1"/>
  <c r="BM183" i="37"/>
  <c r="R19" i="5" s="1"/>
  <c r="BL183" i="37"/>
  <c r="BK183" i="37"/>
  <c r="BJ183" i="37"/>
  <c r="O19" i="9" s="1"/>
  <c r="BI183" i="37"/>
  <c r="O19" i="5" s="1"/>
  <c r="BH183" i="37"/>
  <c r="BG183" i="37"/>
  <c r="BD183" i="37"/>
  <c r="N19" i="9" s="1"/>
  <c r="BC183" i="37"/>
  <c r="N19" i="5" s="1"/>
  <c r="BB183" i="37"/>
  <c r="BA183" i="37"/>
  <c r="AX183" i="37"/>
  <c r="AW183" i="37"/>
  <c r="AV183" i="37"/>
  <c r="AU183" i="37"/>
  <c r="AT183" i="37"/>
  <c r="AS183" i="37"/>
  <c r="J19" i="9" s="1"/>
  <c r="AR183" i="37"/>
  <c r="J19" i="5" s="1"/>
  <c r="AQ183" i="37"/>
  <c r="ES183" i="37" s="1"/>
  <c r="AP183" i="37"/>
  <c r="AO183" i="37"/>
  <c r="AN183" i="37"/>
  <c r="I19" i="5" s="1"/>
  <c r="AM183" i="37"/>
  <c r="AL183" i="37"/>
  <c r="AK183" i="37"/>
  <c r="AJ183" i="37"/>
  <c r="AI183" i="37"/>
  <c r="AH183" i="37"/>
  <c r="AG183" i="37"/>
  <c r="AF183" i="37"/>
  <c r="AE183" i="37"/>
  <c r="AB183" i="37"/>
  <c r="AJ19" i="9" s="1"/>
  <c r="AA183" i="37"/>
  <c r="AJ19" i="5" s="1"/>
  <c r="Z183" i="37"/>
  <c r="Y183" i="37"/>
  <c r="X183" i="37"/>
  <c r="M19" i="9" s="1"/>
  <c r="W183" i="37"/>
  <c r="M19" i="5" s="1"/>
  <c r="V183" i="37"/>
  <c r="U183" i="37"/>
  <c r="T183" i="37"/>
  <c r="L19" i="9" s="1"/>
  <c r="S183" i="37"/>
  <c r="L19" i="5" s="1"/>
  <c r="R183" i="37"/>
  <c r="Q183" i="37"/>
  <c r="P183" i="37"/>
  <c r="F19" i="9" s="1"/>
  <c r="O183" i="37"/>
  <c r="L183" i="37"/>
  <c r="E19" i="9" s="1"/>
  <c r="E18" i="9" s="1"/>
  <c r="K183" i="37"/>
  <c r="J183" i="37"/>
  <c r="D19" i="9" s="1"/>
  <c r="I183" i="37"/>
  <c r="H183" i="37"/>
  <c r="C19" i="9" s="1"/>
  <c r="G183" i="37"/>
  <c r="F183" i="37"/>
  <c r="B19" i="9" s="1"/>
  <c r="E183" i="37"/>
  <c r="B19" i="5" s="1"/>
  <c r="D183" i="37"/>
  <c r="C183" i="37"/>
  <c r="ES182" i="37"/>
  <c r="ER182" i="37"/>
  <c r="EQ182" i="37"/>
  <c r="EO182" i="37"/>
  <c r="ES181" i="37"/>
  <c r="ER181" i="37"/>
  <c r="EQ181" i="37"/>
  <c r="ET181" i="37" s="1"/>
  <c r="EO181" i="37"/>
  <c r="EM181" i="37"/>
  <c r="ES180" i="37"/>
  <c r="ER180" i="37"/>
  <c r="ET180" i="37" s="1"/>
  <c r="EQ180" i="37"/>
  <c r="EO180" i="37"/>
  <c r="EM180" i="37"/>
  <c r="ES179" i="37"/>
  <c r="ER179" i="37"/>
  <c r="EQ179" i="37"/>
  <c r="ET179" i="37" s="1"/>
  <c r="EO179" i="37"/>
  <c r="EM179" i="37"/>
  <c r="ES178" i="37"/>
  <c r="ER178" i="37"/>
  <c r="ET178" i="37" s="1"/>
  <c r="EQ178" i="37"/>
  <c r="EO178" i="37"/>
  <c r="EM178" i="37"/>
  <c r="ES177" i="37"/>
  <c r="ER177" i="37"/>
  <c r="EQ177" i="37"/>
  <c r="ET177" i="37" s="1"/>
  <c r="EO177" i="37"/>
  <c r="EM177" i="37"/>
  <c r="ES176" i="37"/>
  <c r="ER176" i="37"/>
  <c r="ET176" i="37" s="1"/>
  <c r="EQ176" i="37"/>
  <c r="EO176" i="37"/>
  <c r="EM176" i="37"/>
  <c r="ES175" i="37"/>
  <c r="ER175" i="37"/>
  <c r="EQ175" i="37"/>
  <c r="ET175" i="37" s="1"/>
  <c r="EO175" i="37"/>
  <c r="EM175" i="37"/>
  <c r="ES174" i="37"/>
  <c r="ER174" i="37"/>
  <c r="ET174" i="37" s="1"/>
  <c r="EQ174" i="37"/>
  <c r="EO174" i="37"/>
  <c r="EP174" i="37"/>
  <c r="EM174" i="37"/>
  <c r="ES173" i="37"/>
  <c r="ER173" i="37"/>
  <c r="ET173" i="37" s="1"/>
  <c r="EQ173" i="37"/>
  <c r="EO173" i="37"/>
  <c r="EP173" i="37"/>
  <c r="EM173" i="37"/>
  <c r="ES172" i="37"/>
  <c r="ER172" i="37"/>
  <c r="ET172" i="37" s="1"/>
  <c r="EQ172" i="37"/>
  <c r="EO172" i="37"/>
  <c r="EP172" i="37"/>
  <c r="EM172" i="37"/>
  <c r="ES171" i="37"/>
  <c r="ER171" i="37"/>
  <c r="ET171" i="37" s="1"/>
  <c r="EQ171" i="37"/>
  <c r="EO171" i="37"/>
  <c r="EP171" i="37"/>
  <c r="EM171" i="37"/>
  <c r="ES170" i="37"/>
  <c r="ER170" i="37"/>
  <c r="ET170" i="37" s="1"/>
  <c r="EQ170" i="37"/>
  <c r="EO170" i="37"/>
  <c r="EP170" i="37"/>
  <c r="EM170" i="37"/>
  <c r="ES169" i="37"/>
  <c r="ER169" i="37"/>
  <c r="ET169" i="37" s="1"/>
  <c r="EQ169" i="37"/>
  <c r="EO169" i="37"/>
  <c r="EP169" i="37"/>
  <c r="EM169" i="37"/>
  <c r="ES168" i="37"/>
  <c r="ER168" i="37"/>
  <c r="ET168" i="37" s="1"/>
  <c r="EQ168" i="37"/>
  <c r="EO168" i="37"/>
  <c r="EP168" i="37"/>
  <c r="EM168" i="37"/>
  <c r="ES167" i="37"/>
  <c r="ER167" i="37"/>
  <c r="ET167" i="37" s="1"/>
  <c r="EQ167" i="37"/>
  <c r="EO167" i="37"/>
  <c r="EP167" i="37"/>
  <c r="EM167" i="37"/>
  <c r="ES166" i="37"/>
  <c r="ER166" i="37"/>
  <c r="ET166" i="37" s="1"/>
  <c r="EQ166" i="37"/>
  <c r="EO166" i="37"/>
  <c r="EP166" i="37"/>
  <c r="EM166" i="37"/>
  <c r="ES165" i="37"/>
  <c r="ER165" i="37"/>
  <c r="ET165" i="37" s="1"/>
  <c r="EQ165" i="37"/>
  <c r="EO165" i="37"/>
  <c r="EM165" i="37"/>
  <c r="EP165" i="37" s="1"/>
  <c r="ES164" i="37"/>
  <c r="ER164" i="37"/>
  <c r="ET164" i="37" s="1"/>
  <c r="EQ164" i="37"/>
  <c r="EO164" i="37"/>
  <c r="EM164" i="37"/>
  <c r="EP164" i="37" s="1"/>
  <c r="ES163" i="37"/>
  <c r="ER163" i="37"/>
  <c r="ET163" i="37" s="1"/>
  <c r="EQ163" i="37"/>
  <c r="EO163" i="37"/>
  <c r="EP163" i="37"/>
  <c r="EM163" i="37"/>
  <c r="ES162" i="37"/>
  <c r="ER162" i="37"/>
  <c r="ET162" i="37" s="1"/>
  <c r="EQ162" i="37"/>
  <c r="EO162" i="37"/>
  <c r="EP162" i="37"/>
  <c r="EM162" i="37"/>
  <c r="ES161" i="37"/>
  <c r="ER161" i="37"/>
  <c r="ET161" i="37" s="1"/>
  <c r="EQ161" i="37"/>
  <c r="EO161" i="37"/>
  <c r="EP161" i="37"/>
  <c r="EM161" i="37"/>
  <c r="ES160" i="37"/>
  <c r="ER160" i="37"/>
  <c r="ET160" i="37" s="1"/>
  <c r="EQ160" i="37"/>
  <c r="EO160" i="37"/>
  <c r="EP160" i="37"/>
  <c r="EM160" i="37"/>
  <c r="ES159" i="37"/>
  <c r="ER159" i="37"/>
  <c r="ET159" i="37" s="1"/>
  <c r="EQ159" i="37"/>
  <c r="EO159" i="37"/>
  <c r="EP159" i="37"/>
  <c r="EM159" i="37"/>
  <c r="ES158" i="37"/>
  <c r="ER158" i="37"/>
  <c r="ET158" i="37" s="1"/>
  <c r="EQ158" i="37"/>
  <c r="EO158" i="37"/>
  <c r="EP158" i="37"/>
  <c r="EM158" i="37"/>
  <c r="ES157" i="37"/>
  <c r="ER157" i="37"/>
  <c r="ET157" i="37" s="1"/>
  <c r="EQ157" i="37"/>
  <c r="EO157" i="37"/>
  <c r="EP157" i="37"/>
  <c r="EM157" i="37"/>
  <c r="ES156" i="37"/>
  <c r="ER156" i="37"/>
  <c r="ET156" i="37" s="1"/>
  <c r="EQ156" i="37"/>
  <c r="EO156" i="37"/>
  <c r="EP156" i="37"/>
  <c r="EM156" i="37"/>
  <c r="ES155" i="37"/>
  <c r="EQ155" i="37"/>
  <c r="EO155" i="37"/>
  <c r="EP155" i="37"/>
  <c r="EM155" i="37"/>
  <c r="BT155" i="37"/>
  <c r="BT183" i="37" s="1"/>
  <c r="ES154" i="37"/>
  <c r="ER154" i="37"/>
  <c r="EQ154" i="37"/>
  <c r="ET154" i="37" s="1"/>
  <c r="EO154" i="37"/>
  <c r="EM154" i="37"/>
  <c r="EP154" i="37" s="1"/>
  <c r="ES153" i="37"/>
  <c r="EQ153" i="37"/>
  <c r="EO153" i="37"/>
  <c r="EO183" i="37" s="1"/>
  <c r="EM153" i="37"/>
  <c r="EP153" i="37" s="1"/>
  <c r="DZ153" i="37"/>
  <c r="DZ183" i="37" s="1"/>
  <c r="ES152" i="37"/>
  <c r="ER152" i="37"/>
  <c r="ET152" i="37" s="1"/>
  <c r="EQ152" i="37"/>
  <c r="EP152" i="37"/>
  <c r="EL150" i="37"/>
  <c r="EL151" i="37" s="1"/>
  <c r="EK150" i="37"/>
  <c r="EK151" i="37" s="1"/>
  <c r="EJ150" i="37"/>
  <c r="EJ151" i="37" s="1"/>
  <c r="EI150" i="37"/>
  <c r="EI151" i="37" s="1"/>
  <c r="EH150" i="37"/>
  <c r="EH151" i="37" s="1"/>
  <c r="EG150" i="37"/>
  <c r="EG151" i="37" s="1"/>
  <c r="ED150" i="37"/>
  <c r="ED151" i="37" s="1"/>
  <c r="EC150" i="37"/>
  <c r="EC151" i="37" s="1"/>
  <c r="EB150" i="37"/>
  <c r="EB151" i="37" s="1"/>
  <c r="EA150" i="37"/>
  <c r="EA151" i="37" s="1"/>
  <c r="DZ150" i="37"/>
  <c r="DZ151" i="37" s="1"/>
  <c r="DY150" i="37"/>
  <c r="DY151" i="37" s="1"/>
  <c r="DV150" i="37"/>
  <c r="DV151" i="37" s="1"/>
  <c r="DU150" i="37"/>
  <c r="DU151" i="37" s="1"/>
  <c r="DT150" i="37"/>
  <c r="DT151" i="37" s="1"/>
  <c r="DS150" i="37"/>
  <c r="DS151" i="37" s="1"/>
  <c r="DP150" i="37"/>
  <c r="DP151" i="37" s="1"/>
  <c r="DO150" i="37"/>
  <c r="DO151" i="37" s="1"/>
  <c r="DN150" i="37"/>
  <c r="DN151" i="37" s="1"/>
  <c r="DM150" i="37"/>
  <c r="DM151" i="37" s="1"/>
  <c r="DH150" i="37"/>
  <c r="DG150" i="37"/>
  <c r="DF150" i="37"/>
  <c r="DE150" i="37"/>
  <c r="DD150" i="37"/>
  <c r="DC150" i="37"/>
  <c r="DB150" i="37"/>
  <c r="DA150" i="37"/>
  <c r="CZ150" i="37"/>
  <c r="CY150" i="37"/>
  <c r="CX150" i="37"/>
  <c r="CW150" i="37"/>
  <c r="CV150" i="37"/>
  <c r="CU150" i="37"/>
  <c r="CT150" i="37"/>
  <c r="CS150" i="37"/>
  <c r="CR150" i="37"/>
  <c r="CQ150" i="37"/>
  <c r="CP150" i="37"/>
  <c r="CO150" i="37"/>
  <c r="CN150" i="37"/>
  <c r="CM150" i="37"/>
  <c r="CJ150" i="37"/>
  <c r="CI150" i="37"/>
  <c r="CH150" i="37"/>
  <c r="CG150" i="37"/>
  <c r="CD150" i="37"/>
  <c r="CC150" i="37"/>
  <c r="CB150" i="37"/>
  <c r="CA150" i="37"/>
  <c r="BZ150" i="37"/>
  <c r="BY150" i="37"/>
  <c r="BX150" i="37"/>
  <c r="BW150" i="37"/>
  <c r="BV150" i="37"/>
  <c r="BU150" i="37"/>
  <c r="BT150" i="37"/>
  <c r="BS150" i="37"/>
  <c r="BR150" i="37"/>
  <c r="BQ150" i="37"/>
  <c r="BP150" i="37"/>
  <c r="BO150" i="37"/>
  <c r="BN150" i="37"/>
  <c r="BM150" i="37"/>
  <c r="BL150" i="37"/>
  <c r="BK150" i="37"/>
  <c r="BJ150" i="37"/>
  <c r="BI150" i="37"/>
  <c r="BH150" i="37"/>
  <c r="BG150" i="37"/>
  <c r="BD150" i="37"/>
  <c r="BC150" i="37"/>
  <c r="BB150" i="37"/>
  <c r="BA150" i="37"/>
  <c r="AX150" i="37"/>
  <c r="AW150" i="37"/>
  <c r="AV150" i="37"/>
  <c r="AU150" i="37"/>
  <c r="AT150" i="37"/>
  <c r="AS150" i="37"/>
  <c r="AQ150" i="37"/>
  <c r="AP150" i="37"/>
  <c r="AO150" i="37"/>
  <c r="AN150" i="37"/>
  <c r="AM150" i="37"/>
  <c r="AL150" i="37"/>
  <c r="AK150" i="37"/>
  <c r="AJ150" i="37"/>
  <c r="AI150" i="37"/>
  <c r="AH150" i="37"/>
  <c r="AG150" i="37"/>
  <c r="AF150" i="37"/>
  <c r="AE150" i="37"/>
  <c r="AB150" i="37"/>
  <c r="AA150" i="37"/>
  <c r="Z150" i="37"/>
  <c r="Y150" i="37"/>
  <c r="X150" i="37"/>
  <c r="W150" i="37"/>
  <c r="V150" i="37"/>
  <c r="U150" i="37"/>
  <c r="T150" i="37"/>
  <c r="S150" i="37"/>
  <c r="R150" i="37"/>
  <c r="Q150" i="37"/>
  <c r="P150" i="37"/>
  <c r="O150" i="37"/>
  <c r="L150" i="37"/>
  <c r="K150" i="37"/>
  <c r="J150" i="37"/>
  <c r="I150" i="37"/>
  <c r="H150" i="37"/>
  <c r="G150" i="37"/>
  <c r="F150" i="37"/>
  <c r="E150" i="37"/>
  <c r="D150" i="37"/>
  <c r="C150" i="37"/>
  <c r="ES149" i="37"/>
  <c r="ER149" i="37"/>
  <c r="EQ149" i="37"/>
  <c r="ET149" i="37" s="1"/>
  <c r="EO149" i="37"/>
  <c r="EM149" i="37"/>
  <c r="EP149" i="37" s="1"/>
  <c r="ES148" i="37"/>
  <c r="ER148" i="37"/>
  <c r="EQ148" i="37"/>
  <c r="ET148" i="37" s="1"/>
  <c r="EO150" i="37"/>
  <c r="EN150" i="37"/>
  <c r="ES147" i="37"/>
  <c r="ER147" i="37"/>
  <c r="EQ147" i="37"/>
  <c r="ET147" i="37" s="1"/>
  <c r="EP147" i="37"/>
  <c r="EL146" i="37"/>
  <c r="EK146" i="37"/>
  <c r="EJ146" i="37"/>
  <c r="EI146" i="37"/>
  <c r="EH146" i="37"/>
  <c r="EG146" i="37"/>
  <c r="ED146" i="37"/>
  <c r="EC146" i="37"/>
  <c r="EB146" i="37"/>
  <c r="EA146" i="37"/>
  <c r="DZ146" i="37"/>
  <c r="DY146" i="37"/>
  <c r="DV146" i="37"/>
  <c r="DU146" i="37"/>
  <c r="DT146" i="37"/>
  <c r="DS146" i="37"/>
  <c r="DP146" i="37"/>
  <c r="DO146" i="37"/>
  <c r="DN146" i="37"/>
  <c r="DM146" i="37"/>
  <c r="DH146" i="37"/>
  <c r="DG146" i="37"/>
  <c r="DF146" i="37"/>
  <c r="DE146" i="37"/>
  <c r="DD146" i="37"/>
  <c r="DC146" i="37"/>
  <c r="DB146" i="37"/>
  <c r="DA146" i="37"/>
  <c r="CZ146" i="37"/>
  <c r="CY146" i="37"/>
  <c r="CX146" i="37"/>
  <c r="CW146" i="37"/>
  <c r="CV146" i="37"/>
  <c r="CU146" i="37"/>
  <c r="CT146" i="37"/>
  <c r="CS146" i="37"/>
  <c r="CR146" i="37"/>
  <c r="CQ146" i="37"/>
  <c r="CP146" i="37"/>
  <c r="CO146" i="37"/>
  <c r="CN146" i="37"/>
  <c r="CM146" i="37"/>
  <c r="CJ146" i="37"/>
  <c r="CI146" i="37"/>
  <c r="CH146" i="37"/>
  <c r="CG146" i="37"/>
  <c r="CD146" i="37"/>
  <c r="CC146" i="37"/>
  <c r="CB146" i="37"/>
  <c r="CA146" i="37"/>
  <c r="BZ146" i="37"/>
  <c r="BY146" i="37"/>
  <c r="BX146" i="37"/>
  <c r="BW146" i="37"/>
  <c r="BV146" i="37"/>
  <c r="BU146" i="37"/>
  <c r="BT146" i="37"/>
  <c r="BS146" i="37"/>
  <c r="BR146" i="37"/>
  <c r="BQ146" i="37"/>
  <c r="BP146" i="37"/>
  <c r="BO146" i="37"/>
  <c r="BN146" i="37"/>
  <c r="BM146" i="37"/>
  <c r="BL146" i="37"/>
  <c r="BK146" i="37"/>
  <c r="BJ146" i="37"/>
  <c r="BI146" i="37"/>
  <c r="BH146" i="37"/>
  <c r="BG146" i="37"/>
  <c r="BD146" i="37"/>
  <c r="BC146" i="37"/>
  <c r="BB146" i="37"/>
  <c r="BA146" i="37"/>
  <c r="AX146" i="37"/>
  <c r="AW146" i="37"/>
  <c r="AV146" i="37"/>
  <c r="AU146" i="37"/>
  <c r="AT146" i="37"/>
  <c r="AS146" i="37"/>
  <c r="AR146" i="37"/>
  <c r="AQ146" i="37"/>
  <c r="ES146" i="37" s="1"/>
  <c r="AP146" i="37"/>
  <c r="AO146" i="37"/>
  <c r="AN146" i="37"/>
  <c r="AM146" i="37"/>
  <c r="AL146" i="37"/>
  <c r="AK146" i="37"/>
  <c r="AJ146" i="37"/>
  <c r="AI146" i="37"/>
  <c r="AH146" i="37"/>
  <c r="AG146" i="37"/>
  <c r="AF146" i="37"/>
  <c r="AE146" i="37"/>
  <c r="AB146" i="37"/>
  <c r="AA146" i="37"/>
  <c r="Z146" i="37"/>
  <c r="Y146" i="37"/>
  <c r="X146" i="37"/>
  <c r="W146" i="37"/>
  <c r="V146" i="37"/>
  <c r="U146" i="37"/>
  <c r="T146" i="37"/>
  <c r="S146" i="37"/>
  <c r="R146" i="37"/>
  <c r="Q146" i="37"/>
  <c r="P146" i="37"/>
  <c r="O146" i="37"/>
  <c r="L146" i="37"/>
  <c r="K146" i="37"/>
  <c r="J146" i="37"/>
  <c r="I146" i="37"/>
  <c r="H146" i="37"/>
  <c r="G146" i="37"/>
  <c r="F146" i="37"/>
  <c r="E146" i="37"/>
  <c r="D146" i="37"/>
  <c r="C146" i="37"/>
  <c r="EQ146" i="37" s="1"/>
  <c r="ES145" i="37"/>
  <c r="ER145" i="37"/>
  <c r="ET145" i="37" s="1"/>
  <c r="EQ145" i="37"/>
  <c r="EO145" i="37"/>
  <c r="EP145" i="37"/>
  <c r="EM145" i="37"/>
  <c r="ES144" i="37"/>
  <c r="ER144" i="37"/>
  <c r="ET144" i="37" s="1"/>
  <c r="EQ144" i="37"/>
  <c r="EO144" i="37"/>
  <c r="EP144" i="37"/>
  <c r="EM144" i="37"/>
  <c r="ES143" i="37"/>
  <c r="ER143" i="37"/>
  <c r="ET143" i="37" s="1"/>
  <c r="EQ143" i="37"/>
  <c r="EO143" i="37"/>
  <c r="EP143" i="37"/>
  <c r="EM143" i="37"/>
  <c r="ES142" i="37"/>
  <c r="ER142" i="37"/>
  <c r="ET142" i="37" s="1"/>
  <c r="EQ142" i="37"/>
  <c r="EO142" i="37"/>
  <c r="EO146" i="37" s="1"/>
  <c r="EN146" i="37"/>
  <c r="EM142" i="37"/>
  <c r="EM146" i="37" s="1"/>
  <c r="ES141" i="37"/>
  <c r="ER141" i="37"/>
  <c r="ET141" i="37" s="1"/>
  <c r="EQ141" i="37"/>
  <c r="EP141" i="37"/>
  <c r="EL139" i="37"/>
  <c r="EK139" i="37"/>
  <c r="EJ139" i="37"/>
  <c r="EI139" i="37"/>
  <c r="EH139" i="37"/>
  <c r="EG139" i="37"/>
  <c r="ED139" i="37"/>
  <c r="EC139" i="37"/>
  <c r="EB139" i="37"/>
  <c r="EA139" i="37"/>
  <c r="DZ139" i="37"/>
  <c r="DY139" i="37"/>
  <c r="DV139" i="37"/>
  <c r="DU139" i="37"/>
  <c r="DT139" i="37"/>
  <c r="DS139" i="37"/>
  <c r="DP139" i="37"/>
  <c r="DO139" i="37"/>
  <c r="DN139" i="37"/>
  <c r="DM139" i="37"/>
  <c r="DH139" i="37"/>
  <c r="DG139" i="37"/>
  <c r="DF139" i="37"/>
  <c r="DE139" i="37"/>
  <c r="DD139" i="37"/>
  <c r="DC139" i="37"/>
  <c r="DB139" i="37"/>
  <c r="DA139" i="37"/>
  <c r="CZ139" i="37"/>
  <c r="CY139" i="37"/>
  <c r="CX139" i="37"/>
  <c r="CW139" i="37"/>
  <c r="CV139" i="37"/>
  <c r="CU139" i="37"/>
  <c r="CT139" i="37"/>
  <c r="CS139" i="37"/>
  <c r="CR139" i="37"/>
  <c r="CQ139" i="37"/>
  <c r="CP139" i="37"/>
  <c r="CO139" i="37"/>
  <c r="CN139" i="37"/>
  <c r="CM139" i="37"/>
  <c r="CJ139" i="37"/>
  <c r="CI139" i="37"/>
  <c r="CH139" i="37"/>
  <c r="CG139" i="37"/>
  <c r="CD139" i="37"/>
  <c r="CC139" i="37"/>
  <c r="CB139" i="37"/>
  <c r="CA139" i="37"/>
  <c r="BZ139" i="37"/>
  <c r="BY139" i="37"/>
  <c r="BX139" i="37"/>
  <c r="BW139" i="37"/>
  <c r="BV139" i="37"/>
  <c r="BU139" i="37"/>
  <c r="BT139" i="37"/>
  <c r="BS139" i="37"/>
  <c r="BR139" i="37"/>
  <c r="BQ139" i="37"/>
  <c r="BP139" i="37"/>
  <c r="BO139" i="37"/>
  <c r="BN139" i="37"/>
  <c r="BM139" i="37"/>
  <c r="BL139" i="37"/>
  <c r="BK139" i="37"/>
  <c r="BJ139" i="37"/>
  <c r="BI139" i="37"/>
  <c r="BH139" i="37"/>
  <c r="BG139" i="37"/>
  <c r="BD139" i="37"/>
  <c r="BC139" i="37"/>
  <c r="BB139" i="37"/>
  <c r="BA139" i="37"/>
  <c r="AX139" i="37"/>
  <c r="AW139" i="37"/>
  <c r="AV139" i="37"/>
  <c r="AU139" i="37"/>
  <c r="AT139" i="37"/>
  <c r="AS139" i="37"/>
  <c r="AR139" i="37"/>
  <c r="AQ139" i="37"/>
  <c r="ES139" i="37" s="1"/>
  <c r="AP139" i="37"/>
  <c r="AO139" i="37"/>
  <c r="AN139" i="37"/>
  <c r="AM139" i="37"/>
  <c r="AL139" i="37"/>
  <c r="AK139" i="37"/>
  <c r="AJ139" i="37"/>
  <c r="AI139" i="37"/>
  <c r="AF139" i="37"/>
  <c r="AE139" i="37"/>
  <c r="AB139" i="37"/>
  <c r="AA139" i="37"/>
  <c r="Z139" i="37"/>
  <c r="Y139" i="37"/>
  <c r="X139" i="37"/>
  <c r="W139" i="37"/>
  <c r="V139" i="37"/>
  <c r="U139" i="37"/>
  <c r="T139" i="37"/>
  <c r="S139" i="37"/>
  <c r="R139" i="37"/>
  <c r="Q139" i="37"/>
  <c r="P139" i="37"/>
  <c r="O139" i="37"/>
  <c r="L139" i="37"/>
  <c r="K139" i="37"/>
  <c r="J139" i="37"/>
  <c r="I139" i="37"/>
  <c r="H139" i="37"/>
  <c r="G139" i="37"/>
  <c r="F139" i="37"/>
  <c r="E139" i="37"/>
  <c r="D139" i="37"/>
  <c r="C139" i="37"/>
  <c r="EQ139" i="37" s="1"/>
  <c r="ES138" i="37"/>
  <c r="ER138" i="37"/>
  <c r="EQ138" i="37"/>
  <c r="ET138" i="37" s="1"/>
  <c r="EO138" i="37"/>
  <c r="ES137" i="37"/>
  <c r="ER137" i="37"/>
  <c r="EQ137" i="37"/>
  <c r="ET137" i="37" s="1"/>
  <c r="EO137" i="37"/>
  <c r="EM137" i="37"/>
  <c r="EP137" i="37" s="1"/>
  <c r="ES136" i="37"/>
  <c r="ER136" i="37"/>
  <c r="EQ136" i="37"/>
  <c r="ET136" i="37" s="1"/>
  <c r="EO136" i="37"/>
  <c r="EM136" i="37"/>
  <c r="EP136" i="37" s="1"/>
  <c r="ES135" i="37"/>
  <c r="ER135" i="37"/>
  <c r="EQ135" i="37"/>
  <c r="ET135" i="37" s="1"/>
  <c r="EO135" i="37"/>
  <c r="EM135" i="37"/>
  <c r="EP135" i="37" s="1"/>
  <c r="ES134" i="37"/>
  <c r="ER134" i="37"/>
  <c r="EQ134" i="37"/>
  <c r="ET134" i="37" s="1"/>
  <c r="EO134" i="37"/>
  <c r="EM134" i="37"/>
  <c r="EP134" i="37" s="1"/>
  <c r="ES133" i="37"/>
  <c r="ER133" i="37"/>
  <c r="EQ133" i="37"/>
  <c r="ET133" i="37" s="1"/>
  <c r="EO133" i="37"/>
  <c r="EM133" i="37"/>
  <c r="EP133" i="37" s="1"/>
  <c r="ES132" i="37"/>
  <c r="ER132" i="37"/>
  <c r="EQ132" i="37"/>
  <c r="ET132" i="37" s="1"/>
  <c r="EO132" i="37"/>
  <c r="EO139" i="37" s="1"/>
  <c r="EM132" i="37"/>
  <c r="EP132" i="37" s="1"/>
  <c r="ES131" i="37"/>
  <c r="ER131" i="37"/>
  <c r="EQ131" i="37"/>
  <c r="ET131" i="37" s="1"/>
  <c r="EP131" i="37"/>
  <c r="EL130" i="37"/>
  <c r="EK130" i="37"/>
  <c r="EJ130" i="37"/>
  <c r="EI130" i="37"/>
  <c r="EH130" i="37"/>
  <c r="EG130" i="37"/>
  <c r="ED130" i="37"/>
  <c r="EC130" i="37"/>
  <c r="EB130" i="37"/>
  <c r="EA130" i="37"/>
  <c r="DZ130" i="37"/>
  <c r="DY130" i="37"/>
  <c r="DV130" i="37"/>
  <c r="DU130" i="37"/>
  <c r="DT130" i="37"/>
  <c r="DS130" i="37"/>
  <c r="DP130" i="37"/>
  <c r="DO130" i="37"/>
  <c r="DN130" i="37"/>
  <c r="DM130" i="37"/>
  <c r="DH130" i="37"/>
  <c r="DG130" i="37"/>
  <c r="DF130" i="37"/>
  <c r="DE130" i="37"/>
  <c r="DD130" i="37"/>
  <c r="AK14" i="9" s="1"/>
  <c r="DC130" i="37"/>
  <c r="DB130" i="37"/>
  <c r="DA130" i="37"/>
  <c r="CZ130" i="37"/>
  <c r="CY130" i="37"/>
  <c r="CX130" i="37"/>
  <c r="CW130" i="37"/>
  <c r="CV130" i="37"/>
  <c r="CU130" i="37"/>
  <c r="CT130" i="37"/>
  <c r="CS130" i="37"/>
  <c r="CR130" i="37"/>
  <c r="CQ130" i="37"/>
  <c r="CP130" i="37"/>
  <c r="CO130" i="37"/>
  <c r="CN130" i="37"/>
  <c r="CM130" i="37"/>
  <c r="CJ130" i="37"/>
  <c r="CI130" i="37"/>
  <c r="CH130" i="37"/>
  <c r="CG130" i="37"/>
  <c r="CD130" i="37"/>
  <c r="CC130" i="37"/>
  <c r="CB130" i="37"/>
  <c r="CA130" i="37"/>
  <c r="BZ130" i="37"/>
  <c r="BY130" i="37"/>
  <c r="BX130" i="37"/>
  <c r="BW130" i="37"/>
  <c r="BV130" i="37"/>
  <c r="BU130" i="37"/>
  <c r="BT130" i="37"/>
  <c r="BS130" i="37"/>
  <c r="BR130" i="37"/>
  <c r="BQ130" i="37"/>
  <c r="BP130" i="37"/>
  <c r="BO130" i="37"/>
  <c r="BN130" i="37"/>
  <c r="BM130" i="37"/>
  <c r="BL130" i="37"/>
  <c r="BK130" i="37"/>
  <c r="BJ130" i="37"/>
  <c r="BI130" i="37"/>
  <c r="BH130" i="37"/>
  <c r="BG130" i="37"/>
  <c r="BD130" i="37"/>
  <c r="BC130" i="37"/>
  <c r="BB130" i="37"/>
  <c r="BA130" i="37"/>
  <c r="AX130" i="37"/>
  <c r="AW130" i="37"/>
  <c r="AV130" i="37"/>
  <c r="AU130" i="37"/>
  <c r="AT130" i="37"/>
  <c r="AS130" i="37"/>
  <c r="AR130" i="37"/>
  <c r="AQ130" i="37"/>
  <c r="ES130" i="37" s="1"/>
  <c r="AP130" i="37"/>
  <c r="AO130" i="37"/>
  <c r="AN130" i="37"/>
  <c r="AM130" i="37"/>
  <c r="AL130" i="37"/>
  <c r="AK130" i="37"/>
  <c r="AJ130" i="37"/>
  <c r="AI130" i="37"/>
  <c r="AH130" i="37"/>
  <c r="AG130" i="37"/>
  <c r="AF130" i="37"/>
  <c r="AE130" i="37"/>
  <c r="AB130" i="37"/>
  <c r="AA130" i="37"/>
  <c r="Z130" i="37"/>
  <c r="Y130" i="37"/>
  <c r="X130" i="37"/>
  <c r="W130" i="37"/>
  <c r="V130" i="37"/>
  <c r="U130" i="37"/>
  <c r="T130" i="37"/>
  <c r="S130" i="37"/>
  <c r="R130" i="37"/>
  <c r="Q130" i="37"/>
  <c r="P130" i="37"/>
  <c r="O130" i="37"/>
  <c r="L130" i="37"/>
  <c r="K130" i="37"/>
  <c r="J130" i="37"/>
  <c r="I130" i="37"/>
  <c r="H130" i="37"/>
  <c r="G130" i="37"/>
  <c r="F130" i="37"/>
  <c r="E130" i="37"/>
  <c r="D130" i="37"/>
  <c r="C130" i="37"/>
  <c r="EQ130" i="37" s="1"/>
  <c r="ES129" i="37"/>
  <c r="ER129" i="37"/>
  <c r="ET129" i="37" s="1"/>
  <c r="EQ129" i="37"/>
  <c r="EO129" i="37"/>
  <c r="EP129" i="37"/>
  <c r="EM129" i="37"/>
  <c r="ES128" i="37"/>
  <c r="ER128" i="37"/>
  <c r="ET128" i="37" s="1"/>
  <c r="EQ128" i="37"/>
  <c r="EO128" i="37"/>
  <c r="EO130" i="37" s="1"/>
  <c r="EN130" i="37"/>
  <c r="EM128" i="37"/>
  <c r="EM130" i="37" s="1"/>
  <c r="ES127" i="37"/>
  <c r="ER127" i="37"/>
  <c r="ET127" i="37" s="1"/>
  <c r="EQ127" i="37"/>
  <c r="EP127" i="37"/>
  <c r="EL126" i="37"/>
  <c r="EK126" i="37"/>
  <c r="EH126" i="37"/>
  <c r="EH140" i="37" s="1"/>
  <c r="EG126" i="37"/>
  <c r="EG140" i="37" s="1"/>
  <c r="ED126" i="37"/>
  <c r="ED140" i="37" s="1"/>
  <c r="EC126" i="37"/>
  <c r="EC140" i="37" s="1"/>
  <c r="EB126" i="37"/>
  <c r="EA126" i="37"/>
  <c r="EA140" i="37" s="1"/>
  <c r="DZ126" i="37"/>
  <c r="DZ140" i="37" s="1"/>
  <c r="DY126" i="37"/>
  <c r="DV126" i="37"/>
  <c r="DU126" i="37"/>
  <c r="DU140" i="37" s="1"/>
  <c r="DT126" i="37"/>
  <c r="DS126" i="37"/>
  <c r="DP126" i="37"/>
  <c r="DO126" i="37"/>
  <c r="DO140" i="37" s="1"/>
  <c r="DN126" i="37"/>
  <c r="DM126" i="37"/>
  <c r="DM140" i="37" s="1"/>
  <c r="DH126" i="37"/>
  <c r="DG126" i="37"/>
  <c r="DF126" i="37"/>
  <c r="DE126" i="37"/>
  <c r="DD126" i="37"/>
  <c r="DC126" i="37"/>
  <c r="DB126" i="37"/>
  <c r="DA126" i="37"/>
  <c r="CZ126" i="37"/>
  <c r="CY126" i="37"/>
  <c r="CX126" i="37"/>
  <c r="CW126" i="37"/>
  <c r="CT126" i="37"/>
  <c r="CS126" i="37"/>
  <c r="CQ126" i="37"/>
  <c r="CP126" i="37"/>
  <c r="CO126" i="37"/>
  <c r="CN126" i="37"/>
  <c r="CM126" i="37"/>
  <c r="CJ126" i="37"/>
  <c r="CI126" i="37"/>
  <c r="CH126" i="37"/>
  <c r="CG126" i="37"/>
  <c r="CD126" i="37"/>
  <c r="CC126" i="37"/>
  <c r="CB126" i="37"/>
  <c r="CA126" i="37"/>
  <c r="BZ126" i="37"/>
  <c r="BY126" i="37"/>
  <c r="BX126" i="37"/>
  <c r="BW126" i="37"/>
  <c r="BV126" i="37"/>
  <c r="BU126" i="37"/>
  <c r="BT126" i="37"/>
  <c r="BS126" i="37"/>
  <c r="BR126" i="37"/>
  <c r="BQ126" i="37"/>
  <c r="BP126" i="37"/>
  <c r="BO126" i="37"/>
  <c r="BN126" i="37"/>
  <c r="BM126" i="37"/>
  <c r="BL126" i="37"/>
  <c r="BK126" i="37"/>
  <c r="BJ126" i="37"/>
  <c r="BI126" i="37"/>
  <c r="BH126" i="37"/>
  <c r="BG126" i="37"/>
  <c r="BD126" i="37"/>
  <c r="BC126" i="37"/>
  <c r="BB126" i="37"/>
  <c r="BA126" i="37"/>
  <c r="AX126" i="37"/>
  <c r="AW126" i="37"/>
  <c r="AV126" i="37"/>
  <c r="AU126" i="37"/>
  <c r="AT126" i="37"/>
  <c r="AS126" i="37"/>
  <c r="AR126" i="37"/>
  <c r="AQ126" i="37"/>
  <c r="AP126" i="37"/>
  <c r="AO126" i="37"/>
  <c r="AN126" i="37"/>
  <c r="AM126" i="37"/>
  <c r="AL126" i="37"/>
  <c r="AK126" i="37"/>
  <c r="AJ126" i="37"/>
  <c r="AI126" i="37"/>
  <c r="AH126" i="37"/>
  <c r="AG126" i="37"/>
  <c r="AF126" i="37"/>
  <c r="AE126" i="37"/>
  <c r="AA126" i="37"/>
  <c r="Y126" i="37"/>
  <c r="X126" i="37"/>
  <c r="W126" i="37"/>
  <c r="V126" i="37"/>
  <c r="T126" i="37"/>
  <c r="S126" i="37"/>
  <c r="R126" i="37"/>
  <c r="Q126" i="37"/>
  <c r="F16" i="9"/>
  <c r="L126" i="37"/>
  <c r="E16" i="9" s="1"/>
  <c r="K126" i="37"/>
  <c r="J126" i="37"/>
  <c r="I126" i="37"/>
  <c r="H126" i="37"/>
  <c r="G126" i="37"/>
  <c r="F126" i="37"/>
  <c r="B16" i="9" s="1"/>
  <c r="E126" i="37"/>
  <c r="D126" i="37"/>
  <c r="C126" i="37"/>
  <c r="EO125" i="37"/>
  <c r="EM125" i="37"/>
  <c r="U125" i="37"/>
  <c r="U126" i="37" s="1"/>
  <c r="ES124" i="37"/>
  <c r="EQ124" i="37"/>
  <c r="EO124" i="37"/>
  <c r="EM124" i="37"/>
  <c r="EP124" i="37" s="1"/>
  <c r="O124" i="37"/>
  <c r="ER124" i="37" s="1"/>
  <c r="ES123" i="37"/>
  <c r="EQ123" i="37"/>
  <c r="EO123" i="37"/>
  <c r="EM123" i="37"/>
  <c r="EP123" i="37" s="1"/>
  <c r="EJ123" i="37"/>
  <c r="ER123" i="37" s="1"/>
  <c r="ES122" i="37"/>
  <c r="EQ122" i="37"/>
  <c r="EO122" i="37"/>
  <c r="EM122" i="37"/>
  <c r="EP122" i="37" s="1"/>
  <c r="EJ122" i="37"/>
  <c r="ER122" i="37" s="1"/>
  <c r="ES121" i="37"/>
  <c r="EQ121" i="37"/>
  <c r="EO121" i="37"/>
  <c r="EM121" i="37"/>
  <c r="EJ121" i="37"/>
  <c r="AB121" i="37"/>
  <c r="AB126" i="37" s="1"/>
  <c r="Z121" i="37"/>
  <c r="Z126" i="37" s="1"/>
  <c r="ES120" i="37"/>
  <c r="EO120" i="37"/>
  <c r="EM120" i="37"/>
  <c r="EP120" i="37" s="1"/>
  <c r="CV120" i="37"/>
  <c r="CV126" i="37" s="1"/>
  <c r="CU120" i="37"/>
  <c r="CU126" i="37" s="1"/>
  <c r="O120" i="37"/>
  <c r="ER120" i="37" s="1"/>
  <c r="ES119" i="37"/>
  <c r="EO119" i="37"/>
  <c r="EM119" i="37"/>
  <c r="EP119" i="37" s="1"/>
  <c r="EJ119" i="37"/>
  <c r="EJ126" i="37" s="1"/>
  <c r="EJ140" i="37" s="1"/>
  <c r="EI119" i="37"/>
  <c r="EQ119" i="37" s="1"/>
  <c r="CR119" i="37"/>
  <c r="CR126" i="37" s="1"/>
  <c r="ES118" i="37"/>
  <c r="EQ118" i="37"/>
  <c r="EO118" i="37"/>
  <c r="EO126" i="37" s="1"/>
  <c r="EP118" i="37"/>
  <c r="O118" i="37"/>
  <c r="ER118" i="37" s="1"/>
  <c r="ES117" i="37"/>
  <c r="ER117" i="37"/>
  <c r="EQ117" i="37"/>
  <c r="ET117" i="37" s="1"/>
  <c r="EP117" i="37"/>
  <c r="EL116" i="37"/>
  <c r="EK116" i="37"/>
  <c r="EJ116" i="37"/>
  <c r="EI116" i="37"/>
  <c r="EH116" i="37"/>
  <c r="EG116" i="37"/>
  <c r="ED116" i="37"/>
  <c r="EC116" i="37"/>
  <c r="EB116" i="37"/>
  <c r="EA116" i="37"/>
  <c r="DZ116" i="37"/>
  <c r="DY116" i="37"/>
  <c r="DV116" i="37"/>
  <c r="DU116" i="37"/>
  <c r="DT116" i="37"/>
  <c r="DS116" i="37"/>
  <c r="DP116" i="37"/>
  <c r="DO116" i="37"/>
  <c r="DN116" i="37"/>
  <c r="DM116" i="37"/>
  <c r="DH116" i="37"/>
  <c r="AL15" i="9" s="1"/>
  <c r="DG116" i="37"/>
  <c r="AL15" i="5" s="1"/>
  <c r="DF116" i="37"/>
  <c r="DE116" i="37"/>
  <c r="DD116" i="37"/>
  <c r="AK15" i="9" s="1"/>
  <c r="DC116" i="37"/>
  <c r="DB116" i="37"/>
  <c r="DA116" i="37"/>
  <c r="CZ116" i="37"/>
  <c r="CY116" i="37"/>
  <c r="CX116" i="37"/>
  <c r="AA15" i="9" s="1"/>
  <c r="CW116" i="37"/>
  <c r="AA15" i="5" s="1"/>
  <c r="CV116" i="37"/>
  <c r="CU116" i="37"/>
  <c r="CT116" i="37"/>
  <c r="Y15" i="9" s="1"/>
  <c r="CS116" i="37"/>
  <c r="Y15" i="5" s="1"/>
  <c r="CR116" i="37"/>
  <c r="CQ116" i="37"/>
  <c r="CP116" i="37"/>
  <c r="CO116" i="37"/>
  <c r="CN116" i="37"/>
  <c r="CM116" i="37"/>
  <c r="CJ116" i="37"/>
  <c r="Q15" i="9" s="1"/>
  <c r="CI116" i="37"/>
  <c r="Q15" i="5" s="1"/>
  <c r="CH116" i="37"/>
  <c r="CD116" i="37"/>
  <c r="W15" i="5" s="1"/>
  <c r="CC116" i="37"/>
  <c r="CB116" i="37"/>
  <c r="V15" i="9" s="1"/>
  <c r="CA116" i="37"/>
  <c r="BZ116" i="37"/>
  <c r="BY116" i="37"/>
  <c r="BX116" i="37"/>
  <c r="P15" i="9" s="1"/>
  <c r="BW116" i="37"/>
  <c r="BV116" i="37"/>
  <c r="U15" i="9" s="1"/>
  <c r="BU116" i="37"/>
  <c r="U15" i="5" s="1"/>
  <c r="BT116" i="37"/>
  <c r="BS116" i="37"/>
  <c r="BR116" i="37"/>
  <c r="T15" i="5" s="1"/>
  <c r="BQ116" i="37"/>
  <c r="BP116" i="37"/>
  <c r="S15" i="9" s="1"/>
  <c r="BO116" i="37"/>
  <c r="BN116" i="37"/>
  <c r="R15" i="9" s="1"/>
  <c r="BM116" i="37"/>
  <c r="R15" i="5" s="1"/>
  <c r="BL116" i="37"/>
  <c r="BK116" i="37"/>
  <c r="BJ116" i="37"/>
  <c r="O15" i="9" s="1"/>
  <c r="BI116" i="37"/>
  <c r="O15" i="5" s="1"/>
  <c r="BH116" i="37"/>
  <c r="BG116" i="37"/>
  <c r="BD116" i="37"/>
  <c r="N15" i="9" s="1"/>
  <c r="BC116" i="37"/>
  <c r="N15" i="5" s="1"/>
  <c r="BB116" i="37"/>
  <c r="BA116" i="37"/>
  <c r="AX116" i="37"/>
  <c r="AW116" i="37"/>
  <c r="AV116" i="37"/>
  <c r="AU116" i="37"/>
  <c r="AT116" i="37"/>
  <c r="AS116" i="37"/>
  <c r="J15" i="9" s="1"/>
  <c r="AR116" i="37"/>
  <c r="AQ116" i="37"/>
  <c r="ES116" i="37" s="1"/>
  <c r="AP116" i="37"/>
  <c r="AO116" i="37"/>
  <c r="AN116" i="37"/>
  <c r="I15" i="5" s="1"/>
  <c r="AM116" i="37"/>
  <c r="AL116" i="37"/>
  <c r="AK116" i="37"/>
  <c r="AJ116" i="37"/>
  <c r="AI116" i="37"/>
  <c r="AH116" i="37"/>
  <c r="AG116" i="37"/>
  <c r="AF116" i="37"/>
  <c r="AE116" i="37"/>
  <c r="AB116" i="37"/>
  <c r="AJ15" i="9" s="1"/>
  <c r="AJ12" i="9" s="1"/>
  <c r="AA116" i="37"/>
  <c r="AJ15" i="5" s="1"/>
  <c r="Z116" i="37"/>
  <c r="Y116" i="37"/>
  <c r="X116" i="37"/>
  <c r="M15" i="9" s="1"/>
  <c r="W116" i="37"/>
  <c r="M15" i="5" s="1"/>
  <c r="V116" i="37"/>
  <c r="U116" i="37"/>
  <c r="T116" i="37"/>
  <c r="L15" i="9" s="1"/>
  <c r="S116" i="37"/>
  <c r="L15" i="5" s="1"/>
  <c r="R116" i="37"/>
  <c r="Q116" i="37"/>
  <c r="P116" i="37"/>
  <c r="F15" i="9" s="1"/>
  <c r="O116" i="37"/>
  <c r="L116" i="37"/>
  <c r="E15" i="9" s="1"/>
  <c r="E12" i="9" s="1"/>
  <c r="K116" i="37"/>
  <c r="J116" i="37"/>
  <c r="D15" i="9" s="1"/>
  <c r="I116" i="37"/>
  <c r="H116" i="37"/>
  <c r="C15" i="9" s="1"/>
  <c r="G116" i="37"/>
  <c r="F116" i="37"/>
  <c r="B15" i="9" s="1"/>
  <c r="B12" i="9" s="1"/>
  <c r="E116" i="37"/>
  <c r="B15" i="5" s="1"/>
  <c r="D116" i="37"/>
  <c r="ER116" i="37" s="1"/>
  <c r="C116" i="37"/>
  <c r="ES115" i="37"/>
  <c r="ER115" i="37"/>
  <c r="EQ115" i="37"/>
  <c r="ET115" i="37" s="1"/>
  <c r="EO115" i="37"/>
  <c r="EM115" i="37"/>
  <c r="EP115" i="37" s="1"/>
  <c r="ES114" i="37"/>
  <c r="ER114" i="37"/>
  <c r="EQ114" i="37"/>
  <c r="ET114" i="37" s="1"/>
  <c r="EO114" i="37"/>
  <c r="EP114" i="37"/>
  <c r="EM114" i="37"/>
  <c r="ES113" i="37"/>
  <c r="ER113" i="37"/>
  <c r="ET113" i="37" s="1"/>
  <c r="EQ113" i="37"/>
  <c r="EO113" i="37"/>
  <c r="EM113" i="37"/>
  <c r="EP113" i="37" s="1"/>
  <c r="ES112" i="37"/>
  <c r="ER112" i="37"/>
  <c r="EO112" i="37"/>
  <c r="EM112" i="37"/>
  <c r="EP112" i="37" s="1"/>
  <c r="CG112" i="37"/>
  <c r="CG116" i="37" s="1"/>
  <c r="ES111" i="37"/>
  <c r="ER111" i="37"/>
  <c r="EQ111" i="37"/>
  <c r="ET111" i="37" s="1"/>
  <c r="EO111" i="37"/>
  <c r="EO116" i="37" s="1"/>
  <c r="EN116" i="37"/>
  <c r="EM111" i="37"/>
  <c r="ES110" i="37"/>
  <c r="ER110" i="37"/>
  <c r="EQ110" i="37"/>
  <c r="ET110" i="37" s="1"/>
  <c r="EP110" i="37"/>
  <c r="EL109" i="37"/>
  <c r="EK109" i="37"/>
  <c r="EJ109" i="37"/>
  <c r="EI109" i="37"/>
  <c r="EH109" i="37"/>
  <c r="EG109" i="37"/>
  <c r="ED109" i="37"/>
  <c r="EC109" i="37"/>
  <c r="EB109" i="37"/>
  <c r="EA109" i="37"/>
  <c r="DZ109" i="37"/>
  <c r="DY109" i="37"/>
  <c r="DV109" i="37"/>
  <c r="DU109" i="37"/>
  <c r="DT109" i="37"/>
  <c r="DS109" i="37"/>
  <c r="DP109" i="37"/>
  <c r="DO109" i="37"/>
  <c r="DN109" i="37"/>
  <c r="DM109" i="37"/>
  <c r="DH109" i="37"/>
  <c r="AL11" i="9" s="1"/>
  <c r="DG109" i="37"/>
  <c r="AL11" i="5" s="1"/>
  <c r="DF109" i="37"/>
  <c r="DE109" i="37"/>
  <c r="DD109" i="37"/>
  <c r="AK11" i="9" s="1"/>
  <c r="DC109" i="37"/>
  <c r="DB109" i="37"/>
  <c r="DA109" i="37"/>
  <c r="CZ109" i="37"/>
  <c r="CY109" i="37"/>
  <c r="CX109" i="37"/>
  <c r="AA11" i="9" s="1"/>
  <c r="CW109" i="37"/>
  <c r="AA11" i="5" s="1"/>
  <c r="CV109" i="37"/>
  <c r="CU109" i="37"/>
  <c r="CT109" i="37"/>
  <c r="Y11" i="9" s="1"/>
  <c r="CS109" i="37"/>
  <c r="Y11" i="5" s="1"/>
  <c r="CR109" i="37"/>
  <c r="CQ109" i="37"/>
  <c r="CP109" i="37"/>
  <c r="CO109" i="37"/>
  <c r="CN109" i="37"/>
  <c r="CM109" i="37"/>
  <c r="CJ109" i="37"/>
  <c r="Q11" i="9" s="1"/>
  <c r="CI109" i="37"/>
  <c r="Q11" i="5" s="1"/>
  <c r="CH109" i="37"/>
  <c r="CG109" i="37"/>
  <c r="CD109" i="37"/>
  <c r="W11" i="5" s="1"/>
  <c r="CC109" i="37"/>
  <c r="CB109" i="37"/>
  <c r="V11" i="9" s="1"/>
  <c r="CA109" i="37"/>
  <c r="BZ109" i="37"/>
  <c r="BY109" i="37"/>
  <c r="BX109" i="37"/>
  <c r="P11" i="9" s="1"/>
  <c r="BW109" i="37"/>
  <c r="BV109" i="37"/>
  <c r="U11" i="9" s="1"/>
  <c r="BU109" i="37"/>
  <c r="U11" i="5" s="1"/>
  <c r="BT109" i="37"/>
  <c r="BS109" i="37"/>
  <c r="BR109" i="37"/>
  <c r="T11" i="5" s="1"/>
  <c r="BQ109" i="37"/>
  <c r="BP109" i="37"/>
  <c r="S11" i="9" s="1"/>
  <c r="BO109" i="37"/>
  <c r="BN109" i="37"/>
  <c r="R11" i="9" s="1"/>
  <c r="BM109" i="37"/>
  <c r="R11" i="5" s="1"/>
  <c r="BL109" i="37"/>
  <c r="BK109" i="37"/>
  <c r="BJ109" i="37"/>
  <c r="O11" i="9" s="1"/>
  <c r="BI109" i="37"/>
  <c r="O11" i="5" s="1"/>
  <c r="BH109" i="37"/>
  <c r="BG109" i="37"/>
  <c r="BD109" i="37"/>
  <c r="N11" i="9" s="1"/>
  <c r="BC109" i="37"/>
  <c r="N11" i="5" s="1"/>
  <c r="AX109" i="37"/>
  <c r="AW109" i="37"/>
  <c r="AV109" i="37"/>
  <c r="AU109" i="37"/>
  <c r="AT109" i="37"/>
  <c r="AS109" i="37"/>
  <c r="J11" i="9" s="1"/>
  <c r="AR109" i="37"/>
  <c r="J11" i="5" s="1"/>
  <c r="AQ109" i="37"/>
  <c r="ES109" i="37" s="1"/>
  <c r="AP109" i="37"/>
  <c r="AO109" i="37"/>
  <c r="AN109" i="37"/>
  <c r="I11" i="5" s="1"/>
  <c r="AM109" i="37"/>
  <c r="AL109" i="37"/>
  <c r="AK109" i="37"/>
  <c r="AJ109" i="37"/>
  <c r="AI109" i="37"/>
  <c r="AH109" i="37"/>
  <c r="AG109" i="37"/>
  <c r="AF109" i="37"/>
  <c r="AE109" i="37"/>
  <c r="AB109" i="37"/>
  <c r="AJ11" i="9" s="1"/>
  <c r="AA109" i="37"/>
  <c r="AJ11" i="5" s="1"/>
  <c r="Z109" i="37"/>
  <c r="Y109" i="37"/>
  <c r="X109" i="37"/>
  <c r="M11" i="9" s="1"/>
  <c r="W109" i="37"/>
  <c r="M11" i="5" s="1"/>
  <c r="V109" i="37"/>
  <c r="U109" i="37"/>
  <c r="T109" i="37"/>
  <c r="L11" i="9" s="1"/>
  <c r="S109" i="37"/>
  <c r="L11" i="5" s="1"/>
  <c r="R109" i="37"/>
  <c r="Q109" i="37"/>
  <c r="P109" i="37"/>
  <c r="F11" i="9" s="1"/>
  <c r="O109" i="37"/>
  <c r="L109" i="37"/>
  <c r="E11" i="9" s="1"/>
  <c r="K109" i="37"/>
  <c r="J109" i="37"/>
  <c r="D11" i="9" s="1"/>
  <c r="I109" i="37"/>
  <c r="H109" i="37"/>
  <c r="C11" i="9" s="1"/>
  <c r="G109" i="37"/>
  <c r="F109" i="37"/>
  <c r="B11" i="9" s="1"/>
  <c r="E109" i="37"/>
  <c r="B11" i="5" s="1"/>
  <c r="D109" i="37"/>
  <c r="C109" i="37"/>
  <c r="EO108" i="37"/>
  <c r="EM108" i="37"/>
  <c r="ES107" i="37"/>
  <c r="ER107" i="37"/>
  <c r="EQ107" i="37"/>
  <c r="ET107" i="37" s="1"/>
  <c r="EO107" i="37"/>
  <c r="EM107" i="37"/>
  <c r="EP107" i="37" s="1"/>
  <c r="ES106" i="37"/>
  <c r="ER106" i="37"/>
  <c r="EQ106" i="37"/>
  <c r="ET106" i="37" s="1"/>
  <c r="EO106" i="37"/>
  <c r="EP106" i="37"/>
  <c r="EM106" i="37"/>
  <c r="ES105" i="37"/>
  <c r="EQ105" i="37"/>
  <c r="EO105" i="37"/>
  <c r="EP105" i="37"/>
  <c r="EM105" i="37"/>
  <c r="BB105" i="37"/>
  <c r="ER105" i="37" s="1"/>
  <c r="ET105" i="37" s="1"/>
  <c r="ES104" i="37"/>
  <c r="EQ104" i="37"/>
  <c r="EO104" i="37"/>
  <c r="EM104" i="37"/>
  <c r="BB104" i="37"/>
  <c r="ER104" i="37" s="1"/>
  <c r="ES103" i="37"/>
  <c r="ER103" i="37"/>
  <c r="EQ103" i="37"/>
  <c r="ET103" i="37" s="1"/>
  <c r="EO103" i="37"/>
  <c r="EM103" i="37"/>
  <c r="EP103" i="37" s="1"/>
  <c r="ES102" i="37"/>
  <c r="EQ102" i="37"/>
  <c r="EO102" i="37"/>
  <c r="EM102" i="37"/>
  <c r="EP102" i="37" s="1"/>
  <c r="BB102" i="37"/>
  <c r="ER102" i="37" s="1"/>
  <c r="ES101" i="37"/>
  <c r="EQ101" i="37"/>
  <c r="EO101" i="37"/>
  <c r="EP101" i="37"/>
  <c r="EM101" i="37"/>
  <c r="BB101" i="37"/>
  <c r="ER101" i="37" s="1"/>
  <c r="ET101" i="37" s="1"/>
  <c r="ES100" i="37"/>
  <c r="EQ100" i="37"/>
  <c r="EO100" i="37"/>
  <c r="EM100" i="37"/>
  <c r="EP100" i="37" s="1"/>
  <c r="BB100" i="37"/>
  <c r="BB109" i="37" s="1"/>
  <c r="ES99" i="37"/>
  <c r="ER99" i="37"/>
  <c r="EO99" i="37"/>
  <c r="EP99" i="37"/>
  <c r="EM99" i="37"/>
  <c r="BA99" i="37"/>
  <c r="EQ99" i="37" s="1"/>
  <c r="ET99" i="37" s="1"/>
  <c r="ES98" i="37"/>
  <c r="ER98" i="37"/>
  <c r="EQ98" i="37"/>
  <c r="ET98" i="37" s="1"/>
  <c r="EO98" i="37"/>
  <c r="EM98" i="37"/>
  <c r="EP98" i="37" s="1"/>
  <c r="BA98" i="37"/>
  <c r="ES97" i="37"/>
  <c r="ER97" i="37"/>
  <c r="EO97" i="37"/>
  <c r="EP97" i="37"/>
  <c r="EM97" i="37"/>
  <c r="BA97" i="37"/>
  <c r="EQ97" i="37" s="1"/>
  <c r="ET97" i="37" s="1"/>
  <c r="ES96" i="37"/>
  <c r="ER96" i="37"/>
  <c r="EQ96" i="37"/>
  <c r="ET96" i="37" s="1"/>
  <c r="EO96" i="37"/>
  <c r="EM96" i="37"/>
  <c r="EP96" i="37" s="1"/>
  <c r="BA96" i="37"/>
  <c r="ES95" i="37"/>
  <c r="ER95" i="37"/>
  <c r="EO95" i="37"/>
  <c r="EP95" i="37"/>
  <c r="EM95" i="37"/>
  <c r="BA95" i="37"/>
  <c r="EQ95" i="37" s="1"/>
  <c r="ET95" i="37" s="1"/>
  <c r="ES94" i="37"/>
  <c r="ER94" i="37"/>
  <c r="EQ94" i="37"/>
  <c r="ET94" i="37" s="1"/>
  <c r="EO94" i="37"/>
  <c r="EM94" i="37"/>
  <c r="EP94" i="37" s="1"/>
  <c r="ES93" i="37"/>
  <c r="ER93" i="37"/>
  <c r="EQ93" i="37"/>
  <c r="ET93" i="37" s="1"/>
  <c r="EP93" i="37"/>
  <c r="EL92" i="37"/>
  <c r="EK92" i="37"/>
  <c r="EJ92" i="37"/>
  <c r="EI92" i="37"/>
  <c r="EH92" i="37"/>
  <c r="EG92" i="37"/>
  <c r="ED92" i="37"/>
  <c r="EC92" i="37"/>
  <c r="EB92" i="37"/>
  <c r="AM10" i="9" s="1"/>
  <c r="EA92" i="37"/>
  <c r="DZ92" i="37"/>
  <c r="DV92" i="37"/>
  <c r="AI10" i="9" s="1"/>
  <c r="AI7" i="9" s="1"/>
  <c r="AI26" i="9" s="1"/>
  <c r="AI6" i="9" s="1"/>
  <c r="DU92" i="37"/>
  <c r="DO92" i="37"/>
  <c r="DN92" i="37"/>
  <c r="DM92" i="37"/>
  <c r="DH92" i="37"/>
  <c r="AL10" i="9" s="1"/>
  <c r="DG92" i="37"/>
  <c r="AL10" i="5" s="1"/>
  <c r="DF92" i="37"/>
  <c r="DE92" i="37"/>
  <c r="DD92" i="37"/>
  <c r="AK10" i="9" s="1"/>
  <c r="DC92" i="37"/>
  <c r="CZ92" i="37"/>
  <c r="CY92" i="37"/>
  <c r="CX92" i="37"/>
  <c r="AA10" i="9" s="1"/>
  <c r="CW92" i="37"/>
  <c r="AA10" i="5" s="1"/>
  <c r="CV92" i="37"/>
  <c r="CU92" i="37"/>
  <c r="CT92" i="37"/>
  <c r="Y10" i="9" s="1"/>
  <c r="CS92" i="37"/>
  <c r="Y10" i="5" s="1"/>
  <c r="CR92" i="37"/>
  <c r="CQ92" i="37"/>
  <c r="CN92" i="37"/>
  <c r="CM92" i="37"/>
  <c r="CJ92" i="37"/>
  <c r="Q10" i="9" s="1"/>
  <c r="CI92" i="37"/>
  <c r="Q10" i="5" s="1"/>
  <c r="CH92" i="37"/>
  <c r="CG92" i="37"/>
  <c r="CD92" i="37"/>
  <c r="W10" i="5" s="1"/>
  <c r="CC92" i="37"/>
  <c r="CB92" i="37"/>
  <c r="V10" i="9" s="1"/>
  <c r="CA92" i="37"/>
  <c r="BZ92" i="37"/>
  <c r="BY92" i="37"/>
  <c r="BX92" i="37"/>
  <c r="P10" i="9" s="1"/>
  <c r="BW92" i="37"/>
  <c r="BV92" i="37"/>
  <c r="U10" i="9" s="1"/>
  <c r="BU92" i="37"/>
  <c r="U10" i="5" s="1"/>
  <c r="BT92" i="37"/>
  <c r="BR92" i="37"/>
  <c r="T10" i="5" s="1"/>
  <c r="BQ92" i="37"/>
  <c r="BP92" i="37"/>
  <c r="S10" i="9" s="1"/>
  <c r="BN92" i="37"/>
  <c r="R10" i="9" s="1"/>
  <c r="BM92" i="37"/>
  <c r="R10" i="5" s="1"/>
  <c r="BL92" i="37"/>
  <c r="BJ92" i="37"/>
  <c r="O10" i="9" s="1"/>
  <c r="BI92" i="37"/>
  <c r="O10" i="5" s="1"/>
  <c r="BH92" i="37"/>
  <c r="BD92" i="37"/>
  <c r="N10" i="9" s="1"/>
  <c r="BC92" i="37"/>
  <c r="N10" i="5" s="1"/>
  <c r="BB92" i="37"/>
  <c r="BA92" i="37"/>
  <c r="AX92" i="37"/>
  <c r="AW92" i="37"/>
  <c r="AV92" i="37"/>
  <c r="AU92" i="37"/>
  <c r="AT92" i="37"/>
  <c r="AS92" i="37"/>
  <c r="J10" i="9" s="1"/>
  <c r="AR92" i="37"/>
  <c r="J10" i="5" s="1"/>
  <c r="AQ92" i="37"/>
  <c r="ES92" i="37" s="1"/>
  <c r="AP92" i="37"/>
  <c r="AO92" i="37"/>
  <c r="AN92" i="37"/>
  <c r="I10" i="5" s="1"/>
  <c r="AM92" i="37"/>
  <c r="AL92" i="37"/>
  <c r="AK92" i="37"/>
  <c r="AJ92" i="37"/>
  <c r="AI92" i="37"/>
  <c r="AH92" i="37"/>
  <c r="AG92" i="37"/>
  <c r="AF92" i="37"/>
  <c r="AE92" i="37"/>
  <c r="AB92" i="37"/>
  <c r="AJ10" i="9" s="1"/>
  <c r="AA92" i="37"/>
  <c r="AJ10" i="5" s="1"/>
  <c r="Y92" i="37"/>
  <c r="X92" i="37"/>
  <c r="M10" i="9" s="1"/>
  <c r="W92" i="37"/>
  <c r="M10" i="5" s="1"/>
  <c r="V92" i="37"/>
  <c r="T92" i="37"/>
  <c r="L10" i="9" s="1"/>
  <c r="S92" i="37"/>
  <c r="L10" i="5" s="1"/>
  <c r="R92" i="37"/>
  <c r="Q92" i="37"/>
  <c r="P92" i="37"/>
  <c r="F10" i="9" s="1"/>
  <c r="O92" i="37"/>
  <c r="L92" i="37"/>
  <c r="E10" i="9" s="1"/>
  <c r="K92" i="37"/>
  <c r="J92" i="37"/>
  <c r="D10" i="9" s="1"/>
  <c r="I92" i="37"/>
  <c r="H92" i="37"/>
  <c r="C10" i="9" s="1"/>
  <c r="G92" i="37"/>
  <c r="F92" i="37"/>
  <c r="B10" i="9" s="1"/>
  <c r="E92" i="37"/>
  <c r="B10" i="5" s="1"/>
  <c r="C92" i="37"/>
  <c r="ES91" i="37"/>
  <c r="ER91" i="37"/>
  <c r="EQ91" i="37"/>
  <c r="EO91" i="37"/>
  <c r="ES90" i="37"/>
  <c r="ER90" i="37"/>
  <c r="EQ90" i="37"/>
  <c r="ET90" i="37" s="1"/>
  <c r="EO90" i="37"/>
  <c r="EM90" i="37"/>
  <c r="EP90" i="37" s="1"/>
  <c r="ES89" i="37"/>
  <c r="ER89" i="37"/>
  <c r="EQ89" i="37"/>
  <c r="ET89" i="37" s="1"/>
  <c r="EO89" i="37"/>
  <c r="EP89" i="37"/>
  <c r="EM89" i="37"/>
  <c r="ES88" i="37"/>
  <c r="ER88" i="37"/>
  <c r="ET88" i="37" s="1"/>
  <c r="EQ88" i="37"/>
  <c r="EO88" i="37"/>
  <c r="EP88" i="37"/>
  <c r="EM88" i="37"/>
  <c r="ES87" i="37"/>
  <c r="ER87" i="37"/>
  <c r="ET87" i="37" s="1"/>
  <c r="EQ87" i="37"/>
  <c r="EO87" i="37"/>
  <c r="EP87" i="37"/>
  <c r="EM87" i="37"/>
  <c r="ES86" i="37"/>
  <c r="ER86" i="37"/>
  <c r="ET86" i="37" s="1"/>
  <c r="EQ86" i="37"/>
  <c r="EO86" i="37"/>
  <c r="EP86" i="37"/>
  <c r="EM86" i="37"/>
  <c r="ES85" i="37"/>
  <c r="ER85" i="37"/>
  <c r="ET85" i="37" s="1"/>
  <c r="EQ85" i="37"/>
  <c r="EO85" i="37"/>
  <c r="EP85" i="37"/>
  <c r="EM85" i="37"/>
  <c r="ES84" i="37"/>
  <c r="ER84" i="37"/>
  <c r="ET84" i="37" s="1"/>
  <c r="EQ84" i="37"/>
  <c r="EO84" i="37"/>
  <c r="EP84" i="37"/>
  <c r="EM84" i="37"/>
  <c r="ES83" i="37"/>
  <c r="ER83" i="37"/>
  <c r="ET83" i="37" s="1"/>
  <c r="EQ83" i="37"/>
  <c r="EO83" i="37"/>
  <c r="EP83" i="37"/>
  <c r="EM83" i="37"/>
  <c r="ES82" i="37"/>
  <c r="ER82" i="37"/>
  <c r="ET82" i="37" s="1"/>
  <c r="EQ82" i="37"/>
  <c r="EO82" i="37"/>
  <c r="EP82" i="37"/>
  <c r="EM82" i="37"/>
  <c r="ES81" i="37"/>
  <c r="ER81" i="37"/>
  <c r="ET81" i="37" s="1"/>
  <c r="EQ81" i="37"/>
  <c r="EO81" i="37"/>
  <c r="EP81" i="37"/>
  <c r="EM81" i="37"/>
  <c r="ES80" i="37"/>
  <c r="ER80" i="37"/>
  <c r="ET80" i="37" s="1"/>
  <c r="EQ80" i="37"/>
  <c r="EO80" i="37"/>
  <c r="EP80" i="37"/>
  <c r="EM80" i="37"/>
  <c r="ES79" i="37"/>
  <c r="ER79" i="37"/>
  <c r="ET79" i="37" s="1"/>
  <c r="EQ79" i="37"/>
  <c r="EO79" i="37"/>
  <c r="EP79" i="37"/>
  <c r="EM79" i="37"/>
  <c r="ES78" i="37"/>
  <c r="ER78" i="37"/>
  <c r="ET78" i="37" s="1"/>
  <c r="EQ78" i="37"/>
  <c r="EO78" i="37"/>
  <c r="EP78" i="37"/>
  <c r="EM78" i="37"/>
  <c r="ES77" i="37"/>
  <c r="ER77" i="37"/>
  <c r="ET77" i="37" s="1"/>
  <c r="EQ77" i="37"/>
  <c r="EO77" i="37"/>
  <c r="EP77" i="37"/>
  <c r="EM77" i="37"/>
  <c r="ES76" i="37"/>
  <c r="ER76" i="37"/>
  <c r="ET76" i="37" s="1"/>
  <c r="EQ76" i="37"/>
  <c r="EO76" i="37"/>
  <c r="EP76" i="37"/>
  <c r="EM76" i="37"/>
  <c r="ES75" i="37"/>
  <c r="ER75" i="37"/>
  <c r="ET75" i="37" s="1"/>
  <c r="EQ75" i="37"/>
  <c r="EO75" i="37"/>
  <c r="EP75" i="37"/>
  <c r="EM75" i="37"/>
  <c r="ES74" i="37"/>
  <c r="ER74" i="37"/>
  <c r="ET74" i="37" s="1"/>
  <c r="EQ74" i="37"/>
  <c r="EO74" i="37"/>
  <c r="EP74" i="37"/>
  <c r="EM74" i="37"/>
  <c r="ES73" i="37"/>
  <c r="ER73" i="37"/>
  <c r="ET73" i="37" s="1"/>
  <c r="EQ73" i="37"/>
  <c r="EO73" i="37"/>
  <c r="EP73" i="37"/>
  <c r="EM73" i="37"/>
  <c r="ES72" i="37"/>
  <c r="ER72" i="37"/>
  <c r="ET72" i="37" s="1"/>
  <c r="EQ72" i="37"/>
  <c r="EO72" i="37"/>
  <c r="EP72" i="37"/>
  <c r="EM72" i="37"/>
  <c r="ES71" i="37"/>
  <c r="ER71" i="37"/>
  <c r="EO71" i="37"/>
  <c r="EP71" i="37"/>
  <c r="EM71" i="37"/>
  <c r="BG71" i="37"/>
  <c r="EQ71" i="37" s="1"/>
  <c r="ET71" i="37" s="1"/>
  <c r="ES70" i="37"/>
  <c r="ER70" i="37"/>
  <c r="EQ70" i="37"/>
  <c r="ET70" i="37" s="1"/>
  <c r="EO70" i="37"/>
  <c r="EM70" i="37"/>
  <c r="EP70" i="37" s="1"/>
  <c r="BG70" i="37"/>
  <c r="ES69" i="37"/>
  <c r="ER69" i="37"/>
  <c r="ET69" i="37" s="1"/>
  <c r="EQ69" i="37"/>
  <c r="EO69" i="37"/>
  <c r="EP69" i="37"/>
  <c r="EM69" i="37"/>
  <c r="ES68" i="37"/>
  <c r="ER68" i="37"/>
  <c r="EO68" i="37"/>
  <c r="EP68" i="37"/>
  <c r="EM68" i="37"/>
  <c r="DY68" i="37"/>
  <c r="EQ68" i="37" s="1"/>
  <c r="ET68" i="37" s="1"/>
  <c r="ES67" i="37"/>
  <c r="ER67" i="37"/>
  <c r="EQ67" i="37"/>
  <c r="ET67" i="37" s="1"/>
  <c r="EO67" i="37"/>
  <c r="EM67" i="37"/>
  <c r="EP67" i="37" s="1"/>
  <c r="ES66" i="37"/>
  <c r="ER66" i="37"/>
  <c r="EQ66" i="37"/>
  <c r="ET66" i="37" s="1"/>
  <c r="EO66" i="37"/>
  <c r="EM66" i="37"/>
  <c r="EP66" i="37" s="1"/>
  <c r="ES65" i="37"/>
  <c r="ER65" i="37"/>
  <c r="EQ65" i="37"/>
  <c r="ET65" i="37" s="1"/>
  <c r="EO65" i="37"/>
  <c r="EM65" i="37"/>
  <c r="EP65" i="37" s="1"/>
  <c r="ES64" i="37"/>
  <c r="ER64" i="37"/>
  <c r="EQ64" i="37"/>
  <c r="ET64" i="37" s="1"/>
  <c r="EO64" i="37"/>
  <c r="EM64" i="37"/>
  <c r="EP64" i="37" s="1"/>
  <c r="ES63" i="37"/>
  <c r="ER63" i="37"/>
  <c r="EQ63" i="37"/>
  <c r="ET63" i="37" s="1"/>
  <c r="EO63" i="37"/>
  <c r="EM63" i="37"/>
  <c r="EP63" i="37" s="1"/>
  <c r="ES62" i="37"/>
  <c r="EQ62" i="37"/>
  <c r="EO62" i="37"/>
  <c r="EM62" i="37"/>
  <c r="EP62" i="37" s="1"/>
  <c r="Z62" i="37"/>
  <c r="ER62" i="37" s="1"/>
  <c r="ES61" i="37"/>
  <c r="ER61" i="37"/>
  <c r="ET61" i="37" s="1"/>
  <c r="EQ61" i="37"/>
  <c r="EO61" i="37"/>
  <c r="EP61" i="37"/>
  <c r="EM61" i="37"/>
  <c r="ES60" i="37"/>
  <c r="ER60" i="37"/>
  <c r="ET60" i="37" s="1"/>
  <c r="EQ60" i="37"/>
  <c r="EO60" i="37"/>
  <c r="EP60" i="37"/>
  <c r="EM60" i="37"/>
  <c r="ES59" i="37"/>
  <c r="ER59" i="37"/>
  <c r="EO59" i="37"/>
  <c r="EP59" i="37"/>
  <c r="EM59" i="37"/>
  <c r="DY59" i="37"/>
  <c r="DY92" i="37" s="1"/>
  <c r="ES58" i="37"/>
  <c r="ER58" i="37"/>
  <c r="EQ58" i="37"/>
  <c r="ET58" i="37" s="1"/>
  <c r="EO58" i="37"/>
  <c r="EM58" i="37"/>
  <c r="EP58" i="37" s="1"/>
  <c r="ES57" i="37"/>
  <c r="ER57" i="37"/>
  <c r="EQ57" i="37"/>
  <c r="ET57" i="37" s="1"/>
  <c r="EO57" i="37"/>
  <c r="EM57" i="37"/>
  <c r="EP57" i="37" s="1"/>
  <c r="ES56" i="37"/>
  <c r="ER56" i="37"/>
  <c r="EQ56" i="37"/>
  <c r="ET56" i="37" s="1"/>
  <c r="EO56" i="37"/>
  <c r="EM56" i="37"/>
  <c r="EP56" i="37" s="1"/>
  <c r="ES55" i="37"/>
  <c r="ER55" i="37"/>
  <c r="EQ55" i="37"/>
  <c r="ET55" i="37" s="1"/>
  <c r="EO55" i="37"/>
  <c r="EM55" i="37"/>
  <c r="EP55" i="37" s="1"/>
  <c r="ES54" i="37"/>
  <c r="ER54" i="37"/>
  <c r="EQ54" i="37"/>
  <c r="ET54" i="37" s="1"/>
  <c r="EO54" i="37"/>
  <c r="EM54" i="37"/>
  <c r="EP54" i="37" s="1"/>
  <c r="ES53" i="37"/>
  <c r="ER53" i="37"/>
  <c r="EQ53" i="37"/>
  <c r="ET53" i="37" s="1"/>
  <c r="EO53" i="37"/>
  <c r="EM53" i="37"/>
  <c r="EP53" i="37" s="1"/>
  <c r="ES52" i="37"/>
  <c r="ER52" i="37"/>
  <c r="EQ52" i="37"/>
  <c r="ET52" i="37" s="1"/>
  <c r="EO52" i="37"/>
  <c r="EM52" i="37"/>
  <c r="EP52" i="37" s="1"/>
  <c r="BS52" i="37"/>
  <c r="ES51" i="37"/>
  <c r="EQ51" i="37"/>
  <c r="EO51" i="37"/>
  <c r="EP51" i="37"/>
  <c r="EM51" i="37"/>
  <c r="D51" i="37"/>
  <c r="D92" i="37" s="1"/>
  <c r="ES50" i="37"/>
  <c r="ER50" i="37"/>
  <c r="EQ50" i="37"/>
  <c r="ET50" i="37" s="1"/>
  <c r="EO50" i="37"/>
  <c r="EM50" i="37"/>
  <c r="EP50" i="37" s="1"/>
  <c r="ES49" i="37"/>
  <c r="ER49" i="37"/>
  <c r="EQ49" i="37"/>
  <c r="ET49" i="37" s="1"/>
  <c r="EO49" i="37"/>
  <c r="EM49" i="37"/>
  <c r="EP49" i="37" s="1"/>
  <c r="ES48" i="37"/>
  <c r="ER48" i="37"/>
  <c r="EQ48" i="37"/>
  <c r="ET48" i="37" s="1"/>
  <c r="EO48" i="37"/>
  <c r="EM48" i="37"/>
  <c r="EP48" i="37" s="1"/>
  <c r="U48" i="37"/>
  <c r="U92" i="37" s="1"/>
  <c r="ES47" i="37"/>
  <c r="ER47" i="37"/>
  <c r="EO47" i="37"/>
  <c r="EM47" i="37"/>
  <c r="EP47" i="37" s="1"/>
  <c r="BS47" i="37"/>
  <c r="BS92" i="37" s="1"/>
  <c r="ES46" i="37"/>
  <c r="ER46" i="37"/>
  <c r="EQ46" i="37"/>
  <c r="ET46" i="37" s="1"/>
  <c r="EO46" i="37"/>
  <c r="EM46" i="37"/>
  <c r="EP46" i="37" s="1"/>
  <c r="ES45" i="37"/>
  <c r="EQ45" i="37"/>
  <c r="EO45" i="37"/>
  <c r="EM45" i="37"/>
  <c r="EP45" i="37" s="1"/>
  <c r="DT45" i="37"/>
  <c r="BO45" i="37"/>
  <c r="ER45" i="37" s="1"/>
  <c r="ES44" i="37"/>
  <c r="EQ44" i="37"/>
  <c r="EO44" i="37"/>
  <c r="EM44" i="37"/>
  <c r="EP44" i="37" s="1"/>
  <c r="DT44" i="37"/>
  <c r="DT92" i="37" s="1"/>
  <c r="BO44" i="37"/>
  <c r="BO92" i="37" s="1"/>
  <c r="ES43" i="37"/>
  <c r="ER43" i="37"/>
  <c r="EQ43" i="37"/>
  <c r="ET43" i="37" s="1"/>
  <c r="EO43" i="37"/>
  <c r="EM43" i="37"/>
  <c r="EP43" i="37" s="1"/>
  <c r="ES42" i="37"/>
  <c r="ER42" i="37"/>
  <c r="EQ42" i="37"/>
  <c r="ET42" i="37" s="1"/>
  <c r="EO42" i="37"/>
  <c r="EM42" i="37"/>
  <c r="EP42" i="37" s="1"/>
  <c r="BK42" i="37"/>
  <c r="BK92" i="37" s="1"/>
  <c r="ES41" i="37"/>
  <c r="ER41" i="37"/>
  <c r="ET41" i="37" s="1"/>
  <c r="EQ41" i="37"/>
  <c r="EO41" i="37"/>
  <c r="EP41" i="37"/>
  <c r="EM41" i="37"/>
  <c r="ES40" i="37"/>
  <c r="ER40" i="37"/>
  <c r="EO40" i="37"/>
  <c r="EM40" i="37"/>
  <c r="EP40" i="37" s="1"/>
  <c r="DS40" i="37"/>
  <c r="DS92" i="37" s="1"/>
  <c r="BG40" i="37"/>
  <c r="EQ40" i="37" s="1"/>
  <c r="ET40" i="37" s="1"/>
  <c r="ES39" i="37"/>
  <c r="ER39" i="37"/>
  <c r="EO39" i="37"/>
  <c r="EM39" i="37"/>
  <c r="EP39" i="37" s="1"/>
  <c r="BG39" i="37"/>
  <c r="EQ39" i="37" s="1"/>
  <c r="ET39" i="37" s="1"/>
  <c r="ES38" i="37"/>
  <c r="ER38" i="37"/>
  <c r="EQ38" i="37"/>
  <c r="ET38" i="37" s="1"/>
  <c r="EO38" i="37"/>
  <c r="EO92" i="37" s="1"/>
  <c r="EM38" i="37"/>
  <c r="BG38" i="37"/>
  <c r="BG92" i="37" s="1"/>
  <c r="ES37" i="37"/>
  <c r="ER37" i="37"/>
  <c r="ET37" i="37" s="1"/>
  <c r="EQ37" i="37"/>
  <c r="EP37" i="37"/>
  <c r="EL36" i="37"/>
  <c r="EK36" i="37"/>
  <c r="EJ36" i="37"/>
  <c r="EI36" i="37"/>
  <c r="EH36" i="37"/>
  <c r="EG36" i="37"/>
  <c r="ED36" i="37"/>
  <c r="EC36" i="37"/>
  <c r="EB36" i="37"/>
  <c r="AM9" i="9" s="1"/>
  <c r="EA36" i="37"/>
  <c r="DZ36" i="37"/>
  <c r="DY36" i="37"/>
  <c r="DV36" i="37"/>
  <c r="DU36" i="37"/>
  <c r="DT36" i="37"/>
  <c r="DS36" i="37"/>
  <c r="DO36" i="37"/>
  <c r="DN36" i="37"/>
  <c r="DM36" i="37"/>
  <c r="DH36" i="37"/>
  <c r="AL9" i="9" s="1"/>
  <c r="DG36" i="37"/>
  <c r="AL9" i="5" s="1"/>
  <c r="DF36" i="37"/>
  <c r="DE36" i="37"/>
  <c r="DD36" i="37"/>
  <c r="AK9" i="9" s="1"/>
  <c r="DC36" i="37"/>
  <c r="CZ36" i="37"/>
  <c r="CY36" i="37"/>
  <c r="CX36" i="37"/>
  <c r="AA9" i="9" s="1"/>
  <c r="CW36" i="37"/>
  <c r="AA9" i="5" s="1"/>
  <c r="CV36" i="37"/>
  <c r="CU36" i="37"/>
  <c r="CT36" i="37"/>
  <c r="Y9" i="9" s="1"/>
  <c r="CS36" i="37"/>
  <c r="Y9" i="5" s="1"/>
  <c r="CR36" i="37"/>
  <c r="CQ36" i="37"/>
  <c r="CP36" i="37"/>
  <c r="CO36" i="37"/>
  <c r="CN36" i="37"/>
  <c r="CM36" i="37"/>
  <c r="CJ36" i="37"/>
  <c r="Q9" i="9" s="1"/>
  <c r="CI36" i="37"/>
  <c r="Q9" i="5" s="1"/>
  <c r="CH36" i="37"/>
  <c r="CG36" i="37"/>
  <c r="CD36" i="37"/>
  <c r="W9" i="5" s="1"/>
  <c r="CC36" i="37"/>
  <c r="CB36" i="37"/>
  <c r="CA36" i="37"/>
  <c r="BZ36" i="37"/>
  <c r="BY36" i="37"/>
  <c r="BX36" i="37"/>
  <c r="P9" i="9" s="1"/>
  <c r="BW36" i="37"/>
  <c r="BV36" i="37"/>
  <c r="U9" i="9" s="1"/>
  <c r="BU36" i="37"/>
  <c r="U9" i="5" s="1"/>
  <c r="BT36" i="37"/>
  <c r="BS36" i="37"/>
  <c r="BR36" i="37"/>
  <c r="T9" i="5" s="1"/>
  <c r="BQ36" i="37"/>
  <c r="BP36" i="37"/>
  <c r="S9" i="9" s="1"/>
  <c r="BO36" i="37"/>
  <c r="BN36" i="37"/>
  <c r="R9" i="9" s="1"/>
  <c r="BM36" i="37"/>
  <c r="R9" i="5" s="1"/>
  <c r="BL36" i="37"/>
  <c r="BK36" i="37"/>
  <c r="BJ36" i="37"/>
  <c r="O9" i="9" s="1"/>
  <c r="BI36" i="37"/>
  <c r="O9" i="5" s="1"/>
  <c r="BH36" i="37"/>
  <c r="BG36" i="37"/>
  <c r="BD36" i="37"/>
  <c r="N9" i="9" s="1"/>
  <c r="BC36" i="37"/>
  <c r="N9" i="5" s="1"/>
  <c r="BB36" i="37"/>
  <c r="BA36" i="37"/>
  <c r="AX36" i="37"/>
  <c r="AW36" i="37"/>
  <c r="AV36" i="37"/>
  <c r="AU36" i="37"/>
  <c r="AT36" i="37"/>
  <c r="AS36" i="37"/>
  <c r="J9" i="9" s="1"/>
  <c r="AR36" i="37"/>
  <c r="J9" i="5" s="1"/>
  <c r="AQ36" i="37"/>
  <c r="ES36" i="37" s="1"/>
  <c r="AP36" i="37"/>
  <c r="AO36" i="37"/>
  <c r="AN36" i="37"/>
  <c r="I9" i="5" s="1"/>
  <c r="AM36" i="37"/>
  <c r="AL36" i="37"/>
  <c r="AK36" i="37"/>
  <c r="AJ36" i="37"/>
  <c r="AI36" i="37"/>
  <c r="AH36" i="37"/>
  <c r="AG36" i="37"/>
  <c r="AF36" i="37"/>
  <c r="AE36" i="37"/>
  <c r="AB36" i="37"/>
  <c r="AJ9" i="9" s="1"/>
  <c r="AA36" i="37"/>
  <c r="AJ9" i="5" s="1"/>
  <c r="Z36" i="37"/>
  <c r="Y36" i="37"/>
  <c r="X36" i="37"/>
  <c r="M9" i="9" s="1"/>
  <c r="W36" i="37"/>
  <c r="M9" i="5" s="1"/>
  <c r="V36" i="37"/>
  <c r="U36" i="37"/>
  <c r="T36" i="37"/>
  <c r="L9" i="9" s="1"/>
  <c r="S36" i="37"/>
  <c r="L9" i="5" s="1"/>
  <c r="R36" i="37"/>
  <c r="Q36" i="37"/>
  <c r="P36" i="37"/>
  <c r="F9" i="9" s="1"/>
  <c r="O36" i="37"/>
  <c r="J36" i="37"/>
  <c r="D9" i="9" s="1"/>
  <c r="I36" i="37"/>
  <c r="H36" i="37"/>
  <c r="C9" i="9" s="1"/>
  <c r="G36" i="37"/>
  <c r="E36" i="37"/>
  <c r="B9" i="5" s="1"/>
  <c r="C36" i="37"/>
  <c r="EQ36" i="37" s="1"/>
  <c r="ES35" i="37"/>
  <c r="EQ35" i="37"/>
  <c r="EO35" i="37"/>
  <c r="U35" i="37"/>
  <c r="D35" i="37"/>
  <c r="ER35" i="37" s="1"/>
  <c r="ES34" i="37"/>
  <c r="ER34" i="37"/>
  <c r="EQ34" i="37"/>
  <c r="ET34" i="37" s="1"/>
  <c r="EO34" i="37"/>
  <c r="EM34" i="37"/>
  <c r="EP34" i="37" s="1"/>
  <c r="ES33" i="37"/>
  <c r="EQ33" i="37"/>
  <c r="EO33" i="37"/>
  <c r="EO36" i="37" s="1"/>
  <c r="EM33" i="37"/>
  <c r="K33" i="37"/>
  <c r="K36" i="37" s="1"/>
  <c r="F36" i="37"/>
  <c r="B9" i="9" s="1"/>
  <c r="D33" i="37"/>
  <c r="D36" i="37" s="1"/>
  <c r="ER36" i="37" s="1"/>
  <c r="C33" i="37"/>
  <c r="ES32" i="37"/>
  <c r="ER32" i="37"/>
  <c r="ET32" i="37" s="1"/>
  <c r="EQ32" i="37"/>
  <c r="EP32" i="37"/>
  <c r="EL31" i="37"/>
  <c r="EK31" i="37"/>
  <c r="EJ31" i="37"/>
  <c r="EI31" i="37"/>
  <c r="EH31" i="37"/>
  <c r="EG31" i="37"/>
  <c r="ED31" i="37"/>
  <c r="EC31" i="37"/>
  <c r="EB31" i="37"/>
  <c r="AM8" i="9" s="1"/>
  <c r="EA31" i="37"/>
  <c r="DZ31" i="37"/>
  <c r="DY31" i="37"/>
  <c r="DV31" i="37"/>
  <c r="DU31" i="37"/>
  <c r="DT31" i="37"/>
  <c r="DS31" i="37"/>
  <c r="DP31" i="37"/>
  <c r="DO31" i="37"/>
  <c r="DM31" i="37"/>
  <c r="DH31" i="37"/>
  <c r="AL8" i="9" s="1"/>
  <c r="DG31" i="37"/>
  <c r="AL8" i="5" s="1"/>
  <c r="DF31" i="37"/>
  <c r="DE31" i="37"/>
  <c r="DD31" i="37"/>
  <c r="AK8" i="9" s="1"/>
  <c r="DC31" i="37"/>
  <c r="DB31" i="37"/>
  <c r="DA31" i="37"/>
  <c r="CZ31" i="37"/>
  <c r="CY31" i="37"/>
  <c r="CX31" i="37"/>
  <c r="AA8" i="9" s="1"/>
  <c r="CW31" i="37"/>
  <c r="AA8" i="5" s="1"/>
  <c r="CV31" i="37"/>
  <c r="CU31" i="37"/>
  <c r="CT31" i="37"/>
  <c r="Y8" i="9" s="1"/>
  <c r="CS31" i="37"/>
  <c r="Y8" i="5" s="1"/>
  <c r="CR31" i="37"/>
  <c r="CQ31" i="37"/>
  <c r="CP31" i="37"/>
  <c r="CO31" i="37"/>
  <c r="CN31" i="37"/>
  <c r="CM31" i="37"/>
  <c r="CJ31" i="37"/>
  <c r="Q8" i="9" s="1"/>
  <c r="CI31" i="37"/>
  <c r="Q8" i="5" s="1"/>
  <c r="CH31" i="37"/>
  <c r="CG31" i="37"/>
  <c r="CD31" i="37"/>
  <c r="W8" i="5" s="1"/>
  <c r="CC31" i="37"/>
  <c r="CB31" i="37"/>
  <c r="V8" i="9" s="1"/>
  <c r="CA31" i="37"/>
  <c r="BZ31" i="37"/>
  <c r="BY31" i="37"/>
  <c r="BX31" i="37"/>
  <c r="P8" i="9" s="1"/>
  <c r="BW31" i="37"/>
  <c r="BV31" i="37"/>
  <c r="U8" i="9" s="1"/>
  <c r="BU31" i="37"/>
  <c r="U8" i="5" s="1"/>
  <c r="BT31" i="37"/>
  <c r="BS31" i="37"/>
  <c r="BR31" i="37"/>
  <c r="T8" i="5" s="1"/>
  <c r="BQ31" i="37"/>
  <c r="BP31" i="37"/>
  <c r="S8" i="9" s="1"/>
  <c r="BO31" i="37"/>
  <c r="BN31" i="37"/>
  <c r="R8" i="9" s="1"/>
  <c r="BM31" i="37"/>
  <c r="R8" i="5" s="1"/>
  <c r="BL31" i="37"/>
  <c r="BK31" i="37"/>
  <c r="BJ31" i="37"/>
  <c r="O8" i="9" s="1"/>
  <c r="BI31" i="37"/>
  <c r="O8" i="5" s="1"/>
  <c r="BH31" i="37"/>
  <c r="BG31" i="37"/>
  <c r="BD31" i="37"/>
  <c r="N8" i="9" s="1"/>
  <c r="BC31" i="37"/>
  <c r="N8" i="5" s="1"/>
  <c r="BB31" i="37"/>
  <c r="BA31" i="37"/>
  <c r="AX31" i="37"/>
  <c r="AW31" i="37"/>
  <c r="AV31" i="37"/>
  <c r="AU31" i="37"/>
  <c r="AT31" i="37"/>
  <c r="AS31" i="37"/>
  <c r="J8" i="9" s="1"/>
  <c r="AR31" i="37"/>
  <c r="J8" i="5" s="1"/>
  <c r="AQ31" i="37"/>
  <c r="ES31" i="37" s="1"/>
  <c r="AP31" i="37"/>
  <c r="AO31" i="37"/>
  <c r="AN31" i="37"/>
  <c r="I8" i="5" s="1"/>
  <c r="AM31" i="37"/>
  <c r="AL31" i="37"/>
  <c r="AK31" i="37"/>
  <c r="AJ31" i="37"/>
  <c r="AI31" i="37"/>
  <c r="AH31" i="37"/>
  <c r="AG31" i="37"/>
  <c r="AF31" i="37"/>
  <c r="AE31" i="37"/>
  <c r="AB31" i="37"/>
  <c r="AJ8" i="9" s="1"/>
  <c r="AA31" i="37"/>
  <c r="AJ8" i="5" s="1"/>
  <c r="Z31" i="37"/>
  <c r="Y31" i="37"/>
  <c r="X31" i="37"/>
  <c r="M8" i="9" s="1"/>
  <c r="W31" i="37"/>
  <c r="M8" i="5" s="1"/>
  <c r="V31" i="37"/>
  <c r="T31" i="37"/>
  <c r="L8" i="9" s="1"/>
  <c r="S31" i="37"/>
  <c r="L8" i="5" s="1"/>
  <c r="R31" i="37"/>
  <c r="Q31" i="37"/>
  <c r="P31" i="37"/>
  <c r="F8" i="9" s="1"/>
  <c r="O31" i="37"/>
  <c r="L31" i="37"/>
  <c r="L33" i="37" s="1"/>
  <c r="K31" i="37"/>
  <c r="J31" i="37"/>
  <c r="D8" i="9" s="1"/>
  <c r="I31" i="37"/>
  <c r="H31" i="37"/>
  <c r="C8" i="9" s="1"/>
  <c r="G31" i="37"/>
  <c r="F31" i="37"/>
  <c r="B8" i="9" s="1"/>
  <c r="E31" i="37"/>
  <c r="B8" i="5" s="1"/>
  <c r="C31" i="37"/>
  <c r="ES30" i="37"/>
  <c r="ER30" i="37"/>
  <c r="EQ30" i="37"/>
  <c r="ET30" i="37" s="1"/>
  <c r="EO30" i="37"/>
  <c r="EM30" i="37"/>
  <c r="ES29" i="37"/>
  <c r="ER29" i="37"/>
  <c r="EQ29" i="37"/>
  <c r="ET29" i="37" s="1"/>
  <c r="EO29" i="37"/>
  <c r="EM29" i="37"/>
  <c r="EP29" i="37" s="1"/>
  <c r="ES28" i="37"/>
  <c r="ER28" i="37"/>
  <c r="EQ28" i="37"/>
  <c r="ET28" i="37" s="1"/>
  <c r="EO28" i="37"/>
  <c r="EM28" i="37"/>
  <c r="EP28" i="37" s="1"/>
  <c r="ES27" i="37"/>
  <c r="ER27" i="37"/>
  <c r="EQ27" i="37"/>
  <c r="ET27" i="37" s="1"/>
  <c r="EO27" i="37"/>
  <c r="EM27" i="37"/>
  <c r="EP27" i="37" s="1"/>
  <c r="ES26" i="37"/>
  <c r="ER26" i="37"/>
  <c r="EQ26" i="37"/>
  <c r="ET26" i="37" s="1"/>
  <c r="EO26" i="37"/>
  <c r="EM26" i="37"/>
  <c r="EP26" i="37" s="1"/>
  <c r="ES25" i="37"/>
  <c r="ER25" i="37"/>
  <c r="EQ25" i="37"/>
  <c r="ET25" i="37" s="1"/>
  <c r="EO25" i="37"/>
  <c r="EM25" i="37"/>
  <c r="EP25" i="37" s="1"/>
  <c r="ES24" i="37"/>
  <c r="ER24" i="37"/>
  <c r="EQ24" i="37"/>
  <c r="ET24" i="37" s="1"/>
  <c r="EO24" i="37"/>
  <c r="EM24" i="37"/>
  <c r="EP24" i="37" s="1"/>
  <c r="ES23" i="37"/>
  <c r="ER23" i="37"/>
  <c r="EQ23" i="37"/>
  <c r="ET23" i="37" s="1"/>
  <c r="EO23" i="37"/>
  <c r="EP23" i="37"/>
  <c r="EM23" i="37"/>
  <c r="ES22" i="37"/>
  <c r="EQ22" i="37"/>
  <c r="EO22" i="37"/>
  <c r="EM22" i="37"/>
  <c r="EP22" i="37" s="1"/>
  <c r="D22" i="37"/>
  <c r="D31" i="37" s="1"/>
  <c r="ES21" i="37"/>
  <c r="ER21" i="37"/>
  <c r="EQ21" i="37"/>
  <c r="ET21" i="37" s="1"/>
  <c r="EO21" i="37"/>
  <c r="EM21" i="37"/>
  <c r="EP21" i="37" s="1"/>
  <c r="ES20" i="37"/>
  <c r="ER20" i="37"/>
  <c r="EQ20" i="37"/>
  <c r="ET20" i="37" s="1"/>
  <c r="EO20" i="37"/>
  <c r="EM20" i="37"/>
  <c r="EP20" i="37" s="1"/>
  <c r="ES19" i="37"/>
  <c r="ER19" i="37"/>
  <c r="EQ19" i="37"/>
  <c r="ET19" i="37" s="1"/>
  <c r="EO19" i="37"/>
  <c r="EM19" i="37"/>
  <c r="EP19" i="37" s="1"/>
  <c r="ES18" i="37"/>
  <c r="ER18" i="37"/>
  <c r="EQ18" i="37"/>
  <c r="ET18" i="37" s="1"/>
  <c r="EO18" i="37"/>
  <c r="EP18" i="37"/>
  <c r="EM18" i="37"/>
  <c r="ES17" i="37"/>
  <c r="ER17" i="37"/>
  <c r="ET17" i="37" s="1"/>
  <c r="EQ17" i="37"/>
  <c r="EO17" i="37"/>
  <c r="EP17" i="37"/>
  <c r="EM17" i="37"/>
  <c r="ES16" i="37"/>
  <c r="ER16" i="37"/>
  <c r="ET16" i="37" s="1"/>
  <c r="EQ16" i="37"/>
  <c r="EO16" i="37"/>
  <c r="EP16" i="37"/>
  <c r="EM16" i="37"/>
  <c r="ES15" i="37"/>
  <c r="ER15" i="37"/>
  <c r="ET15" i="37" s="1"/>
  <c r="EQ15" i="37"/>
  <c r="EO15" i="37"/>
  <c r="EP15" i="37"/>
  <c r="EM15" i="37"/>
  <c r="ES14" i="37"/>
  <c r="ER14" i="37"/>
  <c r="ET14" i="37" s="1"/>
  <c r="EQ14" i="37"/>
  <c r="EO14" i="37"/>
  <c r="EP14" i="37"/>
  <c r="EM14" i="37"/>
  <c r="ES13" i="37"/>
  <c r="ER13" i="37"/>
  <c r="ET13" i="37" s="1"/>
  <c r="EQ13" i="37"/>
  <c r="EO13" i="37"/>
  <c r="EP13" i="37"/>
  <c r="EM13" i="37"/>
  <c r="ES12" i="37"/>
  <c r="ER12" i="37"/>
  <c r="ET12" i="37" s="1"/>
  <c r="EQ12" i="37"/>
  <c r="EO12" i="37"/>
  <c r="EP12" i="37"/>
  <c r="EM12" i="37"/>
  <c r="ES11" i="37"/>
  <c r="ER11" i="37"/>
  <c r="ET11" i="37" s="1"/>
  <c r="EQ11" i="37"/>
  <c r="EO11" i="37"/>
  <c r="EP11" i="37"/>
  <c r="EM11" i="37"/>
  <c r="ES10" i="37"/>
  <c r="ER10" i="37"/>
  <c r="ET10" i="37" s="1"/>
  <c r="EQ10" i="37"/>
  <c r="EO10" i="37"/>
  <c r="EP10" i="37"/>
  <c r="EM10" i="37"/>
  <c r="ES9" i="37"/>
  <c r="ER9" i="37"/>
  <c r="ET9" i="37" s="1"/>
  <c r="EQ9" i="37"/>
  <c r="EO9" i="37"/>
  <c r="EP9" i="37"/>
  <c r="EM9" i="37"/>
  <c r="ES8" i="37"/>
  <c r="ER8" i="37"/>
  <c r="ET8" i="37" s="1"/>
  <c r="EQ8" i="37"/>
  <c r="EO8" i="37"/>
  <c r="EP8" i="37"/>
  <c r="EM8" i="37"/>
  <c r="ES7" i="37"/>
  <c r="ER7" i="37"/>
  <c r="EO7" i="37"/>
  <c r="EP7" i="37"/>
  <c r="EM7" i="37"/>
  <c r="U7" i="37"/>
  <c r="EQ7" i="37" s="1"/>
  <c r="ET7" i="37" s="1"/>
  <c r="ES6" i="37"/>
  <c r="ER6" i="37"/>
  <c r="EQ6" i="37"/>
  <c r="ET6" i="37" s="1"/>
  <c r="EO6" i="37"/>
  <c r="EM6" i="37"/>
  <c r="EP6" i="37" s="1"/>
  <c r="EO5" i="37"/>
  <c r="EO31" i="37" s="1"/>
  <c r="EM31" i="37"/>
  <c r="CB3" i="37"/>
  <c r="CA3" i="37"/>
  <c r="BZ3" i="37"/>
  <c r="BY3" i="37"/>
  <c r="AT351" i="38"/>
  <c r="AT352" i="38" s="1"/>
  <c r="AS351" i="38"/>
  <c r="AR351" i="38"/>
  <c r="AR352" i="38" s="1"/>
  <c r="AQ351" i="38"/>
  <c r="AQ352" i="38" s="1"/>
  <c r="AN351" i="38"/>
  <c r="AN352" i="38" s="1"/>
  <c r="AM351" i="38"/>
  <c r="AM352" i="38" s="1"/>
  <c r="AL351" i="38"/>
  <c r="AL352" i="38" s="1"/>
  <c r="AK351" i="38"/>
  <c r="AK352" i="38" s="1"/>
  <c r="AJ351" i="38"/>
  <c r="AJ352" i="38" s="1"/>
  <c r="AI351" i="38"/>
  <c r="AI352" i="38" s="1"/>
  <c r="AF351" i="38"/>
  <c r="AF352" i="38" s="1"/>
  <c r="AE351" i="38"/>
  <c r="AE352" i="38" s="1"/>
  <c r="AD351" i="38"/>
  <c r="AD352" i="38" s="1"/>
  <c r="AC351" i="38"/>
  <c r="AC352" i="38" s="1"/>
  <c r="Z351" i="38"/>
  <c r="Z352" i="38" s="1"/>
  <c r="Y351" i="38"/>
  <c r="Y352" i="38" s="1"/>
  <c r="X351" i="38"/>
  <c r="X352" i="38" s="1"/>
  <c r="W351" i="38"/>
  <c r="W352" i="38" s="1"/>
  <c r="V351" i="38"/>
  <c r="U351" i="38"/>
  <c r="U352" i="38" s="1"/>
  <c r="T351" i="38"/>
  <c r="T352" i="38" s="1"/>
  <c r="S351" i="38"/>
  <c r="S352" i="38" s="1"/>
  <c r="R351" i="38"/>
  <c r="Q351" i="38"/>
  <c r="Q352" i="38" s="1"/>
  <c r="P351" i="38"/>
  <c r="P352" i="38" s="1"/>
  <c r="O351" i="38"/>
  <c r="L351" i="38"/>
  <c r="L352" i="38" s="1"/>
  <c r="K351" i="38"/>
  <c r="K352" i="38" s="1"/>
  <c r="H351" i="38"/>
  <c r="H352" i="38" s="1"/>
  <c r="G351" i="38"/>
  <c r="G352" i="38" s="1"/>
  <c r="D351" i="38"/>
  <c r="D352" i="38" s="1"/>
  <c r="C351" i="38"/>
  <c r="C352" i="38" s="1"/>
  <c r="BA350" i="38"/>
  <c r="AZ350" i="38"/>
  <c r="AY350" i="38"/>
  <c r="BB350" i="38" s="1"/>
  <c r="AW350" i="38"/>
  <c r="AV350" i="38"/>
  <c r="AU350" i="38"/>
  <c r="AX350" i="38" s="1"/>
  <c r="BA349" i="38"/>
  <c r="AZ349" i="38"/>
  <c r="AY349" i="38"/>
  <c r="BB349" i="38" s="1"/>
  <c r="AW349" i="38"/>
  <c r="AW351" i="38" s="1"/>
  <c r="AV349" i="38"/>
  <c r="AV351" i="38" s="1"/>
  <c r="AU349" i="38"/>
  <c r="AU351" i="38" s="1"/>
  <c r="BA348" i="38"/>
  <c r="BA351" i="38" s="1"/>
  <c r="AZ348" i="38"/>
  <c r="AZ351" i="38" s="1"/>
  <c r="AY348" i="38"/>
  <c r="AY351" i="38" s="1"/>
  <c r="AX348" i="38"/>
  <c r="AT347" i="38"/>
  <c r="AS347" i="38"/>
  <c r="AR347" i="38"/>
  <c r="AQ347" i="38"/>
  <c r="AN347" i="38"/>
  <c r="AM347" i="38"/>
  <c r="AL347" i="38"/>
  <c r="AK347" i="38"/>
  <c r="AJ347" i="38"/>
  <c r="AI347" i="38"/>
  <c r="AF347" i="38"/>
  <c r="AE347" i="38"/>
  <c r="AD347" i="38"/>
  <c r="AC347" i="38"/>
  <c r="Z347" i="38"/>
  <c r="Y347" i="38"/>
  <c r="X347" i="38"/>
  <c r="W347" i="38"/>
  <c r="V347" i="38"/>
  <c r="U347" i="38"/>
  <c r="T347" i="38"/>
  <c r="S347" i="38"/>
  <c r="R347" i="38"/>
  <c r="Q347" i="38"/>
  <c r="P347" i="38"/>
  <c r="O347" i="38"/>
  <c r="L347" i="38"/>
  <c r="K347" i="38"/>
  <c r="H347" i="38"/>
  <c r="G347" i="38"/>
  <c r="D347" i="38"/>
  <c r="C347" i="38"/>
  <c r="BA346" i="38"/>
  <c r="AZ346" i="38"/>
  <c r="AY346" i="38"/>
  <c r="BB346" i="38" s="1"/>
  <c r="AW346" i="38"/>
  <c r="AV346" i="38"/>
  <c r="AU346" i="38"/>
  <c r="AX346" i="38" s="1"/>
  <c r="BA345" i="38"/>
  <c r="AZ345" i="38"/>
  <c r="AY345" i="38"/>
  <c r="BB345" i="38" s="1"/>
  <c r="AW345" i="38"/>
  <c r="AW347" i="38" s="1"/>
  <c r="AV345" i="38"/>
  <c r="AV347" i="38" s="1"/>
  <c r="AU345" i="38"/>
  <c r="AX345" i="38" s="1"/>
  <c r="BA344" i="38"/>
  <c r="BA347" i="38" s="1"/>
  <c r="AZ344" i="38"/>
  <c r="AZ347" i="38" s="1"/>
  <c r="AY344" i="38"/>
  <c r="BB344" i="38" s="1"/>
  <c r="BB347" i="38" s="1"/>
  <c r="AX344" i="38"/>
  <c r="AX347" i="38" s="1"/>
  <c r="AT343" i="38"/>
  <c r="AS343" i="38"/>
  <c r="AY68" i="5" s="1"/>
  <c r="AY67" i="5" s="1"/>
  <c r="AR343" i="38"/>
  <c r="AQ343" i="38"/>
  <c r="AN343" i="38"/>
  <c r="AM343" i="38"/>
  <c r="AL343" i="38"/>
  <c r="AK343" i="38"/>
  <c r="AJ343" i="38"/>
  <c r="AI343" i="38"/>
  <c r="AF343" i="38"/>
  <c r="AE343" i="38"/>
  <c r="AD343" i="38"/>
  <c r="AC343" i="38"/>
  <c r="Z343" i="38"/>
  <c r="Y343" i="38"/>
  <c r="X343" i="38"/>
  <c r="W343" i="38"/>
  <c r="V343" i="38"/>
  <c r="AU68" i="5" s="1"/>
  <c r="AU67" i="5" s="1"/>
  <c r="AU61" i="5" s="1"/>
  <c r="AU27" i="5" s="1"/>
  <c r="U343" i="38"/>
  <c r="T343" i="38"/>
  <c r="S343" i="38"/>
  <c r="R343" i="38"/>
  <c r="AT68" i="5" s="1"/>
  <c r="AT67" i="5" s="1"/>
  <c r="Q343" i="38"/>
  <c r="P343" i="38"/>
  <c r="L343" i="38"/>
  <c r="K343" i="38"/>
  <c r="H343" i="38"/>
  <c r="G343" i="38"/>
  <c r="D343" i="38"/>
  <c r="C343" i="38"/>
  <c r="BA342" i="38"/>
  <c r="AZ342" i="38"/>
  <c r="AW342" i="38"/>
  <c r="AV342" i="38"/>
  <c r="AU342" i="38"/>
  <c r="O342" i="38"/>
  <c r="O343" i="38" s="1"/>
  <c r="BA341" i="38"/>
  <c r="AZ341" i="38"/>
  <c r="AY341" i="38"/>
  <c r="BB341" i="38" s="1"/>
  <c r="AW341" i="38"/>
  <c r="AW343" i="38" s="1"/>
  <c r="AV341" i="38"/>
  <c r="AV343" i="38" s="1"/>
  <c r="AU341" i="38"/>
  <c r="BA340" i="38"/>
  <c r="BA343" i="38" s="1"/>
  <c r="AZ340" i="38"/>
  <c r="AZ343" i="38" s="1"/>
  <c r="AY340" i="38"/>
  <c r="AX340" i="38"/>
  <c r="AT338" i="38"/>
  <c r="AS338" i="38"/>
  <c r="AR338" i="38"/>
  <c r="AQ338" i="38"/>
  <c r="AN338" i="38"/>
  <c r="AM338" i="38"/>
  <c r="AL338" i="38"/>
  <c r="AK338" i="38"/>
  <c r="AJ338" i="38"/>
  <c r="AI338" i="38"/>
  <c r="AF338" i="38"/>
  <c r="AE338" i="38"/>
  <c r="AD338" i="38"/>
  <c r="AC338" i="38"/>
  <c r="Z338" i="38"/>
  <c r="Y338" i="38"/>
  <c r="X338" i="38"/>
  <c r="W338" i="38"/>
  <c r="V338" i="38"/>
  <c r="U338" i="38"/>
  <c r="T338" i="38"/>
  <c r="S338" i="38"/>
  <c r="R338" i="38"/>
  <c r="Q338" i="38"/>
  <c r="P338" i="38"/>
  <c r="O338" i="38"/>
  <c r="L338" i="38"/>
  <c r="K338" i="38"/>
  <c r="H338" i="38"/>
  <c r="G338" i="38"/>
  <c r="D338" i="38"/>
  <c r="C338" i="38"/>
  <c r="BA337" i="38"/>
  <c r="AZ337" i="38"/>
  <c r="AY337" i="38"/>
  <c r="BB337" i="38" s="1"/>
  <c r="AW337" i="38"/>
  <c r="AV337" i="38"/>
  <c r="AU337" i="38"/>
  <c r="AX337" i="38" s="1"/>
  <c r="BA336" i="38"/>
  <c r="AZ336" i="38"/>
  <c r="AY336" i="38"/>
  <c r="BB336" i="38" s="1"/>
  <c r="AW336" i="38"/>
  <c r="AV336" i="38"/>
  <c r="AU336" i="38"/>
  <c r="AX336" i="38" s="1"/>
  <c r="BA335" i="38"/>
  <c r="AZ335" i="38"/>
  <c r="AY335" i="38"/>
  <c r="BB335" i="38" s="1"/>
  <c r="AW335" i="38"/>
  <c r="AW338" i="38" s="1"/>
  <c r="AV335" i="38"/>
  <c r="AV338" i="38" s="1"/>
  <c r="AU335" i="38"/>
  <c r="AU338" i="38" s="1"/>
  <c r="BA334" i="38"/>
  <c r="BA338" i="38" s="1"/>
  <c r="AZ334" i="38"/>
  <c r="AZ338" i="38" s="1"/>
  <c r="AY334" i="38"/>
  <c r="AX334" i="38"/>
  <c r="AT333" i="38"/>
  <c r="AS333" i="38"/>
  <c r="AR333" i="38"/>
  <c r="AQ333" i="38"/>
  <c r="AN333" i="38"/>
  <c r="AM333" i="38"/>
  <c r="AL333" i="38"/>
  <c r="AK333" i="38"/>
  <c r="AJ333" i="38"/>
  <c r="AI333" i="38"/>
  <c r="AF333" i="38"/>
  <c r="AE333" i="38"/>
  <c r="AD333" i="38"/>
  <c r="AC333" i="38"/>
  <c r="Z333" i="38"/>
  <c r="Y333" i="38"/>
  <c r="X333" i="38"/>
  <c r="W333" i="38"/>
  <c r="V333" i="38"/>
  <c r="U333" i="38"/>
  <c r="T333" i="38"/>
  <c r="S333" i="38"/>
  <c r="R333" i="38"/>
  <c r="Q333" i="38"/>
  <c r="P333" i="38"/>
  <c r="O333" i="38"/>
  <c r="L333" i="38"/>
  <c r="K333" i="38"/>
  <c r="H333" i="38"/>
  <c r="G333" i="38"/>
  <c r="D333" i="38"/>
  <c r="C333" i="38"/>
  <c r="BA332" i="38"/>
  <c r="AZ332" i="38"/>
  <c r="BB332" i="38" s="1"/>
  <c r="AY332" i="38"/>
  <c r="AW332" i="38"/>
  <c r="AV332" i="38"/>
  <c r="AX332" i="38" s="1"/>
  <c r="AU332" i="38"/>
  <c r="BA331" i="38"/>
  <c r="AZ331" i="38"/>
  <c r="BB331" i="38" s="1"/>
  <c r="AY331" i="38"/>
  <c r="AW331" i="38"/>
  <c r="AV331" i="38"/>
  <c r="AX331" i="38" s="1"/>
  <c r="AU331" i="38"/>
  <c r="BA330" i="38"/>
  <c r="AZ330" i="38"/>
  <c r="BB330" i="38" s="1"/>
  <c r="AY330" i="38"/>
  <c r="AW330" i="38"/>
  <c r="AV330" i="38"/>
  <c r="AX330" i="38" s="1"/>
  <c r="AU330" i="38"/>
  <c r="BA329" i="38"/>
  <c r="AZ329" i="38"/>
  <c r="BB329" i="38" s="1"/>
  <c r="AY329" i="38"/>
  <c r="AW329" i="38"/>
  <c r="AW333" i="38" s="1"/>
  <c r="AV329" i="38"/>
  <c r="AV333" i="38" s="1"/>
  <c r="AU329" i="38"/>
  <c r="AU333" i="38" s="1"/>
  <c r="BA328" i="38"/>
  <c r="BA333" i="38" s="1"/>
  <c r="AZ328" i="38"/>
  <c r="AZ333" i="38" s="1"/>
  <c r="AY328" i="38"/>
  <c r="AY333" i="38" s="1"/>
  <c r="AX328" i="38"/>
  <c r="AW327" i="38"/>
  <c r="AV327" i="38"/>
  <c r="AU327" i="38"/>
  <c r="AT327" i="38"/>
  <c r="AS327" i="38"/>
  <c r="AR327" i="38"/>
  <c r="AQ327" i="38"/>
  <c r="AN327" i="38"/>
  <c r="AM327" i="38"/>
  <c r="AL327" i="38"/>
  <c r="AK327" i="38"/>
  <c r="AJ327" i="38"/>
  <c r="AI327" i="38"/>
  <c r="AF327" i="38"/>
  <c r="AE327" i="38"/>
  <c r="AD327" i="38"/>
  <c r="AC327" i="38"/>
  <c r="Z327" i="38"/>
  <c r="Y327" i="38"/>
  <c r="X327" i="38"/>
  <c r="W327" i="38"/>
  <c r="V327" i="38"/>
  <c r="U327" i="38"/>
  <c r="T327" i="38"/>
  <c r="S327" i="38"/>
  <c r="R327" i="38"/>
  <c r="Q327" i="38"/>
  <c r="P327" i="38"/>
  <c r="O327" i="38"/>
  <c r="L327" i="38"/>
  <c r="K327" i="38"/>
  <c r="H327" i="38"/>
  <c r="G327" i="38"/>
  <c r="D327" i="38"/>
  <c r="C327" i="38"/>
  <c r="BA326" i="38"/>
  <c r="AZ326" i="38"/>
  <c r="AY326" i="38"/>
  <c r="BB326" i="38" s="1"/>
  <c r="AX326" i="38"/>
  <c r="BA325" i="38"/>
  <c r="AZ325" i="38"/>
  <c r="AY325" i="38"/>
  <c r="BB325" i="38" s="1"/>
  <c r="AX325" i="38"/>
  <c r="BA324" i="38"/>
  <c r="AZ324" i="38"/>
  <c r="AY324" i="38"/>
  <c r="BB324" i="38" s="1"/>
  <c r="AX324" i="38"/>
  <c r="BA323" i="38"/>
  <c r="BA327" i="38" s="1"/>
  <c r="AZ323" i="38"/>
  <c r="AZ327" i="38" s="1"/>
  <c r="AY323" i="38"/>
  <c r="AY327" i="38" s="1"/>
  <c r="AX323" i="38"/>
  <c r="AX327" i="38" s="1"/>
  <c r="AT322" i="38"/>
  <c r="AS322" i="38"/>
  <c r="AR322" i="38"/>
  <c r="AQ322" i="38"/>
  <c r="AN322" i="38"/>
  <c r="AM322" i="38"/>
  <c r="AL322" i="38"/>
  <c r="AK322" i="38"/>
  <c r="AJ322" i="38"/>
  <c r="AI322" i="38"/>
  <c r="AF322" i="38"/>
  <c r="AE322" i="38"/>
  <c r="AD322" i="38"/>
  <c r="AC322" i="38"/>
  <c r="AB322" i="38"/>
  <c r="AA322" i="38"/>
  <c r="Z322" i="38"/>
  <c r="Y322" i="38"/>
  <c r="X322" i="38"/>
  <c r="W322" i="38"/>
  <c r="V322" i="38"/>
  <c r="U322" i="38"/>
  <c r="T322" i="38"/>
  <c r="S322" i="38"/>
  <c r="R322" i="38"/>
  <c r="Q322" i="38"/>
  <c r="P322" i="38"/>
  <c r="O322" i="38"/>
  <c r="L322" i="38"/>
  <c r="K322" i="38"/>
  <c r="H322" i="38"/>
  <c r="G322" i="38"/>
  <c r="D322" i="38"/>
  <c r="C322" i="38"/>
  <c r="BA321" i="38"/>
  <c r="AZ321" i="38"/>
  <c r="AY321" i="38"/>
  <c r="BB321" i="38" s="1"/>
  <c r="AW321" i="38"/>
  <c r="AV321" i="38"/>
  <c r="AU321" i="38"/>
  <c r="AX321" i="38" s="1"/>
  <c r="BA320" i="38"/>
  <c r="AZ320" i="38"/>
  <c r="AY320" i="38"/>
  <c r="BB320" i="38" s="1"/>
  <c r="AW320" i="38"/>
  <c r="AV320" i="38"/>
  <c r="AU320" i="38"/>
  <c r="AX320" i="38" s="1"/>
  <c r="BA319" i="38"/>
  <c r="AZ319" i="38"/>
  <c r="AY319" i="38"/>
  <c r="BB319" i="38" s="1"/>
  <c r="AW319" i="38"/>
  <c r="AW322" i="38" s="1"/>
  <c r="AV319" i="38"/>
  <c r="AV322" i="38" s="1"/>
  <c r="AU319" i="38"/>
  <c r="AX319" i="38" s="1"/>
  <c r="BA318" i="38"/>
  <c r="BA322" i="38" s="1"/>
  <c r="AZ318" i="38"/>
  <c r="AZ322" i="38" s="1"/>
  <c r="AY318" i="38"/>
  <c r="BB318" i="38" s="1"/>
  <c r="BB322" i="38" s="1"/>
  <c r="AX318" i="38"/>
  <c r="AX322" i="38" s="1"/>
  <c r="AT317" i="38"/>
  <c r="AS317" i="38"/>
  <c r="AR317" i="38"/>
  <c r="AQ317" i="38"/>
  <c r="AN317" i="38"/>
  <c r="AM317" i="38"/>
  <c r="AL317" i="38"/>
  <c r="AK317" i="38"/>
  <c r="AJ317" i="38"/>
  <c r="AI317" i="38"/>
  <c r="AF317" i="38"/>
  <c r="AE317" i="38"/>
  <c r="AD317" i="38"/>
  <c r="AC317" i="38"/>
  <c r="Z317" i="38"/>
  <c r="Y317" i="38"/>
  <c r="X317" i="38"/>
  <c r="W317" i="38"/>
  <c r="V317" i="38"/>
  <c r="U317" i="38"/>
  <c r="T317" i="38"/>
  <c r="S317" i="38"/>
  <c r="R317" i="38"/>
  <c r="Q317" i="38"/>
  <c r="P317" i="38"/>
  <c r="O317" i="38"/>
  <c r="L317" i="38"/>
  <c r="K317" i="38"/>
  <c r="H317" i="38"/>
  <c r="G317" i="38"/>
  <c r="D317" i="38"/>
  <c r="C317" i="38"/>
  <c r="BA316" i="38"/>
  <c r="AZ316" i="38"/>
  <c r="BB316" i="38" s="1"/>
  <c r="AY316" i="38"/>
  <c r="AW316" i="38"/>
  <c r="AV316" i="38"/>
  <c r="AX316" i="38" s="1"/>
  <c r="AU316" i="38"/>
  <c r="BA315" i="38"/>
  <c r="AZ315" i="38"/>
  <c r="BB315" i="38" s="1"/>
  <c r="AY315" i="38"/>
  <c r="AW315" i="38"/>
  <c r="AW317" i="38" s="1"/>
  <c r="AV315" i="38"/>
  <c r="AV317" i="38" s="1"/>
  <c r="AU315" i="38"/>
  <c r="AU317" i="38" s="1"/>
  <c r="BA314" i="38"/>
  <c r="BA317" i="38" s="1"/>
  <c r="AZ314" i="38"/>
  <c r="AZ317" i="38" s="1"/>
  <c r="AY314" i="38"/>
  <c r="AY317" i="38" s="1"/>
  <c r="AX314" i="38"/>
  <c r="AT312" i="38"/>
  <c r="AS312" i="38"/>
  <c r="AR312" i="38"/>
  <c r="AQ312" i="38"/>
  <c r="AN312" i="38"/>
  <c r="AM312" i="38"/>
  <c r="AL312" i="38"/>
  <c r="AK312" i="38"/>
  <c r="AJ312" i="38"/>
  <c r="AI312" i="38"/>
  <c r="AF312" i="38"/>
  <c r="AE312" i="38"/>
  <c r="AD312" i="38"/>
  <c r="AD313" i="38" s="1"/>
  <c r="AC312" i="38"/>
  <c r="Z312" i="38"/>
  <c r="Y312" i="38"/>
  <c r="Y313" i="38" s="1"/>
  <c r="X312" i="38"/>
  <c r="W312" i="38"/>
  <c r="W313" i="38" s="1"/>
  <c r="V312" i="38"/>
  <c r="U312" i="38"/>
  <c r="T312" i="38"/>
  <c r="S312" i="38"/>
  <c r="R312" i="38"/>
  <c r="Q312" i="38"/>
  <c r="Q313" i="38" s="1"/>
  <c r="P312" i="38"/>
  <c r="P313" i="38" s="1"/>
  <c r="O312" i="38"/>
  <c r="O313" i="38" s="1"/>
  <c r="L312" i="38"/>
  <c r="K312" i="38"/>
  <c r="K313" i="38" s="1"/>
  <c r="H312" i="38"/>
  <c r="G312" i="38"/>
  <c r="G313" i="38" s="1"/>
  <c r="D312" i="38"/>
  <c r="C312" i="38"/>
  <c r="C313" i="38" s="1"/>
  <c r="BA311" i="38"/>
  <c r="AZ311" i="38"/>
  <c r="AY311" i="38"/>
  <c r="BB311" i="38" s="1"/>
  <c r="AW311" i="38"/>
  <c r="AV311" i="38"/>
  <c r="AU311" i="38"/>
  <c r="AX311" i="38" s="1"/>
  <c r="BA310" i="38"/>
  <c r="AZ310" i="38"/>
  <c r="AY310" i="38"/>
  <c r="BB310" i="38" s="1"/>
  <c r="AW310" i="38"/>
  <c r="AW312" i="38" s="1"/>
  <c r="AV310" i="38"/>
  <c r="AV312" i="38" s="1"/>
  <c r="AU310" i="38"/>
  <c r="AX310" i="38" s="1"/>
  <c r="BA309" i="38"/>
  <c r="BA312" i="38" s="1"/>
  <c r="AZ309" i="38"/>
  <c r="AZ312" i="38" s="1"/>
  <c r="AY309" i="38"/>
  <c r="BB309" i="38" s="1"/>
  <c r="BB312" i="38" s="1"/>
  <c r="AX309" i="38"/>
  <c r="AX312" i="38" s="1"/>
  <c r="AT308" i="38"/>
  <c r="AS308" i="38"/>
  <c r="AR308" i="38"/>
  <c r="AQ308" i="38"/>
  <c r="AN308" i="38"/>
  <c r="AM308" i="38"/>
  <c r="AL308" i="38"/>
  <c r="AK308" i="38"/>
  <c r="AJ308" i="38"/>
  <c r="AI308" i="38"/>
  <c r="AF308" i="38"/>
  <c r="AE308" i="38"/>
  <c r="AD308" i="38"/>
  <c r="AC308" i="38"/>
  <c r="Z308" i="38"/>
  <c r="Y308" i="38"/>
  <c r="X308" i="38"/>
  <c r="W308" i="38"/>
  <c r="V308" i="38"/>
  <c r="U308" i="38"/>
  <c r="T308" i="38"/>
  <c r="S308" i="38"/>
  <c r="R308" i="38"/>
  <c r="Q308" i="38"/>
  <c r="P308" i="38"/>
  <c r="O308" i="38"/>
  <c r="L308" i="38"/>
  <c r="K308" i="38"/>
  <c r="H308" i="38"/>
  <c r="G308" i="38"/>
  <c r="D308" i="38"/>
  <c r="C308" i="38"/>
  <c r="BA307" i="38"/>
  <c r="AZ307" i="38"/>
  <c r="BB307" i="38" s="1"/>
  <c r="AY307" i="38"/>
  <c r="AW307" i="38"/>
  <c r="AV307" i="38"/>
  <c r="AU307" i="38"/>
  <c r="AX307" i="38" s="1"/>
  <c r="BA306" i="38"/>
  <c r="AZ306" i="38"/>
  <c r="AY306" i="38"/>
  <c r="BB306" i="38" s="1"/>
  <c r="AW306" i="38"/>
  <c r="AW308" i="38" s="1"/>
  <c r="AV306" i="38"/>
  <c r="AV308" i="38" s="1"/>
  <c r="AU306" i="38"/>
  <c r="AU308" i="38" s="1"/>
  <c r="BA305" i="38"/>
  <c r="BA308" i="38" s="1"/>
  <c r="AZ305" i="38"/>
  <c r="AZ308" i="38" s="1"/>
  <c r="AY305" i="38"/>
  <c r="AY308" i="38" s="1"/>
  <c r="AX305" i="38"/>
  <c r="AT304" i="38"/>
  <c r="AY63" i="9" s="1"/>
  <c r="AY62" i="9" s="1"/>
  <c r="AY61" i="9" s="1"/>
  <c r="AY27" i="9" s="1"/>
  <c r="AS304" i="38"/>
  <c r="AY63" i="5" s="1"/>
  <c r="AY62" i="5" s="1"/>
  <c r="AY61" i="5" s="1"/>
  <c r="AY27" i="5" s="1"/>
  <c r="AN304" i="38"/>
  <c r="AX63" i="10" s="1"/>
  <c r="AX62" i="10" s="1"/>
  <c r="AX61" i="10" s="1"/>
  <c r="AX27" i="10" s="1"/>
  <c r="AM304" i="38"/>
  <c r="AX63" i="9" s="1"/>
  <c r="AX62" i="9" s="1"/>
  <c r="AX61" i="9" s="1"/>
  <c r="AX27" i="9" s="1"/>
  <c r="AL304" i="38"/>
  <c r="AX63" i="5" s="1"/>
  <c r="AX62" i="5" s="1"/>
  <c r="AX61" i="5" s="1"/>
  <c r="AX27" i="5" s="1"/>
  <c r="AF304" i="38"/>
  <c r="AV63" i="9" s="1"/>
  <c r="AV62" i="9" s="1"/>
  <c r="AV61" i="9" s="1"/>
  <c r="AV27" i="9" s="1"/>
  <c r="AE304" i="38"/>
  <c r="AV63" i="5" s="1"/>
  <c r="AV62" i="5" s="1"/>
  <c r="AV61" i="5" s="1"/>
  <c r="AV27" i="5" s="1"/>
  <c r="AD304" i="38"/>
  <c r="Z304" i="38"/>
  <c r="Y304" i="38"/>
  <c r="X304" i="38"/>
  <c r="W304" i="38"/>
  <c r="V304" i="38"/>
  <c r="T304" i="38"/>
  <c r="AT63" i="10" s="1"/>
  <c r="AT62" i="10" s="1"/>
  <c r="AT61" i="10" s="1"/>
  <c r="AT27" i="10" s="1"/>
  <c r="S304" i="38"/>
  <c r="AT63" i="9" s="1"/>
  <c r="AT62" i="9" s="1"/>
  <c r="AT61" i="9" s="1"/>
  <c r="AT27" i="9" s="1"/>
  <c r="R304" i="38"/>
  <c r="AT63" i="5" s="1"/>
  <c r="AT62" i="5" s="1"/>
  <c r="AT61" i="5" s="1"/>
  <c r="AT27" i="5" s="1"/>
  <c r="Q304" i="38"/>
  <c r="P304" i="38"/>
  <c r="O304" i="38"/>
  <c r="L304" i="38"/>
  <c r="AS63" i="10" s="1"/>
  <c r="AS62" i="10" s="1"/>
  <c r="AS61" i="10" s="1"/>
  <c r="AS27" i="10" s="1"/>
  <c r="K304" i="38"/>
  <c r="H304" i="38"/>
  <c r="G304" i="38"/>
  <c r="D304" i="38"/>
  <c r="AQ63" i="10" s="1"/>
  <c r="C304" i="38"/>
  <c r="AW303" i="38"/>
  <c r="AV303" i="38"/>
  <c r="AU303" i="38"/>
  <c r="AR303" i="38"/>
  <c r="AR304" i="38" s="1"/>
  <c r="AQ303" i="38"/>
  <c r="AQ304" i="38" s="1"/>
  <c r="AK303" i="38"/>
  <c r="AK304" i="38" s="1"/>
  <c r="AJ303" i="38"/>
  <c r="AJ304" i="38" s="1"/>
  <c r="AI303" i="38"/>
  <c r="AI304" i="38" s="1"/>
  <c r="AC303" i="38"/>
  <c r="AC304" i="38" s="1"/>
  <c r="U303" i="38"/>
  <c r="U304" i="38" s="1"/>
  <c r="BA302" i="38"/>
  <c r="AZ302" i="38"/>
  <c r="BB302" i="38" s="1"/>
  <c r="AY302" i="38"/>
  <c r="AW302" i="38"/>
  <c r="AV302" i="38"/>
  <c r="AU302" i="38"/>
  <c r="BA301" i="38"/>
  <c r="AZ301" i="38"/>
  <c r="AY301" i="38"/>
  <c r="AX301" i="38"/>
  <c r="AT299" i="38"/>
  <c r="AT300" i="38" s="1"/>
  <c r="AS299" i="38"/>
  <c r="AS300" i="38" s="1"/>
  <c r="AR299" i="38"/>
  <c r="AR300" i="38" s="1"/>
  <c r="AQ299" i="38"/>
  <c r="AN299" i="38"/>
  <c r="AN300" i="38" s="1"/>
  <c r="AM299" i="38"/>
  <c r="AM300" i="38" s="1"/>
  <c r="AL299" i="38"/>
  <c r="AL300" i="38" s="1"/>
  <c r="AK299" i="38"/>
  <c r="AK300" i="38" s="1"/>
  <c r="AJ299" i="38"/>
  <c r="AJ300" i="38" s="1"/>
  <c r="AI299" i="38"/>
  <c r="AI300" i="38" s="1"/>
  <c r="AF299" i="38"/>
  <c r="AF300" i="38" s="1"/>
  <c r="AE299" i="38"/>
  <c r="AE300" i="38" s="1"/>
  <c r="AD299" i="38"/>
  <c r="AD300" i="38" s="1"/>
  <c r="AC299" i="38"/>
  <c r="AC300" i="38" s="1"/>
  <c r="Z299" i="38"/>
  <c r="Z300" i="38" s="1"/>
  <c r="Y299" i="38"/>
  <c r="Y300" i="38" s="1"/>
  <c r="X299" i="38"/>
  <c r="X300" i="38" s="1"/>
  <c r="W299" i="38"/>
  <c r="W300" i="38" s="1"/>
  <c r="V299" i="38"/>
  <c r="V300" i="38" s="1"/>
  <c r="U299" i="38"/>
  <c r="U300" i="38" s="1"/>
  <c r="T299" i="38"/>
  <c r="T300" i="38" s="1"/>
  <c r="S299" i="38"/>
  <c r="S300" i="38" s="1"/>
  <c r="R299" i="38"/>
  <c r="R300" i="38" s="1"/>
  <c r="Q299" i="38"/>
  <c r="Q300" i="38" s="1"/>
  <c r="P299" i="38"/>
  <c r="P300" i="38" s="1"/>
  <c r="O299" i="38"/>
  <c r="O300" i="38" s="1"/>
  <c r="L299" i="38"/>
  <c r="L300" i="38" s="1"/>
  <c r="K299" i="38"/>
  <c r="K300" i="38" s="1"/>
  <c r="H299" i="38"/>
  <c r="H300" i="38" s="1"/>
  <c r="G299" i="38"/>
  <c r="G300" i="38" s="1"/>
  <c r="D299" i="38"/>
  <c r="D300" i="38" s="1"/>
  <c r="C299" i="38"/>
  <c r="C300" i="38" s="1"/>
  <c r="BA298" i="38"/>
  <c r="AZ298" i="38"/>
  <c r="AY298" i="38"/>
  <c r="BB298" i="38" s="1"/>
  <c r="AW298" i="38"/>
  <c r="AV298" i="38"/>
  <c r="AU298" i="38"/>
  <c r="AX298" i="38" s="1"/>
  <c r="BA297" i="38"/>
  <c r="AZ297" i="38"/>
  <c r="AY297" i="38"/>
  <c r="BB297" i="38" s="1"/>
  <c r="AW297" i="38"/>
  <c r="AV297" i="38"/>
  <c r="AU297" i="38"/>
  <c r="AX297" i="38" s="1"/>
  <c r="BA296" i="38"/>
  <c r="AZ296" i="38"/>
  <c r="AY296" i="38"/>
  <c r="BB296" i="38" s="1"/>
  <c r="AW296" i="38"/>
  <c r="AV296" i="38"/>
  <c r="AU296" i="38"/>
  <c r="AX296" i="38" s="1"/>
  <c r="BA295" i="38"/>
  <c r="AZ295" i="38"/>
  <c r="AY295" i="38"/>
  <c r="BB295" i="38" s="1"/>
  <c r="AW295" i="38"/>
  <c r="AV295" i="38"/>
  <c r="AU295" i="38"/>
  <c r="AX295" i="38" s="1"/>
  <c r="BA294" i="38"/>
  <c r="AZ294" i="38"/>
  <c r="AY294" i="38"/>
  <c r="BB294" i="38" s="1"/>
  <c r="AW294" i="38"/>
  <c r="AW299" i="38" s="1"/>
  <c r="AV294" i="38"/>
  <c r="AV299" i="38" s="1"/>
  <c r="AU294" i="38"/>
  <c r="AX294" i="38" s="1"/>
  <c r="BA293" i="38"/>
  <c r="BA299" i="38" s="1"/>
  <c r="AZ293" i="38"/>
  <c r="AZ299" i="38" s="1"/>
  <c r="AY293" i="38"/>
  <c r="BB293" i="38" s="1"/>
  <c r="BB299" i="38" s="1"/>
  <c r="AX293" i="38"/>
  <c r="AX299" i="38" s="1"/>
  <c r="AT292" i="38"/>
  <c r="AS292" i="38"/>
  <c r="AR292" i="38"/>
  <c r="AQ292" i="38"/>
  <c r="AN292" i="38"/>
  <c r="AM292" i="38"/>
  <c r="AL292" i="38"/>
  <c r="AK292" i="38"/>
  <c r="AJ292" i="38"/>
  <c r="AI292" i="38"/>
  <c r="AF292" i="38"/>
  <c r="AE292" i="38"/>
  <c r="AD292" i="38"/>
  <c r="AC292" i="38"/>
  <c r="Z292" i="38"/>
  <c r="Y292" i="38"/>
  <c r="X292" i="38"/>
  <c r="W292" i="38"/>
  <c r="V292" i="38"/>
  <c r="U292" i="38"/>
  <c r="T292" i="38"/>
  <c r="S292" i="38"/>
  <c r="R292" i="38"/>
  <c r="Q292" i="38"/>
  <c r="P292" i="38"/>
  <c r="O292" i="38"/>
  <c r="L292" i="38"/>
  <c r="K292" i="38"/>
  <c r="H292" i="38"/>
  <c r="G292" i="38"/>
  <c r="D292" i="38"/>
  <c r="C292" i="38"/>
  <c r="BA291" i="38"/>
  <c r="AZ291" i="38"/>
  <c r="BB291" i="38" s="1"/>
  <c r="AY291" i="38"/>
  <c r="AW291" i="38"/>
  <c r="AV291" i="38"/>
  <c r="AX291" i="38" s="1"/>
  <c r="AU291" i="38"/>
  <c r="BA290" i="38"/>
  <c r="AZ290" i="38"/>
  <c r="BB290" i="38" s="1"/>
  <c r="AY290" i="38"/>
  <c r="AW290" i="38"/>
  <c r="AV290" i="38"/>
  <c r="AX290" i="38" s="1"/>
  <c r="AU290" i="38"/>
  <c r="BA289" i="38"/>
  <c r="AZ289" i="38"/>
  <c r="BB289" i="38" s="1"/>
  <c r="AY289" i="38"/>
  <c r="AW289" i="38"/>
  <c r="AV289" i="38"/>
  <c r="AX289" i="38" s="1"/>
  <c r="AU289" i="38"/>
  <c r="BA288" i="38"/>
  <c r="AZ288" i="38"/>
  <c r="AY288" i="38"/>
  <c r="BB288" i="38" s="1"/>
  <c r="AW288" i="38"/>
  <c r="AV288" i="38"/>
  <c r="AU288" i="38"/>
  <c r="AX288" i="38" s="1"/>
  <c r="BA287" i="38"/>
  <c r="BA292" i="38" s="1"/>
  <c r="AZ287" i="38"/>
  <c r="AZ292" i="38" s="1"/>
  <c r="AY287" i="38"/>
  <c r="AY292" i="38" s="1"/>
  <c r="AW287" i="38"/>
  <c r="AW292" i="38" s="1"/>
  <c r="AV287" i="38"/>
  <c r="AV292" i="38" s="1"/>
  <c r="AU287" i="38"/>
  <c r="AU292" i="38" s="1"/>
  <c r="BA286" i="38"/>
  <c r="AZ286" i="38"/>
  <c r="AY286" i="38"/>
  <c r="BB286" i="38" s="1"/>
  <c r="AX286" i="38"/>
  <c r="AT285" i="38"/>
  <c r="AS285" i="38"/>
  <c r="AR285" i="38"/>
  <c r="AN285" i="38"/>
  <c r="AM285" i="38"/>
  <c r="AL285" i="38"/>
  <c r="AK285" i="38"/>
  <c r="AJ285" i="38"/>
  <c r="AI285" i="38"/>
  <c r="AF285" i="38"/>
  <c r="AE285" i="38"/>
  <c r="AD285" i="38"/>
  <c r="AC285" i="38"/>
  <c r="Z285" i="38"/>
  <c r="Y285" i="38"/>
  <c r="X285" i="38"/>
  <c r="W285" i="38"/>
  <c r="V285" i="38"/>
  <c r="U285" i="38"/>
  <c r="T285" i="38"/>
  <c r="S285" i="38"/>
  <c r="R285" i="38"/>
  <c r="Q285" i="38"/>
  <c r="P285" i="38"/>
  <c r="O285" i="38"/>
  <c r="L285" i="38"/>
  <c r="K285" i="38"/>
  <c r="H285" i="38"/>
  <c r="G285" i="38"/>
  <c r="D285" i="38"/>
  <c r="C285" i="38"/>
  <c r="BA284" i="38"/>
  <c r="AZ284" i="38"/>
  <c r="AY284" i="38"/>
  <c r="BB284" i="38" s="1"/>
  <c r="AW284" i="38"/>
  <c r="AV284" i="38"/>
  <c r="AU284" i="38"/>
  <c r="AX284" i="38" s="1"/>
  <c r="BA283" i="38"/>
  <c r="AZ283" i="38"/>
  <c r="AY283" i="38"/>
  <c r="BB283" i="38" s="1"/>
  <c r="AW283" i="38"/>
  <c r="AV283" i="38"/>
  <c r="AU283" i="38"/>
  <c r="AX283" i="38" s="1"/>
  <c r="BA282" i="38"/>
  <c r="AZ282" i="38"/>
  <c r="AY282" i="38"/>
  <c r="BB282" i="38" s="1"/>
  <c r="AW282" i="38"/>
  <c r="AV282" i="38"/>
  <c r="AU282" i="38"/>
  <c r="AX282" i="38" s="1"/>
  <c r="BA281" i="38"/>
  <c r="AZ281" i="38"/>
  <c r="AY281" i="38"/>
  <c r="BB281" i="38" s="1"/>
  <c r="AW281" i="38"/>
  <c r="AV281" i="38"/>
  <c r="AU281" i="38"/>
  <c r="AX281" i="38" s="1"/>
  <c r="AQ281" i="38"/>
  <c r="AQ285" i="38" s="1"/>
  <c r="BA280" i="38"/>
  <c r="AZ280" i="38"/>
  <c r="BB280" i="38" s="1"/>
  <c r="AY280" i="38"/>
  <c r="AW280" i="38"/>
  <c r="AW285" i="38" s="1"/>
  <c r="AV280" i="38"/>
  <c r="AV285" i="38" s="1"/>
  <c r="AU280" i="38"/>
  <c r="AU285" i="38" s="1"/>
  <c r="BA279" i="38"/>
  <c r="BA285" i="38" s="1"/>
  <c r="AZ279" i="38"/>
  <c r="AZ285" i="38" s="1"/>
  <c r="AY279" i="38"/>
  <c r="AY285" i="38" s="1"/>
  <c r="AX279" i="38"/>
  <c r="AT278" i="38"/>
  <c r="AS278" i="38"/>
  <c r="AR278" i="38"/>
  <c r="AQ278" i="38"/>
  <c r="AN278" i="38"/>
  <c r="AM278" i="38"/>
  <c r="AL278" i="38"/>
  <c r="AK278" i="38"/>
  <c r="AJ278" i="38"/>
  <c r="AI278" i="38"/>
  <c r="AF278" i="38"/>
  <c r="AE278" i="38"/>
  <c r="AD278" i="38"/>
  <c r="AC278" i="38"/>
  <c r="Z278" i="38"/>
  <c r="Y278" i="38"/>
  <c r="X278" i="38"/>
  <c r="W278" i="38"/>
  <c r="V278" i="38"/>
  <c r="U278" i="38"/>
  <c r="T278" i="38"/>
  <c r="S278" i="38"/>
  <c r="R278" i="38"/>
  <c r="Q278" i="38"/>
  <c r="P278" i="38"/>
  <c r="O278" i="38"/>
  <c r="K278" i="38"/>
  <c r="G278" i="38"/>
  <c r="C278" i="38"/>
  <c r="BA277" i="38"/>
  <c r="AZ277" i="38"/>
  <c r="AY277" i="38"/>
  <c r="BB277" i="38" s="1"/>
  <c r="AW277" i="38"/>
  <c r="AV277" i="38"/>
  <c r="AU277" i="38"/>
  <c r="AX277" i="38" s="1"/>
  <c r="BA276" i="38"/>
  <c r="AZ276" i="38"/>
  <c r="AY276" i="38"/>
  <c r="BB276" i="38" s="1"/>
  <c r="AW276" i="38"/>
  <c r="AV276" i="38"/>
  <c r="AU276" i="38"/>
  <c r="AX276" i="38" s="1"/>
  <c r="BA275" i="38"/>
  <c r="AZ275" i="38"/>
  <c r="AY275" i="38"/>
  <c r="BB275" i="38" s="1"/>
  <c r="AW275" i="38"/>
  <c r="AW278" i="38" s="1"/>
  <c r="AV275" i="38"/>
  <c r="AV278" i="38" s="1"/>
  <c r="AU275" i="38"/>
  <c r="AU278" i="38" s="1"/>
  <c r="BA274" i="38"/>
  <c r="BA278" i="38" s="1"/>
  <c r="AZ274" i="38"/>
  <c r="AZ278" i="38" s="1"/>
  <c r="AY274" i="38"/>
  <c r="AY278" i="38" s="1"/>
  <c r="AX274" i="38"/>
  <c r="AT273" i="38"/>
  <c r="AS273" i="38"/>
  <c r="AR273" i="38"/>
  <c r="AQ273" i="38"/>
  <c r="AF273" i="38"/>
  <c r="AE273" i="38"/>
  <c r="AD273" i="38"/>
  <c r="AC273" i="38"/>
  <c r="Z273" i="38"/>
  <c r="Y273" i="38"/>
  <c r="X273" i="38"/>
  <c r="W273" i="38"/>
  <c r="V273" i="38"/>
  <c r="U273" i="38"/>
  <c r="T273" i="38"/>
  <c r="S273" i="38"/>
  <c r="R273" i="38"/>
  <c r="Q273" i="38"/>
  <c r="P273" i="38"/>
  <c r="O273" i="38"/>
  <c r="L273" i="38"/>
  <c r="K273" i="38"/>
  <c r="H273" i="38"/>
  <c r="G273" i="38"/>
  <c r="D273" i="38"/>
  <c r="C273" i="38"/>
  <c r="BA272" i="38"/>
  <c r="AZ272" i="38"/>
  <c r="AY272" i="38"/>
  <c r="BB272" i="38" s="1"/>
  <c r="AW272" i="38"/>
  <c r="AV272" i="38"/>
  <c r="AU272" i="38"/>
  <c r="AX272" i="38" s="1"/>
  <c r="BA271" i="38"/>
  <c r="AZ271" i="38"/>
  <c r="AY271" i="38"/>
  <c r="BB271" i="38" s="1"/>
  <c r="AW271" i="38"/>
  <c r="AW273" i="38" s="1"/>
  <c r="AV271" i="38"/>
  <c r="AV273" i="38" s="1"/>
  <c r="AU271" i="38"/>
  <c r="AX271" i="38" s="1"/>
  <c r="BA270" i="38"/>
  <c r="BA273" i="38" s="1"/>
  <c r="AZ270" i="38"/>
  <c r="AZ273" i="38" s="1"/>
  <c r="AY270" i="38"/>
  <c r="BB270" i="38" s="1"/>
  <c r="BB273" i="38" s="1"/>
  <c r="AX270" i="38"/>
  <c r="AX273" i="38" s="1"/>
  <c r="AT265" i="38"/>
  <c r="AS265" i="38"/>
  <c r="AR265" i="38"/>
  <c r="AQ265" i="38"/>
  <c r="AN265" i="38"/>
  <c r="AM265" i="38"/>
  <c r="AL265" i="38"/>
  <c r="AK265" i="38"/>
  <c r="AJ265" i="38"/>
  <c r="AI265" i="38"/>
  <c r="AF265" i="38"/>
  <c r="AE265" i="38"/>
  <c r="AD265" i="38"/>
  <c r="AC265" i="38"/>
  <c r="Z265" i="38"/>
  <c r="Y265" i="38"/>
  <c r="X265" i="38"/>
  <c r="W265" i="38"/>
  <c r="V265" i="38"/>
  <c r="U265" i="38"/>
  <c r="T265" i="38"/>
  <c r="S265" i="38"/>
  <c r="R265" i="38"/>
  <c r="Q265" i="38"/>
  <c r="P265" i="38"/>
  <c r="O265" i="38"/>
  <c r="L265" i="38"/>
  <c r="K265" i="38"/>
  <c r="H265" i="38"/>
  <c r="G265" i="38"/>
  <c r="D265" i="38"/>
  <c r="C265" i="38"/>
  <c r="BA264" i="38"/>
  <c r="AZ264" i="38"/>
  <c r="AY264" i="38"/>
  <c r="BB264" i="38" s="1"/>
  <c r="AW264" i="38"/>
  <c r="AV264" i="38"/>
  <c r="AU264" i="38"/>
  <c r="AX264" i="38" s="1"/>
  <c r="BA263" i="38"/>
  <c r="AZ263" i="38"/>
  <c r="AY263" i="38"/>
  <c r="BB263" i="38" s="1"/>
  <c r="AW263" i="38"/>
  <c r="AW265" i="38" s="1"/>
  <c r="AV263" i="38"/>
  <c r="AV265" i="38" s="1"/>
  <c r="AU263" i="38"/>
  <c r="AU265" i="38" s="1"/>
  <c r="BA262" i="38"/>
  <c r="BA265" i="38" s="1"/>
  <c r="AZ262" i="38"/>
  <c r="AZ265" i="38" s="1"/>
  <c r="AY262" i="38"/>
  <c r="AY265" i="38" s="1"/>
  <c r="AX262" i="38"/>
  <c r="AT261" i="38"/>
  <c r="AT266" i="38" s="1"/>
  <c r="AS261" i="38"/>
  <c r="AS266" i="38" s="1"/>
  <c r="AR261" i="38"/>
  <c r="AR266" i="38" s="1"/>
  <c r="AQ261" i="38"/>
  <c r="AQ266" i="38" s="1"/>
  <c r="AN261" i="38"/>
  <c r="AN266" i="38" s="1"/>
  <c r="AM261" i="38"/>
  <c r="AM266" i="38" s="1"/>
  <c r="AL261" i="38"/>
  <c r="AL266" i="38" s="1"/>
  <c r="AK261" i="38"/>
  <c r="AK266" i="38" s="1"/>
  <c r="AJ261" i="38"/>
  <c r="AJ266" i="38" s="1"/>
  <c r="AI261" i="38"/>
  <c r="AI266" i="38" s="1"/>
  <c r="AF261" i="38"/>
  <c r="AF266" i="38" s="1"/>
  <c r="AE261" i="38"/>
  <c r="AE266" i="38" s="1"/>
  <c r="AD261" i="38"/>
  <c r="AD266" i="38" s="1"/>
  <c r="AC261" i="38"/>
  <c r="AC266" i="38" s="1"/>
  <c r="Z261" i="38"/>
  <c r="Z266" i="38" s="1"/>
  <c r="Y261" i="38"/>
  <c r="Y266" i="38" s="1"/>
  <c r="X261" i="38"/>
  <c r="X266" i="38" s="1"/>
  <c r="W261" i="38"/>
  <c r="W266" i="38" s="1"/>
  <c r="V261" i="38"/>
  <c r="V266" i="38" s="1"/>
  <c r="U261" i="38"/>
  <c r="U266" i="38" s="1"/>
  <c r="T261" i="38"/>
  <c r="T266" i="38" s="1"/>
  <c r="S261" i="38"/>
  <c r="S266" i="38" s="1"/>
  <c r="R261" i="38"/>
  <c r="R266" i="38" s="1"/>
  <c r="Q261" i="38"/>
  <c r="Q266" i="38" s="1"/>
  <c r="P261" i="38"/>
  <c r="P266" i="38" s="1"/>
  <c r="O261" i="38"/>
  <c r="O266" i="38" s="1"/>
  <c r="L261" i="38"/>
  <c r="L266" i="38" s="1"/>
  <c r="K261" i="38"/>
  <c r="K266" i="38" s="1"/>
  <c r="H261" i="38"/>
  <c r="H266" i="38" s="1"/>
  <c r="G261" i="38"/>
  <c r="G266" i="38" s="1"/>
  <c r="D261" i="38"/>
  <c r="D266" i="38" s="1"/>
  <c r="C261" i="38"/>
  <c r="C266" i="38" s="1"/>
  <c r="BA260" i="38"/>
  <c r="AZ260" i="38"/>
  <c r="AY260" i="38"/>
  <c r="BB260" i="38" s="1"/>
  <c r="AW260" i="38"/>
  <c r="AV260" i="38"/>
  <c r="AU260" i="38"/>
  <c r="AX260" i="38" s="1"/>
  <c r="BA259" i="38"/>
  <c r="AZ259" i="38"/>
  <c r="AY259" i="38"/>
  <c r="BB259" i="38" s="1"/>
  <c r="AW259" i="38"/>
  <c r="AV259" i="38"/>
  <c r="AU259" i="38"/>
  <c r="AX259" i="38" s="1"/>
  <c r="BA258" i="38"/>
  <c r="AZ258" i="38"/>
  <c r="AY258" i="38"/>
  <c r="BB258" i="38" s="1"/>
  <c r="AW258" i="38"/>
  <c r="AW261" i="38" s="1"/>
  <c r="AW266" i="38" s="1"/>
  <c r="AV258" i="38"/>
  <c r="AV261" i="38" s="1"/>
  <c r="AV266" i="38" s="1"/>
  <c r="AU258" i="38"/>
  <c r="AX258" i="38" s="1"/>
  <c r="BA257" i="38"/>
  <c r="BA261" i="38" s="1"/>
  <c r="BA266" i="38" s="1"/>
  <c r="AZ257" i="38"/>
  <c r="AZ261" i="38" s="1"/>
  <c r="AZ266" i="38" s="1"/>
  <c r="AY257" i="38"/>
  <c r="BB257" i="38" s="1"/>
  <c r="BB261" i="38" s="1"/>
  <c r="AX257" i="38"/>
  <c r="AX261" i="38" s="1"/>
  <c r="AT255" i="38"/>
  <c r="AS255" i="38"/>
  <c r="AR255" i="38"/>
  <c r="AQ255" i="38"/>
  <c r="AN255" i="38"/>
  <c r="AM255" i="38"/>
  <c r="AL255" i="38"/>
  <c r="AK255" i="38"/>
  <c r="AJ255" i="38"/>
  <c r="AI255" i="38"/>
  <c r="AF255" i="38"/>
  <c r="AE255" i="38"/>
  <c r="AD255" i="38"/>
  <c r="AC255" i="38"/>
  <c r="Z255" i="38"/>
  <c r="Y255" i="38"/>
  <c r="X255" i="38"/>
  <c r="W255" i="38"/>
  <c r="V255" i="38"/>
  <c r="U255" i="38"/>
  <c r="T255" i="38"/>
  <c r="S255" i="38"/>
  <c r="R255" i="38"/>
  <c r="Q255" i="38"/>
  <c r="P255" i="38"/>
  <c r="O255" i="38"/>
  <c r="L255" i="38"/>
  <c r="K255" i="38"/>
  <c r="H255" i="38"/>
  <c r="G255" i="38"/>
  <c r="D255" i="38"/>
  <c r="C255" i="38"/>
  <c r="BA254" i="38"/>
  <c r="AZ254" i="38"/>
  <c r="AY254" i="38"/>
  <c r="BB254" i="38" s="1"/>
  <c r="AW254" i="38"/>
  <c r="AV254" i="38"/>
  <c r="AU254" i="38"/>
  <c r="AX254" i="38" s="1"/>
  <c r="BA253" i="38"/>
  <c r="AZ253" i="38"/>
  <c r="AY253" i="38"/>
  <c r="BB253" i="38" s="1"/>
  <c r="AW253" i="38"/>
  <c r="AV253" i="38"/>
  <c r="AU253" i="38"/>
  <c r="AX253" i="38" s="1"/>
  <c r="BA252" i="38"/>
  <c r="AZ252" i="38"/>
  <c r="AY252" i="38"/>
  <c r="BB252" i="38" s="1"/>
  <c r="AW252" i="38"/>
  <c r="AW255" i="38" s="1"/>
  <c r="AV252" i="38"/>
  <c r="AV255" i="38" s="1"/>
  <c r="AU252" i="38"/>
  <c r="AU255" i="38" s="1"/>
  <c r="BA251" i="38"/>
  <c r="BA255" i="38" s="1"/>
  <c r="AZ251" i="38"/>
  <c r="AZ255" i="38" s="1"/>
  <c r="AY251" i="38"/>
  <c r="AY255" i="38" s="1"/>
  <c r="AX251" i="38"/>
  <c r="AT250" i="38"/>
  <c r="AS250" i="38"/>
  <c r="AR250" i="38"/>
  <c r="AQ250" i="38"/>
  <c r="AN250" i="38"/>
  <c r="AM250" i="38"/>
  <c r="AL250" i="38"/>
  <c r="AK250" i="38"/>
  <c r="AJ250" i="38"/>
  <c r="AI250" i="38"/>
  <c r="AF250" i="38"/>
  <c r="AE250" i="38"/>
  <c r="AD250" i="38"/>
  <c r="AC250" i="38"/>
  <c r="Z250" i="38"/>
  <c r="Y250" i="38"/>
  <c r="X250" i="38"/>
  <c r="W250" i="38"/>
  <c r="V250" i="38"/>
  <c r="U250" i="38"/>
  <c r="T250" i="38"/>
  <c r="S250" i="38"/>
  <c r="R250" i="38"/>
  <c r="Q250" i="38"/>
  <c r="P250" i="38"/>
  <c r="O250" i="38"/>
  <c r="L250" i="38"/>
  <c r="K250" i="38"/>
  <c r="H250" i="38"/>
  <c r="G250" i="38"/>
  <c r="D250" i="38"/>
  <c r="C250" i="38"/>
  <c r="BA249" i="38"/>
  <c r="AZ249" i="38"/>
  <c r="BB249" i="38" s="1"/>
  <c r="AY249" i="38"/>
  <c r="AW249" i="38"/>
  <c r="AV249" i="38"/>
  <c r="AU249" i="38"/>
  <c r="AX249" i="38" s="1"/>
  <c r="BA248" i="38"/>
  <c r="AZ248" i="38"/>
  <c r="AY248" i="38"/>
  <c r="BB248" i="38" s="1"/>
  <c r="AW248" i="38"/>
  <c r="AV248" i="38"/>
  <c r="AU248" i="38"/>
  <c r="AX248" i="38" s="1"/>
  <c r="BA247" i="38"/>
  <c r="AZ247" i="38"/>
  <c r="AY247" i="38"/>
  <c r="BB247" i="38" s="1"/>
  <c r="AW247" i="38"/>
  <c r="AW250" i="38" s="1"/>
  <c r="AV247" i="38"/>
  <c r="AV250" i="38" s="1"/>
  <c r="AU247" i="38"/>
  <c r="AX247" i="38" s="1"/>
  <c r="BA246" i="38"/>
  <c r="BA250" i="38" s="1"/>
  <c r="AZ246" i="38"/>
  <c r="AZ250" i="38" s="1"/>
  <c r="AY246" i="38"/>
  <c r="BB246" i="38" s="1"/>
  <c r="BB250" i="38" s="1"/>
  <c r="AX246" i="38"/>
  <c r="AX250" i="38" s="1"/>
  <c r="AT245" i="38"/>
  <c r="AT256" i="38" s="1"/>
  <c r="AS245" i="38"/>
  <c r="AR245" i="38"/>
  <c r="AR256" i="38" s="1"/>
  <c r="AQ245" i="38"/>
  <c r="AQ256" i="38" s="1"/>
  <c r="AN245" i="38"/>
  <c r="AN256" i="38" s="1"/>
  <c r="AM245" i="38"/>
  <c r="AM256" i="38" s="1"/>
  <c r="AL245" i="38"/>
  <c r="AL256" i="38" s="1"/>
  <c r="AK245" i="38"/>
  <c r="AK256" i="38" s="1"/>
  <c r="AJ245" i="38"/>
  <c r="AJ256" i="38" s="1"/>
  <c r="AI245" i="38"/>
  <c r="AI256" i="38" s="1"/>
  <c r="AF245" i="38"/>
  <c r="AF256" i="38" s="1"/>
  <c r="AE245" i="38"/>
  <c r="AE256" i="38" s="1"/>
  <c r="AD245" i="38"/>
  <c r="AD256" i="38" s="1"/>
  <c r="AC245" i="38"/>
  <c r="AC256" i="38" s="1"/>
  <c r="Z245" i="38"/>
  <c r="Z256" i="38" s="1"/>
  <c r="Y245" i="38"/>
  <c r="Y256" i="38" s="1"/>
  <c r="X245" i="38"/>
  <c r="X256" i="38" s="1"/>
  <c r="W245" i="38"/>
  <c r="W256" i="38" s="1"/>
  <c r="V245" i="38"/>
  <c r="U245" i="38"/>
  <c r="U256" i="38" s="1"/>
  <c r="T245" i="38"/>
  <c r="T256" i="38" s="1"/>
  <c r="S245" i="38"/>
  <c r="S256" i="38" s="1"/>
  <c r="R245" i="38"/>
  <c r="Q245" i="38"/>
  <c r="Q256" i="38" s="1"/>
  <c r="P245" i="38"/>
  <c r="P256" i="38" s="1"/>
  <c r="O245" i="38"/>
  <c r="L245" i="38"/>
  <c r="L256" i="38" s="1"/>
  <c r="K245" i="38"/>
  <c r="K256" i="38" s="1"/>
  <c r="H245" i="38"/>
  <c r="H256" i="38" s="1"/>
  <c r="G245" i="38"/>
  <c r="G256" i="38" s="1"/>
  <c r="D245" i="38"/>
  <c r="D256" i="38" s="1"/>
  <c r="C245" i="38"/>
  <c r="C256" i="38" s="1"/>
  <c r="BA244" i="38"/>
  <c r="AZ244" i="38"/>
  <c r="AY244" i="38"/>
  <c r="BB244" i="38" s="1"/>
  <c r="AW244" i="38"/>
  <c r="AV244" i="38"/>
  <c r="AU244" i="38"/>
  <c r="AX244" i="38" s="1"/>
  <c r="BA243" i="38"/>
  <c r="AZ243" i="38"/>
  <c r="AY243" i="38"/>
  <c r="BB243" i="38" s="1"/>
  <c r="AW243" i="38"/>
  <c r="AV243" i="38"/>
  <c r="AU243" i="38"/>
  <c r="AX243" i="38" s="1"/>
  <c r="BA242" i="38"/>
  <c r="AZ242" i="38"/>
  <c r="AY242" i="38"/>
  <c r="BB242" i="38" s="1"/>
  <c r="AW242" i="38"/>
  <c r="AV242" i="38"/>
  <c r="AU242" i="38"/>
  <c r="AX242" i="38" s="1"/>
  <c r="BA241" i="38"/>
  <c r="AZ241" i="38"/>
  <c r="AY241" i="38"/>
  <c r="BB241" i="38" s="1"/>
  <c r="AW241" i="38"/>
  <c r="AW245" i="38" s="1"/>
  <c r="AV241" i="38"/>
  <c r="AV245" i="38" s="1"/>
  <c r="AU241" i="38"/>
  <c r="AU245" i="38" s="1"/>
  <c r="BA240" i="38"/>
  <c r="BA245" i="38" s="1"/>
  <c r="AZ240" i="38"/>
  <c r="AZ245" i="38" s="1"/>
  <c r="AY240" i="38"/>
  <c r="AY245" i="38" s="1"/>
  <c r="AX240" i="38"/>
  <c r="AT239" i="38"/>
  <c r="AS239" i="38"/>
  <c r="AR239" i="38"/>
  <c r="AQ239" i="38"/>
  <c r="AN239" i="38"/>
  <c r="AM239" i="38"/>
  <c r="AL239" i="38"/>
  <c r="AK239" i="38"/>
  <c r="AJ239" i="38"/>
  <c r="AI239" i="38"/>
  <c r="AD239" i="38"/>
  <c r="AC239" i="38"/>
  <c r="Z239" i="38"/>
  <c r="Y239" i="38"/>
  <c r="X239" i="38"/>
  <c r="W239" i="38"/>
  <c r="V239" i="38"/>
  <c r="U239" i="38"/>
  <c r="T239" i="38"/>
  <c r="S239" i="38"/>
  <c r="R239" i="38"/>
  <c r="Q239" i="38"/>
  <c r="P239" i="38"/>
  <c r="L239" i="38"/>
  <c r="K239" i="38"/>
  <c r="H239" i="38"/>
  <c r="G239" i="38"/>
  <c r="D239" i="38"/>
  <c r="C239" i="38"/>
  <c r="BA238" i="38"/>
  <c r="AZ238" i="38"/>
  <c r="AY238" i="38"/>
  <c r="BB238" i="38" s="1"/>
  <c r="AW238" i="38"/>
  <c r="AV238" i="38"/>
  <c r="AU238" i="38"/>
  <c r="AX238" i="38" s="1"/>
  <c r="BA237" i="38"/>
  <c r="AZ237" i="38"/>
  <c r="AY237" i="38"/>
  <c r="BB237" i="38" s="1"/>
  <c r="AW237" i="38"/>
  <c r="AV237" i="38"/>
  <c r="AU237" i="38"/>
  <c r="AX237" i="38" s="1"/>
  <c r="BA236" i="38"/>
  <c r="AZ236" i="38"/>
  <c r="AY236" i="38"/>
  <c r="BB236" i="38" s="1"/>
  <c r="AW236" i="38"/>
  <c r="AV236" i="38"/>
  <c r="AU236" i="38"/>
  <c r="AX236" i="38" s="1"/>
  <c r="BA235" i="38"/>
  <c r="AZ235" i="38"/>
  <c r="AY235" i="38"/>
  <c r="BB235" i="38" s="1"/>
  <c r="AW235" i="38"/>
  <c r="AV235" i="38"/>
  <c r="AU235" i="38"/>
  <c r="AX235" i="38" s="1"/>
  <c r="BA234" i="38"/>
  <c r="AZ234" i="38"/>
  <c r="AY234" i="38"/>
  <c r="BB234" i="38" s="1"/>
  <c r="AW234" i="38"/>
  <c r="AW239" i="38" s="1"/>
  <c r="AV234" i="38"/>
  <c r="AV239" i="38" s="1"/>
  <c r="AU234" i="38"/>
  <c r="AX234" i="38" s="1"/>
  <c r="O234" i="38"/>
  <c r="O239" i="38" s="1"/>
  <c r="BA233" i="38"/>
  <c r="BA239" i="38" s="1"/>
  <c r="AZ233" i="38"/>
  <c r="AZ239" i="38" s="1"/>
  <c r="AY233" i="38"/>
  <c r="AY239" i="38" s="1"/>
  <c r="AX233" i="38"/>
  <c r="AT232" i="38"/>
  <c r="AS232" i="38"/>
  <c r="AY19" i="5" s="1"/>
  <c r="AY18" i="5" s="1"/>
  <c r="AR232" i="38"/>
  <c r="AQ232" i="38"/>
  <c r="AN232" i="38"/>
  <c r="AM232" i="38"/>
  <c r="AL232" i="38"/>
  <c r="AK232" i="38"/>
  <c r="AJ232" i="38"/>
  <c r="AI232" i="38"/>
  <c r="AF232" i="38"/>
  <c r="AE232" i="38"/>
  <c r="AD232" i="38"/>
  <c r="AC232" i="38"/>
  <c r="Z232" i="38"/>
  <c r="Y232" i="38"/>
  <c r="X232" i="38"/>
  <c r="W232" i="38"/>
  <c r="V232" i="38"/>
  <c r="AU19" i="5" s="1"/>
  <c r="AU18" i="5" s="1"/>
  <c r="AU26" i="5" s="1"/>
  <c r="AU6" i="5" s="1"/>
  <c r="U232" i="38"/>
  <c r="T232" i="38"/>
  <c r="S232" i="38"/>
  <c r="R232" i="38"/>
  <c r="AT19" i="5" s="1"/>
  <c r="AT18" i="5" s="1"/>
  <c r="Q232" i="38"/>
  <c r="P232" i="38"/>
  <c r="L232" i="38"/>
  <c r="K232" i="38"/>
  <c r="H232" i="38"/>
  <c r="G232" i="38"/>
  <c r="D232" i="38"/>
  <c r="C232" i="38"/>
  <c r="BA231" i="38"/>
  <c r="AZ231" i="38"/>
  <c r="AY231" i="38"/>
  <c r="BB231" i="38" s="1"/>
  <c r="AW231" i="38"/>
  <c r="AV231" i="38"/>
  <c r="AU231" i="38"/>
  <c r="AX231" i="38" s="1"/>
  <c r="BA230" i="38"/>
  <c r="AZ230" i="38"/>
  <c r="AY230" i="38"/>
  <c r="BB230" i="38" s="1"/>
  <c r="AW230" i="38"/>
  <c r="AV230" i="38"/>
  <c r="AU230" i="38"/>
  <c r="AX230" i="38" s="1"/>
  <c r="BA229" i="38"/>
  <c r="AZ229" i="38"/>
  <c r="AY229" i="38"/>
  <c r="BB229" i="38" s="1"/>
  <c r="AW229" i="38"/>
  <c r="AV229" i="38"/>
  <c r="AU229" i="38"/>
  <c r="AX229" i="38" s="1"/>
  <c r="BA228" i="38"/>
  <c r="AZ228" i="38"/>
  <c r="AY228" i="38"/>
  <c r="BB228" i="38" s="1"/>
  <c r="AW228" i="38"/>
  <c r="AV228" i="38"/>
  <c r="AU228" i="38"/>
  <c r="AX228" i="38" s="1"/>
  <c r="BA227" i="38"/>
  <c r="AZ227" i="38"/>
  <c r="AY227" i="38"/>
  <c r="BB227" i="38" s="1"/>
  <c r="AW227" i="38"/>
  <c r="AV227" i="38"/>
  <c r="AU227" i="38"/>
  <c r="AX227" i="38" s="1"/>
  <c r="BA226" i="38"/>
  <c r="AZ226" i="38"/>
  <c r="AY226" i="38"/>
  <c r="BB226" i="38" s="1"/>
  <c r="AW226" i="38"/>
  <c r="AV226" i="38"/>
  <c r="AU226" i="38"/>
  <c r="AX226" i="38" s="1"/>
  <c r="BA225" i="38"/>
  <c r="AZ225" i="38"/>
  <c r="AY225" i="38"/>
  <c r="BB225" i="38" s="1"/>
  <c r="AW225" i="38"/>
  <c r="AV225" i="38"/>
  <c r="AU225" i="38"/>
  <c r="AX225" i="38" s="1"/>
  <c r="BA224" i="38"/>
  <c r="AZ224" i="38"/>
  <c r="AY224" i="38"/>
  <c r="BB224" i="38" s="1"/>
  <c r="AW224" i="38"/>
  <c r="AV224" i="38"/>
  <c r="AU224" i="38"/>
  <c r="AX224" i="38" s="1"/>
  <c r="BA223" i="38"/>
  <c r="AZ223" i="38"/>
  <c r="AY223" i="38"/>
  <c r="BB223" i="38" s="1"/>
  <c r="AW223" i="38"/>
  <c r="AV223" i="38"/>
  <c r="AU223" i="38"/>
  <c r="AX223" i="38" s="1"/>
  <c r="BA222" i="38"/>
  <c r="AZ222" i="38"/>
  <c r="AY222" i="38"/>
  <c r="BB222" i="38" s="1"/>
  <c r="AW222" i="38"/>
  <c r="AV222" i="38"/>
  <c r="AU222" i="38"/>
  <c r="AX222" i="38" s="1"/>
  <c r="BA221" i="38"/>
  <c r="AZ221" i="38"/>
  <c r="AY221" i="38"/>
  <c r="BB221" i="38" s="1"/>
  <c r="AW221" i="38"/>
  <c r="AV221" i="38"/>
  <c r="AU221" i="38"/>
  <c r="AX221" i="38" s="1"/>
  <c r="BA220" i="38"/>
  <c r="AZ220" i="38"/>
  <c r="AY220" i="38"/>
  <c r="BB220" i="38" s="1"/>
  <c r="AW220" i="38"/>
  <c r="AV220" i="38"/>
  <c r="AU220" i="38"/>
  <c r="AX220" i="38" s="1"/>
  <c r="BA219" i="38"/>
  <c r="AZ219" i="38"/>
  <c r="AY219" i="38"/>
  <c r="BB219" i="38" s="1"/>
  <c r="AW219" i="38"/>
  <c r="AV219" i="38"/>
  <c r="AU219" i="38"/>
  <c r="AX219" i="38" s="1"/>
  <c r="BA218" i="38"/>
  <c r="AZ218" i="38"/>
  <c r="AY218" i="38"/>
  <c r="BB218" i="38" s="1"/>
  <c r="AW218" i="38"/>
  <c r="AV218" i="38"/>
  <c r="AU218" i="38"/>
  <c r="AX218" i="38" s="1"/>
  <c r="BA217" i="38"/>
  <c r="AZ217" i="38"/>
  <c r="AY217" i="38"/>
  <c r="BB217" i="38" s="1"/>
  <c r="AW217" i="38"/>
  <c r="AV217" i="38"/>
  <c r="AU217" i="38"/>
  <c r="AX217" i="38" s="1"/>
  <c r="BA216" i="38"/>
  <c r="AZ216" i="38"/>
  <c r="AY216" i="38"/>
  <c r="BB216" i="38" s="1"/>
  <c r="AW216" i="38"/>
  <c r="AV216" i="38"/>
  <c r="AU216" i="38"/>
  <c r="AX216" i="38" s="1"/>
  <c r="BA215" i="38"/>
  <c r="AZ215" i="38"/>
  <c r="AY215" i="38"/>
  <c r="BB215" i="38" s="1"/>
  <c r="AW215" i="38"/>
  <c r="AV215" i="38"/>
  <c r="AU215" i="38"/>
  <c r="AX215" i="38" s="1"/>
  <c r="BA214" i="38"/>
  <c r="AZ214" i="38"/>
  <c r="AY214" i="38"/>
  <c r="BB214" i="38" s="1"/>
  <c r="AW214" i="38"/>
  <c r="AV214" i="38"/>
  <c r="AU214" i="38"/>
  <c r="AX214" i="38" s="1"/>
  <c r="BA213" i="38"/>
  <c r="AZ213" i="38"/>
  <c r="AY213" i="38"/>
  <c r="BB213" i="38" s="1"/>
  <c r="AW213" i="38"/>
  <c r="AV213" i="38"/>
  <c r="AU213" i="38"/>
  <c r="AX213" i="38" s="1"/>
  <c r="BA212" i="38"/>
  <c r="AZ212" i="38"/>
  <c r="AY212" i="38"/>
  <c r="BB212" i="38" s="1"/>
  <c r="AW212" i="38"/>
  <c r="AV212" i="38"/>
  <c r="AU212" i="38"/>
  <c r="AX212" i="38" s="1"/>
  <c r="BA211" i="38"/>
  <c r="AZ211" i="38"/>
  <c r="AY211" i="38"/>
  <c r="BB211" i="38" s="1"/>
  <c r="AW211" i="38"/>
  <c r="AV211" i="38"/>
  <c r="AU211" i="38"/>
  <c r="AX211" i="38" s="1"/>
  <c r="BA210" i="38"/>
  <c r="AZ210" i="38"/>
  <c r="AY210" i="38"/>
  <c r="BB210" i="38" s="1"/>
  <c r="AW210" i="38"/>
  <c r="AV210" i="38"/>
  <c r="AU210" i="38"/>
  <c r="AX210" i="38" s="1"/>
  <c r="BA209" i="38"/>
  <c r="AZ209" i="38"/>
  <c r="AY209" i="38"/>
  <c r="BB209" i="38" s="1"/>
  <c r="AW209" i="38"/>
  <c r="AV209" i="38"/>
  <c r="AU209" i="38"/>
  <c r="AX209" i="38" s="1"/>
  <c r="BA208" i="38"/>
  <c r="AZ208" i="38"/>
  <c r="AY208" i="38"/>
  <c r="BB208" i="38" s="1"/>
  <c r="AW208" i="38"/>
  <c r="AV208" i="38"/>
  <c r="AU208" i="38"/>
  <c r="AX208" i="38" s="1"/>
  <c r="BA207" i="38"/>
  <c r="AZ207" i="38"/>
  <c r="AY207" i="38"/>
  <c r="BB207" i="38" s="1"/>
  <c r="AW207" i="38"/>
  <c r="AV207" i="38"/>
  <c r="AU207" i="38"/>
  <c r="AX207" i="38" s="1"/>
  <c r="BA206" i="38"/>
  <c r="AZ206" i="38"/>
  <c r="AY206" i="38"/>
  <c r="BB206" i="38" s="1"/>
  <c r="AW206" i="38"/>
  <c r="AV206" i="38"/>
  <c r="AU206" i="38"/>
  <c r="AX206" i="38" s="1"/>
  <c r="BA205" i="38"/>
  <c r="AZ205" i="38"/>
  <c r="AY205" i="38"/>
  <c r="BB205" i="38" s="1"/>
  <c r="AW205" i="38"/>
  <c r="AV205" i="38"/>
  <c r="AU205" i="38"/>
  <c r="AX205" i="38" s="1"/>
  <c r="BA204" i="38"/>
  <c r="AZ204" i="38"/>
  <c r="AY204" i="38"/>
  <c r="BB204" i="38" s="1"/>
  <c r="AW204" i="38"/>
  <c r="AV204" i="38"/>
  <c r="AU204" i="38"/>
  <c r="AX204" i="38" s="1"/>
  <c r="O204" i="38"/>
  <c r="BA203" i="38"/>
  <c r="AZ203" i="38"/>
  <c r="AW203" i="38"/>
  <c r="AV203" i="38"/>
  <c r="AU203" i="38"/>
  <c r="O203" i="38"/>
  <c r="BA202" i="38"/>
  <c r="AZ202" i="38"/>
  <c r="AY202" i="38"/>
  <c r="BB202" i="38" s="1"/>
  <c r="AW202" i="38"/>
  <c r="AV202" i="38"/>
  <c r="AU202" i="38"/>
  <c r="BA201" i="38"/>
  <c r="BA232" i="38" s="1"/>
  <c r="AZ201" i="38"/>
  <c r="AY201" i="38"/>
  <c r="AX201" i="38"/>
  <c r="AT199" i="38"/>
  <c r="AT200" i="38" s="1"/>
  <c r="AS199" i="38"/>
  <c r="AS200" i="38" s="1"/>
  <c r="AR199" i="38"/>
  <c r="AR200" i="38" s="1"/>
  <c r="AQ199" i="38"/>
  <c r="AQ200" i="38" s="1"/>
  <c r="AN199" i="38"/>
  <c r="AN200" i="38" s="1"/>
  <c r="AM199" i="38"/>
  <c r="AM200" i="38" s="1"/>
  <c r="AL199" i="38"/>
  <c r="AL200" i="38" s="1"/>
  <c r="AK199" i="38"/>
  <c r="AK200" i="38" s="1"/>
  <c r="AJ199" i="38"/>
  <c r="AJ200" i="38" s="1"/>
  <c r="AI199" i="38"/>
  <c r="AI200" i="38" s="1"/>
  <c r="AF199" i="38"/>
  <c r="AF200" i="38" s="1"/>
  <c r="AE199" i="38"/>
  <c r="AE200" i="38" s="1"/>
  <c r="AD199" i="38"/>
  <c r="AD200" i="38" s="1"/>
  <c r="AC199" i="38"/>
  <c r="AC200" i="38" s="1"/>
  <c r="Z199" i="38"/>
  <c r="Z200" i="38" s="1"/>
  <c r="Y199" i="38"/>
  <c r="Y200" i="38" s="1"/>
  <c r="X199" i="38"/>
  <c r="X200" i="38" s="1"/>
  <c r="W199" i="38"/>
  <c r="W200" i="38" s="1"/>
  <c r="V199" i="38"/>
  <c r="V200" i="38" s="1"/>
  <c r="U199" i="38"/>
  <c r="U200" i="38" s="1"/>
  <c r="T199" i="38"/>
  <c r="T200" i="38" s="1"/>
  <c r="S199" i="38"/>
  <c r="S200" i="38" s="1"/>
  <c r="R199" i="38"/>
  <c r="R200" i="38" s="1"/>
  <c r="Q199" i="38"/>
  <c r="Q200" i="38" s="1"/>
  <c r="P199" i="38"/>
  <c r="P200" i="38" s="1"/>
  <c r="O199" i="38"/>
  <c r="O200" i="38" s="1"/>
  <c r="L199" i="38"/>
  <c r="L200" i="38" s="1"/>
  <c r="K199" i="38"/>
  <c r="K200" i="38" s="1"/>
  <c r="H199" i="38"/>
  <c r="H200" i="38" s="1"/>
  <c r="G199" i="38"/>
  <c r="G200" i="38" s="1"/>
  <c r="D199" i="38"/>
  <c r="D200" i="38" s="1"/>
  <c r="C199" i="38"/>
  <c r="C200" i="38" s="1"/>
  <c r="BA198" i="38"/>
  <c r="AZ198" i="38"/>
  <c r="BB198" i="38" s="1"/>
  <c r="AY198" i="38"/>
  <c r="AW198" i="38"/>
  <c r="AV198" i="38"/>
  <c r="AX198" i="38" s="1"/>
  <c r="AU198" i="38"/>
  <c r="BA197" i="38"/>
  <c r="AZ197" i="38"/>
  <c r="BB197" i="38" s="1"/>
  <c r="AY197" i="38"/>
  <c r="AW197" i="38"/>
  <c r="AW199" i="38" s="1"/>
  <c r="AW200" i="38" s="1"/>
  <c r="AV197" i="38"/>
  <c r="AV199" i="38" s="1"/>
  <c r="AV200" i="38" s="1"/>
  <c r="AU197" i="38"/>
  <c r="AU199" i="38" s="1"/>
  <c r="AU200" i="38" s="1"/>
  <c r="BA196" i="38"/>
  <c r="BA199" i="38" s="1"/>
  <c r="BA200" i="38" s="1"/>
  <c r="AZ196" i="38"/>
  <c r="AZ199" i="38" s="1"/>
  <c r="AZ200" i="38" s="1"/>
  <c r="AY196" i="38"/>
  <c r="AY199" i="38" s="1"/>
  <c r="AY200" i="38" s="1"/>
  <c r="AX196" i="38"/>
  <c r="Y195" i="38"/>
  <c r="U195" i="38"/>
  <c r="Q195" i="38"/>
  <c r="K195" i="38"/>
  <c r="C195" i="38"/>
  <c r="AX194" i="38"/>
  <c r="AT194" i="38"/>
  <c r="AS194" i="38"/>
  <c r="AR194" i="38"/>
  <c r="AQ194" i="38"/>
  <c r="AN194" i="38"/>
  <c r="AM194" i="38"/>
  <c r="AL194" i="38"/>
  <c r="AK194" i="38"/>
  <c r="AJ194" i="38"/>
  <c r="AI194" i="38"/>
  <c r="AF194" i="38"/>
  <c r="AE194" i="38"/>
  <c r="AD194" i="38"/>
  <c r="AC194" i="38"/>
  <c r="Z194" i="38"/>
  <c r="Y194" i="38"/>
  <c r="X194" i="38"/>
  <c r="W194" i="38"/>
  <c r="V194" i="38"/>
  <c r="U194" i="38"/>
  <c r="T194" i="38"/>
  <c r="S194" i="38"/>
  <c r="R194" i="38"/>
  <c r="Q194" i="38"/>
  <c r="P194" i="38"/>
  <c r="O194" i="38"/>
  <c r="L194" i="38"/>
  <c r="K194" i="38"/>
  <c r="H194" i="38"/>
  <c r="G194" i="38"/>
  <c r="D194" i="38"/>
  <c r="C194" i="38"/>
  <c r="BA193" i="38"/>
  <c r="AZ193" i="38"/>
  <c r="AY193" i="38"/>
  <c r="BB193" i="38" s="1"/>
  <c r="AW193" i="38"/>
  <c r="AV193" i="38"/>
  <c r="AU193" i="38"/>
  <c r="BA192" i="38"/>
  <c r="AZ192" i="38"/>
  <c r="BB192" i="38" s="1"/>
  <c r="AY192" i="38"/>
  <c r="AW192" i="38"/>
  <c r="AW194" i="38" s="1"/>
  <c r="AV192" i="38"/>
  <c r="AU192" i="38"/>
  <c r="AU194" i="38" s="1"/>
  <c r="BA191" i="38"/>
  <c r="BA194" i="38" s="1"/>
  <c r="AZ191" i="38"/>
  <c r="AY191" i="38"/>
  <c r="BB191" i="38" s="1"/>
  <c r="AW191" i="38"/>
  <c r="AV191" i="38"/>
  <c r="AU191" i="38"/>
  <c r="BA190" i="38"/>
  <c r="AZ190" i="38"/>
  <c r="AY190" i="38"/>
  <c r="AZ189" i="38"/>
  <c r="AV189" i="38"/>
  <c r="AT189" i="38"/>
  <c r="AS189" i="38"/>
  <c r="AR189" i="38"/>
  <c r="AQ189" i="38"/>
  <c r="AN189" i="38"/>
  <c r="AM189" i="38"/>
  <c r="AL189" i="38"/>
  <c r="AK189" i="38"/>
  <c r="AJ189" i="38"/>
  <c r="AI189" i="38"/>
  <c r="AF189" i="38"/>
  <c r="AE189" i="38"/>
  <c r="AD189" i="38"/>
  <c r="AC189" i="38"/>
  <c r="Z189" i="38"/>
  <c r="Y189" i="38"/>
  <c r="X189" i="38"/>
  <c r="W189" i="38"/>
  <c r="V189" i="38"/>
  <c r="U189" i="38"/>
  <c r="T189" i="38"/>
  <c r="S189" i="38"/>
  <c r="R189" i="38"/>
  <c r="Q189" i="38"/>
  <c r="P189" i="38"/>
  <c r="O189" i="38"/>
  <c r="L189" i="38"/>
  <c r="K189" i="38"/>
  <c r="H189" i="38"/>
  <c r="G189" i="38"/>
  <c r="D189" i="38"/>
  <c r="C189" i="38"/>
  <c r="BA188" i="38"/>
  <c r="AZ188" i="38"/>
  <c r="BB188" i="38" s="1"/>
  <c r="AY188" i="38"/>
  <c r="AW188" i="38"/>
  <c r="AV188" i="38"/>
  <c r="AX188" i="38" s="1"/>
  <c r="AU188" i="38"/>
  <c r="BA187" i="38"/>
  <c r="AZ187" i="38"/>
  <c r="BB187" i="38" s="1"/>
  <c r="AY187" i="38"/>
  <c r="AW187" i="38"/>
  <c r="AV187" i="38"/>
  <c r="AX187" i="38" s="1"/>
  <c r="AU187" i="38"/>
  <c r="BA186" i="38"/>
  <c r="AZ186" i="38"/>
  <c r="BB186" i="38" s="1"/>
  <c r="AY186" i="38"/>
  <c r="AW186" i="38"/>
  <c r="AV186" i="38"/>
  <c r="AX186" i="38" s="1"/>
  <c r="AU186" i="38"/>
  <c r="BA185" i="38"/>
  <c r="AZ185" i="38"/>
  <c r="BB185" i="38" s="1"/>
  <c r="AY185" i="38"/>
  <c r="AW185" i="38"/>
  <c r="AV185" i="38"/>
  <c r="AX185" i="38" s="1"/>
  <c r="AU185" i="38"/>
  <c r="BA184" i="38"/>
  <c r="AZ184" i="38"/>
  <c r="BB184" i="38" s="1"/>
  <c r="AY184" i="38"/>
  <c r="AW184" i="38"/>
  <c r="AW189" i="38" s="1"/>
  <c r="AV184" i="38"/>
  <c r="AX184" i="38" s="1"/>
  <c r="AU184" i="38"/>
  <c r="AU189" i="38" s="1"/>
  <c r="BA183" i="38"/>
  <c r="BA189" i="38" s="1"/>
  <c r="AZ183" i="38"/>
  <c r="BB183" i="38" s="1"/>
  <c r="BB189" i="38" s="1"/>
  <c r="AY183" i="38"/>
  <c r="AY189" i="38" s="1"/>
  <c r="AX183" i="38"/>
  <c r="AW182" i="38"/>
  <c r="AT182" i="38"/>
  <c r="AS182" i="38"/>
  <c r="AR182" i="38"/>
  <c r="AQ182" i="38"/>
  <c r="AN182" i="38"/>
  <c r="AM182" i="38"/>
  <c r="AL182" i="38"/>
  <c r="AK182" i="38"/>
  <c r="AJ182" i="38"/>
  <c r="AI182" i="38"/>
  <c r="AI195" i="38" s="1"/>
  <c r="AF182" i="38"/>
  <c r="AE182" i="38"/>
  <c r="AD182" i="38"/>
  <c r="AC182" i="38"/>
  <c r="Z182" i="38"/>
  <c r="Y182" i="38"/>
  <c r="X182" i="38"/>
  <c r="W182" i="38"/>
  <c r="W195" i="38" s="1"/>
  <c r="V182" i="38"/>
  <c r="U182" i="38"/>
  <c r="T182" i="38"/>
  <c r="S182" i="38"/>
  <c r="R182" i="38"/>
  <c r="Q182" i="38"/>
  <c r="P182" i="38"/>
  <c r="O182" i="38"/>
  <c r="L182" i="38"/>
  <c r="K182" i="38"/>
  <c r="H182" i="38"/>
  <c r="G182" i="38"/>
  <c r="G195" i="38" s="1"/>
  <c r="D182" i="38"/>
  <c r="C182" i="38"/>
  <c r="BA181" i="38"/>
  <c r="AZ181" i="38"/>
  <c r="AY181" i="38"/>
  <c r="BB181" i="38" s="1"/>
  <c r="AW181" i="38"/>
  <c r="AV181" i="38"/>
  <c r="AU181" i="38"/>
  <c r="AX181" i="38" s="1"/>
  <c r="BA180" i="38"/>
  <c r="AZ180" i="38"/>
  <c r="AY180" i="38"/>
  <c r="BB180" i="38" s="1"/>
  <c r="AW180" i="38"/>
  <c r="AV180" i="38"/>
  <c r="AU180" i="38"/>
  <c r="AX180" i="38" s="1"/>
  <c r="BA179" i="38"/>
  <c r="AZ179" i="38"/>
  <c r="AY179" i="38"/>
  <c r="BB179" i="38" s="1"/>
  <c r="AW179" i="38"/>
  <c r="AV179" i="38"/>
  <c r="AU179" i="38"/>
  <c r="AX179" i="38" s="1"/>
  <c r="BA178" i="38"/>
  <c r="AZ178" i="38"/>
  <c r="AY178" i="38"/>
  <c r="BB178" i="38" s="1"/>
  <c r="AW178" i="38"/>
  <c r="AV178" i="38"/>
  <c r="AU178" i="38"/>
  <c r="AX178" i="38" s="1"/>
  <c r="BA177" i="38"/>
  <c r="AZ177" i="38"/>
  <c r="AY177" i="38"/>
  <c r="BB177" i="38" s="1"/>
  <c r="AW177" i="38"/>
  <c r="AV177" i="38"/>
  <c r="AV182" i="38" s="1"/>
  <c r="AU177" i="38"/>
  <c r="AX177" i="38" s="1"/>
  <c r="BA176" i="38"/>
  <c r="BA182" i="38" s="1"/>
  <c r="AZ176" i="38"/>
  <c r="AZ182" i="38" s="1"/>
  <c r="AY176" i="38"/>
  <c r="BB176" i="38" s="1"/>
  <c r="BB182" i="38" s="1"/>
  <c r="AX176" i="38"/>
  <c r="AX182" i="38" s="1"/>
  <c r="AT175" i="38"/>
  <c r="AS175" i="38"/>
  <c r="AR175" i="38"/>
  <c r="AQ175" i="38"/>
  <c r="AN175" i="38"/>
  <c r="AM175" i="38"/>
  <c r="AL175" i="38"/>
  <c r="AK175" i="38"/>
  <c r="AJ175" i="38"/>
  <c r="AI175" i="38"/>
  <c r="AF175" i="38"/>
  <c r="AE175" i="38"/>
  <c r="AD175" i="38"/>
  <c r="AC175" i="38"/>
  <c r="Z175" i="38"/>
  <c r="Y175" i="38"/>
  <c r="X175" i="38"/>
  <c r="W175" i="38"/>
  <c r="V175" i="38"/>
  <c r="U175" i="38"/>
  <c r="T175" i="38"/>
  <c r="S175" i="38"/>
  <c r="R175" i="38"/>
  <c r="Q175" i="38"/>
  <c r="P175" i="38"/>
  <c r="O175" i="38"/>
  <c r="L175" i="38"/>
  <c r="K175" i="38"/>
  <c r="H175" i="38"/>
  <c r="G175" i="38"/>
  <c r="D175" i="38"/>
  <c r="C175" i="38"/>
  <c r="BA174" i="38"/>
  <c r="AZ174" i="38"/>
  <c r="BB174" i="38" s="1"/>
  <c r="AY174" i="38"/>
  <c r="AW174" i="38"/>
  <c r="AV174" i="38"/>
  <c r="AX174" i="38" s="1"/>
  <c r="AU174" i="38"/>
  <c r="BA173" i="38"/>
  <c r="AZ173" i="38"/>
  <c r="BB173" i="38" s="1"/>
  <c r="AY173" i="38"/>
  <c r="AW173" i="38"/>
  <c r="AV173" i="38"/>
  <c r="AX173" i="38" s="1"/>
  <c r="AU173" i="38"/>
  <c r="BA172" i="38"/>
  <c r="AZ172" i="38"/>
  <c r="BB172" i="38" s="1"/>
  <c r="AY172" i="38"/>
  <c r="AW172" i="38"/>
  <c r="AV172" i="38"/>
  <c r="AX172" i="38" s="1"/>
  <c r="AU172" i="38"/>
  <c r="BA171" i="38"/>
  <c r="AZ171" i="38"/>
  <c r="BB171" i="38" s="1"/>
  <c r="AY171" i="38"/>
  <c r="AW171" i="38"/>
  <c r="AV171" i="38"/>
  <c r="AX171" i="38" s="1"/>
  <c r="AU171" i="38"/>
  <c r="BA170" i="38"/>
  <c r="AZ170" i="38"/>
  <c r="BB170" i="38" s="1"/>
  <c r="AY170" i="38"/>
  <c r="AW170" i="38"/>
  <c r="AW175" i="38" s="1"/>
  <c r="AV170" i="38"/>
  <c r="AV175" i="38" s="1"/>
  <c r="AU170" i="38"/>
  <c r="AU175" i="38" s="1"/>
  <c r="BA169" i="38"/>
  <c r="BA175" i="38" s="1"/>
  <c r="AZ169" i="38"/>
  <c r="AZ175" i="38" s="1"/>
  <c r="AY169" i="38"/>
  <c r="AY175" i="38" s="1"/>
  <c r="AX169" i="38"/>
  <c r="AY168" i="38"/>
  <c r="AT168" i="38"/>
  <c r="AS168" i="38"/>
  <c r="AR168" i="38"/>
  <c r="AQ168" i="38"/>
  <c r="AN168" i="38"/>
  <c r="AM168" i="38"/>
  <c r="AL168" i="38"/>
  <c r="AK168" i="38"/>
  <c r="AJ168" i="38"/>
  <c r="AI168" i="38"/>
  <c r="AF168" i="38"/>
  <c r="AE168" i="38"/>
  <c r="AD168" i="38"/>
  <c r="AC168" i="38"/>
  <c r="Z168" i="38"/>
  <c r="Y168" i="38"/>
  <c r="X168" i="38"/>
  <c r="W168" i="38"/>
  <c r="V168" i="38"/>
  <c r="U168" i="38"/>
  <c r="T168" i="38"/>
  <c r="S168" i="38"/>
  <c r="R168" i="38"/>
  <c r="Q168" i="38"/>
  <c r="P168" i="38"/>
  <c r="O168" i="38"/>
  <c r="L168" i="38"/>
  <c r="K168" i="38"/>
  <c r="H168" i="38"/>
  <c r="G168" i="38"/>
  <c r="D168" i="38"/>
  <c r="C168" i="38"/>
  <c r="BA167" i="38"/>
  <c r="AZ167" i="38"/>
  <c r="AY167" i="38"/>
  <c r="BB167" i="38" s="1"/>
  <c r="AW167" i="38"/>
  <c r="AV167" i="38"/>
  <c r="AU167" i="38"/>
  <c r="AX167" i="38" s="1"/>
  <c r="BA166" i="38"/>
  <c r="AZ166" i="38"/>
  <c r="AY166" i="38"/>
  <c r="BB166" i="38" s="1"/>
  <c r="AW166" i="38"/>
  <c r="AV166" i="38"/>
  <c r="AU166" i="38"/>
  <c r="AX166" i="38" s="1"/>
  <c r="BA165" i="38"/>
  <c r="AZ165" i="38"/>
  <c r="AY165" i="38"/>
  <c r="BB165" i="38" s="1"/>
  <c r="AW165" i="38"/>
  <c r="AV165" i="38"/>
  <c r="AU165" i="38"/>
  <c r="AX165" i="38" s="1"/>
  <c r="BA164" i="38"/>
  <c r="AZ164" i="38"/>
  <c r="AY164" i="38"/>
  <c r="BB164" i="38" s="1"/>
  <c r="AW164" i="38"/>
  <c r="AV164" i="38"/>
  <c r="AU164" i="38"/>
  <c r="AX164" i="38" s="1"/>
  <c r="BA163" i="38"/>
  <c r="AZ163" i="38"/>
  <c r="AY163" i="38"/>
  <c r="BB163" i="38" s="1"/>
  <c r="AW163" i="38"/>
  <c r="AW168" i="38" s="1"/>
  <c r="AV163" i="38"/>
  <c r="AV168" i="38" s="1"/>
  <c r="AU163" i="38"/>
  <c r="AX163" i="38" s="1"/>
  <c r="AX168" i="38" s="1"/>
  <c r="BA162" i="38"/>
  <c r="BA168" i="38" s="1"/>
  <c r="AZ162" i="38"/>
  <c r="AZ168" i="38" s="1"/>
  <c r="AY162" i="38"/>
  <c r="BB162" i="38" s="1"/>
  <c r="BB168" i="38" s="1"/>
  <c r="AW161" i="38"/>
  <c r="AT161" i="38"/>
  <c r="AS161" i="38"/>
  <c r="AR161" i="38"/>
  <c r="AQ161" i="38"/>
  <c r="AN161" i="38"/>
  <c r="AM161" i="38"/>
  <c r="AL161" i="38"/>
  <c r="AK161" i="38"/>
  <c r="AJ161" i="38"/>
  <c r="AI161" i="38"/>
  <c r="AF161" i="38"/>
  <c r="AE161" i="38"/>
  <c r="AD161" i="38"/>
  <c r="AC161" i="38"/>
  <c r="Z161" i="38"/>
  <c r="Y161" i="38"/>
  <c r="X161" i="38"/>
  <c r="W161" i="38"/>
  <c r="V161" i="38"/>
  <c r="U161" i="38"/>
  <c r="T161" i="38"/>
  <c r="S161" i="38"/>
  <c r="R161" i="38"/>
  <c r="Q161" i="38"/>
  <c r="P161" i="38"/>
  <c r="O161" i="38"/>
  <c r="L161" i="38"/>
  <c r="K161" i="38"/>
  <c r="H161" i="38"/>
  <c r="G161" i="38"/>
  <c r="D161" i="38"/>
  <c r="C161" i="38"/>
  <c r="BA160" i="38"/>
  <c r="AZ160" i="38"/>
  <c r="AY160" i="38"/>
  <c r="BB160" i="38" s="1"/>
  <c r="AW160" i="38"/>
  <c r="AV160" i="38"/>
  <c r="AU160" i="38"/>
  <c r="AX160" i="38" s="1"/>
  <c r="BA159" i="38"/>
  <c r="AZ159" i="38"/>
  <c r="AY159" i="38"/>
  <c r="BB159" i="38" s="1"/>
  <c r="AW159" i="38"/>
  <c r="AV159" i="38"/>
  <c r="AU159" i="38"/>
  <c r="AX159" i="38" s="1"/>
  <c r="BA158" i="38"/>
  <c r="AZ158" i="38"/>
  <c r="AY158" i="38"/>
  <c r="BB158" i="38" s="1"/>
  <c r="AW158" i="38"/>
  <c r="AV158" i="38"/>
  <c r="AU158" i="38"/>
  <c r="AX158" i="38" s="1"/>
  <c r="BA157" i="38"/>
  <c r="AZ157" i="38"/>
  <c r="AY157" i="38"/>
  <c r="BB157" i="38" s="1"/>
  <c r="AW157" i="38"/>
  <c r="AV157" i="38"/>
  <c r="AU157" i="38"/>
  <c r="AX157" i="38" s="1"/>
  <c r="BA156" i="38"/>
  <c r="BA161" i="38" s="1"/>
  <c r="AZ156" i="38"/>
  <c r="AZ161" i="38" s="1"/>
  <c r="AY156" i="38"/>
  <c r="BB156" i="38" s="1"/>
  <c r="BB161" i="38" s="1"/>
  <c r="AW156" i="38"/>
  <c r="AV156" i="38"/>
  <c r="AV161" i="38" s="1"/>
  <c r="AU156" i="38"/>
  <c r="AX156" i="38" s="1"/>
  <c r="AX161" i="38" s="1"/>
  <c r="AT154" i="38"/>
  <c r="AS154" i="38"/>
  <c r="AY10" i="5" s="1"/>
  <c r="AR154" i="38"/>
  <c r="AQ154" i="38"/>
  <c r="AN154" i="38"/>
  <c r="AX10" i="10" s="1"/>
  <c r="AM154" i="38"/>
  <c r="AL154" i="38"/>
  <c r="AX10" i="5" s="1"/>
  <c r="AK154" i="38"/>
  <c r="AJ154" i="38"/>
  <c r="AI154" i="38"/>
  <c r="AF154" i="38"/>
  <c r="AV10" i="9" s="1"/>
  <c r="AV7" i="9" s="1"/>
  <c r="AV26" i="9" s="1"/>
  <c r="AV6" i="9" s="1"/>
  <c r="AE154" i="38"/>
  <c r="AD154" i="38"/>
  <c r="AC154" i="38"/>
  <c r="Z154" i="38"/>
  <c r="Y154" i="38"/>
  <c r="X154" i="38"/>
  <c r="W154" i="38"/>
  <c r="V154" i="38"/>
  <c r="U154" i="38"/>
  <c r="T154" i="38"/>
  <c r="S154" i="38"/>
  <c r="AT10" i="9" s="1"/>
  <c r="AT7" i="9" s="1"/>
  <c r="AT26" i="9" s="1"/>
  <c r="AT6" i="9" s="1"/>
  <c r="R154" i="38"/>
  <c r="AT10" i="5" s="1"/>
  <c r="AT7" i="5" s="1"/>
  <c r="Q154" i="38"/>
  <c r="P154" i="38"/>
  <c r="L154" i="38"/>
  <c r="AS10" i="10" s="1"/>
  <c r="AS7" i="10" s="1"/>
  <c r="AS26" i="10" s="1"/>
  <c r="AS6" i="10" s="1"/>
  <c r="K154" i="38"/>
  <c r="H154" i="38"/>
  <c r="G154" i="38"/>
  <c r="D154" i="38"/>
  <c r="C154" i="38"/>
  <c r="BA153" i="38"/>
  <c r="AZ153" i="38"/>
  <c r="AY153" i="38"/>
  <c r="BB153" i="38" s="1"/>
  <c r="AW153" i="38"/>
  <c r="AV153" i="38"/>
  <c r="AU153" i="38"/>
  <c r="AX153" i="38" s="1"/>
  <c r="BA152" i="38"/>
  <c r="AZ152" i="38"/>
  <c r="AY152" i="38"/>
  <c r="BB152" i="38" s="1"/>
  <c r="AW152" i="38"/>
  <c r="AV152" i="38"/>
  <c r="AU152" i="38"/>
  <c r="AX152" i="38" s="1"/>
  <c r="BA151" i="38"/>
  <c r="AZ151" i="38"/>
  <c r="AY151" i="38"/>
  <c r="BB151" i="38" s="1"/>
  <c r="AW151" i="38"/>
  <c r="AV151" i="38"/>
  <c r="AU151" i="38"/>
  <c r="AX151" i="38" s="1"/>
  <c r="BA150" i="38"/>
  <c r="AZ150" i="38"/>
  <c r="AY150" i="38"/>
  <c r="BB150" i="38" s="1"/>
  <c r="AW150" i="38"/>
  <c r="AV150" i="38"/>
  <c r="AU150" i="38"/>
  <c r="AX150" i="38" s="1"/>
  <c r="BA149" i="38"/>
  <c r="AZ149" i="38"/>
  <c r="AY149" i="38"/>
  <c r="BB149" i="38" s="1"/>
  <c r="AW149" i="38"/>
  <c r="AV149" i="38"/>
  <c r="AU149" i="38"/>
  <c r="AX149" i="38" s="1"/>
  <c r="BA148" i="38"/>
  <c r="AZ148" i="38"/>
  <c r="AY148" i="38"/>
  <c r="BB148" i="38" s="1"/>
  <c r="AW148" i="38"/>
  <c r="AV148" i="38"/>
  <c r="AU148" i="38"/>
  <c r="AX148" i="38" s="1"/>
  <c r="BA147" i="38"/>
  <c r="AZ147" i="38"/>
  <c r="AY147" i="38"/>
  <c r="BB147" i="38" s="1"/>
  <c r="AW147" i="38"/>
  <c r="AV147" i="38"/>
  <c r="AU147" i="38"/>
  <c r="AX147" i="38" s="1"/>
  <c r="BA146" i="38"/>
  <c r="AZ146" i="38"/>
  <c r="AY146" i="38"/>
  <c r="BB146" i="38" s="1"/>
  <c r="AW146" i="38"/>
  <c r="AV146" i="38"/>
  <c r="AU146" i="38"/>
  <c r="AX146" i="38" s="1"/>
  <c r="BA145" i="38"/>
  <c r="AZ145" i="38"/>
  <c r="AY145" i="38"/>
  <c r="BB145" i="38" s="1"/>
  <c r="AW145" i="38"/>
  <c r="AV145" i="38"/>
  <c r="AU145" i="38"/>
  <c r="AX145" i="38" s="1"/>
  <c r="BA144" i="38"/>
  <c r="AZ144" i="38"/>
  <c r="AY144" i="38"/>
  <c r="BB144" i="38" s="1"/>
  <c r="AW144" i="38"/>
  <c r="AV144" i="38"/>
  <c r="AU144" i="38"/>
  <c r="AX144" i="38" s="1"/>
  <c r="BA143" i="38"/>
  <c r="AZ143" i="38"/>
  <c r="AY143" i="38"/>
  <c r="BB143" i="38" s="1"/>
  <c r="AW143" i="38"/>
  <c r="AV143" i="38"/>
  <c r="AU143" i="38"/>
  <c r="AX143" i="38" s="1"/>
  <c r="BA142" i="38"/>
  <c r="AZ142" i="38"/>
  <c r="AY142" i="38"/>
  <c r="BB142" i="38" s="1"/>
  <c r="AW142" i="38"/>
  <c r="AV142" i="38"/>
  <c r="AU142" i="38"/>
  <c r="AX142" i="38" s="1"/>
  <c r="BA141" i="38"/>
  <c r="AZ141" i="38"/>
  <c r="AY141" i="38"/>
  <c r="BB141" i="38" s="1"/>
  <c r="AW141" i="38"/>
  <c r="AV141" i="38"/>
  <c r="AU141" i="38"/>
  <c r="AX141" i="38" s="1"/>
  <c r="BA140" i="38"/>
  <c r="AZ140" i="38"/>
  <c r="AY140" i="38"/>
  <c r="BB140" i="38" s="1"/>
  <c r="AW140" i="38"/>
  <c r="AV140" i="38"/>
  <c r="AU140" i="38"/>
  <c r="AX140" i="38" s="1"/>
  <c r="BA139" i="38"/>
  <c r="AZ139" i="38"/>
  <c r="AY139" i="38"/>
  <c r="BB139" i="38" s="1"/>
  <c r="AW139" i="38"/>
  <c r="AV139" i="38"/>
  <c r="AU139" i="38"/>
  <c r="AX139" i="38" s="1"/>
  <c r="BA138" i="38"/>
  <c r="AZ138" i="38"/>
  <c r="AY138" i="38"/>
  <c r="BB138" i="38" s="1"/>
  <c r="AW138" i="38"/>
  <c r="AV138" i="38"/>
  <c r="AU138" i="38"/>
  <c r="AX138" i="38" s="1"/>
  <c r="BA137" i="38"/>
  <c r="AZ137" i="38"/>
  <c r="AY137" i="38"/>
  <c r="BB137" i="38" s="1"/>
  <c r="AW137" i="38"/>
  <c r="AV137" i="38"/>
  <c r="AU137" i="38"/>
  <c r="AX137" i="38" s="1"/>
  <c r="BA136" i="38"/>
  <c r="AZ136" i="38"/>
  <c r="AY136" i="38"/>
  <c r="BB136" i="38" s="1"/>
  <c r="AW136" i="38"/>
  <c r="AV136" i="38"/>
  <c r="AU136" i="38"/>
  <c r="AX136" i="38" s="1"/>
  <c r="BA135" i="38"/>
  <c r="AZ135" i="38"/>
  <c r="AY135" i="38"/>
  <c r="BB135" i="38" s="1"/>
  <c r="AW135" i="38"/>
  <c r="AV135" i="38"/>
  <c r="AU135" i="38"/>
  <c r="AX135" i="38" s="1"/>
  <c r="BA134" i="38"/>
  <c r="AZ134" i="38"/>
  <c r="AY134" i="38"/>
  <c r="BB134" i="38" s="1"/>
  <c r="AW134" i="38"/>
  <c r="AV134" i="38"/>
  <c r="AU134" i="38"/>
  <c r="AX134" i="38" s="1"/>
  <c r="BA133" i="38"/>
  <c r="AZ133" i="38"/>
  <c r="AY133" i="38"/>
  <c r="BB133" i="38" s="1"/>
  <c r="AW133" i="38"/>
  <c r="AV133" i="38"/>
  <c r="AU133" i="38"/>
  <c r="AX133" i="38" s="1"/>
  <c r="BA132" i="38"/>
  <c r="AZ132" i="38"/>
  <c r="AY132" i="38"/>
  <c r="BB132" i="38" s="1"/>
  <c r="AW132" i="38"/>
  <c r="AV132" i="38"/>
  <c r="AU132" i="38"/>
  <c r="AX132" i="38" s="1"/>
  <c r="BA131" i="38"/>
  <c r="AZ131" i="38"/>
  <c r="AY131" i="38"/>
  <c r="BB131" i="38" s="1"/>
  <c r="AW131" i="38"/>
  <c r="AV131" i="38"/>
  <c r="AU131" i="38"/>
  <c r="AX131" i="38" s="1"/>
  <c r="BA130" i="38"/>
  <c r="AZ130" i="38"/>
  <c r="AY130" i="38"/>
  <c r="BB130" i="38" s="1"/>
  <c r="AW130" i="38"/>
  <c r="AV130" i="38"/>
  <c r="AU130" i="38"/>
  <c r="AX130" i="38" s="1"/>
  <c r="BA129" i="38"/>
  <c r="AZ129" i="38"/>
  <c r="AY129" i="38"/>
  <c r="BB129" i="38" s="1"/>
  <c r="AW129" i="38"/>
  <c r="AV129" i="38"/>
  <c r="AU129" i="38"/>
  <c r="AX129" i="38" s="1"/>
  <c r="BA128" i="38"/>
  <c r="AZ128" i="38"/>
  <c r="AY128" i="38"/>
  <c r="BB128" i="38" s="1"/>
  <c r="AW128" i="38"/>
  <c r="AV128" i="38"/>
  <c r="AU128" i="38"/>
  <c r="AX128" i="38" s="1"/>
  <c r="BA127" i="38"/>
  <c r="AZ127" i="38"/>
  <c r="AY127" i="38"/>
  <c r="BB127" i="38" s="1"/>
  <c r="AW127" i="38"/>
  <c r="AV127" i="38"/>
  <c r="AU127" i="38"/>
  <c r="AX127" i="38" s="1"/>
  <c r="BA126" i="38"/>
  <c r="AZ126" i="38"/>
  <c r="AY126" i="38"/>
  <c r="BB126" i="38" s="1"/>
  <c r="AW126" i="38"/>
  <c r="AV126" i="38"/>
  <c r="AU126" i="38"/>
  <c r="AX126" i="38" s="1"/>
  <c r="BA125" i="38"/>
  <c r="AZ125" i="38"/>
  <c r="AY125" i="38"/>
  <c r="BB125" i="38" s="1"/>
  <c r="AW125" i="38"/>
  <c r="AV125" i="38"/>
  <c r="AU125" i="38"/>
  <c r="AX125" i="38" s="1"/>
  <c r="BA124" i="38"/>
  <c r="AZ124" i="38"/>
  <c r="AY124" i="38"/>
  <c r="BB124" i="38" s="1"/>
  <c r="AW124" i="38"/>
  <c r="AV124" i="38"/>
  <c r="AU124" i="38"/>
  <c r="AX124" i="38" s="1"/>
  <c r="BA123" i="38"/>
  <c r="AZ123" i="38"/>
  <c r="AY123" i="38"/>
  <c r="BB123" i="38" s="1"/>
  <c r="AW123" i="38"/>
  <c r="AV123" i="38"/>
  <c r="AU123" i="38"/>
  <c r="AX123" i="38" s="1"/>
  <c r="BA122" i="38"/>
  <c r="AZ122" i="38"/>
  <c r="AY122" i="38"/>
  <c r="BB122" i="38" s="1"/>
  <c r="AW122" i="38"/>
  <c r="AV122" i="38"/>
  <c r="AU122" i="38"/>
  <c r="AX122" i="38" s="1"/>
  <c r="BA121" i="38"/>
  <c r="AZ121" i="38"/>
  <c r="AY121" i="38"/>
  <c r="BB121" i="38" s="1"/>
  <c r="AW121" i="38"/>
  <c r="AV121" i="38"/>
  <c r="AU121" i="38"/>
  <c r="AX121" i="38" s="1"/>
  <c r="BA120" i="38"/>
  <c r="AZ120" i="38"/>
  <c r="AY120" i="38"/>
  <c r="BB120" i="38" s="1"/>
  <c r="AW120" i="38"/>
  <c r="AV120" i="38"/>
  <c r="AU120" i="38"/>
  <c r="AX120" i="38" s="1"/>
  <c r="BA119" i="38"/>
  <c r="AZ119" i="38"/>
  <c r="AY119" i="38"/>
  <c r="BB119" i="38" s="1"/>
  <c r="AW119" i="38"/>
  <c r="AV119" i="38"/>
  <c r="AU119" i="38"/>
  <c r="AX119" i="38" s="1"/>
  <c r="BA118" i="38"/>
  <c r="AZ118" i="38"/>
  <c r="AY118" i="38"/>
  <c r="BB118" i="38" s="1"/>
  <c r="AW118" i="38"/>
  <c r="AV118" i="38"/>
  <c r="AU118" i="38"/>
  <c r="AX118" i="38" s="1"/>
  <c r="BA117" i="38"/>
  <c r="AZ117" i="38"/>
  <c r="AY117" i="38"/>
  <c r="BB117" i="38" s="1"/>
  <c r="AW117" i="38"/>
  <c r="AV117" i="38"/>
  <c r="AU117" i="38"/>
  <c r="AX117" i="38" s="1"/>
  <c r="BA116" i="38"/>
  <c r="AZ116" i="38"/>
  <c r="AY116" i="38"/>
  <c r="BB116" i="38" s="1"/>
  <c r="AW116" i="38"/>
  <c r="AV116" i="38"/>
  <c r="AU116" i="38"/>
  <c r="AX116" i="38" s="1"/>
  <c r="BA115" i="38"/>
  <c r="AZ115" i="38"/>
  <c r="AY115" i="38"/>
  <c r="BB115" i="38" s="1"/>
  <c r="AW115" i="38"/>
  <c r="AV115" i="38"/>
  <c r="AU115" i="38"/>
  <c r="AX115" i="38" s="1"/>
  <c r="BA114" i="38"/>
  <c r="AZ114" i="38"/>
  <c r="AY114" i="38"/>
  <c r="BB114" i="38" s="1"/>
  <c r="AW114" i="38"/>
  <c r="AV114" i="38"/>
  <c r="AU114" i="38"/>
  <c r="AX114" i="38" s="1"/>
  <c r="BA113" i="38"/>
  <c r="AZ113" i="38"/>
  <c r="AY113" i="38"/>
  <c r="BB113" i="38" s="1"/>
  <c r="AW113" i="38"/>
  <c r="AV113" i="38"/>
  <c r="AU113" i="38"/>
  <c r="AX113" i="38" s="1"/>
  <c r="BA112" i="38"/>
  <c r="AZ112" i="38"/>
  <c r="AY112" i="38"/>
  <c r="BB112" i="38" s="1"/>
  <c r="AW112" i="38"/>
  <c r="AV112" i="38"/>
  <c r="AU112" i="38"/>
  <c r="AX112" i="38" s="1"/>
  <c r="BA111" i="38"/>
  <c r="AZ111" i="38"/>
  <c r="AY111" i="38"/>
  <c r="BB111" i="38" s="1"/>
  <c r="AW111" i="38"/>
  <c r="AV111" i="38"/>
  <c r="AU111" i="38"/>
  <c r="AX111" i="38" s="1"/>
  <c r="BA110" i="38"/>
  <c r="AZ110" i="38"/>
  <c r="AY110" i="38"/>
  <c r="BB110" i="38" s="1"/>
  <c r="AW110" i="38"/>
  <c r="AV110" i="38"/>
  <c r="AU110" i="38"/>
  <c r="AX110" i="38" s="1"/>
  <c r="BA109" i="38"/>
  <c r="AZ109" i="38"/>
  <c r="AY109" i="38"/>
  <c r="BB109" i="38" s="1"/>
  <c r="AW109" i="38"/>
  <c r="AV109" i="38"/>
  <c r="AU109" i="38"/>
  <c r="AX109" i="38" s="1"/>
  <c r="BA108" i="38"/>
  <c r="AZ108" i="38"/>
  <c r="AY108" i="38"/>
  <c r="BB108" i="38" s="1"/>
  <c r="AW108" i="38"/>
  <c r="AV108" i="38"/>
  <c r="AU108" i="38"/>
  <c r="AX108" i="38" s="1"/>
  <c r="BA107" i="38"/>
  <c r="AZ107" i="38"/>
  <c r="AY107" i="38"/>
  <c r="BB107" i="38" s="1"/>
  <c r="AW107" i="38"/>
  <c r="AV107" i="38"/>
  <c r="AU107" i="38"/>
  <c r="AX107" i="38" s="1"/>
  <c r="BA106" i="38"/>
  <c r="AZ106" i="38"/>
  <c r="AY106" i="38"/>
  <c r="BB106" i="38" s="1"/>
  <c r="AW106" i="38"/>
  <c r="AV106" i="38"/>
  <c r="AU106" i="38"/>
  <c r="AX106" i="38" s="1"/>
  <c r="BA105" i="38"/>
  <c r="AZ105" i="38"/>
  <c r="AY105" i="38"/>
  <c r="BB105" i="38" s="1"/>
  <c r="AW105" i="38"/>
  <c r="AV105" i="38"/>
  <c r="AU105" i="38"/>
  <c r="AX105" i="38" s="1"/>
  <c r="BA104" i="38"/>
  <c r="AZ104" i="38"/>
  <c r="AY104" i="38"/>
  <c r="BB104" i="38" s="1"/>
  <c r="AW104" i="38"/>
  <c r="AV104" i="38"/>
  <c r="AU104" i="38"/>
  <c r="AX104" i="38" s="1"/>
  <c r="BA103" i="38"/>
  <c r="AZ103" i="38"/>
  <c r="AY103" i="38"/>
  <c r="BB103" i="38" s="1"/>
  <c r="AW103" i="38"/>
  <c r="AV103" i="38"/>
  <c r="AU103" i="38"/>
  <c r="AX103" i="38" s="1"/>
  <c r="BA102" i="38"/>
  <c r="AZ102" i="38"/>
  <c r="AY102" i="38"/>
  <c r="BB102" i="38" s="1"/>
  <c r="AW102" i="38"/>
  <c r="AV102" i="38"/>
  <c r="AU102" i="38"/>
  <c r="AX102" i="38" s="1"/>
  <c r="BA101" i="38"/>
  <c r="AZ101" i="38"/>
  <c r="AY101" i="38"/>
  <c r="BB101" i="38" s="1"/>
  <c r="AW101" i="38"/>
  <c r="AV101" i="38"/>
  <c r="AU101" i="38"/>
  <c r="BA100" i="38"/>
  <c r="AZ100" i="38"/>
  <c r="AY100" i="38"/>
  <c r="BB100" i="38" s="1"/>
  <c r="AW100" i="38"/>
  <c r="AV100" i="38"/>
  <c r="AU100" i="38"/>
  <c r="AX100" i="38" s="1"/>
  <c r="BA99" i="38"/>
  <c r="AZ99" i="38"/>
  <c r="AY99" i="38"/>
  <c r="BB99" i="38" s="1"/>
  <c r="AW99" i="38"/>
  <c r="AV99" i="38"/>
  <c r="AU99" i="38"/>
  <c r="AX99" i="38" s="1"/>
  <c r="BA98" i="38"/>
  <c r="AZ98" i="38"/>
  <c r="AY98" i="38"/>
  <c r="BB98" i="38" s="1"/>
  <c r="AW98" i="38"/>
  <c r="AV98" i="38"/>
  <c r="AU98" i="38"/>
  <c r="AX98" i="38" s="1"/>
  <c r="BA97" i="38"/>
  <c r="AZ97" i="38"/>
  <c r="AY97" i="38"/>
  <c r="BB97" i="38" s="1"/>
  <c r="AW97" i="38"/>
  <c r="AV97" i="38"/>
  <c r="AU97" i="38"/>
  <c r="AX97" i="38" s="1"/>
  <c r="BA96" i="38"/>
  <c r="AZ96" i="38"/>
  <c r="AY96" i="38"/>
  <c r="BB96" i="38" s="1"/>
  <c r="AW96" i="38"/>
  <c r="AV96" i="38"/>
  <c r="AU96" i="38"/>
  <c r="AX96" i="38" s="1"/>
  <c r="BA95" i="38"/>
  <c r="AZ95" i="38"/>
  <c r="AY95" i="38"/>
  <c r="BB95" i="38" s="1"/>
  <c r="AW95" i="38"/>
  <c r="AV95" i="38"/>
  <c r="AU95" i="38"/>
  <c r="AX95" i="38" s="1"/>
  <c r="BA94" i="38"/>
  <c r="AZ94" i="38"/>
  <c r="AY94" i="38"/>
  <c r="BB94" i="38" s="1"/>
  <c r="AW94" i="38"/>
  <c r="AV94" i="38"/>
  <c r="AU94" i="38"/>
  <c r="AX94" i="38" s="1"/>
  <c r="BA93" i="38"/>
  <c r="AZ93" i="38"/>
  <c r="AY93" i="38"/>
  <c r="BB93" i="38" s="1"/>
  <c r="AW93" i="38"/>
  <c r="AV93" i="38"/>
  <c r="AU93" i="38"/>
  <c r="AX93" i="38" s="1"/>
  <c r="BA92" i="38"/>
  <c r="AZ92" i="38"/>
  <c r="AY92" i="38"/>
  <c r="BB92" i="38" s="1"/>
  <c r="AW92" i="38"/>
  <c r="AV92" i="38"/>
  <c r="AU92" i="38"/>
  <c r="AX92" i="38" s="1"/>
  <c r="BA91" i="38"/>
  <c r="BA154" i="38" s="1"/>
  <c r="AZ91" i="38"/>
  <c r="AY91" i="38"/>
  <c r="BB91" i="38" s="1"/>
  <c r="AW91" i="38"/>
  <c r="AV91" i="38"/>
  <c r="AU91" i="38"/>
  <c r="AX91" i="38" s="1"/>
  <c r="O91" i="38"/>
  <c r="BA90" i="38"/>
  <c r="AZ90" i="38"/>
  <c r="BB90" i="38" s="1"/>
  <c r="AY90" i="38"/>
  <c r="AW90" i="38"/>
  <c r="AV90" i="38"/>
  <c r="AX90" i="38" s="1"/>
  <c r="AU90" i="38"/>
  <c r="BA89" i="38"/>
  <c r="AZ89" i="38"/>
  <c r="BB89" i="38" s="1"/>
  <c r="AY89" i="38"/>
  <c r="AW89" i="38"/>
  <c r="AV89" i="38"/>
  <c r="AX89" i="38" s="1"/>
  <c r="AU89" i="38"/>
  <c r="BA88" i="38"/>
  <c r="AZ88" i="38"/>
  <c r="BB88" i="38" s="1"/>
  <c r="AY88" i="38"/>
  <c r="AW88" i="38"/>
  <c r="AV88" i="38"/>
  <c r="AX88" i="38" s="1"/>
  <c r="AU88" i="38"/>
  <c r="BA87" i="38"/>
  <c r="AZ87" i="38"/>
  <c r="BB87" i="38" s="1"/>
  <c r="AY87" i="38"/>
  <c r="AW87" i="38"/>
  <c r="AV87" i="38"/>
  <c r="AX87" i="38" s="1"/>
  <c r="AU87" i="38"/>
  <c r="BA86" i="38"/>
  <c r="AZ86" i="38"/>
  <c r="BB86" i="38" s="1"/>
  <c r="AY86" i="38"/>
  <c r="AW86" i="38"/>
  <c r="AV86" i="38"/>
  <c r="AU86" i="38"/>
  <c r="BA85" i="38"/>
  <c r="AZ85" i="38"/>
  <c r="BB85" i="38" s="1"/>
  <c r="AY85" i="38"/>
  <c r="AW85" i="38"/>
  <c r="AV85" i="38"/>
  <c r="AX85" i="38" s="1"/>
  <c r="AU85" i="38"/>
  <c r="BA84" i="38"/>
  <c r="AZ84" i="38"/>
  <c r="BB84" i="38" s="1"/>
  <c r="AY84" i="38"/>
  <c r="AW84" i="38"/>
  <c r="AV84" i="38"/>
  <c r="AX84" i="38" s="1"/>
  <c r="AU84" i="38"/>
  <c r="BA83" i="38"/>
  <c r="AZ83" i="38"/>
  <c r="BB83" i="38" s="1"/>
  <c r="AY83" i="38"/>
  <c r="AW83" i="38"/>
  <c r="AV83" i="38"/>
  <c r="AX83" i="38" s="1"/>
  <c r="AU83" i="38"/>
  <c r="BA82" i="38"/>
  <c r="AZ82" i="38"/>
  <c r="BB82" i="38" s="1"/>
  <c r="AY82" i="38"/>
  <c r="AW82" i="38"/>
  <c r="AV82" i="38"/>
  <c r="AU82" i="38"/>
  <c r="BA81" i="38"/>
  <c r="AZ81" i="38"/>
  <c r="BB81" i="38" s="1"/>
  <c r="AY81" i="38"/>
  <c r="AW81" i="38"/>
  <c r="AV81" i="38"/>
  <c r="AX81" i="38" s="1"/>
  <c r="AU81" i="38"/>
  <c r="BA80" i="38"/>
  <c r="AZ80" i="38"/>
  <c r="BB80" i="38" s="1"/>
  <c r="AY80" i="38"/>
  <c r="AW80" i="38"/>
  <c r="AV80" i="38"/>
  <c r="AU80" i="38"/>
  <c r="BA79" i="38"/>
  <c r="AZ79" i="38"/>
  <c r="BB79" i="38" s="1"/>
  <c r="AY79" i="38"/>
  <c r="AW79" i="38"/>
  <c r="AV79" i="38"/>
  <c r="AU79" i="38"/>
  <c r="BA78" i="38"/>
  <c r="AZ78" i="38"/>
  <c r="BB78" i="38" s="1"/>
  <c r="AY78" i="38"/>
  <c r="AW78" i="38"/>
  <c r="AV78" i="38"/>
  <c r="AX78" i="38" s="1"/>
  <c r="AU78" i="38"/>
  <c r="BA77" i="38"/>
  <c r="AZ77" i="38"/>
  <c r="BB77" i="38" s="1"/>
  <c r="AY77" i="38"/>
  <c r="AW77" i="38"/>
  <c r="AV77" i="38"/>
  <c r="AX77" i="38" s="1"/>
  <c r="AU77" i="38"/>
  <c r="BA76" i="38"/>
  <c r="AZ76" i="38"/>
  <c r="AW76" i="38"/>
  <c r="AV76" i="38"/>
  <c r="AU76" i="38"/>
  <c r="O76" i="38"/>
  <c r="AY76" i="38" s="1"/>
  <c r="BB76" i="38" s="1"/>
  <c r="BA75" i="38"/>
  <c r="AZ75" i="38"/>
  <c r="AY75" i="38"/>
  <c r="BB75" i="38" s="1"/>
  <c r="AW75" i="38"/>
  <c r="AV75" i="38"/>
  <c r="AU75" i="38"/>
  <c r="AX75" i="38" s="1"/>
  <c r="AC75" i="38"/>
  <c r="BA74" i="38"/>
  <c r="AZ74" i="38"/>
  <c r="BB74" i="38" s="1"/>
  <c r="AY74" i="38"/>
  <c r="AW74" i="38"/>
  <c r="AV74" i="38"/>
  <c r="AX74" i="38" s="1"/>
  <c r="AU74" i="38"/>
  <c r="BA73" i="38"/>
  <c r="AZ73" i="38"/>
  <c r="BB73" i="38" s="1"/>
  <c r="AY73" i="38"/>
  <c r="AW73" i="38"/>
  <c r="AV73" i="38"/>
  <c r="AX73" i="38" s="1"/>
  <c r="AU73" i="38"/>
  <c r="BA72" i="38"/>
  <c r="AZ72" i="38"/>
  <c r="BB72" i="38" s="1"/>
  <c r="AY72" i="38"/>
  <c r="AW72" i="38"/>
  <c r="AV72" i="38"/>
  <c r="AX72" i="38" s="1"/>
  <c r="AU72" i="38"/>
  <c r="BA71" i="38"/>
  <c r="AZ71" i="38"/>
  <c r="BB71" i="38" s="1"/>
  <c r="AY71" i="38"/>
  <c r="AW71" i="38"/>
  <c r="AV71" i="38"/>
  <c r="AX71" i="38" s="1"/>
  <c r="AU71" i="38"/>
  <c r="BA70" i="38"/>
  <c r="AZ70" i="38"/>
  <c r="BB70" i="38" s="1"/>
  <c r="AY70" i="38"/>
  <c r="AW70" i="38"/>
  <c r="AV70" i="38"/>
  <c r="AX70" i="38" s="1"/>
  <c r="AU70" i="38"/>
  <c r="BA69" i="38"/>
  <c r="AZ69" i="38"/>
  <c r="BB69" i="38" s="1"/>
  <c r="AY69" i="38"/>
  <c r="AW69" i="38"/>
  <c r="AV69" i="38"/>
  <c r="AU69" i="38"/>
  <c r="BA68" i="38"/>
  <c r="AZ68" i="38"/>
  <c r="AZ154" i="38" s="1"/>
  <c r="AY68" i="38"/>
  <c r="AT67" i="38"/>
  <c r="AY9" i="9" s="1"/>
  <c r="AR67" i="38"/>
  <c r="AN67" i="38"/>
  <c r="AX9" i="10" s="1"/>
  <c r="AJ67" i="38"/>
  <c r="AF67" i="38"/>
  <c r="AE67" i="38"/>
  <c r="AV9" i="5" s="1"/>
  <c r="AD67" i="38"/>
  <c r="Z67" i="38"/>
  <c r="Y67" i="38"/>
  <c r="X67" i="38"/>
  <c r="W67" i="38"/>
  <c r="V67" i="38"/>
  <c r="U67" i="38"/>
  <c r="T67" i="38"/>
  <c r="S67" i="38"/>
  <c r="R67" i="38"/>
  <c r="Q67" i="38"/>
  <c r="P67" i="38"/>
  <c r="O67" i="38"/>
  <c r="L67" i="38"/>
  <c r="K67" i="38"/>
  <c r="H67" i="38"/>
  <c r="G67" i="38"/>
  <c r="D67" i="38"/>
  <c r="AQ9" i="10" s="1"/>
  <c r="C67" i="38"/>
  <c r="BA66" i="38"/>
  <c r="AZ66" i="38"/>
  <c r="BB66" i="38" s="1"/>
  <c r="AY66" i="38"/>
  <c r="AW66" i="38"/>
  <c r="AV66" i="38"/>
  <c r="AX66" i="38" s="1"/>
  <c r="AU66" i="38"/>
  <c r="BA65" i="38"/>
  <c r="AZ65" i="38"/>
  <c r="BB65" i="38" s="1"/>
  <c r="AY65" i="38"/>
  <c r="AW65" i="38"/>
  <c r="AV65" i="38"/>
  <c r="AX65" i="38" s="1"/>
  <c r="AU65" i="38"/>
  <c r="AZ64" i="38"/>
  <c r="AY64" i="38"/>
  <c r="AW64" i="38"/>
  <c r="AV64" i="38"/>
  <c r="AX64" i="38" s="1"/>
  <c r="AU64" i="38"/>
  <c r="AK64" i="38"/>
  <c r="BA63" i="38"/>
  <c r="AZ63" i="38"/>
  <c r="AY63" i="38"/>
  <c r="BB63" i="38" s="1"/>
  <c r="AW63" i="38"/>
  <c r="AV63" i="38"/>
  <c r="AU63" i="38"/>
  <c r="AX63" i="38" s="1"/>
  <c r="AC63" i="38"/>
  <c r="BA62" i="38"/>
  <c r="AZ62" i="38"/>
  <c r="BB62" i="38" s="1"/>
  <c r="AY62" i="38"/>
  <c r="AW62" i="38"/>
  <c r="AV62" i="38"/>
  <c r="AU62" i="38"/>
  <c r="BA61" i="38"/>
  <c r="AZ61" i="38"/>
  <c r="AZ67" i="38" s="1"/>
  <c r="AW61" i="38"/>
  <c r="AV61" i="38"/>
  <c r="AS67" i="38"/>
  <c r="AY9" i="5" s="1"/>
  <c r="AR61" i="38"/>
  <c r="AQ61" i="38"/>
  <c r="AQ67" i="38" s="1"/>
  <c r="AM67" i="38"/>
  <c r="AX9" i="9" s="1"/>
  <c r="AU61" i="38"/>
  <c r="AI61" i="38"/>
  <c r="AI67" i="38" s="1"/>
  <c r="AC61" i="38"/>
  <c r="BA60" i="38"/>
  <c r="AZ60" i="38"/>
  <c r="AY60" i="38"/>
  <c r="AX60" i="38"/>
  <c r="AT59" i="38"/>
  <c r="AY8" i="9" s="1"/>
  <c r="AY7" i="9" s="1"/>
  <c r="AY26" i="9" s="1"/>
  <c r="AY6" i="9" s="1"/>
  <c r="AS59" i="38"/>
  <c r="AY8" i="5" s="1"/>
  <c r="AR59" i="38"/>
  <c r="AM59" i="38"/>
  <c r="AX8" i="9" s="1"/>
  <c r="AJ59" i="38"/>
  <c r="AF59" i="38"/>
  <c r="AE59" i="38"/>
  <c r="AV8" i="5" s="1"/>
  <c r="AD59" i="38"/>
  <c r="Z59" i="38"/>
  <c r="Y59" i="38"/>
  <c r="X59" i="38"/>
  <c r="W59" i="38"/>
  <c r="V59" i="38"/>
  <c r="U59" i="38"/>
  <c r="T59" i="38"/>
  <c r="S59" i="38"/>
  <c r="R59" i="38"/>
  <c r="Q59" i="38"/>
  <c r="P59" i="38"/>
  <c r="O59" i="38"/>
  <c r="L59" i="38"/>
  <c r="K59" i="38"/>
  <c r="H59" i="38"/>
  <c r="G59" i="38"/>
  <c r="D59" i="38"/>
  <c r="AQ8" i="10" s="1"/>
  <c r="C59" i="38"/>
  <c r="BA58" i="38"/>
  <c r="AZ58" i="38"/>
  <c r="BB58" i="38" s="1"/>
  <c r="AY58" i="38"/>
  <c r="AW58" i="38"/>
  <c r="AV58" i="38"/>
  <c r="AU58" i="38"/>
  <c r="BA57" i="38"/>
  <c r="AZ57" i="38"/>
  <c r="BB57" i="38" s="1"/>
  <c r="AY57" i="38"/>
  <c r="AW57" i="38"/>
  <c r="AV57" i="38"/>
  <c r="AX57" i="38" s="1"/>
  <c r="AU57" i="38"/>
  <c r="BA56" i="38"/>
  <c r="AZ56" i="38"/>
  <c r="BB56" i="38" s="1"/>
  <c r="AY56" i="38"/>
  <c r="AW56" i="38"/>
  <c r="AV56" i="38"/>
  <c r="AX56" i="38" s="1"/>
  <c r="AU56" i="38"/>
  <c r="BA55" i="38"/>
  <c r="AZ55" i="38"/>
  <c r="BB55" i="38" s="1"/>
  <c r="AY55" i="38"/>
  <c r="AW55" i="38"/>
  <c r="AV55" i="38"/>
  <c r="AX55" i="38" s="1"/>
  <c r="AU55" i="38"/>
  <c r="BA54" i="38"/>
  <c r="AZ54" i="38"/>
  <c r="BB54" i="38" s="1"/>
  <c r="AY54" i="38"/>
  <c r="AW54" i="38"/>
  <c r="AV54" i="38"/>
  <c r="AX54" i="38" s="1"/>
  <c r="AU54" i="38"/>
  <c r="BA53" i="38"/>
  <c r="AZ53" i="38"/>
  <c r="BB53" i="38" s="1"/>
  <c r="AY53" i="38"/>
  <c r="AW53" i="38"/>
  <c r="AV53" i="38"/>
  <c r="AX53" i="38" s="1"/>
  <c r="AU53" i="38"/>
  <c r="BA52" i="38"/>
  <c r="AZ52" i="38"/>
  <c r="BB52" i="38" s="1"/>
  <c r="AY52" i="38"/>
  <c r="AW52" i="38"/>
  <c r="AV52" i="38"/>
  <c r="AX52" i="38" s="1"/>
  <c r="AU52" i="38"/>
  <c r="BA51" i="38"/>
  <c r="AZ51" i="38"/>
  <c r="BB51" i="38" s="1"/>
  <c r="AY51" i="38"/>
  <c r="AW51" i="38"/>
  <c r="AV51" i="38"/>
  <c r="AX51" i="38" s="1"/>
  <c r="AU51" i="38"/>
  <c r="BA50" i="38"/>
  <c r="AZ50" i="38"/>
  <c r="BB50" i="38" s="1"/>
  <c r="AY50" i="38"/>
  <c r="AW50" i="38"/>
  <c r="AV50" i="38"/>
  <c r="AX50" i="38" s="1"/>
  <c r="AU50" i="38"/>
  <c r="BA49" i="38"/>
  <c r="AZ49" i="38"/>
  <c r="BB49" i="38" s="1"/>
  <c r="AY49" i="38"/>
  <c r="AW49" i="38"/>
  <c r="AV49" i="38"/>
  <c r="AX49" i="38" s="1"/>
  <c r="AU49" i="38"/>
  <c r="BA48" i="38"/>
  <c r="AZ48" i="38"/>
  <c r="BB48" i="38" s="1"/>
  <c r="AY48" i="38"/>
  <c r="AW48" i="38"/>
  <c r="AV48" i="38"/>
  <c r="AU48" i="38"/>
  <c r="BA47" i="38"/>
  <c r="AZ47" i="38"/>
  <c r="BB47" i="38" s="1"/>
  <c r="AY47" i="38"/>
  <c r="AW47" i="38"/>
  <c r="AV47" i="38"/>
  <c r="AX47" i="38" s="1"/>
  <c r="AU47" i="38"/>
  <c r="BA46" i="38"/>
  <c r="AZ46" i="38"/>
  <c r="BB46" i="38" s="1"/>
  <c r="AW46" i="38"/>
  <c r="AV46" i="38"/>
  <c r="AX46" i="38" s="1"/>
  <c r="AU46" i="38"/>
  <c r="AI46" i="38"/>
  <c r="AY46" i="38" s="1"/>
  <c r="BA45" i="38"/>
  <c r="AZ45" i="38"/>
  <c r="AY45" i="38"/>
  <c r="BB45" i="38" s="1"/>
  <c r="AW45" i="38"/>
  <c r="AV45" i="38"/>
  <c r="AU45" i="38"/>
  <c r="AX45" i="38" s="1"/>
  <c r="BA44" i="38"/>
  <c r="AZ44" i="38"/>
  <c r="AY44" i="38"/>
  <c r="BB44" i="38" s="1"/>
  <c r="AW44" i="38"/>
  <c r="AV44" i="38"/>
  <c r="AU44" i="38"/>
  <c r="AX44" i="38" s="1"/>
  <c r="BA43" i="38"/>
  <c r="AY43" i="38"/>
  <c r="AW43" i="38"/>
  <c r="AV43" i="38"/>
  <c r="AU43" i="38"/>
  <c r="AX43" i="38" s="1"/>
  <c r="AJ43" i="38"/>
  <c r="AZ43" i="38" s="1"/>
  <c r="BA42" i="38"/>
  <c r="AZ42" i="38"/>
  <c r="BB42" i="38" s="1"/>
  <c r="AY42" i="38"/>
  <c r="AW42" i="38"/>
  <c r="AV42" i="38"/>
  <c r="AX42" i="38" s="1"/>
  <c r="AU42" i="38"/>
  <c r="BA41" i="38"/>
  <c r="AZ41" i="38"/>
  <c r="BB41" i="38" s="1"/>
  <c r="AY41" i="38"/>
  <c r="AW41" i="38"/>
  <c r="AV41" i="38"/>
  <c r="AX41" i="38" s="1"/>
  <c r="AU41" i="38"/>
  <c r="BA40" i="38"/>
  <c r="AZ40" i="38"/>
  <c r="BB40" i="38" s="1"/>
  <c r="AY40" i="38"/>
  <c r="AW40" i="38"/>
  <c r="AV40" i="38"/>
  <c r="AU40" i="38"/>
  <c r="BA39" i="38"/>
  <c r="AZ39" i="38"/>
  <c r="BB39" i="38" s="1"/>
  <c r="AY39" i="38"/>
  <c r="AW39" i="38"/>
  <c r="AV39" i="38"/>
  <c r="AX39" i="38" s="1"/>
  <c r="AU39" i="38"/>
  <c r="BA38" i="38"/>
  <c r="AZ38" i="38"/>
  <c r="BB38" i="38" s="1"/>
  <c r="AW38" i="38"/>
  <c r="AV38" i="38"/>
  <c r="AX38" i="38" s="1"/>
  <c r="AU38" i="38"/>
  <c r="AI38" i="38"/>
  <c r="AY38" i="38" s="1"/>
  <c r="BA37" i="38"/>
  <c r="AZ37" i="38"/>
  <c r="AY37" i="38"/>
  <c r="BB37" i="38" s="1"/>
  <c r="AW37" i="38"/>
  <c r="AV37" i="38"/>
  <c r="AU37" i="38"/>
  <c r="AX37" i="38" s="1"/>
  <c r="AI37" i="38"/>
  <c r="BA36" i="38"/>
  <c r="AZ36" i="38"/>
  <c r="BB36" i="38" s="1"/>
  <c r="AY36" i="38"/>
  <c r="AW36" i="38"/>
  <c r="AV36" i="38"/>
  <c r="AX36" i="38" s="1"/>
  <c r="AU36" i="38"/>
  <c r="BA35" i="38"/>
  <c r="AZ35" i="38"/>
  <c r="BB35" i="38" s="1"/>
  <c r="AY35" i="38"/>
  <c r="AW35" i="38"/>
  <c r="AV35" i="38"/>
  <c r="AU35" i="38"/>
  <c r="BA34" i="38"/>
  <c r="AZ34" i="38"/>
  <c r="AW34" i="38"/>
  <c r="AV34" i="38"/>
  <c r="AU34" i="38"/>
  <c r="AI34" i="38"/>
  <c r="AI59" i="38" s="1"/>
  <c r="BA33" i="38"/>
  <c r="AZ33" i="38"/>
  <c r="BB33" i="38" s="1"/>
  <c r="AY33" i="38"/>
  <c r="AW33" i="38"/>
  <c r="AV33" i="38"/>
  <c r="AU33" i="38"/>
  <c r="BA32" i="38"/>
  <c r="AZ32" i="38"/>
  <c r="BB32" i="38" s="1"/>
  <c r="AY32" i="38"/>
  <c r="AW32" i="38"/>
  <c r="AV32" i="38"/>
  <c r="AU32" i="38"/>
  <c r="BA31" i="38"/>
  <c r="AZ31" i="38"/>
  <c r="BB31" i="38" s="1"/>
  <c r="AY31" i="38"/>
  <c r="AW31" i="38"/>
  <c r="AV31" i="38"/>
  <c r="AX31" i="38" s="1"/>
  <c r="AU31" i="38"/>
  <c r="BA30" i="38"/>
  <c r="AZ30" i="38"/>
  <c r="BB30" i="38" s="1"/>
  <c r="AY30" i="38"/>
  <c r="AW30" i="38"/>
  <c r="AV30" i="38"/>
  <c r="AU30" i="38"/>
  <c r="BA29" i="38"/>
  <c r="AY29" i="38"/>
  <c r="AW29" i="38"/>
  <c r="AV29" i="38"/>
  <c r="AX29" i="38" s="1"/>
  <c r="AU29" i="38"/>
  <c r="AR29" i="38"/>
  <c r="AZ29" i="38" s="1"/>
  <c r="BB29" i="38" s="1"/>
  <c r="BA28" i="38"/>
  <c r="AZ28" i="38"/>
  <c r="AY28" i="38"/>
  <c r="BB28" i="38" s="1"/>
  <c r="AW28" i="38"/>
  <c r="AV28" i="38"/>
  <c r="AU28" i="38"/>
  <c r="AX28" i="38" s="1"/>
  <c r="BA27" i="38"/>
  <c r="AZ27" i="38"/>
  <c r="AY27" i="38"/>
  <c r="BB27" i="38" s="1"/>
  <c r="AW27" i="38"/>
  <c r="AV27" i="38"/>
  <c r="AU27" i="38"/>
  <c r="AX27" i="38" s="1"/>
  <c r="BA26" i="38"/>
  <c r="AZ26" i="38"/>
  <c r="AY26" i="38"/>
  <c r="BB26" i="38" s="1"/>
  <c r="AW26" i="38"/>
  <c r="AV26" i="38"/>
  <c r="AU26" i="38"/>
  <c r="AX26" i="38" s="1"/>
  <c r="BA25" i="38"/>
  <c r="AZ25" i="38"/>
  <c r="AY25" i="38"/>
  <c r="BB25" i="38" s="1"/>
  <c r="AW25" i="38"/>
  <c r="AV25" i="38"/>
  <c r="AU25" i="38"/>
  <c r="AX25" i="38" s="1"/>
  <c r="AK25" i="38"/>
  <c r="BA24" i="38"/>
  <c r="AZ24" i="38"/>
  <c r="BB24" i="38" s="1"/>
  <c r="AY24" i="38"/>
  <c r="AW24" i="38"/>
  <c r="AV24" i="38"/>
  <c r="AU24" i="38"/>
  <c r="AZ23" i="38"/>
  <c r="BB23" i="38" s="1"/>
  <c r="AY23" i="38"/>
  <c r="AW23" i="38"/>
  <c r="AV23" i="38"/>
  <c r="AU23" i="38"/>
  <c r="AK23" i="38"/>
  <c r="BA23" i="38" s="1"/>
  <c r="BA22" i="38"/>
  <c r="AZ22" i="38"/>
  <c r="AY22" i="38"/>
  <c r="BB22" i="38" s="1"/>
  <c r="AW22" i="38"/>
  <c r="AV22" i="38"/>
  <c r="AU22" i="38"/>
  <c r="AX22" i="38" s="1"/>
  <c r="AQ22" i="38"/>
  <c r="BA21" i="38"/>
  <c r="AZ21" i="38"/>
  <c r="BB21" i="38" s="1"/>
  <c r="AY21" i="38"/>
  <c r="AW21" i="38"/>
  <c r="AV21" i="38"/>
  <c r="AX21" i="38" s="1"/>
  <c r="AU21" i="38"/>
  <c r="BA20" i="38"/>
  <c r="AZ20" i="38"/>
  <c r="AW20" i="38"/>
  <c r="AV20" i="38"/>
  <c r="AX20" i="38" s="1"/>
  <c r="AU20" i="38"/>
  <c r="AQ20" i="38"/>
  <c r="BA19" i="38"/>
  <c r="AZ19" i="38"/>
  <c r="AY19" i="38"/>
  <c r="BB19" i="38" s="1"/>
  <c r="AW19" i="38"/>
  <c r="AV19" i="38"/>
  <c r="AU19" i="38"/>
  <c r="BA18" i="38"/>
  <c r="AZ18" i="38"/>
  <c r="BB18" i="38" s="1"/>
  <c r="AY18" i="38"/>
  <c r="AW18" i="38"/>
  <c r="AV18" i="38"/>
  <c r="AU18" i="38"/>
  <c r="BA17" i="38"/>
  <c r="AZ17" i="38"/>
  <c r="BB17" i="38" s="1"/>
  <c r="AY17" i="38"/>
  <c r="AW17" i="38"/>
  <c r="AV17" i="38"/>
  <c r="AU17" i="38"/>
  <c r="BA16" i="38"/>
  <c r="AZ16" i="38"/>
  <c r="BB16" i="38" s="1"/>
  <c r="AY16" i="38"/>
  <c r="AW16" i="38"/>
  <c r="AV16" i="38"/>
  <c r="AU16" i="38"/>
  <c r="BA15" i="38"/>
  <c r="AZ15" i="38"/>
  <c r="BB15" i="38" s="1"/>
  <c r="AY15" i="38"/>
  <c r="AW15" i="38"/>
  <c r="AV15" i="38"/>
  <c r="AX15" i="38" s="1"/>
  <c r="AU15" i="38"/>
  <c r="AZ14" i="38"/>
  <c r="BB14" i="38" s="1"/>
  <c r="AY14" i="38"/>
  <c r="AW14" i="38"/>
  <c r="AV14" i="38"/>
  <c r="AU14" i="38"/>
  <c r="AK14" i="38"/>
  <c r="BA14" i="38" s="1"/>
  <c r="BA13" i="38"/>
  <c r="AZ13" i="38"/>
  <c r="AY13" i="38"/>
  <c r="BB13" i="38" s="1"/>
  <c r="AW13" i="38"/>
  <c r="AV13" i="38"/>
  <c r="AU13" i="38"/>
  <c r="BA12" i="38"/>
  <c r="AZ12" i="38"/>
  <c r="AY12" i="38"/>
  <c r="BB12" i="38" s="1"/>
  <c r="AW12" i="38"/>
  <c r="AV12" i="38"/>
  <c r="AU12" i="38"/>
  <c r="AZ11" i="38"/>
  <c r="AY11" i="38"/>
  <c r="AW11" i="38"/>
  <c r="AV11" i="38"/>
  <c r="AU11" i="38"/>
  <c r="AX11" i="38" s="1"/>
  <c r="AN59" i="38"/>
  <c r="AX8" i="10" s="1"/>
  <c r="AX7" i="10" s="1"/>
  <c r="AX26" i="10" s="1"/>
  <c r="AX6" i="10" s="1"/>
  <c r="AK11" i="38"/>
  <c r="BA11" i="38" s="1"/>
  <c r="BA10" i="38"/>
  <c r="AZ10" i="38"/>
  <c r="AY10" i="38"/>
  <c r="BB10" i="38" s="1"/>
  <c r="AW10" i="38"/>
  <c r="AV10" i="38"/>
  <c r="AU10" i="38"/>
  <c r="AX10" i="38" s="1"/>
  <c r="BA9" i="38"/>
  <c r="AZ9" i="38"/>
  <c r="AW9" i="38"/>
  <c r="AV9" i="38"/>
  <c r="AU9" i="38"/>
  <c r="AX9" i="38" s="1"/>
  <c r="AK9" i="38"/>
  <c r="AC9" i="38"/>
  <c r="AY9" i="38" s="1"/>
  <c r="BB9" i="38" s="1"/>
  <c r="BA8" i="38"/>
  <c r="AZ8" i="38"/>
  <c r="AY8" i="38"/>
  <c r="BB8" i="38" s="1"/>
  <c r="AW8" i="38"/>
  <c r="AV8" i="38"/>
  <c r="AU8" i="38"/>
  <c r="AX8" i="38" s="1"/>
  <c r="AC8" i="38"/>
  <c r="BA7" i="38"/>
  <c r="AZ7" i="38"/>
  <c r="BB7" i="38" s="1"/>
  <c r="AY7" i="38"/>
  <c r="AW7" i="38"/>
  <c r="AV7" i="38"/>
  <c r="AX7" i="38" s="1"/>
  <c r="AU7" i="38"/>
  <c r="BA6" i="38"/>
  <c r="AZ6" i="38"/>
  <c r="AZ59" i="38" s="1"/>
  <c r="AY6" i="38"/>
  <c r="AW6" i="38"/>
  <c r="AV6" i="38"/>
  <c r="AU6" i="38"/>
  <c r="F12" i="9" l="1"/>
  <c r="AT26" i="5"/>
  <c r="AT6" i="5" s="1"/>
  <c r="AX17" i="38"/>
  <c r="AX16" i="38"/>
  <c r="P18" i="9"/>
  <c r="B18" i="9"/>
  <c r="AX79" i="38"/>
  <c r="V352" i="38"/>
  <c r="V256" i="38"/>
  <c r="R352" i="38"/>
  <c r="AX203" i="38"/>
  <c r="R256" i="38"/>
  <c r="AU343" i="38"/>
  <c r="AX342" i="38"/>
  <c r="AS352" i="38"/>
  <c r="AS256" i="38"/>
  <c r="AW67" i="38"/>
  <c r="AX62" i="38"/>
  <c r="AX18" i="38"/>
  <c r="AX40" i="38"/>
  <c r="AX33" i="38"/>
  <c r="AV59" i="38"/>
  <c r="AX58" i="38"/>
  <c r="AX48" i="38"/>
  <c r="AX35" i="38"/>
  <c r="AX34" i="38"/>
  <c r="AX32" i="38"/>
  <c r="AX30" i="38"/>
  <c r="AU67" i="38"/>
  <c r="AY7" i="5"/>
  <c r="AY26" i="5" s="1"/>
  <c r="AY6" i="5" s="1"/>
  <c r="AX14" i="38"/>
  <c r="AW154" i="38"/>
  <c r="AX24" i="38"/>
  <c r="AX23" i="38"/>
  <c r="AX13" i="38"/>
  <c r="AX12" i="38"/>
  <c r="AV67" i="38"/>
  <c r="AX67" i="38" s="1"/>
  <c r="AX7" i="9"/>
  <c r="AX26" i="9" s="1"/>
  <c r="AX6" i="9" s="1"/>
  <c r="AV154" i="38"/>
  <c r="DV140" i="37"/>
  <c r="B7" i="9"/>
  <c r="B26" i="9" s="1"/>
  <c r="B6" i="9" s="1"/>
  <c r="EL140" i="37"/>
  <c r="EL243" i="37" s="1"/>
  <c r="AO16" i="9"/>
  <c r="AO12" i="9" s="1"/>
  <c r="AO7" i="9" s="1"/>
  <c r="AO26" i="9" s="1"/>
  <c r="AO6" i="9" s="1"/>
  <c r="EK140" i="37"/>
  <c r="AO16" i="5"/>
  <c r="AO12" i="5" s="1"/>
  <c r="AO7" i="5" s="1"/>
  <c r="AO26" i="5" s="1"/>
  <c r="AO6" i="5" s="1"/>
  <c r="AX101" i="38"/>
  <c r="S195" i="38"/>
  <c r="AX76" i="38"/>
  <c r="AX82" i="38"/>
  <c r="AX80" i="38"/>
  <c r="AS195" i="38"/>
  <c r="EM263" i="37"/>
  <c r="AM195" i="38"/>
  <c r="AM7" i="9"/>
  <c r="AM26" i="9" s="1"/>
  <c r="AM6" i="9" s="1"/>
  <c r="EB140" i="37"/>
  <c r="AU154" i="38"/>
  <c r="AV10" i="5"/>
  <c r="AV7" i="5" s="1"/>
  <c r="AV26" i="5" s="1"/>
  <c r="AV6" i="5" s="1"/>
  <c r="AX86" i="38"/>
  <c r="AE195" i="38"/>
  <c r="C18" i="9"/>
  <c r="B52" i="9"/>
  <c r="B27" i="9" s="1"/>
  <c r="F52" i="9"/>
  <c r="F27" i="9" s="1"/>
  <c r="M52" i="9"/>
  <c r="M27" i="9" s="1"/>
  <c r="AJ52" i="9"/>
  <c r="AJ27" i="9" s="1"/>
  <c r="AJ7" i="9"/>
  <c r="L21" i="5"/>
  <c r="M21" i="5"/>
  <c r="AJ21" i="5"/>
  <c r="J21" i="9"/>
  <c r="N21" i="5"/>
  <c r="N18" i="5" s="1"/>
  <c r="R21" i="5"/>
  <c r="R18" i="5" s="1"/>
  <c r="U21" i="5"/>
  <c r="Q21" i="5"/>
  <c r="Y21" i="5"/>
  <c r="AA21" i="5"/>
  <c r="F21" i="9"/>
  <c r="F18" i="9" s="1"/>
  <c r="AJ21" i="9"/>
  <c r="AJ18" i="9" s="1"/>
  <c r="Q21" i="9"/>
  <c r="AA21" i="9"/>
  <c r="L28" i="5"/>
  <c r="L52" i="5" s="1"/>
  <c r="L27" i="5" s="1"/>
  <c r="AJ28" i="5"/>
  <c r="AJ52" i="5" s="1"/>
  <c r="AJ27" i="5" s="1"/>
  <c r="E40" i="9"/>
  <c r="E52" i="9"/>
  <c r="E27" i="9" s="1"/>
  <c r="EM116" i="37"/>
  <c r="EP116" i="37" s="1"/>
  <c r="F7" i="9"/>
  <c r="EM274" i="37"/>
  <c r="AT313" i="38"/>
  <c r="AS313" i="38"/>
  <c r="AF313" i="38"/>
  <c r="AE313" i="38"/>
  <c r="S313" i="38"/>
  <c r="AU304" i="38"/>
  <c r="R313" i="38"/>
  <c r="AM274" i="37"/>
  <c r="EQ274" i="37" s="1"/>
  <c r="ET274" i="37" s="1"/>
  <c r="AL313" i="38"/>
  <c r="AV304" i="38"/>
  <c r="AV313" i="38" s="1"/>
  <c r="AX303" i="38"/>
  <c r="AM313" i="38"/>
  <c r="AN313" i="38"/>
  <c r="Z313" i="38"/>
  <c r="V313" i="38"/>
  <c r="X313" i="38"/>
  <c r="T313" i="38"/>
  <c r="L313" i="38"/>
  <c r="H313" i="38"/>
  <c r="AW304" i="38"/>
  <c r="D313" i="38"/>
  <c r="DN232" i="37"/>
  <c r="EP374" i="37"/>
  <c r="EP340" i="37"/>
  <c r="EP263" i="37"/>
  <c r="EP256" i="37"/>
  <c r="EP146" i="37"/>
  <c r="EP130" i="37"/>
  <c r="CR140" i="37"/>
  <c r="CU140" i="37"/>
  <c r="CU243" i="37" s="1"/>
  <c r="H140" i="37"/>
  <c r="C16" i="9"/>
  <c r="C12" i="9" s="1"/>
  <c r="C7" i="9" s="1"/>
  <c r="C26" i="9" s="1"/>
  <c r="C6" i="9" s="1"/>
  <c r="J140" i="37"/>
  <c r="D16" i="9"/>
  <c r="D12" i="9" s="1"/>
  <c r="D7" i="9" s="1"/>
  <c r="Q140" i="37"/>
  <c r="S140" i="37"/>
  <c r="L16" i="5"/>
  <c r="V140" i="37"/>
  <c r="X140" i="37"/>
  <c r="M16" i="9"/>
  <c r="M12" i="9" s="1"/>
  <c r="M7" i="9" s="1"/>
  <c r="AA140" i="37"/>
  <c r="AJ16" i="5"/>
  <c r="AF140" i="37"/>
  <c r="AJ140" i="37"/>
  <c r="AL140" i="37"/>
  <c r="AN140" i="37"/>
  <c r="I16" i="5"/>
  <c r="I12" i="5" s="1"/>
  <c r="I7" i="5" s="1"/>
  <c r="AP140" i="37"/>
  <c r="AR140" i="37"/>
  <c r="J16" i="5"/>
  <c r="AT140" i="37"/>
  <c r="AV140" i="37"/>
  <c r="AX140" i="37"/>
  <c r="BD140" i="37"/>
  <c r="N16" i="9"/>
  <c r="N12" i="9" s="1"/>
  <c r="N7" i="9" s="1"/>
  <c r="BH140" i="37"/>
  <c r="BJ140" i="37"/>
  <c r="O16" i="9"/>
  <c r="O12" i="9" s="1"/>
  <c r="O7" i="9" s="1"/>
  <c r="BL140" i="37"/>
  <c r="BN140" i="37"/>
  <c r="R16" i="9"/>
  <c r="R12" i="9" s="1"/>
  <c r="R7" i="9" s="1"/>
  <c r="BP140" i="37"/>
  <c r="S16" i="9"/>
  <c r="S12" i="9" s="1"/>
  <c r="S7" i="9" s="1"/>
  <c r="BR140" i="37"/>
  <c r="T16" i="5"/>
  <c r="T12" i="5" s="1"/>
  <c r="T7" i="5" s="1"/>
  <c r="BT140" i="37"/>
  <c r="BV140" i="37"/>
  <c r="U16" i="9"/>
  <c r="U12" i="9" s="1"/>
  <c r="U7" i="9" s="1"/>
  <c r="BX140" i="37"/>
  <c r="P16" i="9"/>
  <c r="P12" i="9" s="1"/>
  <c r="P7" i="9" s="1"/>
  <c r="P26" i="9" s="1"/>
  <c r="P6" i="9" s="1"/>
  <c r="BZ140" i="37"/>
  <c r="CB140" i="37"/>
  <c r="V16" i="9"/>
  <c r="V12" i="9" s="1"/>
  <c r="V7" i="9" s="1"/>
  <c r="CD140" i="37"/>
  <c r="W16" i="5"/>
  <c r="W12" i="5" s="1"/>
  <c r="W7" i="5" s="1"/>
  <c r="CH140" i="37"/>
  <c r="CJ140" i="37"/>
  <c r="Q16" i="9"/>
  <c r="CN140" i="37"/>
  <c r="CS140" i="37"/>
  <c r="Y16" i="5"/>
  <c r="Y12" i="5" s="1"/>
  <c r="Y7" i="5" s="1"/>
  <c r="Y26" i="5" s="1"/>
  <c r="Y6" i="5" s="1"/>
  <c r="CW140" i="37"/>
  <c r="AA16" i="5"/>
  <c r="AA12" i="5" s="1"/>
  <c r="AA7" i="5" s="1"/>
  <c r="DC140" i="37"/>
  <c r="DC243" i="37" s="1"/>
  <c r="DE140" i="37"/>
  <c r="DG140" i="37"/>
  <c r="DG243" i="37" s="1"/>
  <c r="AL16" i="5"/>
  <c r="AL12" i="5" s="1"/>
  <c r="AL7" i="5" s="1"/>
  <c r="ET146" i="37"/>
  <c r="C151" i="37"/>
  <c r="E151" i="37"/>
  <c r="G151" i="37"/>
  <c r="I151" i="37"/>
  <c r="I243" i="37" s="1"/>
  <c r="K151" i="37"/>
  <c r="O151" i="37"/>
  <c r="Q151" i="37"/>
  <c r="S151" i="37"/>
  <c r="U151" i="37"/>
  <c r="W151" i="37"/>
  <c r="Y151" i="37"/>
  <c r="AA151" i="37"/>
  <c r="AA243" i="37" s="1"/>
  <c r="AE151" i="37"/>
  <c r="AG151" i="37"/>
  <c r="AI151" i="37"/>
  <c r="AK151" i="37"/>
  <c r="AK243" i="37" s="1"/>
  <c r="AM151" i="37"/>
  <c r="AO151" i="37"/>
  <c r="AQ151" i="37"/>
  <c r="AS151" i="37"/>
  <c r="AU151" i="37"/>
  <c r="AW151" i="37"/>
  <c r="BA151" i="37"/>
  <c r="BC151" i="37"/>
  <c r="BC243" i="37" s="1"/>
  <c r="BG151" i="37"/>
  <c r="BI151" i="37"/>
  <c r="BK151" i="37"/>
  <c r="BM151" i="37"/>
  <c r="BO151" i="37"/>
  <c r="BQ151" i="37"/>
  <c r="BQ243" i="37" s="1"/>
  <c r="BS151" i="37"/>
  <c r="BU151" i="37"/>
  <c r="BW151" i="37"/>
  <c r="BY151" i="37"/>
  <c r="BY243" i="37" s="1"/>
  <c r="CA151" i="37"/>
  <c r="CC151" i="37"/>
  <c r="CC243" i="37" s="1"/>
  <c r="CG151" i="37"/>
  <c r="CI151" i="37"/>
  <c r="CM151" i="37"/>
  <c r="CO151" i="37"/>
  <c r="CQ151" i="37"/>
  <c r="CS151" i="37"/>
  <c r="CU151" i="37"/>
  <c r="CW151" i="37"/>
  <c r="CY151" i="37"/>
  <c r="DA151" i="37"/>
  <c r="DC151" i="37"/>
  <c r="DE151" i="37"/>
  <c r="DG151" i="37"/>
  <c r="C232" i="37"/>
  <c r="E232" i="37"/>
  <c r="G232" i="37"/>
  <c r="I232" i="37"/>
  <c r="K232" i="37"/>
  <c r="Q232" i="37"/>
  <c r="Q243" i="37" s="1"/>
  <c r="S232" i="37"/>
  <c r="U232" i="37"/>
  <c r="W232" i="37"/>
  <c r="Y232" i="37"/>
  <c r="AA232" i="37"/>
  <c r="AE232" i="37"/>
  <c r="AG232" i="37"/>
  <c r="AI232" i="37"/>
  <c r="AK232" i="37"/>
  <c r="AM232" i="37"/>
  <c r="AO232" i="37"/>
  <c r="AQ232" i="37"/>
  <c r="ES232" i="37" s="1"/>
  <c r="AS232" i="37"/>
  <c r="AU232" i="37"/>
  <c r="AU243" i="37" s="1"/>
  <c r="AW232" i="37"/>
  <c r="BA232" i="37"/>
  <c r="BC232" i="37"/>
  <c r="BG232" i="37"/>
  <c r="BI232" i="37"/>
  <c r="BK232" i="37"/>
  <c r="BM232" i="37"/>
  <c r="BO232" i="37"/>
  <c r="BQ232" i="37"/>
  <c r="BS232" i="37"/>
  <c r="BU232" i="37"/>
  <c r="BW232" i="37"/>
  <c r="BY232" i="37"/>
  <c r="CA232" i="37"/>
  <c r="CC232" i="37"/>
  <c r="CG232" i="37"/>
  <c r="CI232" i="37"/>
  <c r="CM232" i="37"/>
  <c r="CQ232" i="37"/>
  <c r="CS232" i="37"/>
  <c r="CU232" i="37"/>
  <c r="CW232" i="37"/>
  <c r="DC232" i="37"/>
  <c r="DE232" i="37"/>
  <c r="DG232" i="37"/>
  <c r="L18" i="5"/>
  <c r="M18" i="5"/>
  <c r="AJ18" i="5"/>
  <c r="J18" i="9"/>
  <c r="U18" i="5"/>
  <c r="Y18" i="5"/>
  <c r="AL18" i="5"/>
  <c r="Q18" i="9"/>
  <c r="AA18" i="9"/>
  <c r="C52" i="9"/>
  <c r="C27" i="9" s="1"/>
  <c r="L52" i="9"/>
  <c r="L27" i="9" s="1"/>
  <c r="ET323" i="37"/>
  <c r="C336" i="37"/>
  <c r="E336" i="37"/>
  <c r="G336" i="37"/>
  <c r="I336" i="37"/>
  <c r="K336" i="37"/>
  <c r="O336" i="37"/>
  <c r="Q336" i="37"/>
  <c r="S336" i="37"/>
  <c r="U336" i="37"/>
  <c r="W336" i="37"/>
  <c r="Y336" i="37"/>
  <c r="AA336" i="37"/>
  <c r="AE336" i="37"/>
  <c r="AG336" i="37"/>
  <c r="AI336" i="37"/>
  <c r="AK336" i="37"/>
  <c r="AM336" i="37"/>
  <c r="AO336" i="37"/>
  <c r="AQ336" i="37"/>
  <c r="ES336" i="37" s="1"/>
  <c r="AS336" i="37"/>
  <c r="AU336" i="37"/>
  <c r="BA336" i="37"/>
  <c r="BC336" i="37"/>
  <c r="BG336" i="37"/>
  <c r="BI336" i="37"/>
  <c r="BK336" i="37"/>
  <c r="BM336" i="37"/>
  <c r="BO336" i="37"/>
  <c r="BQ336" i="37"/>
  <c r="BS336" i="37"/>
  <c r="BU336" i="37"/>
  <c r="BW336" i="37"/>
  <c r="BY336" i="37"/>
  <c r="CA336" i="37"/>
  <c r="ET346" i="37"/>
  <c r="ET374" i="37"/>
  <c r="ET398" i="37"/>
  <c r="C403" i="37"/>
  <c r="E403" i="37"/>
  <c r="G403" i="37"/>
  <c r="I403" i="37"/>
  <c r="K403" i="37"/>
  <c r="O403" i="37"/>
  <c r="Q403" i="37"/>
  <c r="S403" i="37"/>
  <c r="U403" i="37"/>
  <c r="W403" i="37"/>
  <c r="Y403" i="37"/>
  <c r="AA403" i="37"/>
  <c r="AE403" i="37"/>
  <c r="AG403" i="37"/>
  <c r="AI403" i="37"/>
  <c r="AK403" i="37"/>
  <c r="AM403" i="37"/>
  <c r="AO403" i="37"/>
  <c r="AQ403" i="37"/>
  <c r="ES403" i="37" s="1"/>
  <c r="AS403" i="37"/>
  <c r="AU403" i="37"/>
  <c r="BA403" i="37"/>
  <c r="BC403" i="37"/>
  <c r="BG403" i="37"/>
  <c r="BI403" i="37"/>
  <c r="BK403" i="37"/>
  <c r="BM403" i="37"/>
  <c r="BO403" i="37"/>
  <c r="BQ403" i="37"/>
  <c r="BS403" i="37"/>
  <c r="BU403" i="37"/>
  <c r="BW403" i="37"/>
  <c r="BY403" i="37"/>
  <c r="CA403" i="37"/>
  <c r="CC403" i="37"/>
  <c r="CG403" i="37"/>
  <c r="CI403" i="37"/>
  <c r="CM403" i="37"/>
  <c r="ER31" i="37"/>
  <c r="E8" i="9"/>
  <c r="ET91" i="37"/>
  <c r="L12" i="5"/>
  <c r="L7" i="5" s="1"/>
  <c r="L26" i="5" s="1"/>
  <c r="L6" i="5" s="1"/>
  <c r="AJ12" i="5"/>
  <c r="AJ7" i="5" s="1"/>
  <c r="Q12" i="9"/>
  <c r="Q7" i="9" s="1"/>
  <c r="Q26" i="9" s="1"/>
  <c r="Q6" i="9" s="1"/>
  <c r="CV140" i="37"/>
  <c r="AB140" i="37"/>
  <c r="C140" i="37"/>
  <c r="C243" i="37" s="1"/>
  <c r="E140" i="37"/>
  <c r="B16" i="5"/>
  <c r="G140" i="37"/>
  <c r="I140" i="37"/>
  <c r="P140" i="37"/>
  <c r="R140" i="37"/>
  <c r="T140" i="37"/>
  <c r="L16" i="9"/>
  <c r="L12" i="9" s="1"/>
  <c r="L7" i="9" s="1"/>
  <c r="W140" i="37"/>
  <c r="M16" i="5"/>
  <c r="M12" i="5" s="1"/>
  <c r="M7" i="5" s="1"/>
  <c r="M26" i="5" s="1"/>
  <c r="M6" i="5" s="1"/>
  <c r="Y140" i="37"/>
  <c r="AE140" i="37"/>
  <c r="AI140" i="37"/>
  <c r="AK140" i="37"/>
  <c r="AM140" i="37"/>
  <c r="AO140" i="37"/>
  <c r="AQ140" i="37"/>
  <c r="ES140" i="37" s="1"/>
  <c r="AS140" i="37"/>
  <c r="J16" i="9"/>
  <c r="J12" i="9" s="1"/>
  <c r="J7" i="9" s="1"/>
  <c r="J26" i="9" s="1"/>
  <c r="AU140" i="37"/>
  <c r="AW140" i="37"/>
  <c r="BC140" i="37"/>
  <c r="N16" i="5"/>
  <c r="N12" i="5" s="1"/>
  <c r="N7" i="5" s="1"/>
  <c r="BI140" i="37"/>
  <c r="BI243" i="37" s="1"/>
  <c r="O16" i="5"/>
  <c r="O12" i="5" s="1"/>
  <c r="O7" i="5" s="1"/>
  <c r="BM140" i="37"/>
  <c r="R16" i="5"/>
  <c r="R12" i="5" s="1"/>
  <c r="R7" i="5" s="1"/>
  <c r="BQ140" i="37"/>
  <c r="BU140" i="37"/>
  <c r="U16" i="5"/>
  <c r="U12" i="5" s="1"/>
  <c r="U7" i="5" s="1"/>
  <c r="U26" i="5" s="1"/>
  <c r="U6" i="5" s="1"/>
  <c r="BW140" i="37"/>
  <c r="BY140" i="37"/>
  <c r="CA140" i="37"/>
  <c r="CC140" i="37"/>
  <c r="CI140" i="37"/>
  <c r="Q16" i="5"/>
  <c r="Q12" i="5" s="1"/>
  <c r="Q7" i="5" s="1"/>
  <c r="CM140" i="37"/>
  <c r="CM243" i="37" s="1"/>
  <c r="CQ140" i="37"/>
  <c r="CT140" i="37"/>
  <c r="Y16" i="9"/>
  <c r="Y12" i="9" s="1"/>
  <c r="Y7" i="9" s="1"/>
  <c r="CX140" i="37"/>
  <c r="AA16" i="9"/>
  <c r="AA12" i="9" s="1"/>
  <c r="AA7" i="9" s="1"/>
  <c r="AA26" i="9" s="1"/>
  <c r="AA6" i="9" s="1"/>
  <c r="DD140" i="37"/>
  <c r="AK16" i="9"/>
  <c r="AK12" i="9" s="1"/>
  <c r="AK7" i="9" s="1"/>
  <c r="DF140" i="37"/>
  <c r="DH140" i="37"/>
  <c r="AL16" i="9"/>
  <c r="AL12" i="9" s="1"/>
  <c r="AL7" i="9" s="1"/>
  <c r="ER130" i="37"/>
  <c r="ET130" i="37" s="1"/>
  <c r="ER139" i="37"/>
  <c r="ET139" i="37" s="1"/>
  <c r="ER146" i="37"/>
  <c r="D151" i="37"/>
  <c r="F151" i="37"/>
  <c r="H151" i="37"/>
  <c r="H243" i="37" s="1"/>
  <c r="J151" i="37"/>
  <c r="L151" i="37"/>
  <c r="P151" i="37"/>
  <c r="R151" i="37"/>
  <c r="T151" i="37"/>
  <c r="V151" i="37"/>
  <c r="X151" i="37"/>
  <c r="Z151" i="37"/>
  <c r="AB151" i="37"/>
  <c r="AF151" i="37"/>
  <c r="AF243" i="37" s="1"/>
  <c r="AH151" i="37"/>
  <c r="AJ151" i="37"/>
  <c r="AJ243" i="37" s="1"/>
  <c r="AL151" i="37"/>
  <c r="AN151" i="37"/>
  <c r="AN243" i="37" s="1"/>
  <c r="AP151" i="37"/>
  <c r="AT151" i="37"/>
  <c r="AT243" i="37" s="1"/>
  <c r="AV151" i="37"/>
  <c r="AV243" i="37" s="1"/>
  <c r="AX151" i="37"/>
  <c r="BB151" i="37"/>
  <c r="BB243" i="37" s="1"/>
  <c r="BD151" i="37"/>
  <c r="BH151" i="37"/>
  <c r="BH243" i="37" s="1"/>
  <c r="BJ151" i="37"/>
  <c r="BL151" i="37"/>
  <c r="BL243" i="37" s="1"/>
  <c r="BN151" i="37"/>
  <c r="BP151" i="37"/>
  <c r="BP243" i="37" s="1"/>
  <c r="BR151" i="37"/>
  <c r="BT151" i="37"/>
  <c r="BT243" i="37" s="1"/>
  <c r="BV151" i="37"/>
  <c r="BX151" i="37"/>
  <c r="BZ151" i="37"/>
  <c r="CB151" i="37"/>
  <c r="CB243" i="37" s="1"/>
  <c r="CD151" i="37"/>
  <c r="CH151" i="37"/>
  <c r="CH243" i="37" s="1"/>
  <c r="CJ151" i="37"/>
  <c r="CN151" i="37"/>
  <c r="CN243" i="37" s="1"/>
  <c r="CP151" i="37"/>
  <c r="CR151" i="37"/>
  <c r="CR243" i="37" s="1"/>
  <c r="CT151" i="37"/>
  <c r="CV151" i="37"/>
  <c r="CV243" i="37" s="1"/>
  <c r="CX151" i="37"/>
  <c r="CZ151" i="37"/>
  <c r="DB151" i="37"/>
  <c r="DD151" i="37"/>
  <c r="DF151" i="37"/>
  <c r="DH151" i="37"/>
  <c r="DH243" i="37" s="1"/>
  <c r="Q18" i="5"/>
  <c r="AA18" i="5"/>
  <c r="ET201" i="37"/>
  <c r="ER202" i="37"/>
  <c r="ER208" i="37"/>
  <c r="F232" i="37"/>
  <c r="H232" i="37"/>
  <c r="J232" i="37"/>
  <c r="L232" i="37"/>
  <c r="P232" i="37"/>
  <c r="R232" i="37"/>
  <c r="T232" i="37"/>
  <c r="V232" i="37"/>
  <c r="X232" i="37"/>
  <c r="Z232" i="37"/>
  <c r="AB232" i="37"/>
  <c r="AF232" i="37"/>
  <c r="AH232" i="37"/>
  <c r="AJ232" i="37"/>
  <c r="AN232" i="37"/>
  <c r="AP232" i="37"/>
  <c r="AR232" i="37"/>
  <c r="AT232" i="37"/>
  <c r="AV232" i="37"/>
  <c r="AX232" i="37"/>
  <c r="BB232" i="37"/>
  <c r="BD232" i="37"/>
  <c r="BH232" i="37"/>
  <c r="BJ232" i="37"/>
  <c r="BL232" i="37"/>
  <c r="BN232" i="37"/>
  <c r="BP232" i="37"/>
  <c r="BR232" i="37"/>
  <c r="BV232" i="37"/>
  <c r="BX232" i="37"/>
  <c r="BZ232" i="37"/>
  <c r="CB232" i="37"/>
  <c r="CD232" i="37"/>
  <c r="CH232" i="37"/>
  <c r="CJ232" i="37"/>
  <c r="CN232" i="37"/>
  <c r="CR232" i="37"/>
  <c r="CT232" i="37"/>
  <c r="CV232" i="37"/>
  <c r="CX232" i="37"/>
  <c r="DD232" i="37"/>
  <c r="AK22" i="9"/>
  <c r="AK21" i="9" s="1"/>
  <c r="AK18" i="9" s="1"/>
  <c r="DF232" i="37"/>
  <c r="DH232" i="37"/>
  <c r="ET214" i="37"/>
  <c r="ER215" i="37"/>
  <c r="D18" i="9"/>
  <c r="L21" i="9"/>
  <c r="L18" i="9" s="1"/>
  <c r="M21" i="9"/>
  <c r="M18" i="9" s="1"/>
  <c r="I21" i="5"/>
  <c r="I18" i="5" s="1"/>
  <c r="N21" i="9"/>
  <c r="N18" i="9" s="1"/>
  <c r="O21" i="9"/>
  <c r="O18" i="9" s="1"/>
  <c r="R21" i="9"/>
  <c r="R18" i="9" s="1"/>
  <c r="S21" i="9"/>
  <c r="S18" i="9" s="1"/>
  <c r="T21" i="5"/>
  <c r="T18" i="5" s="1"/>
  <c r="U21" i="9"/>
  <c r="U18" i="9" s="1"/>
  <c r="V21" i="9"/>
  <c r="V18" i="9" s="1"/>
  <c r="W21" i="5"/>
  <c r="W18" i="5" s="1"/>
  <c r="Y21" i="9"/>
  <c r="Y18" i="9" s="1"/>
  <c r="AL18" i="9"/>
  <c r="O21" i="5"/>
  <c r="O18" i="5" s="1"/>
  <c r="ET231" i="37"/>
  <c r="ET251" i="37"/>
  <c r="ET256" i="37"/>
  <c r="ET263" i="37"/>
  <c r="M28" i="5"/>
  <c r="M52" i="5" s="1"/>
  <c r="M27" i="5" s="1"/>
  <c r="J28" i="9"/>
  <c r="N28" i="5"/>
  <c r="N52" i="5" s="1"/>
  <c r="N27" i="5" s="1"/>
  <c r="O28" i="5"/>
  <c r="O52" i="5" s="1"/>
  <c r="O27" i="5" s="1"/>
  <c r="R28" i="5"/>
  <c r="R52" i="5" s="1"/>
  <c r="R27" i="5" s="1"/>
  <c r="U28" i="5"/>
  <c r="U52" i="5" s="1"/>
  <c r="U27" i="5" s="1"/>
  <c r="Q28" i="5"/>
  <c r="Q52" i="5" s="1"/>
  <c r="Q27" i="5" s="1"/>
  <c r="Y28" i="5"/>
  <c r="Y52" i="5" s="1"/>
  <c r="Y27" i="5" s="1"/>
  <c r="AA28" i="5"/>
  <c r="AA52" i="5" s="1"/>
  <c r="AA27" i="5" s="1"/>
  <c r="AL28" i="5"/>
  <c r="AL52" i="5" s="1"/>
  <c r="AL27" i="5" s="1"/>
  <c r="ER323" i="37"/>
  <c r="ER331" i="37"/>
  <c r="ET331" i="37" s="1"/>
  <c r="D336" i="37"/>
  <c r="F336" i="37"/>
  <c r="H336" i="37"/>
  <c r="J336" i="37"/>
  <c r="L336" i="37"/>
  <c r="P336" i="37"/>
  <c r="R336" i="37"/>
  <c r="T336" i="37"/>
  <c r="V336" i="37"/>
  <c r="X336" i="37"/>
  <c r="Z336" i="37"/>
  <c r="AB336" i="37"/>
  <c r="AF336" i="37"/>
  <c r="AH336" i="37"/>
  <c r="AJ336" i="37"/>
  <c r="AL336" i="37"/>
  <c r="AN336" i="37"/>
  <c r="AP336" i="37"/>
  <c r="AR336" i="37"/>
  <c r="AT336" i="37"/>
  <c r="AV336" i="37"/>
  <c r="BB336" i="37"/>
  <c r="BD336" i="37"/>
  <c r="BH336" i="37"/>
  <c r="BJ336" i="37"/>
  <c r="BL336" i="37"/>
  <c r="BN336" i="37"/>
  <c r="BP336" i="37"/>
  <c r="BR336" i="37"/>
  <c r="BT336" i="37"/>
  <c r="BV336" i="37"/>
  <c r="BX336" i="37"/>
  <c r="BZ336" i="37"/>
  <c r="CB336" i="37"/>
  <c r="ER340" i="37"/>
  <c r="ET340" i="37" s="1"/>
  <c r="ER346" i="37"/>
  <c r="N52" i="9"/>
  <c r="N27" i="9" s="1"/>
  <c r="S52" i="9"/>
  <c r="S27" i="9" s="1"/>
  <c r="U52" i="9"/>
  <c r="U27" i="9" s="1"/>
  <c r="V52" i="9"/>
  <c r="V27" i="9" s="1"/>
  <c r="AA52" i="9"/>
  <c r="AA27" i="9" s="1"/>
  <c r="AL52" i="9"/>
  <c r="AL27" i="9" s="1"/>
  <c r="ER368" i="37"/>
  <c r="ET368" i="37" s="1"/>
  <c r="ER374" i="37"/>
  <c r="ER379" i="37"/>
  <c r="EQ384" i="37"/>
  <c r="ER394" i="37"/>
  <c r="ET394" i="37" s="1"/>
  <c r="ER398" i="37"/>
  <c r="D403" i="37"/>
  <c r="F403" i="37"/>
  <c r="H403" i="37"/>
  <c r="J403" i="37"/>
  <c r="L403" i="37"/>
  <c r="P403" i="37"/>
  <c r="R403" i="37"/>
  <c r="T403" i="37"/>
  <c r="V403" i="37"/>
  <c r="X403" i="37"/>
  <c r="Z403" i="37"/>
  <c r="AB403" i="37"/>
  <c r="AF403" i="37"/>
  <c r="AH403" i="37"/>
  <c r="AJ403" i="37"/>
  <c r="AL403" i="37"/>
  <c r="AN403" i="37"/>
  <c r="AP403" i="37"/>
  <c r="AR403" i="37"/>
  <c r="AT403" i="37"/>
  <c r="AV403" i="37"/>
  <c r="BB403" i="37"/>
  <c r="BD403" i="37"/>
  <c r="BH403" i="37"/>
  <c r="BJ403" i="37"/>
  <c r="BL403" i="37"/>
  <c r="BN403" i="37"/>
  <c r="BP403" i="37"/>
  <c r="BR403" i="37"/>
  <c r="BT403" i="37"/>
  <c r="BV403" i="37"/>
  <c r="BX403" i="37"/>
  <c r="BZ403" i="37"/>
  <c r="CB403" i="37"/>
  <c r="CD403" i="37"/>
  <c r="CH403" i="37"/>
  <c r="CJ403" i="37"/>
  <c r="CN403" i="37"/>
  <c r="ET225" i="37"/>
  <c r="ET215" i="37"/>
  <c r="ET202" i="37"/>
  <c r="ET182" i="37"/>
  <c r="CZ232" i="37"/>
  <c r="EQ183" i="37"/>
  <c r="CY232" i="37"/>
  <c r="CZ140" i="37"/>
  <c r="ET35" i="37"/>
  <c r="CY140" i="37"/>
  <c r="EQ266" i="37"/>
  <c r="ET266" i="37" s="1"/>
  <c r="EQ92" i="37"/>
  <c r="ET102" i="37"/>
  <c r="ET33" i="37"/>
  <c r="ET45" i="37"/>
  <c r="ET62" i="37"/>
  <c r="EQ116" i="37"/>
  <c r="ET116" i="37" s="1"/>
  <c r="EO140" i="37"/>
  <c r="ET122" i="37"/>
  <c r="ET123" i="37"/>
  <c r="ET124" i="37"/>
  <c r="K140" i="37"/>
  <c r="BG140" i="37"/>
  <c r="BK140" i="37"/>
  <c r="BK243" i="37" s="1"/>
  <c r="BO140" i="37"/>
  <c r="BS140" i="37"/>
  <c r="CG140" i="37"/>
  <c r="DT140" i="37"/>
  <c r="EN151" i="37"/>
  <c r="ER151" i="37"/>
  <c r="J243" i="37"/>
  <c r="R243" i="37"/>
  <c r="T243" i="37"/>
  <c r="V243" i="37"/>
  <c r="X243" i="37"/>
  <c r="AB243" i="37"/>
  <c r="AP243" i="37"/>
  <c r="AX243" i="37"/>
  <c r="BD243" i="37"/>
  <c r="BJ243" i="37"/>
  <c r="BN243" i="37"/>
  <c r="BR243" i="37"/>
  <c r="BV243" i="37"/>
  <c r="BZ243" i="37"/>
  <c r="CD243" i="37"/>
  <c r="CJ243" i="37"/>
  <c r="CT243" i="37"/>
  <c r="DF243" i="37"/>
  <c r="DT243" i="37"/>
  <c r="DV243" i="37"/>
  <c r="EB243" i="37"/>
  <c r="ED243" i="37"/>
  <c r="EH243" i="37"/>
  <c r="EJ243" i="37"/>
  <c r="ER183" i="37"/>
  <c r="BT232" i="37"/>
  <c r="DZ232" i="37"/>
  <c r="DZ243" i="37" s="1"/>
  <c r="ER226" i="37"/>
  <c r="ET226" i="37" s="1"/>
  <c r="EP241" i="37"/>
  <c r="ET241" i="37"/>
  <c r="ET36" i="37"/>
  <c r="ER92" i="37"/>
  <c r="ET104" i="37"/>
  <c r="ER109" i="37"/>
  <c r="ET118" i="37"/>
  <c r="D140" i="37"/>
  <c r="F140" i="37"/>
  <c r="F243" i="37" s="1"/>
  <c r="BB140" i="37"/>
  <c r="DS140" i="37"/>
  <c r="DY140" i="37"/>
  <c r="EO151" i="37"/>
  <c r="EQ151" i="37"/>
  <c r="ET151" i="37" s="1"/>
  <c r="G243" i="37"/>
  <c r="K243" i="37"/>
  <c r="S243" i="37"/>
  <c r="Y243" i="37"/>
  <c r="AE243" i="37"/>
  <c r="AI243" i="37"/>
  <c r="AM243" i="37"/>
  <c r="AQ243" i="37"/>
  <c r="ES151" i="37"/>
  <c r="AW243" i="37"/>
  <c r="BM243" i="37"/>
  <c r="BS243" i="37"/>
  <c r="BW243" i="37"/>
  <c r="CA243" i="37"/>
  <c r="CI243" i="37"/>
  <c r="CQ243" i="37"/>
  <c r="CS243" i="37"/>
  <c r="CW243" i="37"/>
  <c r="DE243" i="37"/>
  <c r="DM243" i="37"/>
  <c r="DO243" i="37"/>
  <c r="DS243" i="37"/>
  <c r="DU243" i="37"/>
  <c r="DY243" i="37"/>
  <c r="EA243" i="37"/>
  <c r="EC243" i="37"/>
  <c r="EG243" i="37"/>
  <c r="EI243" i="37"/>
  <c r="EK243" i="37"/>
  <c r="ET153" i="37"/>
  <c r="EO232" i="37"/>
  <c r="ET218" i="37"/>
  <c r="ET224" i="37"/>
  <c r="U31" i="37"/>
  <c r="EQ31" i="37" s="1"/>
  <c r="ET31" i="37" s="1"/>
  <c r="ER51" i="37"/>
  <c r="ET51" i="37" s="1"/>
  <c r="Z92" i="37"/>
  <c r="Z140" i="37" s="1"/>
  <c r="BA109" i="37"/>
  <c r="BA140" i="37" s="1"/>
  <c r="BA243" i="37" s="1"/>
  <c r="EP109" i="37"/>
  <c r="EP111" i="37"/>
  <c r="EQ112" i="37"/>
  <c r="ET112" i="37" s="1"/>
  <c r="ER119" i="37"/>
  <c r="ET119" i="37" s="1"/>
  <c r="EQ120" i="37"/>
  <c r="ET120" i="37" s="1"/>
  <c r="ER121" i="37"/>
  <c r="ET121" i="37" s="1"/>
  <c r="O126" i="37"/>
  <c r="O140" i="37" s="1"/>
  <c r="EI126" i="37"/>
  <c r="EI140" i="37" s="1"/>
  <c r="EM126" i="37"/>
  <c r="EQ126" i="37"/>
  <c r="ES126" i="37"/>
  <c r="EP128" i="37"/>
  <c r="EP142" i="37"/>
  <c r="EQ150" i="37"/>
  <c r="ES150" i="37"/>
  <c r="ER155" i="37"/>
  <c r="ET155" i="37" s="1"/>
  <c r="EP185" i="37"/>
  <c r="EM208" i="37"/>
  <c r="EQ208" i="37"/>
  <c r="ES208" i="37"/>
  <c r="EP210" i="37"/>
  <c r="EP217" i="37"/>
  <c r="ER217" i="37"/>
  <c r="ET217" i="37" s="1"/>
  <c r="ER221" i="37"/>
  <c r="ET221" i="37" s="1"/>
  <c r="O226" i="37"/>
  <c r="O232" i="37" s="1"/>
  <c r="EP228" i="37"/>
  <c r="D232" i="37"/>
  <c r="EQ237" i="37"/>
  <c r="ES237" i="37"/>
  <c r="EP239" i="37"/>
  <c r="D242" i="37"/>
  <c r="ER242" i="37" s="1"/>
  <c r="ET242" i="37" s="1"/>
  <c r="ER22" i="37"/>
  <c r="ET22" i="37" s="1"/>
  <c r="ER33" i="37"/>
  <c r="EP38" i="37"/>
  <c r="ER44" i="37"/>
  <c r="ET44" i="37" s="1"/>
  <c r="EQ47" i="37"/>
  <c r="ET47" i="37" s="1"/>
  <c r="EQ59" i="37"/>
  <c r="ET59" i="37" s="1"/>
  <c r="ER100" i="37"/>
  <c r="ET100" i="37" s="1"/>
  <c r="ER150" i="37"/>
  <c r="ER153" i="37"/>
  <c r="EP247" i="37"/>
  <c r="EP258" i="37"/>
  <c r="EN274" i="37"/>
  <c r="EP274" i="37" s="1"/>
  <c r="EO312" i="37"/>
  <c r="BK312" i="37"/>
  <c r="EQ312" i="37"/>
  <c r="ET312" i="37" s="1"/>
  <c r="D318" i="37"/>
  <c r="F318" i="37"/>
  <c r="H318" i="37"/>
  <c r="J318" i="37"/>
  <c r="L318" i="37"/>
  <c r="P318" i="37"/>
  <c r="R318" i="37"/>
  <c r="T318" i="37"/>
  <c r="V318" i="37"/>
  <c r="X318" i="37"/>
  <c r="Z318" i="37"/>
  <c r="AB318" i="37"/>
  <c r="AF318" i="37"/>
  <c r="AH318" i="37"/>
  <c r="AJ318" i="37"/>
  <c r="AL318" i="37"/>
  <c r="AN318" i="37"/>
  <c r="AP318" i="37"/>
  <c r="AT318" i="37"/>
  <c r="AV318" i="37"/>
  <c r="AX318" i="37"/>
  <c r="BB318" i="37"/>
  <c r="BD318" i="37"/>
  <c r="BH318" i="37"/>
  <c r="BJ318" i="37"/>
  <c r="BL318" i="37"/>
  <c r="BN318" i="37"/>
  <c r="BP318" i="37"/>
  <c r="BR318" i="37"/>
  <c r="BT318" i="37"/>
  <c r="BV318" i="37"/>
  <c r="BX318" i="37"/>
  <c r="BZ318" i="37"/>
  <c r="CB318" i="37"/>
  <c r="CD318" i="37"/>
  <c r="CH318" i="37"/>
  <c r="CJ318" i="37"/>
  <c r="CN318" i="37"/>
  <c r="CP318" i="37"/>
  <c r="CR318" i="37"/>
  <c r="CT318" i="37"/>
  <c r="CV318" i="37"/>
  <c r="CX318" i="37"/>
  <c r="CZ318" i="37"/>
  <c r="DD318" i="37"/>
  <c r="DF318" i="37"/>
  <c r="DH318" i="37"/>
  <c r="DN318" i="37"/>
  <c r="DP318" i="37"/>
  <c r="DT318" i="37"/>
  <c r="DV318" i="37"/>
  <c r="DZ318" i="37"/>
  <c r="EB318" i="37"/>
  <c r="ED318" i="37"/>
  <c r="EH318" i="37"/>
  <c r="EJ318" i="37"/>
  <c r="EL318" i="37"/>
  <c r="ER327" i="37"/>
  <c r="CD336" i="37"/>
  <c r="CH336" i="37"/>
  <c r="CJ336" i="37"/>
  <c r="CN336" i="37"/>
  <c r="CP336" i="37"/>
  <c r="CR336" i="37"/>
  <c r="CT336" i="37"/>
  <c r="CV336" i="37"/>
  <c r="CX336" i="37"/>
  <c r="CZ336" i="37"/>
  <c r="DB336" i="37"/>
  <c r="DD336" i="37"/>
  <c r="DF336" i="37"/>
  <c r="DH336" i="37"/>
  <c r="DN336" i="37"/>
  <c r="DP336" i="37"/>
  <c r="DT336" i="37"/>
  <c r="DV336" i="37"/>
  <c r="DZ336" i="37"/>
  <c r="EB336" i="37"/>
  <c r="ED336" i="37"/>
  <c r="EH336" i="37"/>
  <c r="EJ336" i="37"/>
  <c r="EL336" i="37"/>
  <c r="EP253" i="37"/>
  <c r="EP276" i="37"/>
  <c r="EP317" i="37"/>
  <c r="EO318" i="37"/>
  <c r="C318" i="37"/>
  <c r="E318" i="37"/>
  <c r="G318" i="37"/>
  <c r="I318" i="37"/>
  <c r="K318" i="37"/>
  <c r="O318" i="37"/>
  <c r="Q318" i="37"/>
  <c r="S318" i="37"/>
  <c r="U318" i="37"/>
  <c r="W318" i="37"/>
  <c r="Y318" i="37"/>
  <c r="AA318" i="37"/>
  <c r="AE318" i="37"/>
  <c r="AG318" i="37"/>
  <c r="AI318" i="37"/>
  <c r="AK318" i="37"/>
  <c r="AO318" i="37"/>
  <c r="AQ318" i="37"/>
  <c r="ES318" i="37" s="1"/>
  <c r="AS318" i="37"/>
  <c r="AU318" i="37"/>
  <c r="AW318" i="37"/>
  <c r="BA318" i="37"/>
  <c r="BC318" i="37"/>
  <c r="BG318" i="37"/>
  <c r="BI318" i="37"/>
  <c r="BK318" i="37"/>
  <c r="BM318" i="37"/>
  <c r="BO318" i="37"/>
  <c r="BQ318" i="37"/>
  <c r="BS318" i="37"/>
  <c r="BU318" i="37"/>
  <c r="BW318" i="37"/>
  <c r="BY318" i="37"/>
  <c r="CA318" i="37"/>
  <c r="CC318" i="37"/>
  <c r="CG318" i="37"/>
  <c r="CI318" i="37"/>
  <c r="CM318" i="37"/>
  <c r="CO318" i="37"/>
  <c r="CQ318" i="37"/>
  <c r="CS318" i="37"/>
  <c r="CU318" i="37"/>
  <c r="CW318" i="37"/>
  <c r="CY318" i="37"/>
  <c r="DC318" i="37"/>
  <c r="DE318" i="37"/>
  <c r="DG318" i="37"/>
  <c r="DM318" i="37"/>
  <c r="DO318" i="37"/>
  <c r="DS318" i="37"/>
  <c r="DU318" i="37"/>
  <c r="DY318" i="37"/>
  <c r="EA318" i="37"/>
  <c r="EC318" i="37"/>
  <c r="EG318" i="37"/>
  <c r="EI318" i="37"/>
  <c r="EK318" i="37"/>
  <c r="EM327" i="37"/>
  <c r="EP327" i="37" s="1"/>
  <c r="EP323" i="37"/>
  <c r="EQ327" i="37"/>
  <c r="ET327" i="37" s="1"/>
  <c r="EP335" i="37"/>
  <c r="EO336" i="37"/>
  <c r="CC336" i="37"/>
  <c r="CG336" i="37"/>
  <c r="CI336" i="37"/>
  <c r="CM336" i="37"/>
  <c r="CO336" i="37"/>
  <c r="CQ336" i="37"/>
  <c r="CS336" i="37"/>
  <c r="CU336" i="37"/>
  <c r="CW336" i="37"/>
  <c r="CY336" i="37"/>
  <c r="DA336" i="37"/>
  <c r="DC336" i="37"/>
  <c r="DE336" i="37"/>
  <c r="DG336" i="37"/>
  <c r="DM336" i="37"/>
  <c r="DO336" i="37"/>
  <c r="DS336" i="37"/>
  <c r="DU336" i="37"/>
  <c r="DY336" i="37"/>
  <c r="EA336" i="37"/>
  <c r="EC336" i="37"/>
  <c r="EG336" i="37"/>
  <c r="EI336" i="37"/>
  <c r="EK336" i="37"/>
  <c r="EP314" i="37"/>
  <c r="ER317" i="37"/>
  <c r="EP333" i="37"/>
  <c r="ER335" i="37"/>
  <c r="EP342" i="37"/>
  <c r="ET384" i="37"/>
  <c r="D390" i="37"/>
  <c r="F390" i="37"/>
  <c r="H390" i="37"/>
  <c r="H404" i="37" s="1"/>
  <c r="J390" i="37"/>
  <c r="L390" i="37"/>
  <c r="L404" i="37" s="1"/>
  <c r="P390" i="37"/>
  <c r="R390" i="37"/>
  <c r="R404" i="37" s="1"/>
  <c r="T390" i="37"/>
  <c r="V390" i="37"/>
  <c r="V404" i="37" s="1"/>
  <c r="X390" i="37"/>
  <c r="Z390" i="37"/>
  <c r="Z404" i="37" s="1"/>
  <c r="AB390" i="37"/>
  <c r="AF390" i="37"/>
  <c r="AF404" i="37" s="1"/>
  <c r="AH390" i="37"/>
  <c r="AJ390" i="37"/>
  <c r="AJ404" i="37" s="1"/>
  <c r="AL390" i="37"/>
  <c r="AN390" i="37"/>
  <c r="AN404" i="37" s="1"/>
  <c r="AP390" i="37"/>
  <c r="AR390" i="37"/>
  <c r="AT390" i="37"/>
  <c r="AV390" i="37"/>
  <c r="AV404" i="37" s="1"/>
  <c r="AX390" i="37"/>
  <c r="BB390" i="37"/>
  <c r="BB404" i="37" s="1"/>
  <c r="BD390" i="37"/>
  <c r="BH390" i="37"/>
  <c r="BH404" i="37" s="1"/>
  <c r="BJ390" i="37"/>
  <c r="BL390" i="37"/>
  <c r="BL404" i="37" s="1"/>
  <c r="BN390" i="37"/>
  <c r="BP390" i="37"/>
  <c r="BP404" i="37" s="1"/>
  <c r="BR390" i="37"/>
  <c r="BT390" i="37"/>
  <c r="BT404" i="37" s="1"/>
  <c r="BV390" i="37"/>
  <c r="BX390" i="37"/>
  <c r="BX404" i="37" s="1"/>
  <c r="BZ390" i="37"/>
  <c r="CB390" i="37"/>
  <c r="CB404" i="37" s="1"/>
  <c r="CD390" i="37"/>
  <c r="CH390" i="37"/>
  <c r="CH404" i="37" s="1"/>
  <c r="CJ390" i="37"/>
  <c r="CN390" i="37"/>
  <c r="CN404" i="37" s="1"/>
  <c r="CP390" i="37"/>
  <c r="CR390" i="37"/>
  <c r="CT390" i="37"/>
  <c r="CV390" i="37"/>
  <c r="CX390" i="37"/>
  <c r="CZ390" i="37"/>
  <c r="DD390" i="37"/>
  <c r="DF390" i="37"/>
  <c r="DH390" i="37"/>
  <c r="DN390" i="37"/>
  <c r="DT390" i="37"/>
  <c r="DV390" i="37"/>
  <c r="DV404" i="37" s="1"/>
  <c r="DZ390" i="37"/>
  <c r="EB390" i="37"/>
  <c r="EB404" i="37" s="1"/>
  <c r="ED390" i="37"/>
  <c r="EH390" i="37"/>
  <c r="EH404" i="37" s="1"/>
  <c r="EJ390" i="37"/>
  <c r="EL390" i="37"/>
  <c r="EL404" i="37" s="1"/>
  <c r="EQ317" i="37"/>
  <c r="ES317" i="37"/>
  <c r="EP320" i="37"/>
  <c r="EQ335" i="37"/>
  <c r="ES335" i="37"/>
  <c r="EP338" i="37"/>
  <c r="EP348" i="37"/>
  <c r="ET379" i="37"/>
  <c r="EP389" i="37"/>
  <c r="EO390" i="37"/>
  <c r="C390" i="37"/>
  <c r="E390" i="37"/>
  <c r="G390" i="37"/>
  <c r="G404" i="37" s="1"/>
  <c r="I390" i="37"/>
  <c r="K390" i="37"/>
  <c r="K404" i="37" s="1"/>
  <c r="O390" i="37"/>
  <c r="Q390" i="37"/>
  <c r="Q404" i="37" s="1"/>
  <c r="S390" i="37"/>
  <c r="U390" i="37"/>
  <c r="U404" i="37" s="1"/>
  <c r="W390" i="37"/>
  <c r="Y390" i="37"/>
  <c r="Y404" i="37" s="1"/>
  <c r="AA390" i="37"/>
  <c r="AE390" i="37"/>
  <c r="AE404" i="37" s="1"/>
  <c r="AG390" i="37"/>
  <c r="AI390" i="37"/>
  <c r="AI404" i="37" s="1"/>
  <c r="AK390" i="37"/>
  <c r="AM390" i="37"/>
  <c r="AO390" i="37"/>
  <c r="AQ390" i="37"/>
  <c r="AS390" i="37"/>
  <c r="AU390" i="37"/>
  <c r="AU404" i="37" s="1"/>
  <c r="AW390" i="37"/>
  <c r="BA390" i="37"/>
  <c r="BA404" i="37" s="1"/>
  <c r="BC390" i="37"/>
  <c r="BG390" i="37"/>
  <c r="BG404" i="37" s="1"/>
  <c r="BI390" i="37"/>
  <c r="BK390" i="37"/>
  <c r="BK404" i="37" s="1"/>
  <c r="BM390" i="37"/>
  <c r="BO390" i="37"/>
  <c r="BO404" i="37" s="1"/>
  <c r="BQ390" i="37"/>
  <c r="BS390" i="37"/>
  <c r="BS404" i="37" s="1"/>
  <c r="BU390" i="37"/>
  <c r="BW390" i="37"/>
  <c r="BW404" i="37" s="1"/>
  <c r="BY390" i="37"/>
  <c r="CA390" i="37"/>
  <c r="CA404" i="37" s="1"/>
  <c r="CC390" i="37"/>
  <c r="CG390" i="37"/>
  <c r="CI390" i="37"/>
  <c r="CM390" i="37"/>
  <c r="CO390" i="37"/>
  <c r="CQ390" i="37"/>
  <c r="CS390" i="37"/>
  <c r="CU390" i="37"/>
  <c r="CW390" i="37"/>
  <c r="CY390" i="37"/>
  <c r="DC390" i="37"/>
  <c r="DE390" i="37"/>
  <c r="DG390" i="37"/>
  <c r="DM390" i="37"/>
  <c r="DM404" i="37" s="1"/>
  <c r="DO390" i="37"/>
  <c r="DS390" i="37"/>
  <c r="DS404" i="37" s="1"/>
  <c r="DU390" i="37"/>
  <c r="DY390" i="37"/>
  <c r="DY404" i="37" s="1"/>
  <c r="EA390" i="37"/>
  <c r="EC390" i="37"/>
  <c r="EC404" i="37" s="1"/>
  <c r="EG390" i="37"/>
  <c r="EI390" i="37"/>
  <c r="EI404" i="37" s="1"/>
  <c r="EK390" i="37"/>
  <c r="EP402" i="37"/>
  <c r="EO403" i="37"/>
  <c r="EP370" i="37"/>
  <c r="EN379" i="37"/>
  <c r="EN384" i="37"/>
  <c r="EP384" i="37" s="1"/>
  <c r="EQ389" i="37"/>
  <c r="ES389" i="37"/>
  <c r="EP392" i="37"/>
  <c r="EP400" i="37"/>
  <c r="CP403" i="37"/>
  <c r="CR403" i="37"/>
  <c r="CT403" i="37"/>
  <c r="CV403" i="37"/>
  <c r="CX403" i="37"/>
  <c r="CZ403" i="37"/>
  <c r="DB403" i="37"/>
  <c r="DD403" i="37"/>
  <c r="DF403" i="37"/>
  <c r="DH403" i="37"/>
  <c r="DN403" i="37"/>
  <c r="DP403" i="37"/>
  <c r="DT403" i="37"/>
  <c r="DV403" i="37"/>
  <c r="DZ403" i="37"/>
  <c r="EB403" i="37"/>
  <c r="ED403" i="37"/>
  <c r="EH403" i="37"/>
  <c r="EJ403" i="37"/>
  <c r="EL403" i="37"/>
  <c r="ER402" i="37"/>
  <c r="EP386" i="37"/>
  <c r="ER389" i="37"/>
  <c r="CO403" i="37"/>
  <c r="CQ403" i="37"/>
  <c r="CS403" i="37"/>
  <c r="CU403" i="37"/>
  <c r="CW403" i="37"/>
  <c r="CY403" i="37"/>
  <c r="DA403" i="37"/>
  <c r="DC403" i="37"/>
  <c r="DE403" i="37"/>
  <c r="DG403" i="37"/>
  <c r="DM403" i="37"/>
  <c r="DO403" i="37"/>
  <c r="DS403" i="37"/>
  <c r="DU403" i="37"/>
  <c r="DY403" i="37"/>
  <c r="EA403" i="37"/>
  <c r="EC403" i="37"/>
  <c r="EG403" i="37"/>
  <c r="EI403" i="37"/>
  <c r="EK403" i="37"/>
  <c r="EQ402" i="37"/>
  <c r="ES402" i="37"/>
  <c r="AX175" i="38"/>
  <c r="V267" i="38"/>
  <c r="Z267" i="38"/>
  <c r="AR267" i="38"/>
  <c r="BB11" i="38"/>
  <c r="AX189" i="38"/>
  <c r="AX6" i="38"/>
  <c r="BB6" i="38"/>
  <c r="BB60" i="38"/>
  <c r="AX61" i="38"/>
  <c r="BB68" i="38"/>
  <c r="BB154" i="38" s="1"/>
  <c r="AX69" i="38"/>
  <c r="AU168" i="38"/>
  <c r="BB169" i="38"/>
  <c r="BB175" i="38" s="1"/>
  <c r="AX170" i="38"/>
  <c r="AV195" i="38"/>
  <c r="AY194" i="38"/>
  <c r="BB196" i="38"/>
  <c r="BB199" i="38" s="1"/>
  <c r="BB200" i="38" s="1"/>
  <c r="AX197" i="38"/>
  <c r="AX199" i="38" s="1"/>
  <c r="AX200" i="38" s="1"/>
  <c r="BB201" i="38"/>
  <c r="BA256" i="38"/>
  <c r="AU59" i="38"/>
  <c r="AW59" i="38"/>
  <c r="AW195" i="38" s="1"/>
  <c r="BA59" i="38"/>
  <c r="AC59" i="38"/>
  <c r="AK59" i="38"/>
  <c r="AX19" i="38"/>
  <c r="AQ59" i="38"/>
  <c r="AQ195" i="38" s="1"/>
  <c r="AY20" i="38"/>
  <c r="BB20" i="38" s="1"/>
  <c r="BB43" i="38"/>
  <c r="AL59" i="38"/>
  <c r="AX8" i="5" s="1"/>
  <c r="AC67" i="38"/>
  <c r="AC195" i="38" s="1"/>
  <c r="AC267" i="38" s="1"/>
  <c r="AY61" i="38"/>
  <c r="BB61" i="38" s="1"/>
  <c r="AK67" i="38"/>
  <c r="AK195" i="38" s="1"/>
  <c r="BA64" i="38"/>
  <c r="BB64" i="38" s="1"/>
  <c r="AL67" i="38"/>
  <c r="O154" i="38"/>
  <c r="O195" i="38" s="1"/>
  <c r="O267" i="38" s="1"/>
  <c r="AY154" i="38"/>
  <c r="AU161" i="38"/>
  <c r="AY161" i="38"/>
  <c r="AU182" i="38"/>
  <c r="AY182" i="38"/>
  <c r="D195" i="38"/>
  <c r="D267" i="38" s="1"/>
  <c r="H195" i="38"/>
  <c r="H267" i="38" s="1"/>
  <c r="L195" i="38"/>
  <c r="L267" i="38" s="1"/>
  <c r="P195" i="38"/>
  <c r="P267" i="38" s="1"/>
  <c r="R195" i="38"/>
  <c r="R267" i="38" s="1"/>
  <c r="T195" i="38"/>
  <c r="T267" i="38" s="1"/>
  <c r="V195" i="38"/>
  <c r="X195" i="38"/>
  <c r="X267" i="38" s="1"/>
  <c r="Z195" i="38"/>
  <c r="AD195" i="38"/>
  <c r="AD267" i="38" s="1"/>
  <c r="AF195" i="38"/>
  <c r="AF267" i="38" s="1"/>
  <c r="AJ195" i="38"/>
  <c r="AJ267" i="38" s="1"/>
  <c r="AN195" i="38"/>
  <c r="AN267" i="38" s="1"/>
  <c r="AR195" i="38"/>
  <c r="AT195" i="38"/>
  <c r="AT267" i="38" s="1"/>
  <c r="AZ194" i="38"/>
  <c r="AZ195" i="38" s="1"/>
  <c r="AZ267" i="38" s="1"/>
  <c r="BB190" i="38"/>
  <c r="BB194" i="38" s="1"/>
  <c r="AV194" i="38"/>
  <c r="C267" i="38"/>
  <c r="G267" i="38"/>
  <c r="K267" i="38"/>
  <c r="Q267" i="38"/>
  <c r="S267" i="38"/>
  <c r="U267" i="38"/>
  <c r="W267" i="38"/>
  <c r="Y267" i="38"/>
  <c r="AE267" i="38"/>
  <c r="AI267" i="38"/>
  <c r="AK267" i="38"/>
  <c r="AM267" i="38"/>
  <c r="AQ267" i="38"/>
  <c r="AS267" i="38"/>
  <c r="AU232" i="38"/>
  <c r="AX202" i="38"/>
  <c r="AW232" i="38"/>
  <c r="AW256" i="38" s="1"/>
  <c r="O232" i="38"/>
  <c r="AY203" i="38"/>
  <c r="BB203" i="38" s="1"/>
  <c r="AY34" i="38"/>
  <c r="BB34" i="38" s="1"/>
  <c r="AX232" i="38"/>
  <c r="AZ232" i="38"/>
  <c r="AV232" i="38"/>
  <c r="AV256" i="38" s="1"/>
  <c r="AX239" i="38"/>
  <c r="AX245" i="38"/>
  <c r="AZ256" i="38"/>
  <c r="O256" i="38"/>
  <c r="BB233" i="38"/>
  <c r="BB239" i="38" s="1"/>
  <c r="AU239" i="38"/>
  <c r="BB240" i="38"/>
  <c r="BB245" i="38" s="1"/>
  <c r="AX241" i="38"/>
  <c r="AU250" i="38"/>
  <c r="AY250" i="38"/>
  <c r="BB251" i="38"/>
  <c r="BB255" i="38" s="1"/>
  <c r="AX252" i="38"/>
  <c r="AX255" i="38" s="1"/>
  <c r="AU261" i="38"/>
  <c r="AU266" i="38" s="1"/>
  <c r="AY261" i="38"/>
  <c r="AY266" i="38" s="1"/>
  <c r="BB262" i="38"/>
  <c r="BB265" i="38" s="1"/>
  <c r="BB266" i="38" s="1"/>
  <c r="AX263" i="38"/>
  <c r="AX265" i="38" s="1"/>
  <c r="AX266" i="38" s="1"/>
  <c r="BA300" i="38"/>
  <c r="AV300" i="38"/>
  <c r="AY304" i="38"/>
  <c r="AW313" i="38"/>
  <c r="U313" i="38"/>
  <c r="AC313" i="38"/>
  <c r="AI313" i="38"/>
  <c r="AK313" i="38"/>
  <c r="AQ313" i="38"/>
  <c r="AZ300" i="38"/>
  <c r="AW300" i="38"/>
  <c r="AQ300" i="38"/>
  <c r="AJ313" i="38"/>
  <c r="AR313" i="38"/>
  <c r="AX333" i="38"/>
  <c r="AU273" i="38"/>
  <c r="AY273" i="38"/>
  <c r="BB274" i="38"/>
  <c r="BB278" i="38" s="1"/>
  <c r="AX275" i="38"/>
  <c r="AX278" i="38" s="1"/>
  <c r="BB279" i="38"/>
  <c r="BB285" i="38" s="1"/>
  <c r="AX280" i="38"/>
  <c r="AX285" i="38" s="1"/>
  <c r="AX287" i="38"/>
  <c r="AX292" i="38" s="1"/>
  <c r="BB287" i="38"/>
  <c r="BB292" i="38" s="1"/>
  <c r="BB300" i="38" s="1"/>
  <c r="AU299" i="38"/>
  <c r="AU300" i="38" s="1"/>
  <c r="AY299" i="38"/>
  <c r="AY300" i="38" s="1"/>
  <c r="BB301" i="38"/>
  <c r="AX302" i="38"/>
  <c r="AX304" i="38" s="1"/>
  <c r="AY303" i="38"/>
  <c r="BA303" i="38"/>
  <c r="BA304" i="38" s="1"/>
  <c r="BA313" i="38" s="1"/>
  <c r="BB305" i="38"/>
  <c r="BB308" i="38" s="1"/>
  <c r="AX306" i="38"/>
  <c r="AX308" i="38" s="1"/>
  <c r="AX313" i="38" s="1"/>
  <c r="AU312" i="38"/>
  <c r="AU313" i="38" s="1"/>
  <c r="AY312" i="38"/>
  <c r="AY313" i="38" s="1"/>
  <c r="BB314" i="38"/>
  <c r="BB317" i="38" s="1"/>
  <c r="AX315" i="38"/>
  <c r="AX317" i="38" s="1"/>
  <c r="AU322" i="38"/>
  <c r="AY322" i="38"/>
  <c r="BB323" i="38"/>
  <c r="BB327" i="38" s="1"/>
  <c r="BB328" i="38"/>
  <c r="BB333" i="38" s="1"/>
  <c r="AX329" i="38"/>
  <c r="AY338" i="38"/>
  <c r="AY339" i="38" s="1"/>
  <c r="BB334" i="38"/>
  <c r="BB338" i="38" s="1"/>
  <c r="BA339" i="38"/>
  <c r="AV339" i="38"/>
  <c r="D339" i="38"/>
  <c r="D353" i="38" s="1"/>
  <c r="H339" i="38"/>
  <c r="H353" i="38" s="1"/>
  <c r="L339" i="38"/>
  <c r="L353" i="38" s="1"/>
  <c r="P339" i="38"/>
  <c r="P353" i="38" s="1"/>
  <c r="R339" i="38"/>
  <c r="R353" i="38" s="1"/>
  <c r="T339" i="38"/>
  <c r="T353" i="38" s="1"/>
  <c r="V339" i="38"/>
  <c r="V353" i="38" s="1"/>
  <c r="X339" i="38"/>
  <c r="X353" i="38" s="1"/>
  <c r="Z339" i="38"/>
  <c r="Z353" i="38" s="1"/>
  <c r="AD339" i="38"/>
  <c r="AD353" i="38" s="1"/>
  <c r="AF339" i="38"/>
  <c r="AF353" i="38" s="1"/>
  <c r="AJ339" i="38"/>
  <c r="AL339" i="38"/>
  <c r="AL353" i="38" s="1"/>
  <c r="AN339" i="38"/>
  <c r="AN353" i="38" s="1"/>
  <c r="AR339" i="38"/>
  <c r="AR353" i="38" s="1"/>
  <c r="AT339" i="38"/>
  <c r="AT353" i="38" s="1"/>
  <c r="AZ352" i="38"/>
  <c r="AW352" i="38"/>
  <c r="O352" i="38"/>
  <c r="AZ303" i="38"/>
  <c r="AZ304" i="38" s="1"/>
  <c r="AZ313" i="38" s="1"/>
  <c r="AZ339" i="38"/>
  <c r="AU339" i="38"/>
  <c r="AW339" i="38"/>
  <c r="C339" i="38"/>
  <c r="C353" i="38" s="1"/>
  <c r="G339" i="38"/>
  <c r="G353" i="38" s="1"/>
  <c r="K339" i="38"/>
  <c r="K353" i="38" s="1"/>
  <c r="O339" i="38"/>
  <c r="O353" i="38" s="1"/>
  <c r="Q339" i="38"/>
  <c r="Q353" i="38" s="1"/>
  <c r="S339" i="38"/>
  <c r="S353" i="38" s="1"/>
  <c r="U339" i="38"/>
  <c r="W339" i="38"/>
  <c r="W353" i="38" s="1"/>
  <c r="Y339" i="38"/>
  <c r="Y353" i="38" s="1"/>
  <c r="AC339" i="38"/>
  <c r="AC353" i="38" s="1"/>
  <c r="AE339" i="38"/>
  <c r="AE353" i="38" s="1"/>
  <c r="AI339" i="38"/>
  <c r="AI353" i="38" s="1"/>
  <c r="AK339" i="38"/>
  <c r="AK353" i="38" s="1"/>
  <c r="AM339" i="38"/>
  <c r="AM353" i="38" s="1"/>
  <c r="AQ339" i="38"/>
  <c r="AS339" i="38"/>
  <c r="AS353" i="38" s="1"/>
  <c r="BA352" i="38"/>
  <c r="AV352" i="38"/>
  <c r="AX335" i="38"/>
  <c r="AX338" i="38" s="1"/>
  <c r="AU347" i="38"/>
  <c r="AU352" i="38" s="1"/>
  <c r="AY347" i="38"/>
  <c r="BB348" i="38"/>
  <c r="BB351" i="38" s="1"/>
  <c r="AX349" i="38"/>
  <c r="AX351" i="38" s="1"/>
  <c r="BB340" i="38"/>
  <c r="AX341" i="38"/>
  <c r="AX343" i="38" s="1"/>
  <c r="AY342" i="38"/>
  <c r="BB342" i="38" s="1"/>
  <c r="J60" i="27"/>
  <c r="K60" i="27" s="1"/>
  <c r="I27" i="18"/>
  <c r="H27" i="18"/>
  <c r="F27" i="18"/>
  <c r="E27" i="18"/>
  <c r="J56" i="27"/>
  <c r="K56" i="27" s="1"/>
  <c r="F56" i="27"/>
  <c r="J55" i="27"/>
  <c r="F55" i="27"/>
  <c r="J54" i="27"/>
  <c r="K54" i="27" s="1"/>
  <c r="F54" i="27"/>
  <c r="J53" i="27"/>
  <c r="F53" i="27"/>
  <c r="J52" i="27"/>
  <c r="K52" i="27" s="1"/>
  <c r="F52" i="27"/>
  <c r="J51" i="27"/>
  <c r="F51" i="27"/>
  <c r="J50" i="27"/>
  <c r="K50" i="27" s="1"/>
  <c r="F50" i="27"/>
  <c r="J49" i="27"/>
  <c r="F49" i="27"/>
  <c r="J48" i="27"/>
  <c r="K48" i="27" s="1"/>
  <c r="F48" i="27"/>
  <c r="J47" i="27"/>
  <c r="F47" i="27"/>
  <c r="J46" i="27"/>
  <c r="K46" i="27" s="1"/>
  <c r="F46" i="27"/>
  <c r="J45" i="27"/>
  <c r="F45" i="27"/>
  <c r="J44" i="27"/>
  <c r="I44" i="27"/>
  <c r="H44" i="27"/>
  <c r="H61" i="27" s="1"/>
  <c r="G44" i="27"/>
  <c r="E44" i="27"/>
  <c r="D44" i="27"/>
  <c r="C44" i="27"/>
  <c r="B44" i="27"/>
  <c r="J43" i="27"/>
  <c r="K43" i="27" s="1"/>
  <c r="F43" i="27"/>
  <c r="J42" i="27"/>
  <c r="F42" i="27"/>
  <c r="J41" i="27"/>
  <c r="K41" i="27" s="1"/>
  <c r="F41" i="27"/>
  <c r="J40" i="27"/>
  <c r="F40" i="27"/>
  <c r="J39" i="27"/>
  <c r="K39" i="27" s="1"/>
  <c r="F39" i="27"/>
  <c r="J38" i="27"/>
  <c r="F38" i="27"/>
  <c r="J37" i="27"/>
  <c r="K37" i="27" s="1"/>
  <c r="F37" i="27"/>
  <c r="J36" i="27"/>
  <c r="F36" i="27"/>
  <c r="J35" i="27"/>
  <c r="K35" i="27" s="1"/>
  <c r="F35" i="27"/>
  <c r="J34" i="27"/>
  <c r="F34" i="27"/>
  <c r="J33" i="27"/>
  <c r="K33" i="27" s="1"/>
  <c r="F33" i="27"/>
  <c r="J32" i="27"/>
  <c r="F32" i="27"/>
  <c r="J31" i="27"/>
  <c r="K31" i="27" s="1"/>
  <c r="F31" i="27"/>
  <c r="J30" i="27"/>
  <c r="F30" i="27"/>
  <c r="J29" i="27"/>
  <c r="K29" i="27" s="1"/>
  <c r="F29" i="27"/>
  <c r="J28" i="27"/>
  <c r="F28" i="27"/>
  <c r="J26" i="27"/>
  <c r="I26" i="27"/>
  <c r="H26" i="27"/>
  <c r="G26" i="27"/>
  <c r="F26" i="27"/>
  <c r="E26" i="27"/>
  <c r="D26" i="27"/>
  <c r="C26" i="27"/>
  <c r="B26" i="27"/>
  <c r="J25" i="27"/>
  <c r="F25" i="27"/>
  <c r="J24" i="27"/>
  <c r="F24" i="27"/>
  <c r="K24" i="27" s="1"/>
  <c r="J23" i="27"/>
  <c r="F23" i="27"/>
  <c r="J22" i="27"/>
  <c r="F22" i="27"/>
  <c r="K22" i="27" s="1"/>
  <c r="J21" i="27"/>
  <c r="F21" i="27"/>
  <c r="J20" i="27"/>
  <c r="F20" i="27"/>
  <c r="K20" i="27" s="1"/>
  <c r="J19" i="27"/>
  <c r="F19" i="27"/>
  <c r="J18" i="27"/>
  <c r="F18" i="27"/>
  <c r="K18" i="27" s="1"/>
  <c r="J17" i="27"/>
  <c r="F17" i="27"/>
  <c r="J16" i="27"/>
  <c r="F16" i="27"/>
  <c r="K16" i="27" s="1"/>
  <c r="J15" i="27"/>
  <c r="F15" i="27"/>
  <c r="J14" i="27"/>
  <c r="F14" i="27"/>
  <c r="K14" i="27" s="1"/>
  <c r="J13" i="27"/>
  <c r="F13" i="27"/>
  <c r="J12" i="27"/>
  <c r="F12" i="27"/>
  <c r="K12" i="27" s="1"/>
  <c r="J11" i="27"/>
  <c r="F11" i="27"/>
  <c r="J10" i="27"/>
  <c r="F10" i="27"/>
  <c r="K10" i="27" s="1"/>
  <c r="J9" i="27"/>
  <c r="F9" i="27"/>
  <c r="J8" i="27"/>
  <c r="F8" i="27"/>
  <c r="K8" i="27" s="1"/>
  <c r="J7" i="27"/>
  <c r="F7" i="27"/>
  <c r="J6" i="27"/>
  <c r="F6" i="27"/>
  <c r="F3" i="27" s="1"/>
  <c r="J5" i="27"/>
  <c r="K5" i="27" s="1"/>
  <c r="F5" i="27"/>
  <c r="I3" i="27"/>
  <c r="I61" i="27" s="1"/>
  <c r="H3" i="27"/>
  <c r="G3" i="27"/>
  <c r="G61" i="27" s="1"/>
  <c r="E30" i="18" s="1"/>
  <c r="E3" i="27"/>
  <c r="E61" i="27" s="1"/>
  <c r="DP125" i="37" s="1"/>
  <c r="EN125" i="37" s="1"/>
  <c r="EN126" i="37" s="1"/>
  <c r="D3" i="27"/>
  <c r="C3" i="27"/>
  <c r="C61" i="27" s="1"/>
  <c r="B3" i="27"/>
  <c r="K2" i="27"/>
  <c r="F2" i="27"/>
  <c r="E9" i="26"/>
  <c r="D9" i="26"/>
  <c r="B9" i="26"/>
  <c r="B10" i="26" s="1"/>
  <c r="F7" i="26"/>
  <c r="C8" i="26"/>
  <c r="F6" i="26"/>
  <c r="C6" i="26"/>
  <c r="F5" i="26"/>
  <c r="F9" i="26" s="1"/>
  <c r="F10" i="26" s="1"/>
  <c r="C5" i="26"/>
  <c r="C9" i="26" s="1"/>
  <c r="C10" i="26" s="1"/>
  <c r="G4" i="26"/>
  <c r="F3" i="26"/>
  <c r="C3" i="26"/>
  <c r="G3" i="26" s="1"/>
  <c r="G2" i="26"/>
  <c r="J68" i="25"/>
  <c r="I68" i="25"/>
  <c r="H68" i="25"/>
  <c r="G68" i="25"/>
  <c r="D68" i="25"/>
  <c r="C68" i="25"/>
  <c r="C69" i="25" s="1"/>
  <c r="B68" i="25"/>
  <c r="L67" i="25"/>
  <c r="L66" i="25"/>
  <c r="L65" i="25"/>
  <c r="L64" i="25"/>
  <c r="L63" i="25"/>
  <c r="L62" i="25"/>
  <c r="L61" i="25"/>
  <c r="L60" i="25"/>
  <c r="L59" i="25"/>
  <c r="L58" i="25"/>
  <c r="L57" i="25"/>
  <c r="L55" i="25"/>
  <c r="L54" i="25"/>
  <c r="L53" i="25"/>
  <c r="L52" i="25"/>
  <c r="D52" i="25"/>
  <c r="L51" i="25"/>
  <c r="L50" i="25"/>
  <c r="L49" i="25"/>
  <c r="L48" i="25"/>
  <c r="L47" i="25"/>
  <c r="L46" i="25"/>
  <c r="L45" i="25"/>
  <c r="L44" i="25"/>
  <c r="L43" i="25"/>
  <c r="L42" i="25"/>
  <c r="L41" i="25"/>
  <c r="L40" i="25"/>
  <c r="L39" i="25"/>
  <c r="L38" i="25"/>
  <c r="L37" i="25"/>
  <c r="L36" i="25"/>
  <c r="L35" i="25"/>
  <c r="L34" i="25"/>
  <c r="L33" i="25"/>
  <c r="L32" i="25"/>
  <c r="L31" i="25"/>
  <c r="L30" i="25"/>
  <c r="L29" i="25"/>
  <c r="L28" i="25"/>
  <c r="L27" i="25"/>
  <c r="L26" i="25"/>
  <c r="L25" i="25"/>
  <c r="L24" i="25"/>
  <c r="L23" i="25"/>
  <c r="L22" i="25"/>
  <c r="L21" i="25"/>
  <c r="L20" i="25"/>
  <c r="L19" i="25"/>
  <c r="L18" i="25"/>
  <c r="L17" i="25"/>
  <c r="L16" i="25"/>
  <c r="L15" i="25"/>
  <c r="L14" i="25"/>
  <c r="L13" i="25"/>
  <c r="L12" i="25"/>
  <c r="L11" i="25"/>
  <c r="L10" i="25"/>
  <c r="F68" i="25"/>
  <c r="J6" i="25"/>
  <c r="J69" i="25" s="1"/>
  <c r="I6" i="25"/>
  <c r="I69" i="25" s="1"/>
  <c r="H6" i="25"/>
  <c r="H69" i="25" s="1"/>
  <c r="G6" i="25"/>
  <c r="G69" i="25" s="1"/>
  <c r="F6" i="25"/>
  <c r="D6" i="25"/>
  <c r="D69" i="25" s="1"/>
  <c r="K5" i="25"/>
  <c r="L5" i="25" s="1"/>
  <c r="K4" i="25"/>
  <c r="L4" i="25" s="1"/>
  <c r="DL201" i="37"/>
  <c r="DL202" i="37" s="1"/>
  <c r="DL232" i="37" s="1"/>
  <c r="DL243" i="37" s="1"/>
  <c r="H9" i="23"/>
  <c r="C9" i="23"/>
  <c r="H8" i="23"/>
  <c r="C8" i="23"/>
  <c r="H7" i="23"/>
  <c r="C7" i="23"/>
  <c r="H6" i="23"/>
  <c r="H13" i="23" s="1"/>
  <c r="C6" i="23"/>
  <c r="C13" i="23" s="1"/>
  <c r="G14" i="23"/>
  <c r="F14" i="23"/>
  <c r="E14" i="23"/>
  <c r="D14" i="23"/>
  <c r="B14" i="23"/>
  <c r="C14" i="23"/>
  <c r="H39" i="22"/>
  <c r="G39" i="22"/>
  <c r="H21" i="18" s="1"/>
  <c r="F39" i="22"/>
  <c r="F21" i="18" s="1"/>
  <c r="E39" i="22"/>
  <c r="AC19" i="9" s="1"/>
  <c r="C39" i="22"/>
  <c r="B39" i="22"/>
  <c r="I38" i="22"/>
  <c r="D38" i="22"/>
  <c r="I36" i="22"/>
  <c r="D36" i="22"/>
  <c r="I33" i="22"/>
  <c r="D33" i="22"/>
  <c r="I31" i="22"/>
  <c r="D31" i="22"/>
  <c r="I30" i="22"/>
  <c r="D30" i="22"/>
  <c r="I29" i="22"/>
  <c r="D29" i="22"/>
  <c r="I28" i="22"/>
  <c r="D28" i="22"/>
  <c r="I27" i="22"/>
  <c r="D27" i="22"/>
  <c r="I26" i="22"/>
  <c r="D39" i="22"/>
  <c r="H24" i="22"/>
  <c r="I20" i="18" s="1"/>
  <c r="G24" i="22"/>
  <c r="F24" i="22"/>
  <c r="F20" i="18" s="1"/>
  <c r="E24" i="22"/>
  <c r="B24" i="22"/>
  <c r="I23" i="22"/>
  <c r="D23" i="22"/>
  <c r="I22" i="22"/>
  <c r="D22" i="22"/>
  <c r="I21" i="22"/>
  <c r="D21" i="22"/>
  <c r="I20" i="22"/>
  <c r="D20" i="22"/>
  <c r="I19" i="22"/>
  <c r="D19" i="22"/>
  <c r="I18" i="22"/>
  <c r="D18" i="22"/>
  <c r="I17" i="22"/>
  <c r="D17" i="22"/>
  <c r="I16" i="22"/>
  <c r="D16" i="22"/>
  <c r="I15" i="22"/>
  <c r="D15" i="22"/>
  <c r="I14" i="22"/>
  <c r="D14" i="22"/>
  <c r="I13" i="22"/>
  <c r="D13" i="22"/>
  <c r="I12" i="22"/>
  <c r="D12" i="22"/>
  <c r="I11" i="22"/>
  <c r="D11" i="22"/>
  <c r="I10" i="22"/>
  <c r="D10" i="22"/>
  <c r="I9" i="22"/>
  <c r="D9" i="22"/>
  <c r="I8" i="22"/>
  <c r="D8" i="22"/>
  <c r="I7" i="22"/>
  <c r="D7" i="22"/>
  <c r="I6" i="22"/>
  <c r="D6" i="22"/>
  <c r="I5" i="22"/>
  <c r="D5" i="22"/>
  <c r="I4" i="22"/>
  <c r="D4" i="22"/>
  <c r="I3" i="22"/>
  <c r="I24" i="22" s="1"/>
  <c r="C3" i="22"/>
  <c r="C24" i="22" s="1"/>
  <c r="E39" i="21"/>
  <c r="D39" i="21"/>
  <c r="B39" i="21"/>
  <c r="F38" i="21"/>
  <c r="C38" i="21"/>
  <c r="F37" i="21"/>
  <c r="C37" i="21"/>
  <c r="F36" i="21"/>
  <c r="C36" i="21"/>
  <c r="F35" i="21"/>
  <c r="G35" i="21" s="1"/>
  <c r="C35" i="21"/>
  <c r="F34" i="21"/>
  <c r="C34" i="21"/>
  <c r="F33" i="21"/>
  <c r="G33" i="21" s="1"/>
  <c r="C33" i="21"/>
  <c r="F32" i="21"/>
  <c r="C32" i="21"/>
  <c r="F31" i="21"/>
  <c r="G31" i="21" s="1"/>
  <c r="C31" i="21"/>
  <c r="F30" i="21"/>
  <c r="C30" i="21"/>
  <c r="F29" i="21"/>
  <c r="G29" i="21" s="1"/>
  <c r="C29" i="21"/>
  <c r="F28" i="21"/>
  <c r="C28" i="21"/>
  <c r="F27" i="21"/>
  <c r="G27" i="21" s="1"/>
  <c r="C27" i="21"/>
  <c r="F26" i="21"/>
  <c r="C26" i="21"/>
  <c r="C39" i="21" s="1"/>
  <c r="E24" i="21"/>
  <c r="D24" i="21"/>
  <c r="B24" i="21"/>
  <c r="F23" i="21"/>
  <c r="C23" i="21"/>
  <c r="F22" i="21"/>
  <c r="C22" i="21"/>
  <c r="G22" i="21" s="1"/>
  <c r="F21" i="21"/>
  <c r="C21" i="21"/>
  <c r="F20" i="21"/>
  <c r="C20" i="21"/>
  <c r="G20" i="21" s="1"/>
  <c r="F19" i="21"/>
  <c r="C19" i="21"/>
  <c r="F18" i="21"/>
  <c r="C18" i="21"/>
  <c r="G18" i="21" s="1"/>
  <c r="F17" i="21"/>
  <c r="C17" i="21"/>
  <c r="F16" i="21"/>
  <c r="C16" i="21"/>
  <c r="G16" i="21" s="1"/>
  <c r="F15" i="21"/>
  <c r="C15" i="21"/>
  <c r="F14" i="21"/>
  <c r="C14" i="21"/>
  <c r="G14" i="21" s="1"/>
  <c r="F13" i="21"/>
  <c r="C13" i="21"/>
  <c r="F12" i="21"/>
  <c r="C12" i="21"/>
  <c r="G12" i="21" s="1"/>
  <c r="F11" i="21"/>
  <c r="C11" i="21"/>
  <c r="F10" i="21"/>
  <c r="C10" i="21"/>
  <c r="G10" i="21" s="1"/>
  <c r="F9" i="21"/>
  <c r="C9" i="21"/>
  <c r="F8" i="21"/>
  <c r="C8" i="21"/>
  <c r="F7" i="21"/>
  <c r="C7" i="21"/>
  <c r="G7" i="21" s="1"/>
  <c r="F6" i="21"/>
  <c r="C6" i="21"/>
  <c r="F5" i="21"/>
  <c r="C5" i="21"/>
  <c r="G5" i="21" s="1"/>
  <c r="F4" i="21"/>
  <c r="C4" i="21"/>
  <c r="F3" i="21"/>
  <c r="C3" i="21"/>
  <c r="C24" i="21" s="1"/>
  <c r="G30" i="20"/>
  <c r="F30" i="20"/>
  <c r="E30" i="20"/>
  <c r="D30" i="20"/>
  <c r="B30" i="20"/>
  <c r="H29" i="20"/>
  <c r="C29" i="20"/>
  <c r="H28" i="20"/>
  <c r="C28" i="20"/>
  <c r="H26" i="20"/>
  <c r="C26" i="20"/>
  <c r="H23" i="20"/>
  <c r="C23" i="20"/>
  <c r="H19" i="20"/>
  <c r="C19" i="20"/>
  <c r="H18" i="20"/>
  <c r="C18" i="20"/>
  <c r="H17" i="20"/>
  <c r="C17" i="20"/>
  <c r="H15" i="20"/>
  <c r="C15" i="20"/>
  <c r="H14" i="20"/>
  <c r="C14" i="20"/>
  <c r="H13" i="20"/>
  <c r="C13" i="20"/>
  <c r="G10" i="20"/>
  <c r="F10" i="20"/>
  <c r="H13" i="18" s="1"/>
  <c r="E10" i="20"/>
  <c r="D10" i="20"/>
  <c r="B10" i="20"/>
  <c r="H9" i="20"/>
  <c r="C9" i="20"/>
  <c r="H8" i="20"/>
  <c r="C8" i="20"/>
  <c r="H7" i="20"/>
  <c r="C7" i="20"/>
  <c r="H6" i="20"/>
  <c r="C6" i="20"/>
  <c r="H5" i="20"/>
  <c r="C5" i="20"/>
  <c r="H4" i="20"/>
  <c r="H10" i="20" s="1"/>
  <c r="C4" i="20"/>
  <c r="E15" i="19"/>
  <c r="E16" i="19" s="1"/>
  <c r="D15" i="19"/>
  <c r="D16" i="19" s="1"/>
  <c r="B15" i="19"/>
  <c r="B16" i="19" s="1"/>
  <c r="F14" i="19"/>
  <c r="G14" i="19" s="1"/>
  <c r="C14" i="19"/>
  <c r="F13" i="19"/>
  <c r="C13" i="19"/>
  <c r="G13" i="19" s="1"/>
  <c r="F12" i="19"/>
  <c r="G12" i="19" s="1"/>
  <c r="C12" i="19"/>
  <c r="F11" i="19"/>
  <c r="C11" i="19"/>
  <c r="C15" i="19" s="1"/>
  <c r="E9" i="19"/>
  <c r="D9" i="19"/>
  <c r="B9" i="19"/>
  <c r="F8" i="19"/>
  <c r="G8" i="19" s="1"/>
  <c r="C8" i="19"/>
  <c r="F7" i="19"/>
  <c r="C7" i="19"/>
  <c r="G7" i="19" s="1"/>
  <c r="F6" i="19"/>
  <c r="G6" i="19" s="1"/>
  <c r="C6" i="19"/>
  <c r="F5" i="19"/>
  <c r="C5" i="19"/>
  <c r="G5" i="19" s="1"/>
  <c r="F4" i="19"/>
  <c r="G4" i="19" s="1"/>
  <c r="C4" i="19"/>
  <c r="F3" i="19"/>
  <c r="C3" i="19"/>
  <c r="C9" i="19" s="1"/>
  <c r="I9" i="23" l="1"/>
  <c r="I6" i="20"/>
  <c r="I8" i="20"/>
  <c r="I9" i="20"/>
  <c r="C30" i="20"/>
  <c r="I18" i="20"/>
  <c r="I28" i="20"/>
  <c r="B31" i="20"/>
  <c r="X10" i="5"/>
  <c r="CO91" i="37"/>
  <c r="CO92" i="37" s="1"/>
  <c r="CO140" i="37" s="1"/>
  <c r="E31" i="20"/>
  <c r="F14" i="18" s="1"/>
  <c r="X20" i="5"/>
  <c r="CO201" i="37"/>
  <c r="CO202" i="37" s="1"/>
  <c r="G31" i="20"/>
  <c r="I14" i="18" s="1"/>
  <c r="X24" i="5"/>
  <c r="CO225" i="37"/>
  <c r="CO226" i="37" s="1"/>
  <c r="CP214" i="37"/>
  <c r="CP215" i="37" s="1"/>
  <c r="X23" i="9"/>
  <c r="F13" i="18"/>
  <c r="I5" i="20"/>
  <c r="I7" i="20"/>
  <c r="CO182" i="37"/>
  <c r="CO183" i="37" s="1"/>
  <c r="X19" i="5"/>
  <c r="F31" i="20"/>
  <c r="H14" i="18" s="1"/>
  <c r="CO214" i="37"/>
  <c r="CO215" i="37" s="1"/>
  <c r="X23" i="5"/>
  <c r="I17" i="20"/>
  <c r="I19" i="20"/>
  <c r="I23" i="20"/>
  <c r="CP201" i="37"/>
  <c r="CP202" i="37" s="1"/>
  <c r="X20" i="9"/>
  <c r="CP225" i="37"/>
  <c r="CP226" i="37" s="1"/>
  <c r="X24" i="9"/>
  <c r="E13" i="18"/>
  <c r="I13" i="18"/>
  <c r="E10" i="26"/>
  <c r="DP367" i="37"/>
  <c r="DP368" i="37" s="1"/>
  <c r="G6" i="26"/>
  <c r="AO243" i="37"/>
  <c r="J27" i="22"/>
  <c r="CX243" i="37"/>
  <c r="Y26" i="9"/>
  <c r="Y6" i="9" s="1"/>
  <c r="AL26" i="5"/>
  <c r="AL6" i="5" s="1"/>
  <c r="BX243" i="37"/>
  <c r="E243" i="37"/>
  <c r="AU256" i="38"/>
  <c r="DD243" i="37"/>
  <c r="DD407" i="37" s="1"/>
  <c r="J29" i="22"/>
  <c r="J4" i="22"/>
  <c r="J6" i="22"/>
  <c r="J8" i="22"/>
  <c r="J11" i="22"/>
  <c r="J13" i="22"/>
  <c r="J38" i="22"/>
  <c r="J15" i="22"/>
  <c r="J17" i="22"/>
  <c r="J20" i="22"/>
  <c r="J22" i="22"/>
  <c r="I39" i="22"/>
  <c r="I40" i="22" s="1"/>
  <c r="J5" i="22"/>
  <c r="J7" i="22"/>
  <c r="J9" i="22"/>
  <c r="J10" i="22"/>
  <c r="J12" i="22"/>
  <c r="J14" i="22"/>
  <c r="J16" i="22"/>
  <c r="J18" i="22"/>
  <c r="J19" i="22"/>
  <c r="J21" i="22"/>
  <c r="DA182" i="37"/>
  <c r="AC19" i="5"/>
  <c r="AC23" i="5"/>
  <c r="DA214" i="37"/>
  <c r="J28" i="22"/>
  <c r="J30" i="22"/>
  <c r="J36" i="22"/>
  <c r="B40" i="22"/>
  <c r="DB35" i="37"/>
  <c r="DB36" i="37" s="1"/>
  <c r="E40" i="22"/>
  <c r="E21" i="18"/>
  <c r="DA35" i="37"/>
  <c r="AC9" i="5"/>
  <c r="DA201" i="37"/>
  <c r="AC20" i="5"/>
  <c r="G40" i="22"/>
  <c r="E20" i="18"/>
  <c r="H20" i="18"/>
  <c r="G38" i="21"/>
  <c r="G36" i="21"/>
  <c r="DA367" i="37"/>
  <c r="AC46" i="5"/>
  <c r="D40" i="21"/>
  <c r="DB345" i="37"/>
  <c r="DB346" i="37" s="1"/>
  <c r="AC45" i="9"/>
  <c r="G4" i="21"/>
  <c r="G6" i="21"/>
  <c r="G8" i="21"/>
  <c r="G9" i="21"/>
  <c r="G11" i="21"/>
  <c r="G13" i="21"/>
  <c r="G15" i="21"/>
  <c r="G17" i="21"/>
  <c r="G19" i="21"/>
  <c r="G21" i="21"/>
  <c r="G23" i="21"/>
  <c r="AC45" i="5"/>
  <c r="DA345" i="37"/>
  <c r="G28" i="21"/>
  <c r="G30" i="21"/>
  <c r="G32" i="21"/>
  <c r="G34" i="21"/>
  <c r="G37" i="21"/>
  <c r="DB311" i="37"/>
  <c r="AC36" i="9"/>
  <c r="AW353" i="38"/>
  <c r="AL195" i="38"/>
  <c r="AL267" i="38" s="1"/>
  <c r="AL3" i="38" s="1"/>
  <c r="AL268" i="38" s="1"/>
  <c r="AX9" i="5"/>
  <c r="AX7" i="5"/>
  <c r="AX26" i="5" s="1"/>
  <c r="AX6" i="5" s="1"/>
  <c r="E40" i="21"/>
  <c r="DB367" i="37"/>
  <c r="AC46" i="9"/>
  <c r="B40" i="21"/>
  <c r="DA311" i="37"/>
  <c r="AC36" i="5"/>
  <c r="I26" i="20"/>
  <c r="W243" i="37"/>
  <c r="P243" i="37"/>
  <c r="F26" i="9"/>
  <c r="F6" i="9" s="1"/>
  <c r="L36" i="37"/>
  <c r="EN33" i="37"/>
  <c r="J23" i="22"/>
  <c r="J31" i="22"/>
  <c r="AC10" i="9"/>
  <c r="DB91" i="37"/>
  <c r="DB92" i="37" s="1"/>
  <c r="DB140" i="37" s="1"/>
  <c r="C40" i="22"/>
  <c r="DA91" i="37"/>
  <c r="AC10" i="5"/>
  <c r="AC24" i="5"/>
  <c r="DA225" i="37"/>
  <c r="H40" i="22"/>
  <c r="AC24" i="9"/>
  <c r="DB225" i="37"/>
  <c r="DB226" i="37" s="1"/>
  <c r="I21" i="18"/>
  <c r="B69" i="25"/>
  <c r="DN30" i="37"/>
  <c r="AE8" i="9"/>
  <c r="DB214" i="37"/>
  <c r="AC23" i="9"/>
  <c r="J33" i="22"/>
  <c r="F40" i="22"/>
  <c r="DB201" i="37"/>
  <c r="DB202" i="37" s="1"/>
  <c r="AC20" i="9"/>
  <c r="AX154" i="38"/>
  <c r="DL410" i="37"/>
  <c r="DL3" i="37"/>
  <c r="DL244" i="37" s="1"/>
  <c r="DL407" i="37"/>
  <c r="I7" i="23"/>
  <c r="I8" i="23"/>
  <c r="AF9" i="9"/>
  <c r="DP35" i="37"/>
  <c r="AF19" i="9"/>
  <c r="DP182" i="37"/>
  <c r="DP183" i="37" s="1"/>
  <c r="DP225" i="37"/>
  <c r="AF24" i="9"/>
  <c r="I30" i="18"/>
  <c r="K7" i="27"/>
  <c r="K9" i="27"/>
  <c r="K11" i="27"/>
  <c r="K13" i="27"/>
  <c r="K15" i="27"/>
  <c r="K17" i="27"/>
  <c r="K19" i="27"/>
  <c r="K21" i="27"/>
  <c r="K23" i="27"/>
  <c r="K25" i="27"/>
  <c r="K28" i="27"/>
  <c r="K30" i="27"/>
  <c r="K32" i="27"/>
  <c r="K34" i="27"/>
  <c r="K36" i="27"/>
  <c r="K38" i="27"/>
  <c r="K40" i="27"/>
  <c r="K42" i="27"/>
  <c r="K45" i="27"/>
  <c r="K47" i="27"/>
  <c r="K49" i="27"/>
  <c r="K51" i="27"/>
  <c r="K55" i="27"/>
  <c r="D61" i="27"/>
  <c r="F44" i="27"/>
  <c r="F61" i="27" s="1"/>
  <c r="AF10" i="9"/>
  <c r="DP91" i="37"/>
  <c r="DP92" i="37" s="1"/>
  <c r="DP201" i="37"/>
  <c r="AF20" i="9"/>
  <c r="F30" i="18"/>
  <c r="K53" i="27"/>
  <c r="D10" i="26"/>
  <c r="DP345" i="37"/>
  <c r="I29" i="20"/>
  <c r="D31" i="20"/>
  <c r="E14" i="18" s="1"/>
  <c r="I15" i="20"/>
  <c r="I14" i="20"/>
  <c r="CP91" i="37"/>
  <c r="X10" i="9"/>
  <c r="I13" i="20"/>
  <c r="CP182" i="37"/>
  <c r="X19" i="9"/>
  <c r="L6" i="25"/>
  <c r="AM318" i="37"/>
  <c r="AM404" i="37" s="1"/>
  <c r="AU195" i="38"/>
  <c r="AK26" i="9"/>
  <c r="AK6" i="9" s="1"/>
  <c r="R26" i="5"/>
  <c r="R6" i="5" s="1"/>
  <c r="O26" i="5"/>
  <c r="O6" i="5" s="1"/>
  <c r="N26" i="5"/>
  <c r="N6" i="5" s="1"/>
  <c r="L26" i="9"/>
  <c r="L6" i="9" s="1"/>
  <c r="AJ26" i="5"/>
  <c r="AJ6" i="5" s="1"/>
  <c r="U26" i="9"/>
  <c r="U6" i="9" s="1"/>
  <c r="O26" i="9"/>
  <c r="O6" i="9" s="1"/>
  <c r="AL26" i="9"/>
  <c r="AL6" i="9" s="1"/>
  <c r="Q26" i="5"/>
  <c r="Q6" i="5" s="1"/>
  <c r="AA26" i="5"/>
  <c r="AA6" i="5" s="1"/>
  <c r="W26" i="5"/>
  <c r="W6" i="5" s="1"/>
  <c r="V26" i="9"/>
  <c r="V6" i="9" s="1"/>
  <c r="S26" i="9"/>
  <c r="S6" i="9" s="1"/>
  <c r="R26" i="9"/>
  <c r="R6" i="9" s="1"/>
  <c r="N26" i="9"/>
  <c r="N6" i="9" s="1"/>
  <c r="I26" i="5"/>
  <c r="I6" i="5" s="1"/>
  <c r="D26" i="9"/>
  <c r="D6" i="9" s="1"/>
  <c r="AJ26" i="9"/>
  <c r="AJ6" i="9" s="1"/>
  <c r="BU243" i="37"/>
  <c r="CY243" i="37"/>
  <c r="ET183" i="37"/>
  <c r="CZ243" i="37"/>
  <c r="EP379" i="37"/>
  <c r="T26" i="5"/>
  <c r="T6" i="5" s="1"/>
  <c r="M26" i="9"/>
  <c r="M6" i="9" s="1"/>
  <c r="DH404" i="37"/>
  <c r="DD404" i="37"/>
  <c r="DD408" i="37" s="1"/>
  <c r="CZ404" i="37"/>
  <c r="CV404" i="37"/>
  <c r="CV245" i="37" s="1"/>
  <c r="CV405" i="37" s="1"/>
  <c r="CR404" i="37"/>
  <c r="EQ336" i="37"/>
  <c r="ET336" i="37" s="1"/>
  <c r="O243" i="37"/>
  <c r="ER403" i="37"/>
  <c r="ET403" i="37" s="1"/>
  <c r="EQ403" i="37"/>
  <c r="DE404" i="37"/>
  <c r="DE408" i="37" s="1"/>
  <c r="CW404" i="37"/>
  <c r="CW405" i="37" s="1"/>
  <c r="CS404" i="37"/>
  <c r="CO404" i="37"/>
  <c r="CO408" i="37" s="1"/>
  <c r="CI404" i="37"/>
  <c r="CC404" i="37"/>
  <c r="CC408" i="37" s="1"/>
  <c r="BY404" i="37"/>
  <c r="BU404" i="37"/>
  <c r="BM404" i="37"/>
  <c r="BI404" i="37"/>
  <c r="BI408" i="37" s="1"/>
  <c r="BC404" i="37"/>
  <c r="AS404" i="37"/>
  <c r="AO404" i="37"/>
  <c r="AO408" i="37" s="1"/>
  <c r="AK404" i="37"/>
  <c r="AG404" i="37"/>
  <c r="AG245" i="37" s="1"/>
  <c r="AG405" i="37" s="1"/>
  <c r="AA404" i="37"/>
  <c r="W404" i="37"/>
  <c r="W408" i="37" s="1"/>
  <c r="S404" i="37"/>
  <c r="O404" i="37"/>
  <c r="O410" i="37" s="1"/>
  <c r="I404" i="37"/>
  <c r="E404" i="37"/>
  <c r="E408" i="37" s="1"/>
  <c r="ET335" i="37"/>
  <c r="BZ404" i="37"/>
  <c r="BZ408" i="37" s="1"/>
  <c r="BV404" i="37"/>
  <c r="BR404" i="37"/>
  <c r="BR405" i="37" s="1"/>
  <c r="BN404" i="37"/>
  <c r="BJ404" i="37"/>
  <c r="BJ408" i="37" s="1"/>
  <c r="BD404" i="37"/>
  <c r="AT404" i="37"/>
  <c r="AP404" i="37"/>
  <c r="AP408" i="37" s="1"/>
  <c r="AL404" i="37"/>
  <c r="AH404" i="37"/>
  <c r="AH405" i="37" s="1"/>
  <c r="AB404" i="37"/>
  <c r="X404" i="37"/>
  <c r="X408" i="37" s="1"/>
  <c r="T404" i="37"/>
  <c r="P404" i="37"/>
  <c r="P405" i="37" s="1"/>
  <c r="J404" i="37"/>
  <c r="F404" i="37"/>
  <c r="F410" i="37" s="1"/>
  <c r="ER336" i="37"/>
  <c r="Z243" i="37"/>
  <c r="Z407" i="37" s="1"/>
  <c r="CG243" i="37"/>
  <c r="BO243" i="37"/>
  <c r="BO407" i="37" s="1"/>
  <c r="BG243" i="37"/>
  <c r="EQ232" i="37"/>
  <c r="O407" i="37"/>
  <c r="O3" i="37"/>
  <c r="O244" i="37" s="1"/>
  <c r="BA410" i="37"/>
  <c r="BA407" i="37"/>
  <c r="BA3" i="37"/>
  <c r="BA244" i="37" s="1"/>
  <c r="DZ410" i="37"/>
  <c r="DZ407" i="37"/>
  <c r="DZ244" i="37"/>
  <c r="DZ3" i="37"/>
  <c r="Z410" i="37"/>
  <c r="Z3" i="37"/>
  <c r="Z244" i="37" s="1"/>
  <c r="F407" i="37"/>
  <c r="F3" i="37"/>
  <c r="F244" i="37" s="1"/>
  <c r="CG407" i="37"/>
  <c r="CG3" i="37"/>
  <c r="CG244" i="37" s="1"/>
  <c r="BO410" i="37"/>
  <c r="BO3" i="37"/>
  <c r="BO244" i="37" s="1"/>
  <c r="BG410" i="37"/>
  <c r="BG407" i="37"/>
  <c r="BG3" i="37"/>
  <c r="BG244" i="37" s="1"/>
  <c r="EI408" i="37"/>
  <c r="EI245" i="37"/>
  <c r="EI405" i="37" s="1"/>
  <c r="EC408" i="37"/>
  <c r="EC405" i="37"/>
  <c r="EC245" i="37"/>
  <c r="DY408" i="37"/>
  <c r="DY245" i="37"/>
  <c r="DY405" i="37" s="1"/>
  <c r="DS408" i="37"/>
  <c r="DS405" i="37"/>
  <c r="DS245" i="37"/>
  <c r="DM408" i="37"/>
  <c r="DM245" i="37"/>
  <c r="DM405" i="37" s="1"/>
  <c r="CW408" i="37"/>
  <c r="CW245" i="37"/>
  <c r="CS408" i="37"/>
  <c r="CS245" i="37"/>
  <c r="CS405" i="37" s="1"/>
  <c r="CO245" i="37"/>
  <c r="CO405" i="37" s="1"/>
  <c r="CI408" i="37"/>
  <c r="CI245" i="37"/>
  <c r="CI405" i="37" s="1"/>
  <c r="BY408" i="37"/>
  <c r="BY245" i="37"/>
  <c r="BY405" i="37" s="1"/>
  <c r="BU408" i="37"/>
  <c r="BU245" i="37"/>
  <c r="BQ404" i="37"/>
  <c r="BM408" i="37"/>
  <c r="BM245" i="37"/>
  <c r="BM405" i="37" s="1"/>
  <c r="BI245" i="37"/>
  <c r="BI405" i="37" s="1"/>
  <c r="BC408" i="37"/>
  <c r="BC405" i="37"/>
  <c r="BC245" i="37"/>
  <c r="AS408" i="37"/>
  <c r="AS245" i="37"/>
  <c r="AS405" i="37" s="1"/>
  <c r="AO245" i="37"/>
  <c r="AO405" i="37" s="1"/>
  <c r="AK408" i="37"/>
  <c r="AK405" i="37"/>
  <c r="AK245" i="37"/>
  <c r="AG408" i="37"/>
  <c r="AA408" i="37"/>
  <c r="AA245" i="37"/>
  <c r="AA405" i="37" s="1"/>
  <c r="W245" i="37"/>
  <c r="W405" i="37" s="1"/>
  <c r="S408" i="37"/>
  <c r="S405" i="37"/>
  <c r="S245" i="37"/>
  <c r="O408" i="37"/>
  <c r="I408" i="37"/>
  <c r="I245" i="37"/>
  <c r="I405" i="37" s="1"/>
  <c r="E245" i="37"/>
  <c r="E405" i="37" s="1"/>
  <c r="EO404" i="37"/>
  <c r="EL408" i="37"/>
  <c r="EL245" i="37"/>
  <c r="EL405" i="37" s="1"/>
  <c r="EH408" i="37"/>
  <c r="EH405" i="37"/>
  <c r="EH245" i="37"/>
  <c r="EB408" i="37"/>
  <c r="EB245" i="37"/>
  <c r="EB405" i="37" s="1"/>
  <c r="DV408" i="37"/>
  <c r="DV405" i="37"/>
  <c r="DV245" i="37"/>
  <c r="DH408" i="37"/>
  <c r="DH245" i="37"/>
  <c r="DH405" i="37" s="1"/>
  <c r="DD245" i="37"/>
  <c r="DD405" i="37" s="1"/>
  <c r="CZ408" i="37"/>
  <c r="CZ405" i="37"/>
  <c r="CZ245" i="37"/>
  <c r="CV408" i="37"/>
  <c r="CR408" i="37"/>
  <c r="CR245" i="37"/>
  <c r="CR405" i="37" s="1"/>
  <c r="CN408" i="37"/>
  <c r="CN245" i="37"/>
  <c r="CN405" i="37" s="1"/>
  <c r="CH408" i="37"/>
  <c r="CH405" i="37"/>
  <c r="CH245" i="37"/>
  <c r="CB408" i="37"/>
  <c r="CB245" i="37"/>
  <c r="CB405" i="37" s="1"/>
  <c r="BX408" i="37"/>
  <c r="BX245" i="37"/>
  <c r="BX405" i="37" s="1"/>
  <c r="BT408" i="37"/>
  <c r="BT245" i="37"/>
  <c r="BT405" i="37" s="1"/>
  <c r="BP408" i="37"/>
  <c r="BP405" i="37"/>
  <c r="BP245" i="37"/>
  <c r="BL408" i="37"/>
  <c r="BL245" i="37"/>
  <c r="BL405" i="37" s="1"/>
  <c r="BH408" i="37"/>
  <c r="BH245" i="37"/>
  <c r="BH405" i="37" s="1"/>
  <c r="BB408" i="37"/>
  <c r="BB245" i="37"/>
  <c r="BB405" i="37" s="1"/>
  <c r="AV408" i="37"/>
  <c r="AV405" i="37"/>
  <c r="AV245" i="37"/>
  <c r="AN408" i="37"/>
  <c r="AN245" i="37"/>
  <c r="AN405" i="37" s="1"/>
  <c r="AJ408" i="37"/>
  <c r="AJ245" i="37"/>
  <c r="AJ405" i="37" s="1"/>
  <c r="AF408" i="37"/>
  <c r="AF405" i="37"/>
  <c r="AF245" i="37"/>
  <c r="Z408" i="37"/>
  <c r="Z245" i="37"/>
  <c r="Z405" i="37" s="1"/>
  <c r="V408" i="37"/>
  <c r="V245" i="37"/>
  <c r="V405" i="37" s="1"/>
  <c r="R408" i="37"/>
  <c r="R245" i="37"/>
  <c r="R405" i="37" s="1"/>
  <c r="L408" i="37"/>
  <c r="L405" i="37"/>
  <c r="L245" i="37"/>
  <c r="H408" i="37"/>
  <c r="H245" i="37"/>
  <c r="H405" i="37" s="1"/>
  <c r="D404" i="37"/>
  <c r="ER390" i="37"/>
  <c r="ER318" i="37"/>
  <c r="EP208" i="37"/>
  <c r="EP126" i="37"/>
  <c r="EI410" i="37"/>
  <c r="EI407" i="37"/>
  <c r="EI3" i="37"/>
  <c r="EI244" i="37" s="1"/>
  <c r="EC410" i="37"/>
  <c r="EC407" i="37"/>
  <c r="EC3" i="37"/>
  <c r="EC244" i="37" s="1"/>
  <c r="DY410" i="37"/>
  <c r="DY407" i="37"/>
  <c r="DY3" i="37"/>
  <c r="DY244" i="37" s="1"/>
  <c r="DS410" i="37"/>
  <c r="DS407" i="37"/>
  <c r="DS3" i="37"/>
  <c r="DS244" i="37" s="1"/>
  <c r="DM410" i="37"/>
  <c r="DM407" i="37"/>
  <c r="DM3" i="37"/>
  <c r="DM244" i="37" s="1"/>
  <c r="DE410" i="37"/>
  <c r="DE407" i="37"/>
  <c r="DE3" i="37"/>
  <c r="DE244" i="37" s="1"/>
  <c r="CW410" i="37"/>
  <c r="CW407" i="37"/>
  <c r="CW3" i="37"/>
  <c r="CW244" i="37" s="1"/>
  <c r="CS410" i="37"/>
  <c r="CS407" i="37"/>
  <c r="CS3" i="37"/>
  <c r="CS244" i="37" s="1"/>
  <c r="CI410" i="37"/>
  <c r="CI407" i="37"/>
  <c r="CI3" i="37"/>
  <c r="CI244" i="37" s="1"/>
  <c r="CC410" i="37"/>
  <c r="CC407" i="37"/>
  <c r="CC3" i="37"/>
  <c r="CC244" i="37" s="1"/>
  <c r="BY410" i="37"/>
  <c r="BY407" i="37"/>
  <c r="BY244" i="37"/>
  <c r="BU410" i="37"/>
  <c r="BU407" i="37"/>
  <c r="BU3" i="37"/>
  <c r="BU244" i="37" s="1"/>
  <c r="BQ410" i="37"/>
  <c r="BQ407" i="37"/>
  <c r="BQ244" i="37"/>
  <c r="BQ3" i="37"/>
  <c r="BM410" i="37"/>
  <c r="BM407" i="37"/>
  <c r="BM244" i="37"/>
  <c r="BM3" i="37"/>
  <c r="BI410" i="37"/>
  <c r="BI407" i="37"/>
  <c r="BI3" i="37"/>
  <c r="BI244" i="37" s="1"/>
  <c r="BC410" i="37"/>
  <c r="BC407" i="37"/>
  <c r="BC244" i="37"/>
  <c r="BC3" i="37"/>
  <c r="AW407" i="37"/>
  <c r="AW244" i="37"/>
  <c r="AW3" i="37"/>
  <c r="AQ407" i="37"/>
  <c r="ES243" i="37"/>
  <c r="AQ3" i="37"/>
  <c r="AQ244" i="37" s="1"/>
  <c r="ES244" i="37" s="1"/>
  <c r="AM407" i="37"/>
  <c r="AM3" i="37"/>
  <c r="AM244" i="37" s="1"/>
  <c r="AI410" i="37"/>
  <c r="AI407" i="37"/>
  <c r="AI3" i="37"/>
  <c r="AI244" i="37" s="1"/>
  <c r="AE410" i="37"/>
  <c r="AE407" i="37"/>
  <c r="AE3" i="37"/>
  <c r="AE244" i="37" s="1"/>
  <c r="Y410" i="37"/>
  <c r="Y407" i="37"/>
  <c r="Y3" i="37"/>
  <c r="Y244" i="37" s="1"/>
  <c r="Q410" i="37"/>
  <c r="Q407" i="37"/>
  <c r="Q3" i="37"/>
  <c r="Q244" i="37" s="1"/>
  <c r="K410" i="37"/>
  <c r="K407" i="37"/>
  <c r="K3" i="37"/>
  <c r="K244" i="37" s="1"/>
  <c r="G410" i="37"/>
  <c r="G407" i="37"/>
  <c r="G3" i="37"/>
  <c r="G244" i="37" s="1"/>
  <c r="EO243" i="37"/>
  <c r="EO3" i="37" s="1"/>
  <c r="ER140" i="37"/>
  <c r="EL410" i="37"/>
  <c r="EL407" i="37"/>
  <c r="EL3" i="37"/>
  <c r="EL244" i="37" s="1"/>
  <c r="EH410" i="37"/>
  <c r="EH407" i="37"/>
  <c r="EH3" i="37"/>
  <c r="EH244" i="37" s="1"/>
  <c r="EB410" i="37"/>
  <c r="EB407" i="37"/>
  <c r="EB3" i="37"/>
  <c r="EB244" i="37" s="1"/>
  <c r="DV410" i="37"/>
  <c r="DV407" i="37"/>
  <c r="DV3" i="37"/>
  <c r="DV244" i="37" s="1"/>
  <c r="DH410" i="37"/>
  <c r="DH407" i="37"/>
  <c r="DH3" i="37"/>
  <c r="DH244" i="37" s="1"/>
  <c r="DD410" i="37"/>
  <c r="DD3" i="37"/>
  <c r="DD244" i="37" s="1"/>
  <c r="CZ410" i="37"/>
  <c r="CZ407" i="37"/>
  <c r="CZ3" i="37"/>
  <c r="CZ244" i="37" s="1"/>
  <c r="CV410" i="37"/>
  <c r="CV407" i="37"/>
  <c r="CV3" i="37"/>
  <c r="CV244" i="37" s="1"/>
  <c r="CR410" i="37"/>
  <c r="CR407" i="37"/>
  <c r="CR3" i="37"/>
  <c r="CR244" i="37" s="1"/>
  <c r="CN410" i="37"/>
  <c r="CN407" i="37"/>
  <c r="CN3" i="37"/>
  <c r="CN244" i="37" s="1"/>
  <c r="CH410" i="37"/>
  <c r="CH407" i="37"/>
  <c r="CH3" i="37"/>
  <c r="CH244" i="37" s="1"/>
  <c r="CB410" i="37"/>
  <c r="CB407" i="37"/>
  <c r="CB244" i="37"/>
  <c r="BX410" i="37"/>
  <c r="BX407" i="37"/>
  <c r="BX3" i="37"/>
  <c r="BX244" i="37" s="1"/>
  <c r="BT410" i="37"/>
  <c r="BT407" i="37"/>
  <c r="BT3" i="37"/>
  <c r="BT244" i="37" s="1"/>
  <c r="BP410" i="37"/>
  <c r="BP407" i="37"/>
  <c r="BP3" i="37"/>
  <c r="BP244" i="37" s="1"/>
  <c r="BL410" i="37"/>
  <c r="BL407" i="37"/>
  <c r="BL3" i="37"/>
  <c r="BL244" i="37" s="1"/>
  <c r="BH410" i="37"/>
  <c r="BH407" i="37"/>
  <c r="BH3" i="37"/>
  <c r="BH244" i="37" s="1"/>
  <c r="BB410" i="37"/>
  <c r="BB407" i="37"/>
  <c r="BB3" i="37"/>
  <c r="BB244" i="37" s="1"/>
  <c r="AV410" i="37"/>
  <c r="AV407" i="37"/>
  <c r="AV3" i="37"/>
  <c r="AV244" i="37" s="1"/>
  <c r="AN410" i="37"/>
  <c r="AN407" i="37"/>
  <c r="AN3" i="37"/>
  <c r="AN244" i="37" s="1"/>
  <c r="AJ410" i="37"/>
  <c r="AJ407" i="37"/>
  <c r="AJ3" i="37"/>
  <c r="AJ244" i="37" s="1"/>
  <c r="AF410" i="37"/>
  <c r="AF407" i="37"/>
  <c r="AF3" i="37"/>
  <c r="AF244" i="37" s="1"/>
  <c r="V410" i="37"/>
  <c r="V407" i="37"/>
  <c r="V3" i="37"/>
  <c r="V244" i="37" s="1"/>
  <c r="R410" i="37"/>
  <c r="R407" i="37"/>
  <c r="R3" i="37"/>
  <c r="R244" i="37" s="1"/>
  <c r="H410" i="37"/>
  <c r="H407" i="37"/>
  <c r="H3" i="37"/>
  <c r="H244" i="37" s="1"/>
  <c r="U140" i="37"/>
  <c r="EP121" i="37"/>
  <c r="EQ109" i="37"/>
  <c r="ET109" i="37" s="1"/>
  <c r="ET402" i="37"/>
  <c r="ET389" i="37"/>
  <c r="EK404" i="37"/>
  <c r="EG404" i="37"/>
  <c r="EA404" i="37"/>
  <c r="DU404" i="37"/>
  <c r="DO404" i="37"/>
  <c r="DG404" i="37"/>
  <c r="DC404" i="37"/>
  <c r="CY404" i="37"/>
  <c r="CY410" i="37" s="1"/>
  <c r="CU404" i="37"/>
  <c r="CQ404" i="37"/>
  <c r="CM404" i="37"/>
  <c r="CG404" i="37"/>
  <c r="CA408" i="37"/>
  <c r="CA245" i="37"/>
  <c r="CA405" i="37" s="1"/>
  <c r="BW408" i="37"/>
  <c r="BW405" i="37"/>
  <c r="BW245" i="37"/>
  <c r="BS408" i="37"/>
  <c r="BS245" i="37"/>
  <c r="BS405" i="37" s="1"/>
  <c r="BO408" i="37"/>
  <c r="BO245" i="37"/>
  <c r="BO405" i="37" s="1"/>
  <c r="BK408" i="37"/>
  <c r="BK245" i="37"/>
  <c r="BK405" i="37" s="1"/>
  <c r="BG408" i="37"/>
  <c r="BG405" i="37"/>
  <c r="BG245" i="37"/>
  <c r="BA408" i="37"/>
  <c r="BA245" i="37"/>
  <c r="BA405" i="37" s="1"/>
  <c r="AU408" i="37"/>
  <c r="AU245" i="37"/>
  <c r="AU405" i="37" s="1"/>
  <c r="AQ404" i="37"/>
  <c r="ES390" i="37"/>
  <c r="AI408" i="37"/>
  <c r="AI405" i="37"/>
  <c r="AI245" i="37"/>
  <c r="AE408" i="37"/>
  <c r="AE245" i="37"/>
  <c r="AE405" i="37" s="1"/>
  <c r="Y408" i="37"/>
  <c r="Y245" i="37"/>
  <c r="Y405" i="37" s="1"/>
  <c r="U408" i="37"/>
  <c r="U245" i="37"/>
  <c r="U405" i="37" s="1"/>
  <c r="Q408" i="37"/>
  <c r="Q405" i="37"/>
  <c r="Q245" i="37"/>
  <c r="K408" i="37"/>
  <c r="K245" i="37"/>
  <c r="K405" i="37" s="1"/>
  <c r="G408" i="37"/>
  <c r="G245" i="37"/>
  <c r="G405" i="37" s="1"/>
  <c r="C404" i="37"/>
  <c r="EQ390" i="37"/>
  <c r="ET317" i="37"/>
  <c r="EJ404" i="37"/>
  <c r="ED404" i="37"/>
  <c r="DZ404" i="37"/>
  <c r="DT404" i="37"/>
  <c r="DN404" i="37"/>
  <c r="DF404" i="37"/>
  <c r="CX404" i="37"/>
  <c r="CT404" i="37"/>
  <c r="CP404" i="37"/>
  <c r="CJ404" i="37"/>
  <c r="CD404" i="37"/>
  <c r="BV408" i="37"/>
  <c r="BV245" i="37"/>
  <c r="BV405" i="37" s="1"/>
  <c r="BR408" i="37"/>
  <c r="BR245" i="37"/>
  <c r="BN408" i="37"/>
  <c r="BN245" i="37"/>
  <c r="BN405" i="37" s="1"/>
  <c r="BD408" i="37"/>
  <c r="BD245" i="37"/>
  <c r="BD405" i="37" s="1"/>
  <c r="AT408" i="37"/>
  <c r="AT245" i="37"/>
  <c r="AT405" i="37" s="1"/>
  <c r="AL408" i="37"/>
  <c r="AL245" i="37"/>
  <c r="AL405" i="37" s="1"/>
  <c r="AH408" i="37"/>
  <c r="AH245" i="37"/>
  <c r="AB408" i="37"/>
  <c r="AB245" i="37"/>
  <c r="AB405" i="37" s="1"/>
  <c r="T408" i="37"/>
  <c r="T245" i="37"/>
  <c r="T405" i="37" s="1"/>
  <c r="P408" i="37"/>
  <c r="P245" i="37"/>
  <c r="J408" i="37"/>
  <c r="J245" i="37"/>
  <c r="J405" i="37" s="1"/>
  <c r="ER126" i="37"/>
  <c r="ET126" i="37" s="1"/>
  <c r="ET237" i="37"/>
  <c r="ER232" i="37"/>
  <c r="ET232" i="37" s="1"/>
  <c r="ET208" i="37"/>
  <c r="ET150" i="37"/>
  <c r="EK407" i="37"/>
  <c r="EK3" i="37"/>
  <c r="EK244" i="37" s="1"/>
  <c r="EG410" i="37"/>
  <c r="EG407" i="37"/>
  <c r="EG3" i="37"/>
  <c r="EG244" i="37" s="1"/>
  <c r="EA407" i="37"/>
  <c r="EA3" i="37"/>
  <c r="EA244" i="37" s="1"/>
  <c r="DU410" i="37"/>
  <c r="DU407" i="37"/>
  <c r="DU3" i="37"/>
  <c r="DU244" i="37" s="1"/>
  <c r="DO407" i="37"/>
  <c r="DO3" i="37"/>
  <c r="DO244" i="37" s="1"/>
  <c r="DG410" i="37"/>
  <c r="DG407" i="37"/>
  <c r="DG3" i="37"/>
  <c r="DG244" i="37" s="1"/>
  <c r="DC407" i="37"/>
  <c r="DC3" i="37"/>
  <c r="DC244" i="37" s="1"/>
  <c r="CY407" i="37"/>
  <c r="CY3" i="37"/>
  <c r="CY244" i="37" s="1"/>
  <c r="CU407" i="37"/>
  <c r="CU3" i="37"/>
  <c r="CU244" i="37" s="1"/>
  <c r="CQ410" i="37"/>
  <c r="CQ407" i="37"/>
  <c r="CQ3" i="37"/>
  <c r="CQ244" i="37" s="1"/>
  <c r="CM407" i="37"/>
  <c r="CM3" i="37"/>
  <c r="CM244" i="37" s="1"/>
  <c r="CA410" i="37"/>
  <c r="CA407" i="37"/>
  <c r="CA244" i="37"/>
  <c r="BW410" i="37"/>
  <c r="BW407" i="37"/>
  <c r="BW244" i="37"/>
  <c r="BW3" i="37"/>
  <c r="BS410" i="37"/>
  <c r="BS407" i="37"/>
  <c r="BS244" i="37"/>
  <c r="BS3" i="37"/>
  <c r="BK410" i="37"/>
  <c r="BK407" i="37"/>
  <c r="BK244" i="37"/>
  <c r="BK3" i="37"/>
  <c r="AU410" i="37"/>
  <c r="AU407" i="37"/>
  <c r="AU244" i="37"/>
  <c r="AU3" i="37"/>
  <c r="AO410" i="37"/>
  <c r="AO407" i="37"/>
  <c r="AO3" i="37"/>
  <c r="AO244" i="37" s="1"/>
  <c r="AK410" i="37"/>
  <c r="AK407" i="37"/>
  <c r="AK244" i="37"/>
  <c r="AK3" i="37"/>
  <c r="AA410" i="37"/>
  <c r="AA407" i="37"/>
  <c r="AA244" i="37"/>
  <c r="AA3" i="37"/>
  <c r="W410" i="37"/>
  <c r="W407" i="37"/>
  <c r="W3" i="37"/>
  <c r="W244" i="37" s="1"/>
  <c r="S410" i="37"/>
  <c r="S407" i="37"/>
  <c r="S244" i="37"/>
  <c r="S3" i="37"/>
  <c r="I410" i="37"/>
  <c r="I407" i="37"/>
  <c r="I244" i="37"/>
  <c r="I3" i="37"/>
  <c r="E410" i="37"/>
  <c r="E407" i="37"/>
  <c r="E3" i="37"/>
  <c r="E244" i="37" s="1"/>
  <c r="C410" i="37"/>
  <c r="C407" i="37"/>
  <c r="C3" i="37"/>
  <c r="C244" i="37" s="1"/>
  <c r="EJ410" i="37"/>
  <c r="EJ407" i="37"/>
  <c r="EJ3" i="37"/>
  <c r="EJ244" i="37" s="1"/>
  <c r="ED407" i="37"/>
  <c r="ED3" i="37"/>
  <c r="ED244" i="37" s="1"/>
  <c r="DT407" i="37"/>
  <c r="DT3" i="37"/>
  <c r="DT244" i="37" s="1"/>
  <c r="DF407" i="37"/>
  <c r="DF3" i="37"/>
  <c r="DF244" i="37" s="1"/>
  <c r="CX407" i="37"/>
  <c r="CX3" i="37"/>
  <c r="CX244" i="37" s="1"/>
  <c r="CT410" i="37"/>
  <c r="CT407" i="37"/>
  <c r="CT3" i="37"/>
  <c r="CT244" i="37" s="1"/>
  <c r="CJ410" i="37"/>
  <c r="CJ407" i="37"/>
  <c r="CJ3" i="37"/>
  <c r="CJ244" i="37" s="1"/>
  <c r="CD407" i="37"/>
  <c r="CD3" i="37"/>
  <c r="CD244" i="37" s="1"/>
  <c r="BZ410" i="37"/>
  <c r="BZ407" i="37"/>
  <c r="BZ244" i="37"/>
  <c r="BV410" i="37"/>
  <c r="BV407" i="37"/>
  <c r="BV3" i="37"/>
  <c r="BV244" i="37" s="1"/>
  <c r="BR407" i="37"/>
  <c r="BR3" i="37"/>
  <c r="BR244" i="37" s="1"/>
  <c r="BN410" i="37"/>
  <c r="BN407" i="37"/>
  <c r="BN3" i="37"/>
  <c r="BN244" i="37" s="1"/>
  <c r="BJ407" i="37"/>
  <c r="BJ3" i="37"/>
  <c r="BJ244" i="37" s="1"/>
  <c r="BD410" i="37"/>
  <c r="BD407" i="37"/>
  <c r="BD3" i="37"/>
  <c r="BD244" i="37" s="1"/>
  <c r="AX407" i="37"/>
  <c r="AX3" i="37"/>
  <c r="AX244" i="37" s="1"/>
  <c r="AT410" i="37"/>
  <c r="AT407" i="37"/>
  <c r="AT3" i="37"/>
  <c r="AT244" i="37" s="1"/>
  <c r="AP407" i="37"/>
  <c r="AP3" i="37"/>
  <c r="AP244" i="37" s="1"/>
  <c r="AB410" i="37"/>
  <c r="AB407" i="37"/>
  <c r="AB3" i="37"/>
  <c r="AB244" i="37" s="1"/>
  <c r="X407" i="37"/>
  <c r="X3" i="37"/>
  <c r="X244" i="37" s="1"/>
  <c r="T410" i="37"/>
  <c r="T407" i="37"/>
  <c r="T3" i="37"/>
  <c r="T244" i="37" s="1"/>
  <c r="P407" i="37"/>
  <c r="P3" i="37"/>
  <c r="P244" i="37" s="1"/>
  <c r="J410" i="37"/>
  <c r="J407" i="37"/>
  <c r="J3" i="37"/>
  <c r="J244" i="37" s="1"/>
  <c r="D243" i="37"/>
  <c r="EP33" i="37"/>
  <c r="ET92" i="37"/>
  <c r="AT359" i="38"/>
  <c r="AT356" i="38"/>
  <c r="AT268" i="38"/>
  <c r="AT3" i="38"/>
  <c r="AN356" i="38"/>
  <c r="AN3" i="38"/>
  <c r="AN268" i="38" s="1"/>
  <c r="O356" i="38"/>
  <c r="O268" i="38"/>
  <c r="O3" i="38"/>
  <c r="AW267" i="38"/>
  <c r="AX352" i="38"/>
  <c r="AX339" i="38"/>
  <c r="AX300" i="38"/>
  <c r="AZ356" i="38"/>
  <c r="AZ268" i="38"/>
  <c r="AZ3" i="38"/>
  <c r="AJ356" i="38"/>
  <c r="AJ3" i="38"/>
  <c r="AJ268" i="38" s="1"/>
  <c r="AD359" i="38"/>
  <c r="AD356" i="38"/>
  <c r="AD3" i="38"/>
  <c r="AD268" i="38" s="1"/>
  <c r="X356" i="38"/>
  <c r="X268" i="38"/>
  <c r="X3" i="38"/>
  <c r="T356" i="38"/>
  <c r="T3" i="38"/>
  <c r="T268" i="38" s="1"/>
  <c r="P356" i="38"/>
  <c r="P268" i="38"/>
  <c r="P3" i="38"/>
  <c r="H356" i="38"/>
  <c r="H3" i="38"/>
  <c r="H268" i="38" s="1"/>
  <c r="AL356" i="38"/>
  <c r="AC359" i="38"/>
  <c r="AC356" i="38"/>
  <c r="AC3" i="38"/>
  <c r="AC268" i="38" s="1"/>
  <c r="AV267" i="38"/>
  <c r="BB343" i="38"/>
  <c r="BB352" i="38" s="1"/>
  <c r="AS357" i="38"/>
  <c r="AS269" i="38"/>
  <c r="AS354" i="38" s="1"/>
  <c r="AM357" i="38"/>
  <c r="AM269" i="38"/>
  <c r="AM354" i="38" s="1"/>
  <c r="AI357" i="38"/>
  <c r="AI269" i="38"/>
  <c r="AC357" i="38"/>
  <c r="AC269" i="38"/>
  <c r="AC354" i="38" s="1"/>
  <c r="W357" i="38"/>
  <c r="W269" i="38"/>
  <c r="W354" i="38" s="1"/>
  <c r="S357" i="38"/>
  <c r="S269" i="38"/>
  <c r="S354" i="38" s="1"/>
  <c r="O357" i="38"/>
  <c r="O269" i="38"/>
  <c r="O354" i="38" s="1"/>
  <c r="G357" i="38"/>
  <c r="G269" i="38"/>
  <c r="G354" i="38" s="1"/>
  <c r="AW357" i="38"/>
  <c r="AW269" i="38"/>
  <c r="AW354" i="38" s="1"/>
  <c r="AZ353" i="38"/>
  <c r="AY343" i="38"/>
  <c r="AY352" i="38" s="1"/>
  <c r="AR357" i="38"/>
  <c r="AR269" i="38"/>
  <c r="AR354" i="38" s="1"/>
  <c r="AL357" i="38"/>
  <c r="AL269" i="38"/>
  <c r="AL354" i="38" s="1"/>
  <c r="AF357" i="38"/>
  <c r="AF269" i="38"/>
  <c r="AF354" i="38" s="1"/>
  <c r="Z357" i="38"/>
  <c r="Z269" i="38"/>
  <c r="Z354" i="38" s="1"/>
  <c r="V357" i="38"/>
  <c r="V269" i="38"/>
  <c r="V354" i="38" s="1"/>
  <c r="R357" i="38"/>
  <c r="R269" i="38"/>
  <c r="R354" i="38" s="1"/>
  <c r="L357" i="38"/>
  <c r="L269" i="38"/>
  <c r="L354" i="38" s="1"/>
  <c r="D357" i="38"/>
  <c r="D269" i="38"/>
  <c r="D354" i="38" s="1"/>
  <c r="BA353" i="38"/>
  <c r="AY353" i="38"/>
  <c r="AX256" i="38"/>
  <c r="AQ359" i="38"/>
  <c r="AQ356" i="38"/>
  <c r="AQ268" i="38"/>
  <c r="AQ3" i="38"/>
  <c r="AK356" i="38"/>
  <c r="AK3" i="38"/>
  <c r="AK268" i="38" s="1"/>
  <c r="AE359" i="38"/>
  <c r="AE356" i="38"/>
  <c r="AE3" i="38"/>
  <c r="AE268" i="38" s="1"/>
  <c r="Y356" i="38"/>
  <c r="Y268" i="38"/>
  <c r="Y3" i="38"/>
  <c r="U356" i="38"/>
  <c r="U3" i="38"/>
  <c r="U268" i="38" s="1"/>
  <c r="Q356" i="38"/>
  <c r="Q268" i="38"/>
  <c r="Q3" i="38"/>
  <c r="K356" i="38"/>
  <c r="K359" i="38" s="1"/>
  <c r="K3" i="38"/>
  <c r="K268" i="38" s="1"/>
  <c r="C356" i="38"/>
  <c r="C268" i="38"/>
  <c r="C3" i="38"/>
  <c r="BB232" i="38"/>
  <c r="BB256" i="38" s="1"/>
  <c r="BB59" i="38"/>
  <c r="AR359" i="38"/>
  <c r="AR356" i="38"/>
  <c r="AR268" i="38"/>
  <c r="AR3" i="38"/>
  <c r="AF359" i="38"/>
  <c r="AF356" i="38"/>
  <c r="AF268" i="38"/>
  <c r="AF3" i="38"/>
  <c r="Z356" i="38"/>
  <c r="Z359" i="38" s="1"/>
  <c r="Z3" i="38"/>
  <c r="Z268" i="38" s="1"/>
  <c r="V356" i="38"/>
  <c r="V3" i="38"/>
  <c r="V268" i="38" s="1"/>
  <c r="R356" i="38"/>
  <c r="R359" i="38" s="1"/>
  <c r="R3" i="38"/>
  <c r="R268" i="38" s="1"/>
  <c r="L356" i="38"/>
  <c r="L268" i="38"/>
  <c r="L3" i="38"/>
  <c r="D356" i="38"/>
  <c r="D359" i="38" s="1"/>
  <c r="D3" i="38"/>
  <c r="D268" i="38" s="1"/>
  <c r="AQ353" i="38"/>
  <c r="AK357" i="38"/>
  <c r="AK269" i="38"/>
  <c r="AE357" i="38"/>
  <c r="AE269" i="38"/>
  <c r="AE354" i="38" s="1"/>
  <c r="Y357" i="38"/>
  <c r="Y269" i="38"/>
  <c r="Y354" i="38" s="1"/>
  <c r="U353" i="38"/>
  <c r="Q357" i="38"/>
  <c r="Q269" i="38"/>
  <c r="Q354" i="38" s="1"/>
  <c r="K357" i="38"/>
  <c r="K269" i="38"/>
  <c r="K354" i="38" s="1"/>
  <c r="C357" i="38"/>
  <c r="C269" i="38"/>
  <c r="C354" i="38" s="1"/>
  <c r="AU353" i="38"/>
  <c r="AT357" i="38"/>
  <c r="AT269" i="38"/>
  <c r="AT354" i="38" s="1"/>
  <c r="AN357" i="38"/>
  <c r="AN269" i="38"/>
  <c r="AN354" i="38" s="1"/>
  <c r="AJ353" i="38"/>
  <c r="AD357" i="38"/>
  <c r="AD269" i="38"/>
  <c r="AD354" i="38" s="1"/>
  <c r="X357" i="38"/>
  <c r="X269" i="38"/>
  <c r="X354" i="38" s="1"/>
  <c r="T357" i="38"/>
  <c r="T269" i="38"/>
  <c r="T354" i="38" s="1"/>
  <c r="P357" i="38"/>
  <c r="P354" i="38"/>
  <c r="P269" i="38"/>
  <c r="H357" i="38"/>
  <c r="H269" i="38"/>
  <c r="H354" i="38" s="1"/>
  <c r="AV353" i="38"/>
  <c r="BB339" i="38"/>
  <c r="BB303" i="38"/>
  <c r="BB304" i="38"/>
  <c r="BB313" i="38" s="1"/>
  <c r="AS359" i="38"/>
  <c r="AS356" i="38"/>
  <c r="AS3" i="38"/>
  <c r="AS268" i="38" s="1"/>
  <c r="AM356" i="38"/>
  <c r="AM3" i="38"/>
  <c r="AM268" i="38" s="1"/>
  <c r="AI356" i="38"/>
  <c r="AI359" i="38" s="1"/>
  <c r="AI3" i="38"/>
  <c r="AI268" i="38" s="1"/>
  <c r="W356" i="38"/>
  <c r="W268" i="38"/>
  <c r="W3" i="38"/>
  <c r="S356" i="38"/>
  <c r="S359" i="38" s="1"/>
  <c r="S3" i="38"/>
  <c r="S268" i="38" s="1"/>
  <c r="G356" i="38"/>
  <c r="G359" i="38" s="1"/>
  <c r="G268" i="38"/>
  <c r="G3" i="38"/>
  <c r="AY59" i="38"/>
  <c r="AX59" i="38"/>
  <c r="AY232" i="38"/>
  <c r="AY256" i="38" s="1"/>
  <c r="BA67" i="38"/>
  <c r="BA195" i="38" s="1"/>
  <c r="BA267" i="38" s="1"/>
  <c r="AY67" i="38"/>
  <c r="AX195" i="38"/>
  <c r="AX267" i="38" s="1"/>
  <c r="K44" i="27"/>
  <c r="K6" i="27"/>
  <c r="K3" i="27" s="1"/>
  <c r="J3" i="27"/>
  <c r="J61" i="27" s="1"/>
  <c r="G5" i="26"/>
  <c r="F69" i="25"/>
  <c r="L69" i="25" s="1"/>
  <c r="K6" i="25"/>
  <c r="L9" i="25"/>
  <c r="L68" i="25" s="1"/>
  <c r="K68" i="25"/>
  <c r="H14" i="23"/>
  <c r="I6" i="23"/>
  <c r="J26" i="22"/>
  <c r="D3" i="22"/>
  <c r="D24" i="22" s="1"/>
  <c r="D40" i="22" s="1"/>
  <c r="C40" i="21"/>
  <c r="G3" i="21"/>
  <c r="G24" i="21" s="1"/>
  <c r="F24" i="21"/>
  <c r="G26" i="21"/>
  <c r="G39" i="21" s="1"/>
  <c r="G40" i="21" s="1"/>
  <c r="F39" i="21"/>
  <c r="F40" i="21" s="1"/>
  <c r="C10" i="20"/>
  <c r="H30" i="20"/>
  <c r="H31" i="20" s="1"/>
  <c r="I4" i="20"/>
  <c r="C16" i="19"/>
  <c r="G3" i="19"/>
  <c r="G9" i="19" s="1"/>
  <c r="F9" i="19"/>
  <c r="G11" i="19"/>
  <c r="G15" i="19" s="1"/>
  <c r="F15" i="19"/>
  <c r="F16" i="19" s="1"/>
  <c r="F23" i="14"/>
  <c r="F5" i="14"/>
  <c r="F4" i="14"/>
  <c r="F54" i="14"/>
  <c r="F50" i="14"/>
  <c r="F40" i="14"/>
  <c r="F35" i="14"/>
  <c r="F25" i="14"/>
  <c r="F20" i="14"/>
  <c r="F14" i="14"/>
  <c r="F13" i="14"/>
  <c r="I13" i="23" l="1"/>
  <c r="I14" i="23" s="1"/>
  <c r="C31" i="20"/>
  <c r="I10" i="20"/>
  <c r="I30" i="20"/>
  <c r="CO232" i="37"/>
  <c r="CO243" i="37" s="1"/>
  <c r="AU267" i="38"/>
  <c r="AU3" i="38" s="1"/>
  <c r="AU268" i="38" s="1"/>
  <c r="J39" i="22"/>
  <c r="EM201" i="37"/>
  <c r="EM202" i="37" s="1"/>
  <c r="DA202" i="37"/>
  <c r="DA36" i="37"/>
  <c r="EM35" i="37"/>
  <c r="EM36" i="37" s="1"/>
  <c r="EM214" i="37"/>
  <c r="EM215" i="37" s="1"/>
  <c r="DA215" i="37"/>
  <c r="EM182" i="37"/>
  <c r="EM183" i="37" s="1"/>
  <c r="DA183" i="37"/>
  <c r="EN311" i="37"/>
  <c r="EN312" i="37" s="1"/>
  <c r="EN318" i="37" s="1"/>
  <c r="DB312" i="37"/>
  <c r="DB318" i="37" s="1"/>
  <c r="EM367" i="37"/>
  <c r="EM368" i="37" s="1"/>
  <c r="DA368" i="37"/>
  <c r="DA346" i="37"/>
  <c r="EM345" i="37"/>
  <c r="EM346" i="37" s="1"/>
  <c r="EN367" i="37"/>
  <c r="DB368" i="37"/>
  <c r="DB390" i="37" s="1"/>
  <c r="DB404" i="37" s="1"/>
  <c r="DB408" i="37" s="1"/>
  <c r="DA312" i="37"/>
  <c r="DA318" i="37" s="1"/>
  <c r="EM311" i="37"/>
  <c r="E9" i="9"/>
  <c r="E7" i="9" s="1"/>
  <c r="E26" i="9" s="1"/>
  <c r="E6" i="9" s="1"/>
  <c r="L140" i="37"/>
  <c r="L243" i="37" s="1"/>
  <c r="DA92" i="37"/>
  <c r="DA140" i="37" s="1"/>
  <c r="EM91" i="37"/>
  <c r="EM92" i="37" s="1"/>
  <c r="DA226" i="37"/>
  <c r="EM225" i="37"/>
  <c r="EM226" i="37" s="1"/>
  <c r="EN30" i="37"/>
  <c r="DN31" i="37"/>
  <c r="DN140" i="37" s="1"/>
  <c r="DN243" i="37" s="1"/>
  <c r="EN214" i="37"/>
  <c r="DB215" i="37"/>
  <c r="DB232" i="37" s="1"/>
  <c r="DB243" i="37" s="1"/>
  <c r="EN35" i="37"/>
  <c r="DP36" i="37"/>
  <c r="DP140" i="37" s="1"/>
  <c r="EN225" i="37"/>
  <c r="DP226" i="37"/>
  <c r="K26" i="27"/>
  <c r="K61" i="27" s="1"/>
  <c r="EN201" i="37"/>
  <c r="DP202" i="37"/>
  <c r="DP232" i="37" s="1"/>
  <c r="EN345" i="37"/>
  <c r="DP346" i="37"/>
  <c r="DP390" i="37" s="1"/>
  <c r="DP404" i="37" s="1"/>
  <c r="EN91" i="37"/>
  <c r="CP92" i="37"/>
  <c r="CP140" i="37" s="1"/>
  <c r="EN182" i="37"/>
  <c r="CP183" i="37"/>
  <c r="CP232" i="37" s="1"/>
  <c r="AM245" i="37"/>
  <c r="AM405" i="37" s="1"/>
  <c r="AM410" i="37"/>
  <c r="AM408" i="37"/>
  <c r="EQ318" i="37"/>
  <c r="ET318" i="37" s="1"/>
  <c r="BU405" i="37"/>
  <c r="AL359" i="38"/>
  <c r="AM359" i="38"/>
  <c r="P410" i="37"/>
  <c r="X410" i="37"/>
  <c r="AP410" i="37"/>
  <c r="BJ410" i="37"/>
  <c r="BR410" i="37"/>
  <c r="F245" i="37"/>
  <c r="F405" i="37" s="1"/>
  <c r="F408" i="37"/>
  <c r="X245" i="37"/>
  <c r="X405" i="37" s="1"/>
  <c r="AP245" i="37"/>
  <c r="AP405" i="37" s="1"/>
  <c r="BJ245" i="37"/>
  <c r="BJ405" i="37" s="1"/>
  <c r="BZ245" i="37"/>
  <c r="BZ405" i="37" s="1"/>
  <c r="O245" i="37"/>
  <c r="O405" i="37" s="1"/>
  <c r="CC245" i="37"/>
  <c r="CC405" i="37" s="1"/>
  <c r="DE245" i="37"/>
  <c r="DE405" i="37" s="1"/>
  <c r="DC408" i="37"/>
  <c r="DC405" i="37"/>
  <c r="DC245" i="37"/>
  <c r="D410" i="37"/>
  <c r="D407" i="37"/>
  <c r="ER243" i="37"/>
  <c r="D3" i="37"/>
  <c r="D244" i="37" s="1"/>
  <c r="ER244" i="37" s="1"/>
  <c r="CD408" i="37"/>
  <c r="CD245" i="37"/>
  <c r="CD405" i="37" s="1"/>
  <c r="CP408" i="37"/>
  <c r="CP245" i="37"/>
  <c r="CP405" i="37" s="1"/>
  <c r="CX408" i="37"/>
  <c r="CX405" i="37"/>
  <c r="CX245" i="37"/>
  <c r="DF408" i="37"/>
  <c r="DF245" i="37"/>
  <c r="DF405" i="37" s="1"/>
  <c r="DT408" i="37"/>
  <c r="DT405" i="37"/>
  <c r="DT245" i="37"/>
  <c r="ED408" i="37"/>
  <c r="ED245" i="37"/>
  <c r="ED405" i="37" s="1"/>
  <c r="C408" i="37"/>
  <c r="EQ404" i="37"/>
  <c r="C245" i="37"/>
  <c r="AQ408" i="37"/>
  <c r="ES404" i="37"/>
  <c r="ES408" i="37" s="1"/>
  <c r="AQ245" i="37"/>
  <c r="ES245" i="37" s="1"/>
  <c r="CM408" i="37"/>
  <c r="CM245" i="37"/>
  <c r="CM405" i="37" s="1"/>
  <c r="CU408" i="37"/>
  <c r="CU245" i="37"/>
  <c r="CU405" i="37" s="1"/>
  <c r="DO408" i="37"/>
  <c r="DO245" i="37"/>
  <c r="DO405" i="37" s="1"/>
  <c r="EA408" i="37"/>
  <c r="EA245" i="37"/>
  <c r="EA405" i="37" s="1"/>
  <c r="EK408" i="37"/>
  <c r="EK245" i="37"/>
  <c r="EK405" i="37" s="1"/>
  <c r="AQ410" i="37"/>
  <c r="BQ408" i="37"/>
  <c r="BQ245" i="37"/>
  <c r="BQ405" i="37" s="1"/>
  <c r="CD410" i="37"/>
  <c r="CX410" i="37"/>
  <c r="DF410" i="37"/>
  <c r="DT410" i="37"/>
  <c r="ED410" i="37"/>
  <c r="CM410" i="37"/>
  <c r="CU410" i="37"/>
  <c r="DC410" i="37"/>
  <c r="DO410" i="37"/>
  <c r="EA410" i="37"/>
  <c r="EK410" i="37"/>
  <c r="CJ408" i="37"/>
  <c r="CJ245" i="37"/>
  <c r="CJ405" i="37" s="1"/>
  <c r="CT408" i="37"/>
  <c r="CT245" i="37"/>
  <c r="CT405" i="37" s="1"/>
  <c r="DN408" i="37"/>
  <c r="DN245" i="37"/>
  <c r="DN405" i="37" s="1"/>
  <c r="DZ408" i="37"/>
  <c r="DZ405" i="37"/>
  <c r="DZ245" i="37"/>
  <c r="EJ408" i="37"/>
  <c r="EJ245" i="37"/>
  <c r="EJ405" i="37" s="1"/>
  <c r="ET390" i="37"/>
  <c r="CG408" i="37"/>
  <c r="CG245" i="37"/>
  <c r="CG405" i="37" s="1"/>
  <c r="CQ408" i="37"/>
  <c r="CQ245" i="37"/>
  <c r="CQ405" i="37" s="1"/>
  <c r="CY408" i="37"/>
  <c r="CY245" i="37"/>
  <c r="CY405" i="37" s="1"/>
  <c r="DG408" i="37"/>
  <c r="DG405" i="37"/>
  <c r="DG245" i="37"/>
  <c r="DU408" i="37"/>
  <c r="DU245" i="37"/>
  <c r="DU405" i="37" s="1"/>
  <c r="EG408" i="37"/>
  <c r="EG405" i="37"/>
  <c r="EG245" i="37"/>
  <c r="EQ140" i="37"/>
  <c r="ET140" i="37" s="1"/>
  <c r="U243" i="37"/>
  <c r="EO410" i="37"/>
  <c r="EO407" i="37"/>
  <c r="EO244" i="37"/>
  <c r="ES407" i="37"/>
  <c r="D408" i="37"/>
  <c r="ER404" i="37"/>
  <c r="ER408" i="37" s="1"/>
  <c r="D245" i="37"/>
  <c r="EO408" i="37"/>
  <c r="EO245" i="37"/>
  <c r="EO405" i="37" s="1"/>
  <c r="CG410" i="37"/>
  <c r="AX356" i="38"/>
  <c r="AX3" i="38"/>
  <c r="AX268" i="38" s="1"/>
  <c r="BA359" i="38"/>
  <c r="BA356" i="38"/>
  <c r="BA268" i="38"/>
  <c r="BA3" i="38"/>
  <c r="BB353" i="38"/>
  <c r="AU357" i="38"/>
  <c r="AU269" i="38"/>
  <c r="AU354" i="38" s="1"/>
  <c r="U357" i="38"/>
  <c r="U269" i="38"/>
  <c r="U354" i="38" s="1"/>
  <c r="U359" i="38"/>
  <c r="AK359" i="38"/>
  <c r="BA357" i="38"/>
  <c r="BA354" i="38"/>
  <c r="BA269" i="38"/>
  <c r="AZ357" i="38"/>
  <c r="AZ269" i="38"/>
  <c r="AZ354" i="38" s="1"/>
  <c r="H359" i="38"/>
  <c r="T359" i="38"/>
  <c r="AZ359" i="38"/>
  <c r="AW359" i="38"/>
  <c r="AW356" i="38"/>
  <c r="AW3" i="38"/>
  <c r="AW268" i="38" s="1"/>
  <c r="AN359" i="38"/>
  <c r="BB67" i="38"/>
  <c r="BB195" i="38" s="1"/>
  <c r="BB267" i="38" s="1"/>
  <c r="W359" i="38"/>
  <c r="AV357" i="38"/>
  <c r="AV269" i="38"/>
  <c r="AV354" i="38" s="1"/>
  <c r="AJ357" i="38"/>
  <c r="AJ359" i="38" s="1"/>
  <c r="AJ269" i="38"/>
  <c r="AQ357" i="38"/>
  <c r="AQ354" i="38"/>
  <c r="AQ269" i="38"/>
  <c r="L359" i="38"/>
  <c r="V359" i="38"/>
  <c r="C359" i="38"/>
  <c r="Q359" i="38"/>
  <c r="Y359" i="38"/>
  <c r="AY357" i="38"/>
  <c r="AY354" i="38"/>
  <c r="AY269" i="38"/>
  <c r="AV359" i="38"/>
  <c r="AV356" i="38"/>
  <c r="AV3" i="38"/>
  <c r="AV268" i="38" s="1"/>
  <c r="AY195" i="38"/>
  <c r="AY267" i="38" s="1"/>
  <c r="P359" i="38"/>
  <c r="X359" i="38"/>
  <c r="AX353" i="38"/>
  <c r="AX359" i="38" s="1"/>
  <c r="O359" i="38"/>
  <c r="J3" i="22"/>
  <c r="J24" i="22" s="1"/>
  <c r="J40" i="22" s="1"/>
  <c r="G16" i="19"/>
  <c r="F57" i="14"/>
  <c r="D43" i="14"/>
  <c r="D46" i="14"/>
  <c r="C48" i="14"/>
  <c r="C45" i="14"/>
  <c r="C42" i="14"/>
  <c r="B47" i="14"/>
  <c r="B44" i="14"/>
  <c r="B41" i="14"/>
  <c r="D39" i="14"/>
  <c r="D38" i="14"/>
  <c r="D37" i="14"/>
  <c r="D36" i="14"/>
  <c r="D35" i="14" s="1"/>
  <c r="C35" i="14"/>
  <c r="C20" i="14"/>
  <c r="D22" i="14"/>
  <c r="D20" i="14" s="1"/>
  <c r="I31" i="20" l="1"/>
  <c r="CO407" i="37"/>
  <c r="CO410" i="37"/>
  <c r="CO3" i="37"/>
  <c r="CO244" i="37" s="1"/>
  <c r="AU356" i="38"/>
  <c r="AU359" i="38"/>
  <c r="DA232" i="37"/>
  <c r="DA243" i="37" s="1"/>
  <c r="DA3" i="37" s="1"/>
  <c r="DA244" i="37" s="1"/>
  <c r="EM232" i="37"/>
  <c r="DB245" i="37"/>
  <c r="DB405" i="37" s="1"/>
  <c r="EM390" i="37"/>
  <c r="DA390" i="37"/>
  <c r="DA404" i="37" s="1"/>
  <c r="EN368" i="37"/>
  <c r="EP368" i="37" s="1"/>
  <c r="EP367" i="37"/>
  <c r="EP311" i="37"/>
  <c r="EM312" i="37"/>
  <c r="EP312" i="37" s="1"/>
  <c r="L410" i="37"/>
  <c r="L3" i="37"/>
  <c r="L244" i="37" s="1"/>
  <c r="L407" i="37"/>
  <c r="DA407" i="37"/>
  <c r="EN31" i="37"/>
  <c r="EP31" i="37" s="1"/>
  <c r="EP30" i="37"/>
  <c r="DN407" i="37"/>
  <c r="DN410" i="37"/>
  <c r="DN3" i="37"/>
  <c r="DN244" i="37" s="1"/>
  <c r="DB407" i="37"/>
  <c r="DB410" i="37"/>
  <c r="DB3" i="37"/>
  <c r="DB244" i="37" s="1"/>
  <c r="EN215" i="37"/>
  <c r="EP215" i="37" s="1"/>
  <c r="EP214" i="37"/>
  <c r="DP243" i="37"/>
  <c r="EN226" i="37"/>
  <c r="EP226" i="37" s="1"/>
  <c r="EP225" i="37"/>
  <c r="EP35" i="37"/>
  <c r="EN36" i="37"/>
  <c r="EP36" i="37" s="1"/>
  <c r="DP407" i="37"/>
  <c r="DP3" i="37"/>
  <c r="DP244" i="37" s="1"/>
  <c r="EN202" i="37"/>
  <c r="EP202" i="37" s="1"/>
  <c r="EP201" i="37"/>
  <c r="EN346" i="37"/>
  <c r="EP345" i="37"/>
  <c r="DP408" i="37"/>
  <c r="DP245" i="37"/>
  <c r="DP405" i="37" s="1"/>
  <c r="DP410" i="37"/>
  <c r="CP243" i="37"/>
  <c r="CP410" i="37" s="1"/>
  <c r="EN92" i="37"/>
  <c r="EP92" i="37" s="1"/>
  <c r="EP91" i="37"/>
  <c r="EN183" i="37"/>
  <c r="EP183" i="37" s="1"/>
  <c r="EP182" i="37"/>
  <c r="EQ408" i="37"/>
  <c r="ET404" i="37"/>
  <c r="ET408" i="37" s="1"/>
  <c r="ER245" i="37"/>
  <c r="D405" i="37"/>
  <c r="ER405" i="37" s="1"/>
  <c r="ES410" i="37"/>
  <c r="U410" i="37"/>
  <c r="U407" i="37"/>
  <c r="U244" i="37"/>
  <c r="EQ244" i="37" s="1"/>
  <c r="ET244" i="37" s="1"/>
  <c r="U3" i="37"/>
  <c r="EQ243" i="37"/>
  <c r="AQ405" i="37"/>
  <c r="ES405" i="37" s="1"/>
  <c r="EQ245" i="37"/>
  <c r="ET245" i="37" s="1"/>
  <c r="C405" i="37"/>
  <c r="EQ405" i="37" s="1"/>
  <c r="ER410" i="37"/>
  <c r="ER407" i="37"/>
  <c r="AY359" i="38"/>
  <c r="AY356" i="38"/>
  <c r="AY268" i="38"/>
  <c r="AY3" i="38"/>
  <c r="BB359" i="38"/>
  <c r="BB356" i="38"/>
  <c r="BB268" i="38"/>
  <c r="BB3" i="38"/>
  <c r="BB357" i="38"/>
  <c r="BB269" i="38"/>
  <c r="BB354" i="38" s="1"/>
  <c r="AX357" i="38"/>
  <c r="AX269" i="38"/>
  <c r="AX354" i="38" s="1"/>
  <c r="DA408" i="37" l="1"/>
  <c r="DA410" i="37"/>
  <c r="DA245" i="37"/>
  <c r="DA405" i="37" s="1"/>
  <c r="CP407" i="37"/>
  <c r="EP346" i="37"/>
  <c r="EN390" i="37"/>
  <c r="CP3" i="37"/>
  <c r="CP244" i="37" s="1"/>
  <c r="EQ410" i="37"/>
  <c r="EQ407" i="37"/>
  <c r="ET243" i="37"/>
  <c r="ET405" i="37"/>
  <c r="EV9" i="1"/>
  <c r="EP390" i="37" l="1"/>
  <c r="ET410" i="37"/>
  <c r="ET407" i="37"/>
  <c r="GY70" i="1"/>
  <c r="GY69" i="1"/>
  <c r="GY68" i="1"/>
  <c r="GY66" i="1"/>
  <c r="GY65" i="1"/>
  <c r="GY64" i="1"/>
  <c r="GY63" i="1"/>
  <c r="GY60" i="1"/>
  <c r="GY59" i="1"/>
  <c r="GY57" i="1"/>
  <c r="GY56" i="1"/>
  <c r="GY55" i="1"/>
  <c r="GY51" i="1"/>
  <c r="GY50" i="1"/>
  <c r="GY48" i="1"/>
  <c r="GY47" i="1"/>
  <c r="GY46" i="1"/>
  <c r="GY45" i="1"/>
  <c r="GY44" i="1"/>
  <c r="GY43" i="1"/>
  <c r="GY42" i="1"/>
  <c r="GY39" i="1"/>
  <c r="GY38" i="1"/>
  <c r="GY36" i="1"/>
  <c r="GY35" i="1"/>
  <c r="GY34" i="1"/>
  <c r="GY33" i="1"/>
  <c r="GY32" i="1"/>
  <c r="GY31" i="1"/>
  <c r="GY30" i="1"/>
  <c r="GY25" i="1"/>
  <c r="GY24" i="1"/>
  <c r="GY23" i="1"/>
  <c r="GY22" i="1"/>
  <c r="GY20" i="1"/>
  <c r="GY19" i="1"/>
  <c r="GY17" i="1"/>
  <c r="GY16" i="1"/>
  <c r="GY15" i="1"/>
  <c r="GY14" i="1"/>
  <c r="GY13" i="1"/>
  <c r="GY9" i="1"/>
  <c r="GY10" i="1"/>
  <c r="GY11" i="1"/>
  <c r="GV70" i="1"/>
  <c r="GV69" i="1"/>
  <c r="GV68" i="1"/>
  <c r="GV66" i="1"/>
  <c r="GV65" i="1"/>
  <c r="GV64" i="1"/>
  <c r="GV63" i="1"/>
  <c r="GV60" i="1"/>
  <c r="GV59" i="1"/>
  <c r="GV57" i="1"/>
  <c r="GV56" i="1"/>
  <c r="GV55" i="1"/>
  <c r="GV51" i="1"/>
  <c r="GV50" i="1"/>
  <c r="GV48" i="1"/>
  <c r="GV47" i="1"/>
  <c r="GV46" i="1"/>
  <c r="GV45" i="1"/>
  <c r="GV44" i="1"/>
  <c r="GV43" i="1"/>
  <c r="GV42" i="1"/>
  <c r="GV39" i="1"/>
  <c r="GV38" i="1"/>
  <c r="GV36" i="1"/>
  <c r="GV35" i="1"/>
  <c r="GV34" i="1"/>
  <c r="GV33" i="1"/>
  <c r="GV32" i="1"/>
  <c r="GV31" i="1"/>
  <c r="GV30" i="1"/>
  <c r="GV25" i="1"/>
  <c r="GV24" i="1"/>
  <c r="GV23" i="1"/>
  <c r="GV22" i="1"/>
  <c r="GV20" i="1"/>
  <c r="GV19" i="1"/>
  <c r="GV17" i="1"/>
  <c r="GV16" i="1"/>
  <c r="GV15" i="1"/>
  <c r="GV14" i="1"/>
  <c r="GV13" i="1"/>
  <c r="GV9" i="1"/>
  <c r="GV10" i="1"/>
  <c r="GV11" i="1"/>
  <c r="GS70" i="1"/>
  <c r="GS69" i="1"/>
  <c r="GS68" i="1"/>
  <c r="GS66" i="1"/>
  <c r="GS65" i="1"/>
  <c r="GS64" i="1"/>
  <c r="GS63" i="1"/>
  <c r="GS60" i="1"/>
  <c r="GS59" i="1"/>
  <c r="GS57" i="1"/>
  <c r="GS56" i="1"/>
  <c r="GS55" i="1"/>
  <c r="GS51" i="1"/>
  <c r="GS50" i="1"/>
  <c r="GS48" i="1"/>
  <c r="GS47" i="1"/>
  <c r="GS46" i="1"/>
  <c r="GS45" i="1"/>
  <c r="GS44" i="1"/>
  <c r="GS43" i="1"/>
  <c r="GS42" i="1"/>
  <c r="GS39" i="1"/>
  <c r="GS38" i="1"/>
  <c r="GS36" i="1"/>
  <c r="GS35" i="1"/>
  <c r="GS34" i="1"/>
  <c r="GS33" i="1"/>
  <c r="GS32" i="1"/>
  <c r="GS31" i="1"/>
  <c r="GS30" i="1"/>
  <c r="GS25" i="1"/>
  <c r="GS24" i="1"/>
  <c r="GS23" i="1"/>
  <c r="GS22" i="1"/>
  <c r="GS20" i="1"/>
  <c r="GS19" i="1"/>
  <c r="GS17" i="1"/>
  <c r="GS16" i="1"/>
  <c r="GS15" i="1"/>
  <c r="GS14" i="1"/>
  <c r="GS13" i="1"/>
  <c r="GS9" i="1"/>
  <c r="GS10" i="1"/>
  <c r="GS11" i="1"/>
  <c r="GY8" i="1"/>
  <c r="GV8" i="1"/>
  <c r="GS8" i="1"/>
  <c r="GP58" i="1"/>
  <c r="GP54" i="1"/>
  <c r="GP53" i="1" s="1"/>
  <c r="GP49" i="1"/>
  <c r="GP41" i="1"/>
  <c r="GP40" i="1"/>
  <c r="GP37" i="1"/>
  <c r="GP29" i="1"/>
  <c r="GP21" i="1"/>
  <c r="GP12" i="1"/>
  <c r="GM70" i="1"/>
  <c r="GM69" i="1"/>
  <c r="GM68" i="1"/>
  <c r="GM66" i="1"/>
  <c r="GM65" i="1"/>
  <c r="GM64" i="1"/>
  <c r="GM63" i="1"/>
  <c r="GM60" i="1"/>
  <c r="GM59" i="1"/>
  <c r="GM57" i="1"/>
  <c r="GM56" i="1"/>
  <c r="GM55" i="1"/>
  <c r="GM51" i="1"/>
  <c r="GM50" i="1"/>
  <c r="GM48" i="1"/>
  <c r="GM47" i="1"/>
  <c r="GM46" i="1"/>
  <c r="GM45" i="1"/>
  <c r="GM44" i="1"/>
  <c r="GM43" i="1"/>
  <c r="GM42" i="1"/>
  <c r="GM39" i="1"/>
  <c r="GM38" i="1"/>
  <c r="GM36" i="1"/>
  <c r="GM35" i="1"/>
  <c r="GM34" i="1"/>
  <c r="GM33" i="1"/>
  <c r="GM32" i="1"/>
  <c r="GM31" i="1"/>
  <c r="GM30" i="1"/>
  <c r="GM25" i="1"/>
  <c r="GM24" i="1"/>
  <c r="GM23" i="1"/>
  <c r="GM22" i="1"/>
  <c r="GM20" i="1"/>
  <c r="GM19" i="1"/>
  <c r="GM17" i="1"/>
  <c r="GM16" i="1"/>
  <c r="GM15" i="1"/>
  <c r="GM14" i="1"/>
  <c r="GM13" i="1"/>
  <c r="GM9" i="1"/>
  <c r="GM10" i="1"/>
  <c r="GM11" i="1"/>
  <c r="GJ70" i="1"/>
  <c r="GJ69" i="1"/>
  <c r="GJ68" i="1"/>
  <c r="GJ66" i="1"/>
  <c r="GJ65" i="1"/>
  <c r="GJ64" i="1"/>
  <c r="GJ63" i="1"/>
  <c r="GJ60" i="1"/>
  <c r="GJ59" i="1"/>
  <c r="GJ57" i="1"/>
  <c r="GJ56" i="1"/>
  <c r="GJ55" i="1"/>
  <c r="GJ51" i="1"/>
  <c r="GJ50" i="1"/>
  <c r="GJ48" i="1"/>
  <c r="GJ47" i="1"/>
  <c r="GJ46" i="1"/>
  <c r="GJ45" i="1"/>
  <c r="GJ44" i="1"/>
  <c r="GJ43" i="1"/>
  <c r="GJ42" i="1"/>
  <c r="GJ39" i="1"/>
  <c r="GJ38" i="1"/>
  <c r="GJ36" i="1"/>
  <c r="GJ35" i="1"/>
  <c r="GJ34" i="1"/>
  <c r="GJ33" i="1"/>
  <c r="GJ32" i="1"/>
  <c r="GJ31" i="1"/>
  <c r="GJ30" i="1"/>
  <c r="GJ25" i="1"/>
  <c r="GJ24" i="1"/>
  <c r="GJ23" i="1"/>
  <c r="GJ22" i="1"/>
  <c r="GJ20" i="1"/>
  <c r="GJ19" i="1"/>
  <c r="GJ17" i="1"/>
  <c r="GJ16" i="1"/>
  <c r="GJ15" i="1"/>
  <c r="GJ14" i="1"/>
  <c r="GJ13" i="1"/>
  <c r="GJ9" i="1"/>
  <c r="GJ10" i="1"/>
  <c r="GJ11" i="1"/>
  <c r="GG70" i="1"/>
  <c r="GG69" i="1"/>
  <c r="GG68" i="1"/>
  <c r="GG66" i="1"/>
  <c r="GG65" i="1"/>
  <c r="GG64" i="1"/>
  <c r="GG63" i="1"/>
  <c r="GG60" i="1"/>
  <c r="GG59" i="1"/>
  <c r="GG57" i="1"/>
  <c r="GG56" i="1"/>
  <c r="GG55" i="1"/>
  <c r="GG51" i="1"/>
  <c r="GG50" i="1"/>
  <c r="GG48" i="1"/>
  <c r="GG47" i="1"/>
  <c r="GG46" i="1"/>
  <c r="GG45" i="1"/>
  <c r="GG44" i="1"/>
  <c r="GG43" i="1"/>
  <c r="GG42" i="1"/>
  <c r="GG39" i="1"/>
  <c r="GG38" i="1"/>
  <c r="GG36" i="1"/>
  <c r="GG35" i="1"/>
  <c r="GG34" i="1"/>
  <c r="GG33" i="1"/>
  <c r="GG32" i="1"/>
  <c r="GG31" i="1"/>
  <c r="GG30" i="1"/>
  <c r="GG25" i="1"/>
  <c r="GG24" i="1"/>
  <c r="GG23" i="1"/>
  <c r="GG22" i="1"/>
  <c r="GG20" i="1"/>
  <c r="GG19" i="1"/>
  <c r="GG17" i="1"/>
  <c r="GG16" i="1"/>
  <c r="GG15" i="1"/>
  <c r="GG14" i="1"/>
  <c r="GG13" i="1"/>
  <c r="GG9" i="1"/>
  <c r="GG10" i="1"/>
  <c r="GG11" i="1"/>
  <c r="GD70" i="1"/>
  <c r="GD69" i="1"/>
  <c r="GD68" i="1"/>
  <c r="GD66" i="1"/>
  <c r="GD65" i="1"/>
  <c r="GD64" i="1"/>
  <c r="GD63" i="1"/>
  <c r="GD60" i="1"/>
  <c r="GD59" i="1"/>
  <c r="GD57" i="1"/>
  <c r="GD56" i="1"/>
  <c r="GD55" i="1"/>
  <c r="GD51" i="1"/>
  <c r="GD50" i="1"/>
  <c r="GD48" i="1"/>
  <c r="GD47" i="1"/>
  <c r="GD46" i="1"/>
  <c r="GD45" i="1"/>
  <c r="GD44" i="1"/>
  <c r="GD43" i="1"/>
  <c r="GD42" i="1"/>
  <c r="GD39" i="1"/>
  <c r="GD38" i="1"/>
  <c r="GD36" i="1"/>
  <c r="GD35" i="1"/>
  <c r="GD34" i="1"/>
  <c r="GD33" i="1"/>
  <c r="GD32" i="1"/>
  <c r="GD31" i="1"/>
  <c r="GD30" i="1"/>
  <c r="GD25" i="1"/>
  <c r="GD24" i="1"/>
  <c r="GD23" i="1"/>
  <c r="GD22" i="1"/>
  <c r="GD20" i="1"/>
  <c r="GD19" i="1"/>
  <c r="GD17" i="1"/>
  <c r="GD16" i="1"/>
  <c r="GP16" i="1" s="1"/>
  <c r="GD15" i="1"/>
  <c r="GD14" i="1"/>
  <c r="GP14" i="1" s="1"/>
  <c r="GD13" i="1"/>
  <c r="GD9" i="1"/>
  <c r="GD10" i="1"/>
  <c r="GD11" i="1"/>
  <c r="GA70" i="1"/>
  <c r="GA69" i="1"/>
  <c r="GP69" i="1" s="1"/>
  <c r="GA68" i="1"/>
  <c r="GA66" i="1"/>
  <c r="GA65" i="1"/>
  <c r="GA64" i="1"/>
  <c r="GA63" i="1"/>
  <c r="GA60" i="1"/>
  <c r="GA59" i="1"/>
  <c r="GA57" i="1"/>
  <c r="GA56" i="1"/>
  <c r="GA55" i="1"/>
  <c r="GA51" i="1"/>
  <c r="GA50" i="1"/>
  <c r="GA48" i="1"/>
  <c r="GA47" i="1"/>
  <c r="GA46" i="1"/>
  <c r="GA45" i="1"/>
  <c r="GA44" i="1"/>
  <c r="GA43" i="1"/>
  <c r="GA42" i="1"/>
  <c r="GA39" i="1"/>
  <c r="GA38" i="1"/>
  <c r="GA36" i="1"/>
  <c r="GA35" i="1"/>
  <c r="GA34" i="1"/>
  <c r="GA33" i="1"/>
  <c r="GA32" i="1"/>
  <c r="GA31" i="1"/>
  <c r="GA30" i="1"/>
  <c r="GA25" i="1"/>
  <c r="GA24" i="1"/>
  <c r="GA23" i="1"/>
  <c r="GA22" i="1"/>
  <c r="GA20" i="1"/>
  <c r="GA19" i="1"/>
  <c r="GA17" i="1"/>
  <c r="GA16" i="1"/>
  <c r="GA15" i="1"/>
  <c r="GA14" i="1"/>
  <c r="GA13" i="1"/>
  <c r="GA9" i="1"/>
  <c r="GA10" i="1"/>
  <c r="GA11" i="1"/>
  <c r="FX70" i="1"/>
  <c r="FX69" i="1"/>
  <c r="FX68" i="1"/>
  <c r="FX66" i="1"/>
  <c r="FX65" i="1"/>
  <c r="FX64" i="1"/>
  <c r="FX63" i="1"/>
  <c r="FX60" i="1"/>
  <c r="FX59" i="1"/>
  <c r="FX57" i="1"/>
  <c r="FX56" i="1"/>
  <c r="FX55" i="1"/>
  <c r="FX51" i="1"/>
  <c r="FX50" i="1"/>
  <c r="FX48" i="1"/>
  <c r="FX47" i="1"/>
  <c r="FX46" i="1"/>
  <c r="FX45" i="1"/>
  <c r="FX44" i="1"/>
  <c r="FX43" i="1"/>
  <c r="FX42" i="1"/>
  <c r="FX39" i="1"/>
  <c r="FX38" i="1"/>
  <c r="FX36" i="1"/>
  <c r="FX35" i="1"/>
  <c r="FX34" i="1"/>
  <c r="FX33" i="1"/>
  <c r="FX32" i="1"/>
  <c r="FX31" i="1"/>
  <c r="FX30" i="1"/>
  <c r="FX25" i="1"/>
  <c r="FX24" i="1"/>
  <c r="FX23" i="1"/>
  <c r="FX22" i="1"/>
  <c r="FX20" i="1"/>
  <c r="FX19" i="1"/>
  <c r="FX17" i="1"/>
  <c r="FX16" i="1"/>
  <c r="FX15" i="1"/>
  <c r="FX14" i="1"/>
  <c r="FX13" i="1"/>
  <c r="FX9" i="1"/>
  <c r="FX10" i="1"/>
  <c r="FX11" i="1"/>
  <c r="FU70" i="1"/>
  <c r="FU69" i="1"/>
  <c r="FU68" i="1"/>
  <c r="FU66" i="1"/>
  <c r="FU65" i="1"/>
  <c r="FU64" i="1"/>
  <c r="FU63" i="1"/>
  <c r="FU60" i="1"/>
  <c r="FU59" i="1"/>
  <c r="FU57" i="1"/>
  <c r="FU56" i="1"/>
  <c r="FU55" i="1"/>
  <c r="FU51" i="1"/>
  <c r="FU50" i="1"/>
  <c r="FU48" i="1"/>
  <c r="FU47" i="1"/>
  <c r="FU46" i="1"/>
  <c r="FU45" i="1"/>
  <c r="FU44" i="1"/>
  <c r="FU43" i="1"/>
  <c r="FU42" i="1"/>
  <c r="FU39" i="1"/>
  <c r="FU38" i="1"/>
  <c r="FU36" i="1"/>
  <c r="FU35" i="1"/>
  <c r="FU34" i="1"/>
  <c r="FU33" i="1"/>
  <c r="FU32" i="1"/>
  <c r="FU31" i="1"/>
  <c r="FU30" i="1"/>
  <c r="FU25" i="1"/>
  <c r="FU24" i="1"/>
  <c r="FU23" i="1"/>
  <c r="FU22" i="1"/>
  <c r="FU20" i="1"/>
  <c r="FU19" i="1"/>
  <c r="FU17" i="1"/>
  <c r="FU16" i="1"/>
  <c r="FU15" i="1"/>
  <c r="FU14" i="1"/>
  <c r="FU13" i="1"/>
  <c r="FU9" i="1"/>
  <c r="FU10" i="1"/>
  <c r="FU11" i="1"/>
  <c r="FR70" i="1"/>
  <c r="FR69" i="1"/>
  <c r="FR68" i="1"/>
  <c r="FR66" i="1"/>
  <c r="FR65" i="1"/>
  <c r="FR64" i="1"/>
  <c r="FR63" i="1"/>
  <c r="FR60" i="1"/>
  <c r="FR59" i="1"/>
  <c r="FR57" i="1"/>
  <c r="FR56" i="1"/>
  <c r="FR55" i="1"/>
  <c r="FR51" i="1"/>
  <c r="FR50" i="1"/>
  <c r="FR48" i="1"/>
  <c r="FR47" i="1"/>
  <c r="FR46" i="1"/>
  <c r="FR45" i="1"/>
  <c r="FR44" i="1"/>
  <c r="FR43" i="1"/>
  <c r="FR42" i="1"/>
  <c r="FR39" i="1"/>
  <c r="FR38" i="1"/>
  <c r="FR36" i="1"/>
  <c r="FR35" i="1"/>
  <c r="FR34" i="1"/>
  <c r="FR33" i="1"/>
  <c r="FR32" i="1"/>
  <c r="FR31" i="1"/>
  <c r="FR30" i="1"/>
  <c r="FR25" i="1"/>
  <c r="FR24" i="1"/>
  <c r="FR23" i="1"/>
  <c r="FR22" i="1"/>
  <c r="FR20" i="1"/>
  <c r="FR19" i="1"/>
  <c r="FR17" i="1"/>
  <c r="FR16" i="1"/>
  <c r="FR15" i="1"/>
  <c r="FR14" i="1"/>
  <c r="FR13" i="1"/>
  <c r="FR9" i="1"/>
  <c r="FR10" i="1"/>
  <c r="FR11" i="1"/>
  <c r="FO70" i="1"/>
  <c r="FO69" i="1"/>
  <c r="FO68" i="1"/>
  <c r="FO66" i="1"/>
  <c r="FO65" i="1"/>
  <c r="FO64" i="1"/>
  <c r="FO63" i="1"/>
  <c r="FO60" i="1"/>
  <c r="FO59" i="1"/>
  <c r="FO57" i="1"/>
  <c r="FO56" i="1"/>
  <c r="FO55" i="1"/>
  <c r="FO51" i="1"/>
  <c r="FO50" i="1"/>
  <c r="FO48" i="1"/>
  <c r="FO47" i="1"/>
  <c r="FO46" i="1"/>
  <c r="FO45" i="1"/>
  <c r="FO44" i="1"/>
  <c r="FO43" i="1"/>
  <c r="FO42" i="1"/>
  <c r="FO39" i="1"/>
  <c r="FO38" i="1"/>
  <c r="FO36" i="1"/>
  <c r="FO35" i="1"/>
  <c r="FO34" i="1"/>
  <c r="FO33" i="1"/>
  <c r="FO32" i="1"/>
  <c r="FO31" i="1"/>
  <c r="FO30" i="1"/>
  <c r="FO25" i="1"/>
  <c r="FO24" i="1"/>
  <c r="FO23" i="1"/>
  <c r="FO22" i="1"/>
  <c r="FO20" i="1"/>
  <c r="FO19" i="1"/>
  <c r="FO17" i="1"/>
  <c r="FO16" i="1"/>
  <c r="FO15" i="1"/>
  <c r="FO14" i="1"/>
  <c r="FO13" i="1"/>
  <c r="FO9" i="1"/>
  <c r="FO10" i="1"/>
  <c r="FO11" i="1"/>
  <c r="FL70" i="1"/>
  <c r="FL69" i="1"/>
  <c r="FL68" i="1"/>
  <c r="FL66" i="1"/>
  <c r="FL65" i="1"/>
  <c r="FL64" i="1"/>
  <c r="FL63" i="1"/>
  <c r="FL60" i="1"/>
  <c r="FL59" i="1"/>
  <c r="FL57" i="1"/>
  <c r="FL56" i="1"/>
  <c r="FL55" i="1"/>
  <c r="FL51" i="1"/>
  <c r="FL50" i="1"/>
  <c r="FL48" i="1"/>
  <c r="FL47" i="1"/>
  <c r="FL46" i="1"/>
  <c r="FL45" i="1"/>
  <c r="FL44" i="1"/>
  <c r="FL43" i="1"/>
  <c r="FL42" i="1"/>
  <c r="FL41" i="1" s="1"/>
  <c r="FL39" i="1"/>
  <c r="FL38" i="1"/>
  <c r="FL36" i="1"/>
  <c r="FL35" i="1"/>
  <c r="FL34" i="1"/>
  <c r="FL33" i="1"/>
  <c r="FL32" i="1"/>
  <c r="FL31" i="1"/>
  <c r="FL30" i="1"/>
  <c r="FL25" i="1"/>
  <c r="FL24" i="1"/>
  <c r="FL23" i="1"/>
  <c r="FL22" i="1"/>
  <c r="FL20" i="1"/>
  <c r="FL19" i="1"/>
  <c r="FL17" i="1"/>
  <c r="FL16" i="1"/>
  <c r="FL15" i="1"/>
  <c r="FL14" i="1"/>
  <c r="FL13" i="1"/>
  <c r="FL9" i="1"/>
  <c r="FL10" i="1"/>
  <c r="FL11" i="1"/>
  <c r="FI70" i="1"/>
  <c r="FI69" i="1"/>
  <c r="FI68" i="1"/>
  <c r="FI66" i="1"/>
  <c r="FI65" i="1"/>
  <c r="FI64" i="1"/>
  <c r="FI63" i="1"/>
  <c r="FI60" i="1"/>
  <c r="FI59" i="1"/>
  <c r="FI57" i="1"/>
  <c r="FI56" i="1"/>
  <c r="FI55" i="1"/>
  <c r="FI51" i="1"/>
  <c r="FI50" i="1"/>
  <c r="FI48" i="1"/>
  <c r="FI47" i="1"/>
  <c r="FI46" i="1"/>
  <c r="FI45" i="1"/>
  <c r="FI44" i="1"/>
  <c r="FI43" i="1"/>
  <c r="FI42" i="1"/>
  <c r="FI39" i="1"/>
  <c r="FI38" i="1"/>
  <c r="FI36" i="1"/>
  <c r="FI35" i="1"/>
  <c r="FI34" i="1"/>
  <c r="FI33" i="1"/>
  <c r="FI32" i="1"/>
  <c r="FI31" i="1"/>
  <c r="FI30" i="1"/>
  <c r="FI25" i="1"/>
  <c r="FI24" i="1"/>
  <c r="FI23" i="1"/>
  <c r="FI22" i="1"/>
  <c r="FI20" i="1"/>
  <c r="FI19" i="1"/>
  <c r="FI17" i="1"/>
  <c r="FI16" i="1"/>
  <c r="FI15" i="1"/>
  <c r="FI14" i="1"/>
  <c r="FI13" i="1"/>
  <c r="FI9" i="1"/>
  <c r="FI10" i="1"/>
  <c r="FI11" i="1"/>
  <c r="FF70" i="1"/>
  <c r="FF69" i="1"/>
  <c r="FF68" i="1"/>
  <c r="FF66" i="1"/>
  <c r="FF65" i="1"/>
  <c r="FF64" i="1"/>
  <c r="FF63" i="1"/>
  <c r="FF60" i="1"/>
  <c r="FF59" i="1"/>
  <c r="FF57" i="1"/>
  <c r="FF56" i="1"/>
  <c r="FF55" i="1"/>
  <c r="FF51" i="1"/>
  <c r="FF50" i="1"/>
  <c r="FF48" i="1"/>
  <c r="FF47" i="1"/>
  <c r="FF46" i="1"/>
  <c r="FF45" i="1"/>
  <c r="FF44" i="1"/>
  <c r="FF43" i="1"/>
  <c r="FF42" i="1"/>
  <c r="FF39" i="1"/>
  <c r="FF38" i="1"/>
  <c r="FF36" i="1"/>
  <c r="FF35" i="1"/>
  <c r="FF34" i="1"/>
  <c r="FF33" i="1"/>
  <c r="FF32" i="1"/>
  <c r="FF31" i="1"/>
  <c r="FF30" i="1"/>
  <c r="FF25" i="1"/>
  <c r="FF24" i="1"/>
  <c r="FF23" i="1"/>
  <c r="FF22" i="1"/>
  <c r="FF20" i="1"/>
  <c r="FF19" i="1"/>
  <c r="FF17" i="1"/>
  <c r="FF16" i="1"/>
  <c r="FF15" i="1"/>
  <c r="FF14" i="1"/>
  <c r="FF13" i="1"/>
  <c r="FF9" i="1"/>
  <c r="FF10" i="1"/>
  <c r="FF11" i="1"/>
  <c r="FC70" i="1"/>
  <c r="FC69" i="1"/>
  <c r="FC68" i="1"/>
  <c r="FC66" i="1"/>
  <c r="FC65" i="1"/>
  <c r="FC64" i="1"/>
  <c r="FC63" i="1"/>
  <c r="FC60" i="1"/>
  <c r="FC59" i="1"/>
  <c r="FC57" i="1"/>
  <c r="FC56" i="1"/>
  <c r="FC55" i="1"/>
  <c r="FC51" i="1"/>
  <c r="FC50" i="1"/>
  <c r="FC48" i="1"/>
  <c r="FC47" i="1"/>
  <c r="FC46" i="1"/>
  <c r="FC45" i="1"/>
  <c r="FC44" i="1"/>
  <c r="FC43" i="1"/>
  <c r="FC42" i="1"/>
  <c r="FC39" i="1"/>
  <c r="FC38" i="1"/>
  <c r="FC36" i="1"/>
  <c r="FC35" i="1"/>
  <c r="FC34" i="1"/>
  <c r="FC33" i="1"/>
  <c r="FC32" i="1"/>
  <c r="FC31" i="1"/>
  <c r="FC30" i="1"/>
  <c r="FC25" i="1"/>
  <c r="FC24" i="1"/>
  <c r="FC23" i="1"/>
  <c r="FC22" i="1"/>
  <c r="FC20" i="1"/>
  <c r="FC19" i="1"/>
  <c r="FC17" i="1"/>
  <c r="FC16" i="1"/>
  <c r="FC15" i="1"/>
  <c r="FC14" i="1"/>
  <c r="FC13" i="1"/>
  <c r="FC9" i="1"/>
  <c r="FC10" i="1"/>
  <c r="FC11" i="1"/>
  <c r="EZ70" i="1"/>
  <c r="EZ69" i="1"/>
  <c r="EZ68" i="1"/>
  <c r="EZ66" i="1"/>
  <c r="EZ65" i="1"/>
  <c r="EZ64" i="1"/>
  <c r="EZ63" i="1"/>
  <c r="GP63" i="1" s="1"/>
  <c r="EZ60" i="1"/>
  <c r="EZ59" i="1"/>
  <c r="EZ57" i="1"/>
  <c r="EZ56" i="1"/>
  <c r="EZ55" i="1"/>
  <c r="EZ51" i="1"/>
  <c r="EZ50" i="1"/>
  <c r="EZ48" i="1"/>
  <c r="EZ47" i="1"/>
  <c r="EZ46" i="1"/>
  <c r="EZ45" i="1"/>
  <c r="EZ44" i="1"/>
  <c r="EZ43" i="1"/>
  <c r="EZ42" i="1"/>
  <c r="EZ39" i="1"/>
  <c r="EZ38" i="1"/>
  <c r="EZ36" i="1"/>
  <c r="GP36" i="1" s="1"/>
  <c r="GP28" i="1" s="1"/>
  <c r="GP52" i="1" s="1"/>
  <c r="EZ35" i="1"/>
  <c r="EZ34" i="1"/>
  <c r="EZ33" i="1"/>
  <c r="EZ32" i="1"/>
  <c r="EZ31" i="1"/>
  <c r="EZ30" i="1"/>
  <c r="EZ25" i="1"/>
  <c r="EZ24" i="1"/>
  <c r="EZ23" i="1"/>
  <c r="EZ22" i="1"/>
  <c r="EZ20" i="1"/>
  <c r="EZ19" i="1"/>
  <c r="GP19" i="1" s="1"/>
  <c r="EZ17" i="1"/>
  <c r="EZ16" i="1"/>
  <c r="EZ15" i="1"/>
  <c r="EZ14" i="1"/>
  <c r="EZ13" i="1"/>
  <c r="EZ9" i="1"/>
  <c r="GP9" i="1" s="1"/>
  <c r="EZ10" i="1"/>
  <c r="EZ11" i="1"/>
  <c r="GP68" i="1"/>
  <c r="GP66" i="1"/>
  <c r="GP65" i="1"/>
  <c r="GP64" i="1"/>
  <c r="GP60" i="1"/>
  <c r="GP59" i="1"/>
  <c r="GP57" i="1"/>
  <c r="GP56" i="1"/>
  <c r="GP55" i="1"/>
  <c r="GP51" i="1"/>
  <c r="GP50" i="1"/>
  <c r="GP48" i="1"/>
  <c r="GP47" i="1"/>
  <c r="GP46" i="1"/>
  <c r="GP45" i="1"/>
  <c r="GP44" i="1"/>
  <c r="GP43" i="1"/>
  <c r="GP42" i="1"/>
  <c r="GP39" i="1"/>
  <c r="GP38" i="1"/>
  <c r="GP35" i="1"/>
  <c r="GP34" i="1"/>
  <c r="GP33" i="1"/>
  <c r="GP32" i="1"/>
  <c r="GP31" i="1"/>
  <c r="GP30" i="1"/>
  <c r="GP25" i="1"/>
  <c r="GP24" i="1"/>
  <c r="GP23" i="1"/>
  <c r="GP22" i="1"/>
  <c r="GP17" i="1"/>
  <c r="GP15" i="1"/>
  <c r="GP13" i="1"/>
  <c r="GP11" i="1"/>
  <c r="GM8" i="1"/>
  <c r="GJ8" i="1"/>
  <c r="GG8" i="1"/>
  <c r="GD8" i="1"/>
  <c r="GA8" i="1"/>
  <c r="FX8" i="1"/>
  <c r="FU8" i="1"/>
  <c r="FR8" i="1"/>
  <c r="FO8" i="1"/>
  <c r="FL8" i="1"/>
  <c r="FL67" i="1"/>
  <c r="FL62" i="1"/>
  <c r="FL58" i="1"/>
  <c r="FL54" i="1"/>
  <c r="FL53" i="1" s="1"/>
  <c r="FL49" i="1"/>
  <c r="FL37" i="1"/>
  <c r="FL29" i="1"/>
  <c r="FL28" i="1" s="1"/>
  <c r="FL21" i="1"/>
  <c r="FL18" i="1" s="1"/>
  <c r="FL12" i="1"/>
  <c r="FI8" i="1"/>
  <c r="FF8" i="1"/>
  <c r="FC8" i="1"/>
  <c r="EZ8" i="1"/>
  <c r="GP20" i="1" l="1"/>
  <c r="GP70" i="1"/>
  <c r="GP67" i="1" s="1"/>
  <c r="GP18" i="1"/>
  <c r="FL7" i="1"/>
  <c r="FL26" i="1" s="1"/>
  <c r="FL6" i="1" s="1"/>
  <c r="GP62" i="1"/>
  <c r="GP10" i="1"/>
  <c r="GP8" i="1"/>
  <c r="FL61" i="1"/>
  <c r="FL40" i="1"/>
  <c r="FL52" i="1" s="1"/>
  <c r="BE12" i="10"/>
  <c r="BE7" i="10" s="1"/>
  <c r="BE21" i="10"/>
  <c r="BE18" i="10" s="1"/>
  <c r="BE29" i="10"/>
  <c r="BE37" i="10"/>
  <c r="BE41" i="10"/>
  <c r="BE49" i="10"/>
  <c r="BE54" i="10"/>
  <c r="BE58" i="10"/>
  <c r="BE62" i="10"/>
  <c r="BE67" i="10"/>
  <c r="BE12" i="9"/>
  <c r="BE7" i="9" s="1"/>
  <c r="BE21" i="9"/>
  <c r="BE18" i="9" s="1"/>
  <c r="BE29" i="9"/>
  <c r="BE37" i="9"/>
  <c r="BE41" i="9"/>
  <c r="BE49" i="9"/>
  <c r="BE54" i="9"/>
  <c r="BE58" i="9"/>
  <c r="BE62" i="9"/>
  <c r="BE67" i="9"/>
  <c r="BE12" i="5"/>
  <c r="BE7" i="5" s="1"/>
  <c r="BE21" i="5"/>
  <c r="BE18" i="5" s="1"/>
  <c r="BE29" i="5"/>
  <c r="BE37" i="5"/>
  <c r="BE41" i="5"/>
  <c r="BE49" i="5"/>
  <c r="BE54" i="5"/>
  <c r="BE58" i="5"/>
  <c r="BE62" i="5"/>
  <c r="BE67" i="5"/>
  <c r="GP61" i="1" l="1"/>
  <c r="GP27" i="1" s="1"/>
  <c r="FL27" i="1"/>
  <c r="GP7" i="1"/>
  <c r="GP26" i="1" s="1"/>
  <c r="GP6" i="1" s="1"/>
  <c r="BE53" i="10"/>
  <c r="BE61" i="10"/>
  <c r="BE28" i="10"/>
  <c r="BE40" i="10"/>
  <c r="BE28" i="9"/>
  <c r="BE53" i="9"/>
  <c r="BE61" i="9"/>
  <c r="BE40" i="9"/>
  <c r="BE53" i="5"/>
  <c r="BE28" i="5"/>
  <c r="BE61" i="5"/>
  <c r="BE40" i="5"/>
  <c r="BE52" i="5" s="1"/>
  <c r="BE26" i="10"/>
  <c r="BE6" i="10" s="1"/>
  <c r="BE26" i="9"/>
  <c r="BE26" i="5"/>
  <c r="BE6" i="5" s="1"/>
  <c r="BE72" i="5" s="1"/>
  <c r="HB69" i="1"/>
  <c r="HA69" i="1"/>
  <c r="DR69" i="1"/>
  <c r="E67" i="1"/>
  <c r="H67" i="1"/>
  <c r="K67" i="1"/>
  <c r="N67" i="1"/>
  <c r="Q67" i="1"/>
  <c r="T67" i="1"/>
  <c r="W67" i="1"/>
  <c r="Z67" i="1"/>
  <c r="AC67" i="1"/>
  <c r="AF67" i="1"/>
  <c r="AI67" i="1"/>
  <c r="AL67" i="1"/>
  <c r="AO67" i="1"/>
  <c r="AR67" i="1"/>
  <c r="AU67" i="1"/>
  <c r="AX67" i="1"/>
  <c r="BA67" i="1"/>
  <c r="BD67" i="1"/>
  <c r="BG67" i="1"/>
  <c r="BJ67" i="1"/>
  <c r="BM67" i="1"/>
  <c r="BP67" i="1"/>
  <c r="BS67" i="1"/>
  <c r="BV67" i="1"/>
  <c r="BY67" i="1"/>
  <c r="CB67" i="1"/>
  <c r="CE67" i="1"/>
  <c r="CH67" i="1"/>
  <c r="CK67" i="1"/>
  <c r="CN67" i="1"/>
  <c r="CQ67" i="1"/>
  <c r="CT67" i="1"/>
  <c r="CW67" i="1"/>
  <c r="CZ67" i="1"/>
  <c r="DC67" i="1"/>
  <c r="DF67" i="1"/>
  <c r="DI67" i="1"/>
  <c r="DL67" i="1"/>
  <c r="DO67" i="1"/>
  <c r="DU67" i="1"/>
  <c r="DX67" i="1"/>
  <c r="EA67" i="1"/>
  <c r="ED67" i="1"/>
  <c r="EG67" i="1"/>
  <c r="EJ67" i="1"/>
  <c r="EM67" i="1"/>
  <c r="EP67" i="1"/>
  <c r="ES67" i="1"/>
  <c r="EY67" i="1"/>
  <c r="FB67" i="1"/>
  <c r="FE67" i="1"/>
  <c r="FH67" i="1"/>
  <c r="FN67" i="1"/>
  <c r="FQ67" i="1"/>
  <c r="FT67" i="1"/>
  <c r="FW67" i="1"/>
  <c r="FZ67" i="1"/>
  <c r="GC67" i="1"/>
  <c r="GF67" i="1"/>
  <c r="GI67" i="1"/>
  <c r="GL67" i="1"/>
  <c r="GR67" i="1"/>
  <c r="GU67" i="1"/>
  <c r="GX67" i="1"/>
  <c r="GZ68" i="1"/>
  <c r="B67" i="1"/>
  <c r="BE52" i="10" l="1"/>
  <c r="BE27" i="10" s="1"/>
  <c r="BE52" i="9"/>
  <c r="BE27" i="9" s="1"/>
  <c r="BE73" i="9" s="1"/>
  <c r="BE6" i="9"/>
  <c r="BE72" i="9" s="1"/>
  <c r="BE27" i="5"/>
  <c r="BE73" i="5" s="1"/>
  <c r="HD69" i="1"/>
  <c r="BE74" i="5"/>
  <c r="GY67" i="1"/>
  <c r="GZ67" i="1" s="1"/>
  <c r="GV67" i="1"/>
  <c r="GS67" i="1"/>
  <c r="GT67" i="1" s="1"/>
  <c r="GZ63" i="1"/>
  <c r="GW63" i="1"/>
  <c r="GT63" i="1"/>
  <c r="GX62" i="1"/>
  <c r="GX61" i="1" s="1"/>
  <c r="GU62" i="1"/>
  <c r="GU61" i="1" s="1"/>
  <c r="GR62" i="1"/>
  <c r="GR61" i="1" s="1"/>
  <c r="GX58" i="1"/>
  <c r="GU58" i="1"/>
  <c r="GR58" i="1"/>
  <c r="GX54" i="1"/>
  <c r="GX53" i="1" s="1"/>
  <c r="GU54" i="1"/>
  <c r="GU53" i="1" s="1"/>
  <c r="GR54" i="1"/>
  <c r="GR53" i="1" s="1"/>
  <c r="GX49" i="1"/>
  <c r="GU49" i="1"/>
  <c r="GR49" i="1"/>
  <c r="GX41" i="1"/>
  <c r="GX40" i="1" s="1"/>
  <c r="GU41" i="1"/>
  <c r="GU40" i="1" s="1"/>
  <c r="GR41" i="1"/>
  <c r="GR40" i="1" s="1"/>
  <c r="GX37" i="1"/>
  <c r="GU37" i="1"/>
  <c r="GR37" i="1"/>
  <c r="GX29" i="1"/>
  <c r="GX28" i="1" s="1"/>
  <c r="GU29" i="1"/>
  <c r="GU28" i="1" s="1"/>
  <c r="GR29" i="1"/>
  <c r="GR28" i="1" s="1"/>
  <c r="GX21" i="1"/>
  <c r="GX18" i="1" s="1"/>
  <c r="GU21" i="1"/>
  <c r="GR21" i="1"/>
  <c r="GR18" i="1" s="1"/>
  <c r="GU18" i="1"/>
  <c r="GX12" i="1"/>
  <c r="GX7" i="1" s="1"/>
  <c r="GU12" i="1"/>
  <c r="GU7" i="1" s="1"/>
  <c r="GR12" i="1"/>
  <c r="GR7" i="1" s="1"/>
  <c r="GZ10" i="1"/>
  <c r="GW10" i="1"/>
  <c r="GT10" i="1"/>
  <c r="GZ9" i="1"/>
  <c r="GW9" i="1"/>
  <c r="GT9" i="1"/>
  <c r="GZ8" i="1"/>
  <c r="GW8" i="1"/>
  <c r="GT8" i="1"/>
  <c r="GJ67" i="1"/>
  <c r="GD67" i="1"/>
  <c r="FX67" i="1"/>
  <c r="FY67" i="1" s="1"/>
  <c r="FR67" i="1"/>
  <c r="FI67" i="1"/>
  <c r="FJ67" i="1" s="1"/>
  <c r="FC67" i="1"/>
  <c r="GN63" i="1"/>
  <c r="GH63" i="1"/>
  <c r="GB63" i="1"/>
  <c r="FV63" i="1"/>
  <c r="FJ63" i="1"/>
  <c r="FD63" i="1"/>
  <c r="FA63" i="1"/>
  <c r="GM62" i="1"/>
  <c r="GL62" i="1"/>
  <c r="GL61" i="1" s="1"/>
  <c r="GI62" i="1"/>
  <c r="GI61" i="1" s="1"/>
  <c r="GF62" i="1"/>
  <c r="GF61" i="1" s="1"/>
  <c r="GC62" i="1"/>
  <c r="GC61" i="1" s="1"/>
  <c r="FZ62" i="1"/>
  <c r="FZ61" i="1" s="1"/>
  <c r="FW62" i="1"/>
  <c r="FW61" i="1" s="1"/>
  <c r="FT62" i="1"/>
  <c r="FT61" i="1" s="1"/>
  <c r="FQ62" i="1"/>
  <c r="FQ61" i="1" s="1"/>
  <c r="FN62" i="1"/>
  <c r="FN61" i="1" s="1"/>
  <c r="FH62" i="1"/>
  <c r="FE62" i="1"/>
  <c r="FE61" i="1" s="1"/>
  <c r="FB62" i="1"/>
  <c r="FB61" i="1" s="1"/>
  <c r="EY62" i="1"/>
  <c r="EY61" i="1" s="1"/>
  <c r="FH61" i="1"/>
  <c r="GJ58" i="1"/>
  <c r="GG58" i="1"/>
  <c r="GD58" i="1"/>
  <c r="GA58" i="1"/>
  <c r="FU58" i="1"/>
  <c r="FR58" i="1"/>
  <c r="FI58" i="1"/>
  <c r="FF58" i="1"/>
  <c r="FC58" i="1"/>
  <c r="GM58" i="1"/>
  <c r="GL58" i="1"/>
  <c r="GI58" i="1"/>
  <c r="GF58" i="1"/>
  <c r="GC58" i="1"/>
  <c r="FZ58" i="1"/>
  <c r="FW58" i="1"/>
  <c r="FT58" i="1"/>
  <c r="FQ58" i="1"/>
  <c r="FN58" i="1"/>
  <c r="FH58" i="1"/>
  <c r="FE58" i="1"/>
  <c r="FB58" i="1"/>
  <c r="EZ58" i="1"/>
  <c r="EY58" i="1"/>
  <c r="GM54" i="1"/>
  <c r="GG54" i="1"/>
  <c r="GA54" i="1"/>
  <c r="FU54" i="1"/>
  <c r="FF54" i="1"/>
  <c r="EZ54" i="1"/>
  <c r="GL54" i="1"/>
  <c r="GL53" i="1" s="1"/>
  <c r="GI54" i="1"/>
  <c r="GF54" i="1"/>
  <c r="GF53" i="1" s="1"/>
  <c r="GC54" i="1"/>
  <c r="FZ54" i="1"/>
  <c r="FZ53" i="1" s="1"/>
  <c r="FW54" i="1"/>
  <c r="FT54" i="1"/>
  <c r="FT53" i="1" s="1"/>
  <c r="FQ54" i="1"/>
  <c r="FN54" i="1"/>
  <c r="FN53" i="1" s="1"/>
  <c r="FH54" i="1"/>
  <c r="FE54" i="1"/>
  <c r="FE53" i="1" s="1"/>
  <c r="FB54" i="1"/>
  <c r="FB53" i="1" s="1"/>
  <c r="EY54" i="1"/>
  <c r="FQ53" i="1"/>
  <c r="GM49" i="1"/>
  <c r="GG49" i="1"/>
  <c r="GA49" i="1"/>
  <c r="FU49" i="1"/>
  <c r="FF49" i="1"/>
  <c r="EZ49" i="1"/>
  <c r="GL49" i="1"/>
  <c r="GI49" i="1"/>
  <c r="GF49" i="1"/>
  <c r="GC49" i="1"/>
  <c r="FZ49" i="1"/>
  <c r="FW49" i="1"/>
  <c r="FT49" i="1"/>
  <c r="FQ49" i="1"/>
  <c r="FN49" i="1"/>
  <c r="FH49" i="1"/>
  <c r="FE49" i="1"/>
  <c r="FB49" i="1"/>
  <c r="EY49" i="1"/>
  <c r="GJ41" i="1"/>
  <c r="GG41" i="1"/>
  <c r="GD41" i="1"/>
  <c r="GA41" i="1"/>
  <c r="FX41" i="1"/>
  <c r="FU41" i="1"/>
  <c r="FR41" i="1"/>
  <c r="FI41" i="1"/>
  <c r="FF41" i="1"/>
  <c r="FC41" i="1"/>
  <c r="EZ41" i="1"/>
  <c r="GM41" i="1"/>
  <c r="GL41" i="1"/>
  <c r="GL40" i="1" s="1"/>
  <c r="GI41" i="1"/>
  <c r="GI40" i="1" s="1"/>
  <c r="GF41" i="1"/>
  <c r="GF40" i="1" s="1"/>
  <c r="GC41" i="1"/>
  <c r="FZ41" i="1"/>
  <c r="FZ40" i="1" s="1"/>
  <c r="FW41" i="1"/>
  <c r="FT41" i="1"/>
  <c r="FT40" i="1" s="1"/>
  <c r="FQ41" i="1"/>
  <c r="FN41" i="1"/>
  <c r="FH41" i="1"/>
  <c r="FE41" i="1"/>
  <c r="FE40" i="1" s="1"/>
  <c r="FB41" i="1"/>
  <c r="EY41" i="1"/>
  <c r="GJ37" i="1"/>
  <c r="GG37" i="1"/>
  <c r="GD37" i="1"/>
  <c r="GA37" i="1"/>
  <c r="FX37" i="1"/>
  <c r="FU37" i="1"/>
  <c r="FR37" i="1"/>
  <c r="FI37" i="1"/>
  <c r="FC37" i="1"/>
  <c r="EZ37" i="1"/>
  <c r="GM37" i="1"/>
  <c r="GL37" i="1"/>
  <c r="GI37" i="1"/>
  <c r="GF37" i="1"/>
  <c r="GC37" i="1"/>
  <c r="FZ37" i="1"/>
  <c r="FW37" i="1"/>
  <c r="FT37" i="1"/>
  <c r="FQ37" i="1"/>
  <c r="FN37" i="1"/>
  <c r="FH37" i="1"/>
  <c r="FF37" i="1"/>
  <c r="FE37" i="1"/>
  <c r="FB37" i="1"/>
  <c r="EY37" i="1"/>
  <c r="GM29" i="1"/>
  <c r="GG29" i="1"/>
  <c r="GA29" i="1"/>
  <c r="FU29" i="1"/>
  <c r="EZ29" i="1"/>
  <c r="GL29" i="1"/>
  <c r="GI29" i="1"/>
  <c r="GF29" i="1"/>
  <c r="GF28" i="1" s="1"/>
  <c r="GC29" i="1"/>
  <c r="FZ29" i="1"/>
  <c r="FW29" i="1"/>
  <c r="FT29" i="1"/>
  <c r="FQ29" i="1"/>
  <c r="FN29" i="1"/>
  <c r="FH29" i="1"/>
  <c r="FE29" i="1"/>
  <c r="FB29" i="1"/>
  <c r="EY29" i="1"/>
  <c r="GM21" i="1"/>
  <c r="GG21" i="1"/>
  <c r="GA21" i="1"/>
  <c r="FU21" i="1"/>
  <c r="FF21" i="1"/>
  <c r="EZ21" i="1"/>
  <c r="GL21" i="1"/>
  <c r="GL18" i="1" s="1"/>
  <c r="GI21" i="1"/>
  <c r="GI18" i="1" s="1"/>
  <c r="GF21" i="1"/>
  <c r="GF18" i="1" s="1"/>
  <c r="GC21" i="1"/>
  <c r="GC18" i="1" s="1"/>
  <c r="FZ21" i="1"/>
  <c r="FZ18" i="1" s="1"/>
  <c r="FW21" i="1"/>
  <c r="FW18" i="1" s="1"/>
  <c r="FT21" i="1"/>
  <c r="FT18" i="1" s="1"/>
  <c r="FQ21" i="1"/>
  <c r="FQ18" i="1" s="1"/>
  <c r="FN21" i="1"/>
  <c r="FN18" i="1" s="1"/>
  <c r="FH21" i="1"/>
  <c r="FH18" i="1" s="1"/>
  <c r="FE21" i="1"/>
  <c r="FE18" i="1" s="1"/>
  <c r="FB21" i="1"/>
  <c r="FB18" i="1" s="1"/>
  <c r="EY21" i="1"/>
  <c r="EY18" i="1" s="1"/>
  <c r="GJ12" i="1"/>
  <c r="GG12" i="1"/>
  <c r="GD12" i="1"/>
  <c r="GA12" i="1"/>
  <c r="FX12" i="1"/>
  <c r="FU12" i="1"/>
  <c r="FR12" i="1"/>
  <c r="FI12" i="1"/>
  <c r="FF12" i="1"/>
  <c r="FC12" i="1"/>
  <c r="EZ12" i="1"/>
  <c r="GM12" i="1"/>
  <c r="GL12" i="1"/>
  <c r="GL7" i="1" s="1"/>
  <c r="GI12" i="1"/>
  <c r="GI7" i="1" s="1"/>
  <c r="GF12" i="1"/>
  <c r="GF7" i="1" s="1"/>
  <c r="GC12" i="1"/>
  <c r="GC7" i="1" s="1"/>
  <c r="FZ12" i="1"/>
  <c r="FZ7" i="1" s="1"/>
  <c r="FW12" i="1"/>
  <c r="FW7" i="1" s="1"/>
  <c r="FT12" i="1"/>
  <c r="FT7" i="1" s="1"/>
  <c r="FQ12" i="1"/>
  <c r="FQ7" i="1" s="1"/>
  <c r="FN12" i="1"/>
  <c r="FN7" i="1" s="1"/>
  <c r="FH12" i="1"/>
  <c r="FH7" i="1" s="1"/>
  <c r="FE12" i="1"/>
  <c r="FE7" i="1" s="1"/>
  <c r="FB12" i="1"/>
  <c r="EY12" i="1"/>
  <c r="EY7" i="1" s="1"/>
  <c r="GH11" i="1"/>
  <c r="GN10" i="1"/>
  <c r="GK10" i="1"/>
  <c r="GH10" i="1"/>
  <c r="GE10" i="1"/>
  <c r="GB10" i="1"/>
  <c r="FY10" i="1"/>
  <c r="FV10" i="1"/>
  <c r="FS10" i="1"/>
  <c r="FJ10" i="1"/>
  <c r="FG10" i="1"/>
  <c r="FD10" i="1"/>
  <c r="FA10" i="1"/>
  <c r="GN9" i="1"/>
  <c r="GK9" i="1"/>
  <c r="GE9" i="1"/>
  <c r="GB9" i="1"/>
  <c r="FY9" i="1"/>
  <c r="FS9" i="1"/>
  <c r="FJ9" i="1"/>
  <c r="FD9" i="1"/>
  <c r="FA9" i="1"/>
  <c r="GN8" i="1"/>
  <c r="GK8" i="1"/>
  <c r="GH8" i="1"/>
  <c r="GE8" i="1"/>
  <c r="GB8" i="1"/>
  <c r="FY8" i="1"/>
  <c r="FV8" i="1"/>
  <c r="FS8" i="1"/>
  <c r="FJ8" i="1"/>
  <c r="FG8" i="1"/>
  <c r="FD8" i="1"/>
  <c r="FA8" i="1"/>
  <c r="FB7" i="1"/>
  <c r="ET70" i="1"/>
  <c r="EQ70" i="1"/>
  <c r="EN70" i="1"/>
  <c r="EK70" i="1"/>
  <c r="EH70" i="1"/>
  <c r="EE70" i="1"/>
  <c r="EB70" i="1"/>
  <c r="DY70" i="1"/>
  <c r="ET68" i="1"/>
  <c r="ET67" i="1" s="1"/>
  <c r="EU67" i="1" s="1"/>
  <c r="EQ68" i="1"/>
  <c r="EQ67" i="1" s="1"/>
  <c r="EN68" i="1"/>
  <c r="EN67" i="1" s="1"/>
  <c r="EK68" i="1"/>
  <c r="EK67" i="1" s="1"/>
  <c r="EH68" i="1"/>
  <c r="EH67" i="1" s="1"/>
  <c r="EI67" i="1" s="1"/>
  <c r="EE68" i="1"/>
  <c r="EE67" i="1" s="1"/>
  <c r="EF67" i="1" s="1"/>
  <c r="EB68" i="1"/>
  <c r="EB67" i="1" s="1"/>
  <c r="DY68" i="1"/>
  <c r="DY67" i="1" s="1"/>
  <c r="ET66" i="1"/>
  <c r="EQ66" i="1"/>
  <c r="EN66" i="1"/>
  <c r="EK66" i="1"/>
  <c r="EH66" i="1"/>
  <c r="EE66" i="1"/>
  <c r="EB66" i="1"/>
  <c r="DY66" i="1"/>
  <c r="ET65" i="1"/>
  <c r="EQ65" i="1"/>
  <c r="EN65" i="1"/>
  <c r="EK65" i="1"/>
  <c r="EH65" i="1"/>
  <c r="EE65" i="1"/>
  <c r="EB65" i="1"/>
  <c r="DY65" i="1"/>
  <c r="ET64" i="1"/>
  <c r="EQ64" i="1"/>
  <c r="EN64" i="1"/>
  <c r="EK64" i="1"/>
  <c r="EH64" i="1"/>
  <c r="EE64" i="1"/>
  <c r="EB64" i="1"/>
  <c r="DY64" i="1"/>
  <c r="ET63" i="1"/>
  <c r="EQ63" i="1"/>
  <c r="EN63" i="1"/>
  <c r="EK63" i="1"/>
  <c r="EH63" i="1"/>
  <c r="EE63" i="1"/>
  <c r="EB63" i="1"/>
  <c r="DY63" i="1"/>
  <c r="ES62" i="1"/>
  <c r="EP62" i="1"/>
  <c r="EM62" i="1"/>
  <c r="EJ62" i="1"/>
  <c r="EG62" i="1"/>
  <c r="ED62" i="1"/>
  <c r="ED61" i="1" s="1"/>
  <c r="EA62" i="1"/>
  <c r="DX62" i="1"/>
  <c r="DX61" i="1" s="1"/>
  <c r="ES61" i="1"/>
  <c r="EP61" i="1"/>
  <c r="EM61" i="1"/>
  <c r="EJ61" i="1"/>
  <c r="EA61" i="1"/>
  <c r="ET60" i="1"/>
  <c r="EQ60" i="1"/>
  <c r="EN60" i="1"/>
  <c r="EK60" i="1"/>
  <c r="EH60" i="1"/>
  <c r="EE60" i="1"/>
  <c r="EB60" i="1"/>
  <c r="DY60" i="1"/>
  <c r="ET59" i="1"/>
  <c r="EQ59" i="1"/>
  <c r="EQ58" i="1" s="1"/>
  <c r="EN59" i="1"/>
  <c r="EN58" i="1" s="1"/>
  <c r="EK59" i="1"/>
  <c r="EK58" i="1" s="1"/>
  <c r="EH59" i="1"/>
  <c r="EH58" i="1" s="1"/>
  <c r="EE59" i="1"/>
  <c r="EE58" i="1" s="1"/>
  <c r="EB59" i="1"/>
  <c r="EB58" i="1" s="1"/>
  <c r="DY59" i="1"/>
  <c r="DY58" i="1" s="1"/>
  <c r="ET58" i="1"/>
  <c r="ES58" i="1"/>
  <c r="EP58" i="1"/>
  <c r="EM58" i="1"/>
  <c r="EJ58" i="1"/>
  <c r="EG58" i="1"/>
  <c r="ED58" i="1"/>
  <c r="EA58" i="1"/>
  <c r="DX58" i="1"/>
  <c r="ET57" i="1"/>
  <c r="EQ57" i="1"/>
  <c r="EN57" i="1"/>
  <c r="EK57" i="1"/>
  <c r="EH57" i="1"/>
  <c r="EE57" i="1"/>
  <c r="EB57" i="1"/>
  <c r="DY57" i="1"/>
  <c r="ET56" i="1"/>
  <c r="EQ56" i="1"/>
  <c r="EN56" i="1"/>
  <c r="EK56" i="1"/>
  <c r="EH56" i="1"/>
  <c r="EE56" i="1"/>
  <c r="EB56" i="1"/>
  <c r="DY56" i="1"/>
  <c r="ET55" i="1"/>
  <c r="EQ55" i="1"/>
  <c r="EQ54" i="1" s="1"/>
  <c r="EN55" i="1"/>
  <c r="EN54" i="1" s="1"/>
  <c r="EK55" i="1"/>
  <c r="EK54" i="1" s="1"/>
  <c r="EH55" i="1"/>
  <c r="EH54" i="1" s="1"/>
  <c r="EE55" i="1"/>
  <c r="EE54" i="1" s="1"/>
  <c r="EB55" i="1"/>
  <c r="EB54" i="1" s="1"/>
  <c r="DY55" i="1"/>
  <c r="ET54" i="1"/>
  <c r="ES54" i="1"/>
  <c r="EP54" i="1"/>
  <c r="EM54" i="1"/>
  <c r="EJ54" i="1"/>
  <c r="EG54" i="1"/>
  <c r="ED54" i="1"/>
  <c r="EA54" i="1"/>
  <c r="DX54" i="1"/>
  <c r="ET51" i="1"/>
  <c r="EQ51" i="1"/>
  <c r="EN51" i="1"/>
  <c r="EK51" i="1"/>
  <c r="EH51" i="1"/>
  <c r="EE51" i="1"/>
  <c r="EB51" i="1"/>
  <c r="DY51" i="1"/>
  <c r="ET50" i="1"/>
  <c r="EQ50" i="1"/>
  <c r="EQ49" i="1" s="1"/>
  <c r="EN50" i="1"/>
  <c r="EN49" i="1" s="1"/>
  <c r="EK50" i="1"/>
  <c r="EK49" i="1" s="1"/>
  <c r="EH50" i="1"/>
  <c r="EH49" i="1" s="1"/>
  <c r="EE50" i="1"/>
  <c r="EE49" i="1" s="1"/>
  <c r="EB50" i="1"/>
  <c r="EB49" i="1" s="1"/>
  <c r="DY50" i="1"/>
  <c r="DY49" i="1" s="1"/>
  <c r="ET49" i="1"/>
  <c r="ES49" i="1"/>
  <c r="EP49" i="1"/>
  <c r="EM49" i="1"/>
  <c r="EJ49" i="1"/>
  <c r="EG49" i="1"/>
  <c r="ED49" i="1"/>
  <c r="EA49" i="1"/>
  <c r="DX49" i="1"/>
  <c r="ET48" i="1"/>
  <c r="EQ48" i="1"/>
  <c r="EN48" i="1"/>
  <c r="EK48" i="1"/>
  <c r="EH48" i="1"/>
  <c r="EE48" i="1"/>
  <c r="EB48" i="1"/>
  <c r="DY48" i="1"/>
  <c r="ET47" i="1"/>
  <c r="EQ47" i="1"/>
  <c r="EN47" i="1"/>
  <c r="EK47" i="1"/>
  <c r="EH47" i="1"/>
  <c r="EE47" i="1"/>
  <c r="EB47" i="1"/>
  <c r="DY47" i="1"/>
  <c r="ET46" i="1"/>
  <c r="EQ46" i="1"/>
  <c r="EN46" i="1"/>
  <c r="EK46" i="1"/>
  <c r="EH46" i="1"/>
  <c r="EE46" i="1"/>
  <c r="EB46" i="1"/>
  <c r="DY46" i="1"/>
  <c r="ET45" i="1"/>
  <c r="EQ45" i="1"/>
  <c r="EN45" i="1"/>
  <c r="EK45" i="1"/>
  <c r="EH45" i="1"/>
  <c r="EE45" i="1"/>
  <c r="EB45" i="1"/>
  <c r="DY45" i="1"/>
  <c r="ET44" i="1"/>
  <c r="EQ44" i="1"/>
  <c r="EN44" i="1"/>
  <c r="EK44" i="1"/>
  <c r="EH44" i="1"/>
  <c r="EE44" i="1"/>
  <c r="EB44" i="1"/>
  <c r="DY44" i="1"/>
  <c r="ET43" i="1"/>
  <c r="EQ43" i="1"/>
  <c r="EN43" i="1"/>
  <c r="EK43" i="1"/>
  <c r="EH43" i="1"/>
  <c r="EE43" i="1"/>
  <c r="EB43" i="1"/>
  <c r="DY43" i="1"/>
  <c r="ET42" i="1"/>
  <c r="EQ42" i="1"/>
  <c r="EQ41" i="1" s="1"/>
  <c r="EN42" i="1"/>
  <c r="EN41" i="1" s="1"/>
  <c r="EK42" i="1"/>
  <c r="EK41" i="1" s="1"/>
  <c r="EH42" i="1"/>
  <c r="EH41" i="1" s="1"/>
  <c r="EE42" i="1"/>
  <c r="EE41" i="1" s="1"/>
  <c r="EB42" i="1"/>
  <c r="EB41" i="1" s="1"/>
  <c r="DY42" i="1"/>
  <c r="DY41" i="1" s="1"/>
  <c r="ET41" i="1"/>
  <c r="ES41" i="1"/>
  <c r="EP41" i="1"/>
  <c r="EM41" i="1"/>
  <c r="EJ41" i="1"/>
  <c r="EG41" i="1"/>
  <c r="ED41" i="1"/>
  <c r="EA41" i="1"/>
  <c r="DX41" i="1"/>
  <c r="ET39" i="1"/>
  <c r="EQ39" i="1"/>
  <c r="EN39" i="1"/>
  <c r="EK39" i="1"/>
  <c r="EH39" i="1"/>
  <c r="EE39" i="1"/>
  <c r="EB39" i="1"/>
  <c r="DY39" i="1"/>
  <c r="ET38" i="1"/>
  <c r="EQ38" i="1"/>
  <c r="EQ37" i="1" s="1"/>
  <c r="EN38" i="1"/>
  <c r="EN37" i="1" s="1"/>
  <c r="EK38" i="1"/>
  <c r="EK37" i="1" s="1"/>
  <c r="EH38" i="1"/>
  <c r="EH37" i="1" s="1"/>
  <c r="EE38" i="1"/>
  <c r="EE37" i="1" s="1"/>
  <c r="EB38" i="1"/>
  <c r="EB37" i="1" s="1"/>
  <c r="DY38" i="1"/>
  <c r="DY37" i="1" s="1"/>
  <c r="ET37" i="1"/>
  <c r="ES37" i="1"/>
  <c r="EP37" i="1"/>
  <c r="EM37" i="1"/>
  <c r="EJ37" i="1"/>
  <c r="EG37" i="1"/>
  <c r="ED37" i="1"/>
  <c r="EA37" i="1"/>
  <c r="DX37" i="1"/>
  <c r="ET36" i="1"/>
  <c r="EQ36" i="1"/>
  <c r="EN36" i="1"/>
  <c r="EK36" i="1"/>
  <c r="EH36" i="1"/>
  <c r="EE36" i="1"/>
  <c r="EB36" i="1"/>
  <c r="DY36" i="1"/>
  <c r="ET35" i="1"/>
  <c r="EU35" i="1" s="1"/>
  <c r="EQ35" i="1"/>
  <c r="EN35" i="1"/>
  <c r="EK35" i="1"/>
  <c r="EH35" i="1"/>
  <c r="EE35" i="1"/>
  <c r="EB35" i="1"/>
  <c r="DY35" i="1"/>
  <c r="DZ35" i="1" s="1"/>
  <c r="ET34" i="1"/>
  <c r="EQ34" i="1"/>
  <c r="EN34" i="1"/>
  <c r="EK34" i="1"/>
  <c r="EH34" i="1"/>
  <c r="EE34" i="1"/>
  <c r="EB34" i="1"/>
  <c r="DY34" i="1"/>
  <c r="ET33" i="1"/>
  <c r="EQ33" i="1"/>
  <c r="EN33" i="1"/>
  <c r="EK33" i="1"/>
  <c r="EH33" i="1"/>
  <c r="EE33" i="1"/>
  <c r="EB33" i="1"/>
  <c r="DY33" i="1"/>
  <c r="ET32" i="1"/>
  <c r="EQ32" i="1"/>
  <c r="EN32" i="1"/>
  <c r="EK32" i="1"/>
  <c r="EH32" i="1"/>
  <c r="EE32" i="1"/>
  <c r="EB32" i="1"/>
  <c r="DY32" i="1"/>
  <c r="ET31" i="1"/>
  <c r="EQ31" i="1"/>
  <c r="EN31" i="1"/>
  <c r="EK31" i="1"/>
  <c r="EH31" i="1"/>
  <c r="EE31" i="1"/>
  <c r="EB31" i="1"/>
  <c r="DY31" i="1"/>
  <c r="ET30" i="1"/>
  <c r="EQ30" i="1"/>
  <c r="EQ29" i="1" s="1"/>
  <c r="EN30" i="1"/>
  <c r="EN29" i="1" s="1"/>
  <c r="EK30" i="1"/>
  <c r="EK29" i="1" s="1"/>
  <c r="EH30" i="1"/>
  <c r="EH29" i="1" s="1"/>
  <c r="EE30" i="1"/>
  <c r="EE29" i="1" s="1"/>
  <c r="EB30" i="1"/>
  <c r="EB29" i="1" s="1"/>
  <c r="DY30" i="1"/>
  <c r="DY29" i="1" s="1"/>
  <c r="ET29" i="1"/>
  <c r="ES29" i="1"/>
  <c r="EP29" i="1"/>
  <c r="EM29" i="1"/>
  <c r="EJ29" i="1"/>
  <c r="EG29" i="1"/>
  <c r="ED29" i="1"/>
  <c r="EA29" i="1"/>
  <c r="DX29" i="1"/>
  <c r="ET25" i="1"/>
  <c r="EQ25" i="1"/>
  <c r="EN25" i="1"/>
  <c r="EK25" i="1"/>
  <c r="EH25" i="1"/>
  <c r="EE25" i="1"/>
  <c r="EB25" i="1"/>
  <c r="DY25" i="1"/>
  <c r="ET24" i="1"/>
  <c r="EQ24" i="1"/>
  <c r="EN24" i="1"/>
  <c r="EK24" i="1"/>
  <c r="EH24" i="1"/>
  <c r="EE24" i="1"/>
  <c r="EB24" i="1"/>
  <c r="DY24" i="1"/>
  <c r="ET23" i="1"/>
  <c r="EQ23" i="1"/>
  <c r="EN23" i="1"/>
  <c r="EK23" i="1"/>
  <c r="EH23" i="1"/>
  <c r="EE23" i="1"/>
  <c r="EB23" i="1"/>
  <c r="DY23" i="1"/>
  <c r="ET22" i="1"/>
  <c r="EQ22" i="1"/>
  <c r="EQ21" i="1" s="1"/>
  <c r="EN22" i="1"/>
  <c r="EN21" i="1" s="1"/>
  <c r="EK22" i="1"/>
  <c r="EK21" i="1" s="1"/>
  <c r="EH22" i="1"/>
  <c r="EH21" i="1" s="1"/>
  <c r="EE22" i="1"/>
  <c r="EE21" i="1" s="1"/>
  <c r="EB22" i="1"/>
  <c r="EB21" i="1" s="1"/>
  <c r="DY22" i="1"/>
  <c r="DY21" i="1" s="1"/>
  <c r="ET21" i="1"/>
  <c r="ES21" i="1"/>
  <c r="EP21" i="1"/>
  <c r="EP18" i="1" s="1"/>
  <c r="EM21" i="1"/>
  <c r="EM18" i="1" s="1"/>
  <c r="EJ21" i="1"/>
  <c r="EJ18" i="1" s="1"/>
  <c r="EG21" i="1"/>
  <c r="EG18" i="1" s="1"/>
  <c r="ED21" i="1"/>
  <c r="ED18" i="1" s="1"/>
  <c r="EA21" i="1"/>
  <c r="EA18" i="1" s="1"/>
  <c r="DX21" i="1"/>
  <c r="DX18" i="1" s="1"/>
  <c r="ET20" i="1"/>
  <c r="EQ20" i="1"/>
  <c r="EN20" i="1"/>
  <c r="EK20" i="1"/>
  <c r="EH20" i="1"/>
  <c r="EE20" i="1"/>
  <c r="EB20" i="1"/>
  <c r="DY20" i="1"/>
  <c r="ET19" i="1"/>
  <c r="EQ19" i="1"/>
  <c r="EN19" i="1"/>
  <c r="EK19" i="1"/>
  <c r="EH19" i="1"/>
  <c r="EE19" i="1"/>
  <c r="EB19" i="1"/>
  <c r="DY19" i="1"/>
  <c r="ES18" i="1"/>
  <c r="ET17" i="1"/>
  <c r="EQ17" i="1"/>
  <c r="EN17" i="1"/>
  <c r="EK17" i="1"/>
  <c r="EH17" i="1"/>
  <c r="EE17" i="1"/>
  <c r="EB17" i="1"/>
  <c r="DY17" i="1"/>
  <c r="ET16" i="1"/>
  <c r="EQ16" i="1"/>
  <c r="EN16" i="1"/>
  <c r="EK16" i="1"/>
  <c r="EH16" i="1"/>
  <c r="EE16" i="1"/>
  <c r="EB16" i="1"/>
  <c r="DY16" i="1"/>
  <c r="ET15" i="1"/>
  <c r="EQ15" i="1"/>
  <c r="EN15" i="1"/>
  <c r="EK15" i="1"/>
  <c r="EH15" i="1"/>
  <c r="EE15" i="1"/>
  <c r="EB15" i="1"/>
  <c r="DY15" i="1"/>
  <c r="ET14" i="1"/>
  <c r="EQ14" i="1"/>
  <c r="EN14" i="1"/>
  <c r="EK14" i="1"/>
  <c r="EH14" i="1"/>
  <c r="EE14" i="1"/>
  <c r="EB14" i="1"/>
  <c r="DY14" i="1"/>
  <c r="ET13" i="1"/>
  <c r="EQ13" i="1"/>
  <c r="EN13" i="1"/>
  <c r="EK13" i="1"/>
  <c r="EH13" i="1"/>
  <c r="EE13" i="1"/>
  <c r="EB13" i="1"/>
  <c r="EB12" i="1" s="1"/>
  <c r="DY13" i="1"/>
  <c r="ES12" i="1"/>
  <c r="EP12" i="1"/>
  <c r="EP7" i="1" s="1"/>
  <c r="EM12" i="1"/>
  <c r="EM7" i="1" s="1"/>
  <c r="EJ12" i="1"/>
  <c r="EJ7" i="1" s="1"/>
  <c r="EG12" i="1"/>
  <c r="EG7" i="1" s="1"/>
  <c r="ED12" i="1"/>
  <c r="ED7" i="1" s="1"/>
  <c r="EA12" i="1"/>
  <c r="EA7" i="1" s="1"/>
  <c r="DX12" i="1"/>
  <c r="DX7" i="1" s="1"/>
  <c r="ET11" i="1"/>
  <c r="EQ11" i="1"/>
  <c r="EN11" i="1"/>
  <c r="EK11" i="1"/>
  <c r="EH11" i="1"/>
  <c r="EE11" i="1"/>
  <c r="EB11" i="1"/>
  <c r="DY11" i="1"/>
  <c r="ET10" i="1"/>
  <c r="EU10" i="1" s="1"/>
  <c r="EQ10" i="1"/>
  <c r="ER10" i="1" s="1"/>
  <c r="EN10" i="1"/>
  <c r="EO10" i="1" s="1"/>
  <c r="EK10" i="1"/>
  <c r="EL10" i="1" s="1"/>
  <c r="EH10" i="1"/>
  <c r="EI10" i="1" s="1"/>
  <c r="EE10" i="1"/>
  <c r="EF10" i="1" s="1"/>
  <c r="EB10" i="1"/>
  <c r="EC10" i="1" s="1"/>
  <c r="DY10" i="1"/>
  <c r="DZ10" i="1" s="1"/>
  <c r="ET9" i="1"/>
  <c r="EU9" i="1" s="1"/>
  <c r="EQ9" i="1"/>
  <c r="ER9" i="1" s="1"/>
  <c r="EN9" i="1"/>
  <c r="EO9" i="1" s="1"/>
  <c r="EK9" i="1"/>
  <c r="EL9" i="1" s="1"/>
  <c r="EH9" i="1"/>
  <c r="EE9" i="1"/>
  <c r="EF9" i="1" s="1"/>
  <c r="EB9" i="1"/>
  <c r="DY9" i="1"/>
  <c r="DZ9" i="1" s="1"/>
  <c r="ET8" i="1"/>
  <c r="EU8" i="1" s="1"/>
  <c r="EQ8" i="1"/>
  <c r="EN8" i="1"/>
  <c r="EK8" i="1"/>
  <c r="EH8" i="1"/>
  <c r="EE8" i="1"/>
  <c r="EF8" i="1" s="1"/>
  <c r="EB8" i="1"/>
  <c r="DY8" i="1"/>
  <c r="DZ8" i="1" s="1"/>
  <c r="ES7" i="1"/>
  <c r="ET12" i="1" l="1"/>
  <c r="EN12" i="1"/>
  <c r="EK12" i="1"/>
  <c r="EK7" i="1" s="1"/>
  <c r="EQ12" i="1"/>
  <c r="EQ7" i="1" s="1"/>
  <c r="EH12" i="1"/>
  <c r="EE12" i="1"/>
  <c r="EE7" i="1" s="1"/>
  <c r="DY12" i="1"/>
  <c r="DY54" i="1"/>
  <c r="FF29" i="1"/>
  <c r="FF28" i="1" s="1"/>
  <c r="BE74" i="9"/>
  <c r="EJ53" i="1"/>
  <c r="EG53" i="1"/>
  <c r="EP40" i="1"/>
  <c r="EA53" i="1"/>
  <c r="EP28" i="1"/>
  <c r="EP52" i="1" s="1"/>
  <c r="EP27" i="1" s="1"/>
  <c r="DX53" i="1"/>
  <c r="DX40" i="1"/>
  <c r="ED40" i="1"/>
  <c r="EJ40" i="1"/>
  <c r="FX58" i="1"/>
  <c r="ED28" i="1"/>
  <c r="EA26" i="1"/>
  <c r="EA6" i="1" s="1"/>
  <c r="ES26" i="1"/>
  <c r="DY18" i="1"/>
  <c r="EE18" i="1"/>
  <c r="EK18" i="1"/>
  <c r="EQ18" i="1"/>
  <c r="ET18" i="1"/>
  <c r="EJ28" i="1"/>
  <c r="ET28" i="1"/>
  <c r="ET7" i="1"/>
  <c r="EU7" i="1" s="1"/>
  <c r="DX28" i="1"/>
  <c r="EJ52" i="1"/>
  <c r="EJ27" i="1" s="1"/>
  <c r="EB28" i="1"/>
  <c r="EH28" i="1"/>
  <c r="EN28" i="1"/>
  <c r="ET40" i="1"/>
  <c r="EB40" i="1"/>
  <c r="EN40" i="1"/>
  <c r="EA40" i="1"/>
  <c r="EG40" i="1"/>
  <c r="EM40" i="1"/>
  <c r="DX26" i="1"/>
  <c r="EJ26" i="1"/>
  <c r="EP26" i="1"/>
  <c r="EM26" i="1"/>
  <c r="EG26" i="1"/>
  <c r="EB18" i="1"/>
  <c r="EN18" i="1"/>
  <c r="EA28" i="1"/>
  <c r="EA52" i="1" s="1"/>
  <c r="EA27" i="1" s="1"/>
  <c r="EG28" i="1"/>
  <c r="EG52" i="1" s="1"/>
  <c r="EM28" i="1"/>
  <c r="EM52" i="1" s="1"/>
  <c r="EM27" i="1" s="1"/>
  <c r="ES28" i="1"/>
  <c r="DY28" i="1"/>
  <c r="EE28" i="1"/>
  <c r="EF28" i="1" s="1"/>
  <c r="EK28" i="1"/>
  <c r="EQ28" i="1"/>
  <c r="ES40" i="1"/>
  <c r="DY40" i="1"/>
  <c r="EE40" i="1"/>
  <c r="EK40" i="1"/>
  <c r="EQ40" i="1"/>
  <c r="ED53" i="1"/>
  <c r="FT26" i="1"/>
  <c r="FT6" i="1" s="1"/>
  <c r="FB28" i="1"/>
  <c r="EH18" i="1"/>
  <c r="EH40" i="1"/>
  <c r="EH52" i="1" s="1"/>
  <c r="DY53" i="1"/>
  <c r="EE53" i="1"/>
  <c r="EK53" i="1"/>
  <c r="EQ53" i="1"/>
  <c r="ET53" i="1"/>
  <c r="FH26" i="1"/>
  <c r="FQ26" i="1"/>
  <c r="FQ6" i="1" s="1"/>
  <c r="FN28" i="1"/>
  <c r="EY53" i="1"/>
  <c r="EB53" i="1"/>
  <c r="EH53" i="1"/>
  <c r="EN53" i="1"/>
  <c r="GF26" i="1"/>
  <c r="GF6" i="1" s="1"/>
  <c r="FZ28" i="1"/>
  <c r="FZ52" i="1" s="1"/>
  <c r="FZ27" i="1" s="1"/>
  <c r="GL28" i="1"/>
  <c r="GL52" i="1" s="1"/>
  <c r="GL27" i="1" s="1"/>
  <c r="GA62" i="1"/>
  <c r="GB62" i="1" s="1"/>
  <c r="ES53" i="1"/>
  <c r="GC53" i="1"/>
  <c r="FE26" i="1"/>
  <c r="FE6" i="1" s="1"/>
  <c r="GC26" i="1"/>
  <c r="FQ28" i="1"/>
  <c r="GC28" i="1"/>
  <c r="GI28" i="1"/>
  <c r="GI52" i="1" s="1"/>
  <c r="GI27" i="1" s="1"/>
  <c r="FT28" i="1"/>
  <c r="FT52" i="1" s="1"/>
  <c r="FT27" i="1" s="1"/>
  <c r="FW40" i="1"/>
  <c r="EZ62" i="1"/>
  <c r="FA62" i="1" s="1"/>
  <c r="GU26" i="1"/>
  <c r="GU6" i="1" s="1"/>
  <c r="GR52" i="1"/>
  <c r="GR27" i="1" s="1"/>
  <c r="GX52" i="1"/>
  <c r="GX27" i="1" s="1"/>
  <c r="EY26" i="1"/>
  <c r="FZ26" i="1"/>
  <c r="FZ6" i="1" s="1"/>
  <c r="GL26" i="1"/>
  <c r="GL6" i="1" s="1"/>
  <c r="GF52" i="1"/>
  <c r="GF27" i="1" s="1"/>
  <c r="FB40" i="1"/>
  <c r="FH40" i="1"/>
  <c r="FQ40" i="1"/>
  <c r="GC40" i="1"/>
  <c r="FU62" i="1"/>
  <c r="FV62" i="1" s="1"/>
  <c r="GG62" i="1"/>
  <c r="GH62" i="1" s="1"/>
  <c r="GS29" i="1"/>
  <c r="GY29" i="1"/>
  <c r="GS54" i="1"/>
  <c r="GY54" i="1"/>
  <c r="EM53" i="1"/>
  <c r="EP53" i="1"/>
  <c r="FW53" i="1"/>
  <c r="GI53" i="1"/>
  <c r="EY40" i="1"/>
  <c r="FN40" i="1"/>
  <c r="GV29" i="1"/>
  <c r="GV54" i="1"/>
  <c r="FN26" i="1"/>
  <c r="FN6" i="1" s="1"/>
  <c r="FW26" i="1"/>
  <c r="GI26" i="1"/>
  <c r="FH28" i="1"/>
  <c r="FW28" i="1"/>
  <c r="FG63" i="1"/>
  <c r="FF62" i="1"/>
  <c r="FG62" i="1" s="1"/>
  <c r="FS63" i="1"/>
  <c r="FR62" i="1"/>
  <c r="FR61" i="1" s="1"/>
  <c r="FS61" i="1" s="1"/>
  <c r="FY63" i="1"/>
  <c r="FX62" i="1"/>
  <c r="FX61" i="1" s="1"/>
  <c r="FY61" i="1" s="1"/>
  <c r="GE63" i="1"/>
  <c r="GD62" i="1"/>
  <c r="GD61" i="1" s="1"/>
  <c r="GE61" i="1" s="1"/>
  <c r="GK63" i="1"/>
  <c r="GJ62" i="1"/>
  <c r="GJ61" i="1" s="1"/>
  <c r="GK61" i="1" s="1"/>
  <c r="GR26" i="1"/>
  <c r="GR6" i="1" s="1"/>
  <c r="GU52" i="1"/>
  <c r="GU27" i="1" s="1"/>
  <c r="FB26" i="1"/>
  <c r="FB6" i="1" s="1"/>
  <c r="EY28" i="1"/>
  <c r="FE28" i="1"/>
  <c r="FE52" i="1" s="1"/>
  <c r="FE27" i="1" s="1"/>
  <c r="FU28" i="1"/>
  <c r="GA28" i="1"/>
  <c r="GG28" i="1"/>
  <c r="GM28" i="1"/>
  <c r="FU40" i="1"/>
  <c r="GA40" i="1"/>
  <c r="FH53" i="1"/>
  <c r="EZ53" i="1"/>
  <c r="FF53" i="1"/>
  <c r="GS21" i="1"/>
  <c r="GS18" i="1" s="1"/>
  <c r="GY21" i="1"/>
  <c r="GY18" i="1" s="1"/>
  <c r="GS49" i="1"/>
  <c r="GY49" i="1"/>
  <c r="GV49" i="1"/>
  <c r="EZ40" i="1"/>
  <c r="FF40" i="1"/>
  <c r="GV21" i="1"/>
  <c r="GM7" i="1"/>
  <c r="GN7" i="1" s="1"/>
  <c r="GV18" i="1"/>
  <c r="FC21" i="1"/>
  <c r="FC18" i="1" s="1"/>
  <c r="FI21" i="1"/>
  <c r="FI18" i="1" s="1"/>
  <c r="FC29" i="1"/>
  <c r="FC28" i="1" s="1"/>
  <c r="FI29" i="1"/>
  <c r="FI28" i="1" s="1"/>
  <c r="FR49" i="1"/>
  <c r="FR40" i="1" s="1"/>
  <c r="FX49" i="1"/>
  <c r="FX40" i="1" s="1"/>
  <c r="GD49" i="1"/>
  <c r="GD40" i="1" s="1"/>
  <c r="GJ49" i="1"/>
  <c r="GJ40" i="1" s="1"/>
  <c r="FR54" i="1"/>
  <c r="FR53" i="1" s="1"/>
  <c r="FX54" i="1"/>
  <c r="GD54" i="1"/>
  <c r="GD53" i="1" s="1"/>
  <c r="GJ54" i="1"/>
  <c r="GJ53" i="1" s="1"/>
  <c r="EH7" i="1"/>
  <c r="FR21" i="1"/>
  <c r="FX21" i="1"/>
  <c r="FX18" i="1" s="1"/>
  <c r="GD21" i="1"/>
  <c r="GD18" i="1" s="1"/>
  <c r="GJ21" i="1"/>
  <c r="GJ18" i="1" s="1"/>
  <c r="EZ28" i="1"/>
  <c r="EZ52" i="1" s="1"/>
  <c r="FR29" i="1"/>
  <c r="FR28" i="1" s="1"/>
  <c r="FX29" i="1"/>
  <c r="FX28" i="1" s="1"/>
  <c r="GD29" i="1"/>
  <c r="GD28" i="1" s="1"/>
  <c r="GJ29" i="1"/>
  <c r="GJ28" i="1" s="1"/>
  <c r="GG40" i="1"/>
  <c r="GM40" i="1"/>
  <c r="FC49" i="1"/>
  <c r="FC40" i="1" s="1"/>
  <c r="FI49" i="1"/>
  <c r="FI40" i="1" s="1"/>
  <c r="FU53" i="1"/>
  <c r="GA53" i="1"/>
  <c r="GG53" i="1"/>
  <c r="GM53" i="1"/>
  <c r="FC54" i="1"/>
  <c r="FC53" i="1" s="1"/>
  <c r="FI54" i="1"/>
  <c r="FI53" i="1" s="1"/>
  <c r="FC62" i="1"/>
  <c r="FC61" i="1" s="1"/>
  <c r="FD61" i="1" s="1"/>
  <c r="FI62" i="1"/>
  <c r="FI61" i="1" s="1"/>
  <c r="FJ61" i="1" s="1"/>
  <c r="GS12" i="1"/>
  <c r="GS7" i="1" s="1"/>
  <c r="GT7" i="1" s="1"/>
  <c r="GY12" i="1"/>
  <c r="GY7" i="1" s="1"/>
  <c r="GV12" i="1"/>
  <c r="GV7" i="1" s="1"/>
  <c r="GS37" i="1"/>
  <c r="GY37" i="1"/>
  <c r="GV37" i="1"/>
  <c r="GS41" i="1"/>
  <c r="GY41" i="1"/>
  <c r="GV41" i="1"/>
  <c r="GS58" i="1"/>
  <c r="GY58" i="1"/>
  <c r="GV58" i="1"/>
  <c r="GV62" i="1"/>
  <c r="GW62" i="1" s="1"/>
  <c r="DZ63" i="1"/>
  <c r="DY62" i="1"/>
  <c r="EF63" i="1"/>
  <c r="EE62" i="1"/>
  <c r="EL63" i="1"/>
  <c r="EK62" i="1"/>
  <c r="ER63" i="1"/>
  <c r="EQ62" i="1"/>
  <c r="EQ61" i="1" s="1"/>
  <c r="ER61" i="1" s="1"/>
  <c r="FG9" i="1"/>
  <c r="FF7" i="1"/>
  <c r="FG7" i="1" s="1"/>
  <c r="FV9" i="1"/>
  <c r="FU7" i="1"/>
  <c r="FV7" i="1" s="1"/>
  <c r="GH9" i="1"/>
  <c r="GG7" i="1"/>
  <c r="GH7" i="1" s="1"/>
  <c r="EB7" i="1"/>
  <c r="EO8" i="1"/>
  <c r="EN7" i="1"/>
  <c r="EO7" i="1" s="1"/>
  <c r="EC63" i="1"/>
  <c r="EB62" i="1"/>
  <c r="EB61" i="1" s="1"/>
  <c r="EC61" i="1" s="1"/>
  <c r="EI63" i="1"/>
  <c r="EH62" i="1"/>
  <c r="EH61" i="1" s="1"/>
  <c r="EO63" i="1"/>
  <c r="EN62" i="1"/>
  <c r="EN61" i="1" s="1"/>
  <c r="EO61" i="1" s="1"/>
  <c r="EU63" i="1"/>
  <c r="ET62" i="1"/>
  <c r="ET61" i="1" s="1"/>
  <c r="EU61" i="1" s="1"/>
  <c r="EZ7" i="1"/>
  <c r="FA7" i="1" s="1"/>
  <c r="GA7" i="1"/>
  <c r="GB7" i="1" s="1"/>
  <c r="EZ18" i="1"/>
  <c r="FF18" i="1"/>
  <c r="FU18" i="1"/>
  <c r="GA18" i="1"/>
  <c r="GG18" i="1"/>
  <c r="GM18" i="1"/>
  <c r="FR18" i="1"/>
  <c r="EZ67" i="1"/>
  <c r="FF67" i="1"/>
  <c r="FU67" i="1"/>
  <c r="GA67" i="1"/>
  <c r="GG67" i="1"/>
  <c r="GM67" i="1"/>
  <c r="GS62" i="1"/>
  <c r="GS61" i="1" s="1"/>
  <c r="GT61" i="1" s="1"/>
  <c r="GY62" i="1"/>
  <c r="GY61" i="1" s="1"/>
  <c r="GZ61" i="1" s="1"/>
  <c r="EG61" i="1"/>
  <c r="GX26" i="1"/>
  <c r="GX6" i="1" s="1"/>
  <c r="GN62" i="1"/>
  <c r="ED26" i="1"/>
  <c r="FC7" i="1"/>
  <c r="FI7" i="1"/>
  <c r="FR7" i="1"/>
  <c r="FX7" i="1"/>
  <c r="GD7" i="1"/>
  <c r="GJ7" i="1"/>
  <c r="DY7" i="1"/>
  <c r="EL8" i="1"/>
  <c r="ER8" i="1"/>
  <c r="F8" i="1"/>
  <c r="I8" i="1"/>
  <c r="L8" i="1"/>
  <c r="O8" i="1"/>
  <c r="R8" i="1"/>
  <c r="U8" i="1"/>
  <c r="X8" i="1"/>
  <c r="AA8" i="1"/>
  <c r="AD8" i="1"/>
  <c r="AG8" i="1"/>
  <c r="AJ8" i="1"/>
  <c r="AM8" i="1"/>
  <c r="AP8" i="1"/>
  <c r="AS8" i="1"/>
  <c r="AV8" i="1"/>
  <c r="AY8" i="1"/>
  <c r="BB8" i="1"/>
  <c r="BE8" i="1"/>
  <c r="BH8" i="1"/>
  <c r="BK8" i="1"/>
  <c r="BN8" i="1"/>
  <c r="BQ8" i="1"/>
  <c r="BT8" i="1"/>
  <c r="BW8" i="1"/>
  <c r="BZ8" i="1"/>
  <c r="CC8" i="1"/>
  <c r="CF8" i="1"/>
  <c r="CI8" i="1"/>
  <c r="CR8" i="1"/>
  <c r="CU8" i="1"/>
  <c r="CX8" i="1"/>
  <c r="DA8" i="1"/>
  <c r="DD8" i="1"/>
  <c r="DG8" i="1"/>
  <c r="DJ8" i="1"/>
  <c r="DM8" i="1"/>
  <c r="DP8" i="1"/>
  <c r="F9" i="1"/>
  <c r="I9" i="1"/>
  <c r="L9" i="1"/>
  <c r="M9" i="1" s="1"/>
  <c r="O9" i="1"/>
  <c r="R9" i="1"/>
  <c r="U9" i="1"/>
  <c r="X9" i="1"/>
  <c r="AA9" i="1"/>
  <c r="AD9" i="1"/>
  <c r="AG9" i="1"/>
  <c r="AH9" i="1" s="1"/>
  <c r="AJ9" i="1"/>
  <c r="AM9" i="1"/>
  <c r="AP9" i="1"/>
  <c r="AS9" i="1"/>
  <c r="AV9" i="1"/>
  <c r="AY9" i="1"/>
  <c r="BB9" i="1"/>
  <c r="BE9" i="1"/>
  <c r="BH9" i="1"/>
  <c r="BK9" i="1"/>
  <c r="BN9" i="1"/>
  <c r="BQ9" i="1"/>
  <c r="BT9" i="1"/>
  <c r="BW9" i="1"/>
  <c r="BZ9" i="1"/>
  <c r="CC9" i="1"/>
  <c r="CI9" i="1"/>
  <c r="CR9" i="1"/>
  <c r="CU9" i="1"/>
  <c r="CX9" i="1"/>
  <c r="DA9" i="1"/>
  <c r="DB9" i="1" s="1"/>
  <c r="DD9" i="1"/>
  <c r="DG9" i="1"/>
  <c r="DJ9" i="1"/>
  <c r="DM9" i="1"/>
  <c r="DP9" i="1"/>
  <c r="F10" i="1"/>
  <c r="I10" i="1"/>
  <c r="J10" i="1" s="1"/>
  <c r="L10" i="1"/>
  <c r="M10" i="1" s="1"/>
  <c r="O10" i="1"/>
  <c r="P10" i="1" s="1"/>
  <c r="R10" i="1"/>
  <c r="U10" i="1"/>
  <c r="X10" i="1"/>
  <c r="AA10" i="1"/>
  <c r="AD10" i="1"/>
  <c r="AG10" i="1"/>
  <c r="AH10" i="1" s="1"/>
  <c r="AJ10" i="1"/>
  <c r="AK10" i="1" s="1"/>
  <c r="AM10" i="1"/>
  <c r="AN10" i="1" s="1"/>
  <c r="AP10" i="1"/>
  <c r="AQ10" i="1" s="1"/>
  <c r="AS10" i="1"/>
  <c r="AT10" i="1" s="1"/>
  <c r="AV10" i="1"/>
  <c r="AW10" i="1" s="1"/>
  <c r="AY10" i="1"/>
  <c r="AZ10" i="1" s="1"/>
  <c r="BB10" i="1"/>
  <c r="BE10" i="1"/>
  <c r="BF10" i="1" s="1"/>
  <c r="BH10" i="1"/>
  <c r="BI10" i="1" s="1"/>
  <c r="BK10" i="1"/>
  <c r="BN10" i="1"/>
  <c r="BO10" i="1" s="1"/>
  <c r="BT10" i="1"/>
  <c r="BW10" i="1"/>
  <c r="BZ10" i="1"/>
  <c r="CC10" i="1"/>
  <c r="CR10" i="1"/>
  <c r="CU10" i="1"/>
  <c r="CV10" i="1" s="1"/>
  <c r="CX10" i="1"/>
  <c r="CY10" i="1" s="1"/>
  <c r="DA10" i="1"/>
  <c r="DB10" i="1" s="1"/>
  <c r="DD10" i="1"/>
  <c r="DG10" i="1"/>
  <c r="DH10" i="1" s="1"/>
  <c r="DJ10" i="1"/>
  <c r="DK10" i="1" s="1"/>
  <c r="DM10" i="1"/>
  <c r="DN10" i="1" s="1"/>
  <c r="DP10" i="1"/>
  <c r="F11" i="1"/>
  <c r="I11" i="1"/>
  <c r="L11" i="1"/>
  <c r="O11" i="1"/>
  <c r="R11" i="1"/>
  <c r="U11" i="1"/>
  <c r="X11" i="1"/>
  <c r="AA11" i="1"/>
  <c r="AD11" i="1"/>
  <c r="AG11" i="1"/>
  <c r="AJ11" i="1"/>
  <c r="AM11" i="1"/>
  <c r="AP11" i="1"/>
  <c r="AS11" i="1"/>
  <c r="AV11" i="1"/>
  <c r="AY11" i="1"/>
  <c r="BB11" i="1"/>
  <c r="BE11" i="1"/>
  <c r="BH11" i="1"/>
  <c r="BK11" i="1"/>
  <c r="BN11" i="1"/>
  <c r="BQ11" i="1"/>
  <c r="BT11" i="1"/>
  <c r="BW11" i="1"/>
  <c r="BZ11" i="1"/>
  <c r="CC11" i="1"/>
  <c r="CF11" i="1"/>
  <c r="CI11" i="1"/>
  <c r="CL11" i="1"/>
  <c r="CR11" i="1"/>
  <c r="CU11" i="1"/>
  <c r="CX11" i="1"/>
  <c r="DA11" i="1"/>
  <c r="DD11" i="1"/>
  <c r="DG11" i="1"/>
  <c r="DJ11" i="1"/>
  <c r="DM11" i="1"/>
  <c r="DP11" i="1"/>
  <c r="E12" i="1"/>
  <c r="E7" i="1" s="1"/>
  <c r="H12" i="1"/>
  <c r="H7" i="1" s="1"/>
  <c r="K12" i="1"/>
  <c r="K7" i="1" s="1"/>
  <c r="N12" i="1"/>
  <c r="N7" i="1" s="1"/>
  <c r="Q12" i="1"/>
  <c r="Q7" i="1" s="1"/>
  <c r="T12" i="1"/>
  <c r="T7" i="1" s="1"/>
  <c r="W12" i="1"/>
  <c r="W7" i="1" s="1"/>
  <c r="Z12" i="1"/>
  <c r="Z7" i="1" s="1"/>
  <c r="AC12" i="1"/>
  <c r="AC7" i="1" s="1"/>
  <c r="AF12" i="1"/>
  <c r="AF7" i="1" s="1"/>
  <c r="AI12" i="1"/>
  <c r="AI7" i="1" s="1"/>
  <c r="AL12" i="1"/>
  <c r="AL7" i="1" s="1"/>
  <c r="AO12" i="1"/>
  <c r="AO7" i="1" s="1"/>
  <c r="AR12" i="1"/>
  <c r="AR7" i="1" s="1"/>
  <c r="AU12" i="1"/>
  <c r="AU7" i="1" s="1"/>
  <c r="AX12" i="1"/>
  <c r="AX7" i="1" s="1"/>
  <c r="BA12" i="1"/>
  <c r="BA7" i="1" s="1"/>
  <c r="BD12" i="1"/>
  <c r="BD7" i="1" s="1"/>
  <c r="BG12" i="1"/>
  <c r="BG7" i="1" s="1"/>
  <c r="BJ12" i="1"/>
  <c r="BJ7" i="1" s="1"/>
  <c r="BM12" i="1"/>
  <c r="BM7" i="1" s="1"/>
  <c r="BP12" i="1"/>
  <c r="BP7" i="1" s="1"/>
  <c r="BS12" i="1"/>
  <c r="BS7" i="1" s="1"/>
  <c r="BV12" i="1"/>
  <c r="BV7" i="1" s="1"/>
  <c r="BY12" i="1"/>
  <c r="BY7" i="1" s="1"/>
  <c r="CB12" i="1"/>
  <c r="CB7" i="1" s="1"/>
  <c r="CE12" i="1"/>
  <c r="CE7" i="1" s="1"/>
  <c r="CH12" i="1"/>
  <c r="CH7" i="1" s="1"/>
  <c r="CK12" i="1"/>
  <c r="CK7" i="1" s="1"/>
  <c r="CN12" i="1"/>
  <c r="CN7" i="1" s="1"/>
  <c r="CQ12" i="1"/>
  <c r="CQ7" i="1" s="1"/>
  <c r="CT12" i="1"/>
  <c r="CT7" i="1" s="1"/>
  <c r="CW12" i="1"/>
  <c r="CW7" i="1" s="1"/>
  <c r="CZ12" i="1"/>
  <c r="CZ7" i="1" s="1"/>
  <c r="DC12" i="1"/>
  <c r="DC7" i="1" s="1"/>
  <c r="DF12" i="1"/>
  <c r="DF7" i="1" s="1"/>
  <c r="DI12" i="1"/>
  <c r="DI7" i="1" s="1"/>
  <c r="DL12" i="1"/>
  <c r="DL7" i="1" s="1"/>
  <c r="DO12" i="1"/>
  <c r="DO7" i="1" s="1"/>
  <c r="F13" i="1"/>
  <c r="I13" i="1"/>
  <c r="L13" i="1"/>
  <c r="O13" i="1"/>
  <c r="R13" i="1"/>
  <c r="U13" i="1"/>
  <c r="X13" i="1"/>
  <c r="AA13" i="1"/>
  <c r="AD13" i="1"/>
  <c r="AG13" i="1"/>
  <c r="AJ13" i="1"/>
  <c r="AM13" i="1"/>
  <c r="AP13" i="1"/>
  <c r="AS13" i="1"/>
  <c r="AV13" i="1"/>
  <c r="AY13" i="1"/>
  <c r="BB13" i="1"/>
  <c r="BE13" i="1"/>
  <c r="BH13" i="1"/>
  <c r="BK13" i="1"/>
  <c r="BN13" i="1"/>
  <c r="BQ13" i="1"/>
  <c r="BT13" i="1"/>
  <c r="BW13" i="1"/>
  <c r="BZ13" i="1"/>
  <c r="CC13" i="1"/>
  <c r="CF13" i="1"/>
  <c r="CI13" i="1"/>
  <c r="CL13" i="1"/>
  <c r="CO13" i="1"/>
  <c r="CR13" i="1"/>
  <c r="CU13" i="1"/>
  <c r="CX13" i="1"/>
  <c r="DA13" i="1"/>
  <c r="DD13" i="1"/>
  <c r="DG13" i="1"/>
  <c r="DJ13" i="1"/>
  <c r="DM13" i="1"/>
  <c r="DP13" i="1"/>
  <c r="F14" i="1"/>
  <c r="I14" i="1"/>
  <c r="L14" i="1"/>
  <c r="O14" i="1"/>
  <c r="R14" i="1"/>
  <c r="U14" i="1"/>
  <c r="X14" i="1"/>
  <c r="AA14" i="1"/>
  <c r="AD14" i="1"/>
  <c r="AG14" i="1"/>
  <c r="AJ14" i="1"/>
  <c r="AM14" i="1"/>
  <c r="AP14" i="1"/>
  <c r="AS14" i="1"/>
  <c r="AV14" i="1"/>
  <c r="AY14" i="1"/>
  <c r="BB14" i="1"/>
  <c r="BE14" i="1"/>
  <c r="BH14" i="1"/>
  <c r="BK14" i="1"/>
  <c r="BN14" i="1"/>
  <c r="BQ14" i="1"/>
  <c r="BT14" i="1"/>
  <c r="BW14" i="1"/>
  <c r="BZ14" i="1"/>
  <c r="CC14" i="1"/>
  <c r="CF14" i="1"/>
  <c r="CI14" i="1"/>
  <c r="CL14" i="1"/>
  <c r="CO14" i="1"/>
  <c r="CR14" i="1"/>
  <c r="CU14" i="1"/>
  <c r="CX14" i="1"/>
  <c r="DA14" i="1"/>
  <c r="DD14" i="1"/>
  <c r="DG14" i="1"/>
  <c r="DJ14" i="1"/>
  <c r="DM14" i="1"/>
  <c r="DP14" i="1"/>
  <c r="F15" i="1"/>
  <c r="I15" i="1"/>
  <c r="L15" i="1"/>
  <c r="O15" i="1"/>
  <c r="R15" i="1"/>
  <c r="U15" i="1"/>
  <c r="X15" i="1"/>
  <c r="AA15" i="1"/>
  <c r="AD15" i="1"/>
  <c r="AG15" i="1"/>
  <c r="AJ15" i="1"/>
  <c r="AM15" i="1"/>
  <c r="AP15" i="1"/>
  <c r="AS15" i="1"/>
  <c r="AV15" i="1"/>
  <c r="AY15" i="1"/>
  <c r="BB15" i="1"/>
  <c r="BE15" i="1"/>
  <c r="BH15" i="1"/>
  <c r="BK15" i="1"/>
  <c r="BN15" i="1"/>
  <c r="BQ15" i="1"/>
  <c r="BT15" i="1"/>
  <c r="BW15" i="1"/>
  <c r="BZ15" i="1"/>
  <c r="CC15" i="1"/>
  <c r="CF15" i="1"/>
  <c r="CI15" i="1"/>
  <c r="CL15" i="1"/>
  <c r="CR15" i="1"/>
  <c r="CU15" i="1"/>
  <c r="CX15" i="1"/>
  <c r="DA15" i="1"/>
  <c r="DD15" i="1"/>
  <c r="DG15" i="1"/>
  <c r="DJ15" i="1"/>
  <c r="DM15" i="1"/>
  <c r="DP15" i="1"/>
  <c r="F16" i="1"/>
  <c r="I16" i="1"/>
  <c r="L16" i="1"/>
  <c r="O16" i="1"/>
  <c r="R16" i="1"/>
  <c r="U16" i="1"/>
  <c r="X16" i="1"/>
  <c r="AA16" i="1"/>
  <c r="AD16" i="1"/>
  <c r="AG16" i="1"/>
  <c r="AJ16" i="1"/>
  <c r="AM16" i="1"/>
  <c r="AP16" i="1"/>
  <c r="AS16" i="1"/>
  <c r="AV16" i="1"/>
  <c r="AY16" i="1"/>
  <c r="BB16" i="1"/>
  <c r="BE16" i="1"/>
  <c r="BH16" i="1"/>
  <c r="BK16" i="1"/>
  <c r="BN16" i="1"/>
  <c r="BQ16" i="1"/>
  <c r="BT16" i="1"/>
  <c r="BW16" i="1"/>
  <c r="BZ16" i="1"/>
  <c r="CC16" i="1"/>
  <c r="CF16" i="1"/>
  <c r="CI16" i="1"/>
  <c r="CR16" i="1"/>
  <c r="CU16" i="1"/>
  <c r="CX16" i="1"/>
  <c r="DA16" i="1"/>
  <c r="DD16" i="1"/>
  <c r="DG16" i="1"/>
  <c r="DJ16" i="1"/>
  <c r="DM16" i="1"/>
  <c r="DP16" i="1"/>
  <c r="F17" i="1"/>
  <c r="I17" i="1"/>
  <c r="L17" i="1"/>
  <c r="O17" i="1"/>
  <c r="U17" i="1"/>
  <c r="X17" i="1"/>
  <c r="AA17" i="1"/>
  <c r="AD17" i="1"/>
  <c r="AG17" i="1"/>
  <c r="AJ17" i="1"/>
  <c r="AM17" i="1"/>
  <c r="AP17" i="1"/>
  <c r="AS17" i="1"/>
  <c r="AV17" i="1"/>
  <c r="AY17" i="1"/>
  <c r="BB17" i="1"/>
  <c r="BE17" i="1"/>
  <c r="BH17" i="1"/>
  <c r="BK17" i="1"/>
  <c r="BN17" i="1"/>
  <c r="BQ17" i="1"/>
  <c r="BT17" i="1"/>
  <c r="BW17" i="1"/>
  <c r="BZ17" i="1"/>
  <c r="CC17" i="1"/>
  <c r="CF17" i="1"/>
  <c r="CI17" i="1"/>
  <c r="CL17" i="1"/>
  <c r="CR17" i="1"/>
  <c r="CU17" i="1"/>
  <c r="CX17" i="1"/>
  <c r="DA17" i="1"/>
  <c r="DD17" i="1"/>
  <c r="DG17" i="1"/>
  <c r="DJ17" i="1"/>
  <c r="DM17" i="1"/>
  <c r="DP17" i="1"/>
  <c r="F19" i="1"/>
  <c r="I19" i="1"/>
  <c r="L19" i="1"/>
  <c r="O19" i="1"/>
  <c r="R19" i="1"/>
  <c r="U19" i="1"/>
  <c r="X19" i="1"/>
  <c r="AA19" i="1"/>
  <c r="AD19" i="1"/>
  <c r="AG19" i="1"/>
  <c r="AJ19" i="1"/>
  <c r="AM19" i="1"/>
  <c r="AP19" i="1"/>
  <c r="AS19" i="1"/>
  <c r="AV19" i="1"/>
  <c r="AY19" i="1"/>
  <c r="BB19" i="1"/>
  <c r="BE19" i="1"/>
  <c r="BH19" i="1"/>
  <c r="BK19" i="1"/>
  <c r="BN19" i="1"/>
  <c r="BT19" i="1"/>
  <c r="BW19" i="1"/>
  <c r="BZ19" i="1"/>
  <c r="CC19" i="1"/>
  <c r="CR19" i="1"/>
  <c r="CU19" i="1"/>
  <c r="CX19" i="1"/>
  <c r="DA19" i="1"/>
  <c r="DD19" i="1"/>
  <c r="DG19" i="1"/>
  <c r="DJ19" i="1"/>
  <c r="DM19" i="1"/>
  <c r="DP19" i="1"/>
  <c r="F20" i="1"/>
  <c r="I20" i="1"/>
  <c r="L20" i="1"/>
  <c r="O20" i="1"/>
  <c r="R20" i="1"/>
  <c r="U20" i="1"/>
  <c r="X20" i="1"/>
  <c r="AA20" i="1"/>
  <c r="AD20" i="1"/>
  <c r="AG20" i="1"/>
  <c r="AJ20" i="1"/>
  <c r="AM20" i="1"/>
  <c r="AP20" i="1"/>
  <c r="AS20" i="1"/>
  <c r="AV20" i="1"/>
  <c r="AY20" i="1"/>
  <c r="BB20" i="1"/>
  <c r="BE20" i="1"/>
  <c r="BH20" i="1"/>
  <c r="BK20" i="1"/>
  <c r="BN20" i="1"/>
  <c r="BT20" i="1"/>
  <c r="BW20" i="1"/>
  <c r="BZ20" i="1"/>
  <c r="CC20" i="1"/>
  <c r="CR20" i="1"/>
  <c r="CU20" i="1"/>
  <c r="CX20" i="1"/>
  <c r="DA20" i="1"/>
  <c r="DD20" i="1"/>
  <c r="DG20" i="1"/>
  <c r="DJ20" i="1"/>
  <c r="DM20" i="1"/>
  <c r="DP20" i="1"/>
  <c r="E21" i="1"/>
  <c r="E18" i="1" s="1"/>
  <c r="H21" i="1"/>
  <c r="H18" i="1" s="1"/>
  <c r="K21" i="1"/>
  <c r="K18" i="1" s="1"/>
  <c r="N21" i="1"/>
  <c r="N18" i="1" s="1"/>
  <c r="Q21" i="1"/>
  <c r="Q18" i="1" s="1"/>
  <c r="T21" i="1"/>
  <c r="T18" i="1" s="1"/>
  <c r="W21" i="1"/>
  <c r="W18" i="1" s="1"/>
  <c r="Z21" i="1"/>
  <c r="Z18" i="1" s="1"/>
  <c r="AC21" i="1"/>
  <c r="AC18" i="1" s="1"/>
  <c r="AF21" i="1"/>
  <c r="AF18" i="1" s="1"/>
  <c r="AI21" i="1"/>
  <c r="AI18" i="1" s="1"/>
  <c r="AL21" i="1"/>
  <c r="AL18" i="1" s="1"/>
  <c r="AO21" i="1"/>
  <c r="AO18" i="1" s="1"/>
  <c r="AR21" i="1"/>
  <c r="AR18" i="1" s="1"/>
  <c r="AU21" i="1"/>
  <c r="AU18" i="1" s="1"/>
  <c r="AX21" i="1"/>
  <c r="AX18" i="1" s="1"/>
  <c r="BA21" i="1"/>
  <c r="BA18" i="1" s="1"/>
  <c r="BD21" i="1"/>
  <c r="BD18" i="1" s="1"/>
  <c r="BG21" i="1"/>
  <c r="BG18" i="1" s="1"/>
  <c r="BJ21" i="1"/>
  <c r="BJ18" i="1" s="1"/>
  <c r="BM21" i="1"/>
  <c r="BM18" i="1" s="1"/>
  <c r="BP21" i="1"/>
  <c r="BP18" i="1" s="1"/>
  <c r="BS21" i="1"/>
  <c r="BS18" i="1" s="1"/>
  <c r="BV21" i="1"/>
  <c r="BV18" i="1" s="1"/>
  <c r="BY21" i="1"/>
  <c r="BY18" i="1" s="1"/>
  <c r="CB21" i="1"/>
  <c r="CB18" i="1" s="1"/>
  <c r="CE21" i="1"/>
  <c r="CE18" i="1" s="1"/>
  <c r="CH21" i="1"/>
  <c r="CH18" i="1" s="1"/>
  <c r="CK21" i="1"/>
  <c r="CK18" i="1" s="1"/>
  <c r="CN21" i="1"/>
  <c r="CN18" i="1" s="1"/>
  <c r="CQ21" i="1"/>
  <c r="CQ18" i="1" s="1"/>
  <c r="CT21" i="1"/>
  <c r="CT18" i="1" s="1"/>
  <c r="CW21" i="1"/>
  <c r="CW18" i="1" s="1"/>
  <c r="CZ21" i="1"/>
  <c r="CZ18" i="1" s="1"/>
  <c r="DC21" i="1"/>
  <c r="DC18" i="1" s="1"/>
  <c r="DF21" i="1"/>
  <c r="DF18" i="1" s="1"/>
  <c r="DI21" i="1"/>
  <c r="DI18" i="1" s="1"/>
  <c r="DL21" i="1"/>
  <c r="DL18" i="1" s="1"/>
  <c r="DO21" i="1"/>
  <c r="DO18" i="1" s="1"/>
  <c r="F22" i="1"/>
  <c r="I22" i="1"/>
  <c r="L22" i="1"/>
  <c r="O22" i="1"/>
  <c r="R22" i="1"/>
  <c r="U22" i="1"/>
  <c r="X22" i="1"/>
  <c r="AA22" i="1"/>
  <c r="AD22" i="1"/>
  <c r="AG22" i="1"/>
  <c r="AJ22" i="1"/>
  <c r="AM22" i="1"/>
  <c r="AP22" i="1"/>
  <c r="AS22" i="1"/>
  <c r="AV22" i="1"/>
  <c r="AY22" i="1"/>
  <c r="BB22" i="1"/>
  <c r="BE22" i="1"/>
  <c r="BH22" i="1"/>
  <c r="BK22" i="1"/>
  <c r="BN22" i="1"/>
  <c r="BQ22" i="1"/>
  <c r="BT22" i="1"/>
  <c r="BW22" i="1"/>
  <c r="BZ22" i="1"/>
  <c r="CC22" i="1"/>
  <c r="CF22" i="1"/>
  <c r="CI22" i="1"/>
  <c r="CL22" i="1"/>
  <c r="CO22" i="1"/>
  <c r="CR22" i="1"/>
  <c r="CU22" i="1"/>
  <c r="CX22" i="1"/>
  <c r="DA22" i="1"/>
  <c r="DD22" i="1"/>
  <c r="DG22" i="1"/>
  <c r="DJ22" i="1"/>
  <c r="DM22" i="1"/>
  <c r="DP22" i="1"/>
  <c r="F23" i="1"/>
  <c r="I23" i="1"/>
  <c r="L23" i="1"/>
  <c r="O23" i="1"/>
  <c r="R23" i="1"/>
  <c r="U23" i="1"/>
  <c r="X23" i="1"/>
  <c r="AA23" i="1"/>
  <c r="AD23" i="1"/>
  <c r="AG23" i="1"/>
  <c r="AJ23" i="1"/>
  <c r="AM23" i="1"/>
  <c r="AP23" i="1"/>
  <c r="AS23" i="1"/>
  <c r="AV23" i="1"/>
  <c r="AY23" i="1"/>
  <c r="BB23" i="1"/>
  <c r="BE23" i="1"/>
  <c r="BH23" i="1"/>
  <c r="BK23" i="1"/>
  <c r="BN23" i="1"/>
  <c r="BT23" i="1"/>
  <c r="BW23" i="1"/>
  <c r="BZ23" i="1"/>
  <c r="CC23" i="1"/>
  <c r="CR23" i="1"/>
  <c r="CU23" i="1"/>
  <c r="CX23" i="1"/>
  <c r="DA23" i="1"/>
  <c r="DD23" i="1"/>
  <c r="DG23" i="1"/>
  <c r="DJ23" i="1"/>
  <c r="DM23" i="1"/>
  <c r="DP23" i="1"/>
  <c r="F24" i="1"/>
  <c r="I24" i="1"/>
  <c r="L24" i="1"/>
  <c r="O24" i="1"/>
  <c r="R24" i="1"/>
  <c r="U24" i="1"/>
  <c r="X24" i="1"/>
  <c r="AA24" i="1"/>
  <c r="AD24" i="1"/>
  <c r="AG24" i="1"/>
  <c r="AJ24" i="1"/>
  <c r="AM24" i="1"/>
  <c r="AP24" i="1"/>
  <c r="AS24" i="1"/>
  <c r="AV24" i="1"/>
  <c r="AY24" i="1"/>
  <c r="BB24" i="1"/>
  <c r="BE24" i="1"/>
  <c r="BH24" i="1"/>
  <c r="BK24" i="1"/>
  <c r="BN24" i="1"/>
  <c r="BT24" i="1"/>
  <c r="BW24" i="1"/>
  <c r="BZ24" i="1"/>
  <c r="CC24" i="1"/>
  <c r="CR24" i="1"/>
  <c r="CU24" i="1"/>
  <c r="CX24" i="1"/>
  <c r="DA24" i="1"/>
  <c r="DD24" i="1"/>
  <c r="DG24" i="1"/>
  <c r="DJ24" i="1"/>
  <c r="DM24" i="1"/>
  <c r="DP24" i="1"/>
  <c r="F25" i="1"/>
  <c r="I25" i="1"/>
  <c r="L25" i="1"/>
  <c r="O25" i="1"/>
  <c r="R25" i="1"/>
  <c r="X25" i="1"/>
  <c r="AA25" i="1"/>
  <c r="AD25" i="1"/>
  <c r="AG25" i="1"/>
  <c r="AJ25" i="1"/>
  <c r="AM25" i="1"/>
  <c r="AP25" i="1"/>
  <c r="AS25" i="1"/>
  <c r="AV25" i="1"/>
  <c r="AY25" i="1"/>
  <c r="BB25" i="1"/>
  <c r="BE25" i="1"/>
  <c r="BH25" i="1"/>
  <c r="BK25" i="1"/>
  <c r="BN25" i="1"/>
  <c r="BQ25" i="1"/>
  <c r="BT25" i="1"/>
  <c r="BW25" i="1"/>
  <c r="BZ25" i="1"/>
  <c r="CC25" i="1"/>
  <c r="CF25" i="1"/>
  <c r="CI25" i="1"/>
  <c r="CL25" i="1"/>
  <c r="CR25" i="1"/>
  <c r="CU25" i="1"/>
  <c r="CX25" i="1"/>
  <c r="DA25" i="1"/>
  <c r="DD25" i="1"/>
  <c r="DG25" i="1"/>
  <c r="DJ25" i="1"/>
  <c r="DM25" i="1"/>
  <c r="DP25" i="1"/>
  <c r="E29" i="1"/>
  <c r="H29" i="1"/>
  <c r="K29" i="1"/>
  <c r="N29" i="1"/>
  <c r="Q29" i="1"/>
  <c r="T29" i="1"/>
  <c r="W29" i="1"/>
  <c r="Z29" i="1"/>
  <c r="AC29" i="1"/>
  <c r="AF29" i="1"/>
  <c r="AI29" i="1"/>
  <c r="AL29" i="1"/>
  <c r="AO29" i="1"/>
  <c r="AR29" i="1"/>
  <c r="AU29" i="1"/>
  <c r="AX29" i="1"/>
  <c r="BA29" i="1"/>
  <c r="BD29" i="1"/>
  <c r="BG29" i="1"/>
  <c r="BJ29" i="1"/>
  <c r="BM29" i="1"/>
  <c r="BP29" i="1"/>
  <c r="BS29" i="1"/>
  <c r="BV29" i="1"/>
  <c r="BY29" i="1"/>
  <c r="CB29" i="1"/>
  <c r="CE29" i="1"/>
  <c r="CH29" i="1"/>
  <c r="CK29" i="1"/>
  <c r="CN29" i="1"/>
  <c r="CQ29" i="1"/>
  <c r="CT29" i="1"/>
  <c r="CW29" i="1"/>
  <c r="CZ29" i="1"/>
  <c r="DC29" i="1"/>
  <c r="DF29" i="1"/>
  <c r="DI29" i="1"/>
  <c r="DL29" i="1"/>
  <c r="DO29" i="1"/>
  <c r="F30" i="1"/>
  <c r="I30" i="1"/>
  <c r="L30" i="1"/>
  <c r="O30" i="1"/>
  <c r="R30" i="1"/>
  <c r="U30" i="1"/>
  <c r="X30" i="1"/>
  <c r="AD30" i="1"/>
  <c r="AG30" i="1"/>
  <c r="AJ30" i="1"/>
  <c r="AM30" i="1"/>
  <c r="AP30" i="1"/>
  <c r="AS30" i="1"/>
  <c r="AV30" i="1"/>
  <c r="AY30" i="1"/>
  <c r="BB30" i="1"/>
  <c r="BE30" i="1"/>
  <c r="BH30" i="1"/>
  <c r="BK30" i="1"/>
  <c r="BN30" i="1"/>
  <c r="BQ30" i="1"/>
  <c r="BT30" i="1"/>
  <c r="BW30" i="1"/>
  <c r="BZ30" i="1"/>
  <c r="CC30" i="1"/>
  <c r="CF30" i="1"/>
  <c r="CI30" i="1"/>
  <c r="CL30" i="1"/>
  <c r="CR30" i="1"/>
  <c r="CU30" i="1"/>
  <c r="CX30" i="1"/>
  <c r="DA30" i="1"/>
  <c r="DD30" i="1"/>
  <c r="DG30" i="1"/>
  <c r="DJ30" i="1"/>
  <c r="DM30" i="1"/>
  <c r="DP30" i="1"/>
  <c r="F31" i="1"/>
  <c r="I31" i="1"/>
  <c r="L31" i="1"/>
  <c r="O31" i="1"/>
  <c r="R31" i="1"/>
  <c r="U31" i="1"/>
  <c r="X31" i="1"/>
  <c r="AA31" i="1"/>
  <c r="AD31" i="1"/>
  <c r="AG31" i="1"/>
  <c r="AJ31" i="1"/>
  <c r="AM31" i="1"/>
  <c r="AP31" i="1"/>
  <c r="AS31" i="1"/>
  <c r="AV31" i="1"/>
  <c r="AY31" i="1"/>
  <c r="BB31" i="1"/>
  <c r="BE31" i="1"/>
  <c r="BH31" i="1"/>
  <c r="BK31" i="1"/>
  <c r="BN31" i="1"/>
  <c r="BQ31" i="1"/>
  <c r="BT31" i="1"/>
  <c r="BW31" i="1"/>
  <c r="BZ31" i="1"/>
  <c r="CC31" i="1"/>
  <c r="CF31" i="1"/>
  <c r="CI31" i="1"/>
  <c r="CL31" i="1"/>
  <c r="CR31" i="1"/>
  <c r="CU31" i="1"/>
  <c r="CX31" i="1"/>
  <c r="DA31" i="1"/>
  <c r="DD31" i="1"/>
  <c r="DG31" i="1"/>
  <c r="DJ31" i="1"/>
  <c r="DM31" i="1"/>
  <c r="DP31" i="1"/>
  <c r="F32" i="1"/>
  <c r="I32" i="1"/>
  <c r="L32" i="1"/>
  <c r="O32" i="1"/>
  <c r="R32" i="1"/>
  <c r="U32" i="1"/>
  <c r="X32" i="1"/>
  <c r="AA32" i="1"/>
  <c r="AD32" i="1"/>
  <c r="AG32" i="1"/>
  <c r="AJ32" i="1"/>
  <c r="AM32" i="1"/>
  <c r="AP32" i="1"/>
  <c r="AS32" i="1"/>
  <c r="AV32" i="1"/>
  <c r="AY32" i="1"/>
  <c r="BB32" i="1"/>
  <c r="BE32" i="1"/>
  <c r="BH32" i="1"/>
  <c r="BK32" i="1"/>
  <c r="BN32" i="1"/>
  <c r="BQ32" i="1"/>
  <c r="BT32" i="1"/>
  <c r="BW32" i="1"/>
  <c r="BZ32" i="1"/>
  <c r="CC32" i="1"/>
  <c r="CF32" i="1"/>
  <c r="CI32" i="1"/>
  <c r="CL32" i="1"/>
  <c r="CO32" i="1"/>
  <c r="CR32" i="1"/>
  <c r="CU32" i="1"/>
  <c r="CX32" i="1"/>
  <c r="DA32" i="1"/>
  <c r="DD32" i="1"/>
  <c r="DG32" i="1"/>
  <c r="DJ32" i="1"/>
  <c r="DM32" i="1"/>
  <c r="DP32" i="1"/>
  <c r="F33" i="1"/>
  <c r="I33" i="1"/>
  <c r="L33" i="1"/>
  <c r="O33" i="1"/>
  <c r="R33" i="1"/>
  <c r="U33" i="1"/>
  <c r="X33" i="1"/>
  <c r="AA33" i="1"/>
  <c r="AD33" i="1"/>
  <c r="AG33" i="1"/>
  <c r="AJ33" i="1"/>
  <c r="AM33" i="1"/>
  <c r="AP33" i="1"/>
  <c r="AS33" i="1"/>
  <c r="AV33" i="1"/>
  <c r="AY33" i="1"/>
  <c r="BB33" i="1"/>
  <c r="BE33" i="1"/>
  <c r="BH33" i="1"/>
  <c r="BK33" i="1"/>
  <c r="BN33" i="1"/>
  <c r="BQ33" i="1"/>
  <c r="BT33" i="1"/>
  <c r="BW33" i="1"/>
  <c r="BZ33" i="1"/>
  <c r="CC33" i="1"/>
  <c r="CF33" i="1"/>
  <c r="CI33" i="1"/>
  <c r="CL33" i="1"/>
  <c r="CO33" i="1"/>
  <c r="CR33" i="1"/>
  <c r="CU33" i="1"/>
  <c r="CX33" i="1"/>
  <c r="DA33" i="1"/>
  <c r="DD33" i="1"/>
  <c r="DG33" i="1"/>
  <c r="DJ33" i="1"/>
  <c r="DM33" i="1"/>
  <c r="DP33" i="1"/>
  <c r="F34" i="1"/>
  <c r="I34" i="1"/>
  <c r="L34" i="1"/>
  <c r="O34" i="1"/>
  <c r="R34" i="1"/>
  <c r="U34" i="1"/>
  <c r="X34" i="1"/>
  <c r="AA34" i="1"/>
  <c r="AD34" i="1"/>
  <c r="AG34" i="1"/>
  <c r="AJ34" i="1"/>
  <c r="AM34" i="1"/>
  <c r="AP34" i="1"/>
  <c r="AS34" i="1"/>
  <c r="AV34" i="1"/>
  <c r="AY34" i="1"/>
  <c r="BB34" i="1"/>
  <c r="BE34" i="1"/>
  <c r="BH34" i="1"/>
  <c r="BK34" i="1"/>
  <c r="BN34" i="1"/>
  <c r="BQ34" i="1"/>
  <c r="BT34" i="1"/>
  <c r="BW34" i="1"/>
  <c r="BZ34" i="1"/>
  <c r="CC34" i="1"/>
  <c r="CI34" i="1"/>
  <c r="CR34" i="1"/>
  <c r="CU34" i="1"/>
  <c r="CX34" i="1"/>
  <c r="DA34" i="1"/>
  <c r="DD34" i="1"/>
  <c r="DG34" i="1"/>
  <c r="DJ34" i="1"/>
  <c r="DM34" i="1"/>
  <c r="DP34" i="1"/>
  <c r="F35" i="1"/>
  <c r="I35" i="1"/>
  <c r="L35" i="1"/>
  <c r="O35" i="1"/>
  <c r="R35" i="1"/>
  <c r="U35" i="1"/>
  <c r="AA35" i="1"/>
  <c r="AD35" i="1"/>
  <c r="AG35" i="1"/>
  <c r="AJ35" i="1"/>
  <c r="AM35" i="1"/>
  <c r="AP35" i="1"/>
  <c r="AS35" i="1"/>
  <c r="AV35" i="1"/>
  <c r="AY35" i="1"/>
  <c r="BB35" i="1"/>
  <c r="BE35" i="1"/>
  <c r="BH35" i="1"/>
  <c r="BK35" i="1"/>
  <c r="BN35" i="1"/>
  <c r="BQ35" i="1"/>
  <c r="BT35" i="1"/>
  <c r="BW35" i="1"/>
  <c r="BZ35" i="1"/>
  <c r="CC35" i="1"/>
  <c r="CF35" i="1"/>
  <c r="CI35" i="1"/>
  <c r="CL35" i="1"/>
  <c r="CR35" i="1"/>
  <c r="CU35" i="1"/>
  <c r="CX35" i="1"/>
  <c r="DA35" i="1"/>
  <c r="DD35" i="1"/>
  <c r="DG35" i="1"/>
  <c r="DJ35" i="1"/>
  <c r="DM35" i="1"/>
  <c r="DP35" i="1"/>
  <c r="F36" i="1"/>
  <c r="I36" i="1"/>
  <c r="L36" i="1"/>
  <c r="O36" i="1"/>
  <c r="R36" i="1"/>
  <c r="U36" i="1"/>
  <c r="X36" i="1"/>
  <c r="AA36" i="1"/>
  <c r="AD36" i="1"/>
  <c r="AG36" i="1"/>
  <c r="AJ36" i="1"/>
  <c r="AM36" i="1"/>
  <c r="AP36" i="1"/>
  <c r="AS36" i="1"/>
  <c r="AV36" i="1"/>
  <c r="AY36" i="1"/>
  <c r="BB36" i="1"/>
  <c r="BE36" i="1"/>
  <c r="BH36" i="1"/>
  <c r="BK36" i="1"/>
  <c r="BN36" i="1"/>
  <c r="BT36" i="1"/>
  <c r="BW36" i="1"/>
  <c r="BZ36" i="1"/>
  <c r="CC36" i="1"/>
  <c r="CI36" i="1"/>
  <c r="CL36" i="1"/>
  <c r="CR36" i="1"/>
  <c r="CU36" i="1"/>
  <c r="CX36" i="1"/>
  <c r="DA36" i="1"/>
  <c r="DD36" i="1"/>
  <c r="DG36" i="1"/>
  <c r="DJ36" i="1"/>
  <c r="DM36" i="1"/>
  <c r="DP36" i="1"/>
  <c r="E37" i="1"/>
  <c r="H37" i="1"/>
  <c r="K37" i="1"/>
  <c r="N37" i="1"/>
  <c r="Q37" i="1"/>
  <c r="T37" i="1"/>
  <c r="W37" i="1"/>
  <c r="Z37" i="1"/>
  <c r="AC37" i="1"/>
  <c r="AF37" i="1"/>
  <c r="AI37" i="1"/>
  <c r="AL37" i="1"/>
  <c r="AO37" i="1"/>
  <c r="AR37" i="1"/>
  <c r="AU37" i="1"/>
  <c r="AX37" i="1"/>
  <c r="BA37" i="1"/>
  <c r="BD37" i="1"/>
  <c r="BG37" i="1"/>
  <c r="BJ37" i="1"/>
  <c r="BM37" i="1"/>
  <c r="BP37" i="1"/>
  <c r="BS37" i="1"/>
  <c r="BV37" i="1"/>
  <c r="BY37" i="1"/>
  <c r="CB37" i="1"/>
  <c r="CE37" i="1"/>
  <c r="CH37" i="1"/>
  <c r="CK37" i="1"/>
  <c r="CN37" i="1"/>
  <c r="CQ37" i="1"/>
  <c r="CT37" i="1"/>
  <c r="CW37" i="1"/>
  <c r="CZ37" i="1"/>
  <c r="DC37" i="1"/>
  <c r="DF37" i="1"/>
  <c r="DI37" i="1"/>
  <c r="DL37" i="1"/>
  <c r="DO37" i="1"/>
  <c r="F38" i="1"/>
  <c r="I38" i="1"/>
  <c r="L38" i="1"/>
  <c r="O38" i="1"/>
  <c r="R38" i="1"/>
  <c r="U38" i="1"/>
  <c r="X38" i="1"/>
  <c r="AA38" i="1"/>
  <c r="AD38" i="1"/>
  <c r="AG38" i="1"/>
  <c r="AJ38" i="1"/>
  <c r="AM38" i="1"/>
  <c r="AP38" i="1"/>
  <c r="AS38" i="1"/>
  <c r="AV38" i="1"/>
  <c r="AY38" i="1"/>
  <c r="BB38" i="1"/>
  <c r="BE38" i="1"/>
  <c r="BH38" i="1"/>
  <c r="BK38" i="1"/>
  <c r="BN38" i="1"/>
  <c r="BQ38" i="1"/>
  <c r="BT38" i="1"/>
  <c r="BW38" i="1"/>
  <c r="BZ38" i="1"/>
  <c r="CC38" i="1"/>
  <c r="CF38" i="1"/>
  <c r="CI38" i="1"/>
  <c r="CL38" i="1"/>
  <c r="CO38" i="1"/>
  <c r="CR38" i="1"/>
  <c r="CU38" i="1"/>
  <c r="CX38" i="1"/>
  <c r="DA38" i="1"/>
  <c r="DD38" i="1"/>
  <c r="DG38" i="1"/>
  <c r="DJ38" i="1"/>
  <c r="DM38" i="1"/>
  <c r="DP38" i="1"/>
  <c r="F39" i="1"/>
  <c r="I39" i="1"/>
  <c r="L39" i="1"/>
  <c r="O39" i="1"/>
  <c r="R39" i="1"/>
  <c r="U39" i="1"/>
  <c r="X39" i="1"/>
  <c r="AA39" i="1"/>
  <c r="AD39" i="1"/>
  <c r="AG39" i="1"/>
  <c r="AJ39" i="1"/>
  <c r="AM39" i="1"/>
  <c r="AP39" i="1"/>
  <c r="AS39" i="1"/>
  <c r="AV39" i="1"/>
  <c r="AY39" i="1"/>
  <c r="BB39" i="1"/>
  <c r="BE39" i="1"/>
  <c r="BH39" i="1"/>
  <c r="BK39" i="1"/>
  <c r="BN39" i="1"/>
  <c r="BQ39" i="1"/>
  <c r="BT39" i="1"/>
  <c r="BW39" i="1"/>
  <c r="BZ39" i="1"/>
  <c r="CC39" i="1"/>
  <c r="CF39" i="1"/>
  <c r="CI39" i="1"/>
  <c r="CL39" i="1"/>
  <c r="CR39" i="1"/>
  <c r="CU39" i="1"/>
  <c r="CX39" i="1"/>
  <c r="DA39" i="1"/>
  <c r="DD39" i="1"/>
  <c r="DG39" i="1"/>
  <c r="DJ39" i="1"/>
  <c r="DM39" i="1"/>
  <c r="DP39" i="1"/>
  <c r="E41" i="1"/>
  <c r="H41" i="1"/>
  <c r="K41" i="1"/>
  <c r="N41" i="1"/>
  <c r="Q41" i="1"/>
  <c r="T41" i="1"/>
  <c r="W41" i="1"/>
  <c r="Z41" i="1"/>
  <c r="AC41" i="1"/>
  <c r="AF41" i="1"/>
  <c r="AI41" i="1"/>
  <c r="AL41" i="1"/>
  <c r="AO41" i="1"/>
  <c r="AR41" i="1"/>
  <c r="AU41" i="1"/>
  <c r="AX41" i="1"/>
  <c r="BA41" i="1"/>
  <c r="BD41" i="1"/>
  <c r="BG41" i="1"/>
  <c r="BJ41" i="1"/>
  <c r="BM41" i="1"/>
  <c r="BP41" i="1"/>
  <c r="BS41" i="1"/>
  <c r="BV41" i="1"/>
  <c r="BY41" i="1"/>
  <c r="CB41" i="1"/>
  <c r="CE41" i="1"/>
  <c r="CH41" i="1"/>
  <c r="CK41" i="1"/>
  <c r="CN41" i="1"/>
  <c r="CQ41" i="1"/>
  <c r="CT41" i="1"/>
  <c r="CW41" i="1"/>
  <c r="CZ41" i="1"/>
  <c r="DC41" i="1"/>
  <c r="DF41" i="1"/>
  <c r="DI41" i="1"/>
  <c r="DL41" i="1"/>
  <c r="DO41" i="1"/>
  <c r="F42" i="1"/>
  <c r="I42" i="1"/>
  <c r="L42" i="1"/>
  <c r="O42" i="1"/>
  <c r="R42" i="1"/>
  <c r="U42" i="1"/>
  <c r="X42" i="1"/>
  <c r="AA42" i="1"/>
  <c r="AD42" i="1"/>
  <c r="AG42" i="1"/>
  <c r="AJ42" i="1"/>
  <c r="AM42" i="1"/>
  <c r="AP42" i="1"/>
  <c r="AS42" i="1"/>
  <c r="AV42" i="1"/>
  <c r="AY42" i="1"/>
  <c r="BB42" i="1"/>
  <c r="BE42" i="1"/>
  <c r="BH42" i="1"/>
  <c r="BK42" i="1"/>
  <c r="BN42" i="1"/>
  <c r="BQ42" i="1"/>
  <c r="BT42" i="1"/>
  <c r="BW42" i="1"/>
  <c r="BZ42" i="1"/>
  <c r="CC42" i="1"/>
  <c r="CF42" i="1"/>
  <c r="CI42" i="1"/>
  <c r="CL42" i="1"/>
  <c r="CR42" i="1"/>
  <c r="CU42" i="1"/>
  <c r="CX42" i="1"/>
  <c r="DA42" i="1"/>
  <c r="DD42" i="1"/>
  <c r="DG42" i="1"/>
  <c r="DJ42" i="1"/>
  <c r="DM42" i="1"/>
  <c r="DP42" i="1"/>
  <c r="F43" i="1"/>
  <c r="I43" i="1"/>
  <c r="L43" i="1"/>
  <c r="O43" i="1"/>
  <c r="R43" i="1"/>
  <c r="U43" i="1"/>
  <c r="X43" i="1"/>
  <c r="AA43" i="1"/>
  <c r="AD43" i="1"/>
  <c r="AG43" i="1"/>
  <c r="AJ43" i="1"/>
  <c r="AM43" i="1"/>
  <c r="AP43" i="1"/>
  <c r="AS43" i="1"/>
  <c r="AV43" i="1"/>
  <c r="AY43" i="1"/>
  <c r="BB43" i="1"/>
  <c r="BE43" i="1"/>
  <c r="BH43" i="1"/>
  <c r="BK43" i="1"/>
  <c r="BN43" i="1"/>
  <c r="BQ43" i="1"/>
  <c r="BT43" i="1"/>
  <c r="BW43" i="1"/>
  <c r="BZ43" i="1"/>
  <c r="CC43" i="1"/>
  <c r="CF43" i="1"/>
  <c r="CI43" i="1"/>
  <c r="CL43" i="1"/>
  <c r="CO43" i="1"/>
  <c r="CR43" i="1"/>
  <c r="CU43" i="1"/>
  <c r="CX43" i="1"/>
  <c r="DA43" i="1"/>
  <c r="DD43" i="1"/>
  <c r="DG43" i="1"/>
  <c r="DJ43" i="1"/>
  <c r="DM43" i="1"/>
  <c r="DP43" i="1"/>
  <c r="F44" i="1"/>
  <c r="I44" i="1"/>
  <c r="L44" i="1"/>
  <c r="O44" i="1"/>
  <c r="R44" i="1"/>
  <c r="U44" i="1"/>
  <c r="X44" i="1"/>
  <c r="AA44" i="1"/>
  <c r="AD44" i="1"/>
  <c r="AG44" i="1"/>
  <c r="AJ44" i="1"/>
  <c r="AM44" i="1"/>
  <c r="AP44" i="1"/>
  <c r="AS44" i="1"/>
  <c r="AV44" i="1"/>
  <c r="AY44" i="1"/>
  <c r="BB44" i="1"/>
  <c r="BE44" i="1"/>
  <c r="BH44" i="1"/>
  <c r="BK44" i="1"/>
  <c r="BN44" i="1"/>
  <c r="BQ44" i="1"/>
  <c r="BT44" i="1"/>
  <c r="BW44" i="1"/>
  <c r="BZ44" i="1"/>
  <c r="CC44" i="1"/>
  <c r="CF44" i="1"/>
  <c r="CI44" i="1"/>
  <c r="CL44" i="1"/>
  <c r="CO44" i="1"/>
  <c r="CR44" i="1"/>
  <c r="CU44" i="1"/>
  <c r="CX44" i="1"/>
  <c r="DA44" i="1"/>
  <c r="DD44" i="1"/>
  <c r="DG44" i="1"/>
  <c r="DJ44" i="1"/>
  <c r="DM44" i="1"/>
  <c r="DP44" i="1"/>
  <c r="F45" i="1"/>
  <c r="I45" i="1"/>
  <c r="L45" i="1"/>
  <c r="O45" i="1"/>
  <c r="R45" i="1"/>
  <c r="U45" i="1"/>
  <c r="X45" i="1"/>
  <c r="AA45" i="1"/>
  <c r="AD45" i="1"/>
  <c r="AG45" i="1"/>
  <c r="AJ45" i="1"/>
  <c r="AM45" i="1"/>
  <c r="AP45" i="1"/>
  <c r="AS45" i="1"/>
  <c r="AV45" i="1"/>
  <c r="AY45" i="1"/>
  <c r="BB45" i="1"/>
  <c r="BE45" i="1"/>
  <c r="BH45" i="1"/>
  <c r="BK45" i="1"/>
  <c r="BN45" i="1"/>
  <c r="BQ45" i="1"/>
  <c r="BT45" i="1"/>
  <c r="BW45" i="1"/>
  <c r="BZ45" i="1"/>
  <c r="CC45" i="1"/>
  <c r="CI45" i="1"/>
  <c r="CR45" i="1"/>
  <c r="CU45" i="1"/>
  <c r="CX45" i="1"/>
  <c r="DA45" i="1"/>
  <c r="DD45" i="1"/>
  <c r="DG45" i="1"/>
  <c r="DJ45" i="1"/>
  <c r="DM45" i="1"/>
  <c r="DP45" i="1"/>
  <c r="F46" i="1"/>
  <c r="I46" i="1"/>
  <c r="L46" i="1"/>
  <c r="O46" i="1"/>
  <c r="R46" i="1"/>
  <c r="U46" i="1"/>
  <c r="X46" i="1"/>
  <c r="AA46" i="1"/>
  <c r="AD46" i="1"/>
  <c r="AG46" i="1"/>
  <c r="AJ46" i="1"/>
  <c r="AM46" i="1"/>
  <c r="AP46" i="1"/>
  <c r="AS46" i="1"/>
  <c r="AV46" i="1"/>
  <c r="AY46" i="1"/>
  <c r="BB46" i="1"/>
  <c r="BE46" i="1"/>
  <c r="BH46" i="1"/>
  <c r="BK46" i="1"/>
  <c r="BN46" i="1"/>
  <c r="BT46" i="1"/>
  <c r="BW46" i="1"/>
  <c r="BZ46" i="1"/>
  <c r="CC46" i="1"/>
  <c r="CI46" i="1"/>
  <c r="CR46" i="1"/>
  <c r="CU46" i="1"/>
  <c r="CX46" i="1"/>
  <c r="DA46" i="1"/>
  <c r="DD46" i="1"/>
  <c r="DG46" i="1"/>
  <c r="DJ46" i="1"/>
  <c r="DM46" i="1"/>
  <c r="DP46" i="1"/>
  <c r="F47" i="1"/>
  <c r="I47" i="1"/>
  <c r="L47" i="1"/>
  <c r="O47" i="1"/>
  <c r="R47" i="1"/>
  <c r="U47" i="1"/>
  <c r="X47" i="1"/>
  <c r="AA47" i="1"/>
  <c r="AD47" i="1"/>
  <c r="AG47" i="1"/>
  <c r="AJ47" i="1"/>
  <c r="AM47" i="1"/>
  <c r="AP47" i="1"/>
  <c r="AS47" i="1"/>
  <c r="AV47" i="1"/>
  <c r="AY47" i="1"/>
  <c r="BB47" i="1"/>
  <c r="BE47" i="1"/>
  <c r="BH47" i="1"/>
  <c r="BK47" i="1"/>
  <c r="BN47" i="1"/>
  <c r="BQ47" i="1"/>
  <c r="BT47" i="1"/>
  <c r="BW47" i="1"/>
  <c r="BZ47" i="1"/>
  <c r="CC47" i="1"/>
  <c r="CF47" i="1"/>
  <c r="CI47" i="1"/>
  <c r="CL47" i="1"/>
  <c r="CR47" i="1"/>
  <c r="CU47" i="1"/>
  <c r="CX47" i="1"/>
  <c r="DA47" i="1"/>
  <c r="DD47" i="1"/>
  <c r="DG47" i="1"/>
  <c r="DJ47" i="1"/>
  <c r="DM47" i="1"/>
  <c r="DP47" i="1"/>
  <c r="F48" i="1"/>
  <c r="I48" i="1"/>
  <c r="L48" i="1"/>
  <c r="O48" i="1"/>
  <c r="R48" i="1"/>
  <c r="U48" i="1"/>
  <c r="X48" i="1"/>
  <c r="AA48" i="1"/>
  <c r="AD48" i="1"/>
  <c r="AG48" i="1"/>
  <c r="AJ48" i="1"/>
  <c r="AM48" i="1"/>
  <c r="AP48" i="1"/>
  <c r="AS48" i="1"/>
  <c r="AV48" i="1"/>
  <c r="AY48" i="1"/>
  <c r="BB48" i="1"/>
  <c r="BE48" i="1"/>
  <c r="BH48" i="1"/>
  <c r="BK48" i="1"/>
  <c r="BN48" i="1"/>
  <c r="BQ48" i="1"/>
  <c r="BT48" i="1"/>
  <c r="BW48" i="1"/>
  <c r="BZ48" i="1"/>
  <c r="CC48" i="1"/>
  <c r="CF48" i="1"/>
  <c r="CI48" i="1"/>
  <c r="CL48" i="1"/>
  <c r="CR48" i="1"/>
  <c r="CU48" i="1"/>
  <c r="CX48" i="1"/>
  <c r="DA48" i="1"/>
  <c r="DD48" i="1"/>
  <c r="DG48" i="1"/>
  <c r="DJ48" i="1"/>
  <c r="DM48" i="1"/>
  <c r="DP48" i="1"/>
  <c r="E49" i="1"/>
  <c r="H49" i="1"/>
  <c r="K49" i="1"/>
  <c r="N49" i="1"/>
  <c r="Q49" i="1"/>
  <c r="T49" i="1"/>
  <c r="W49" i="1"/>
  <c r="Z49" i="1"/>
  <c r="AC49" i="1"/>
  <c r="AF49" i="1"/>
  <c r="AI49" i="1"/>
  <c r="AL49" i="1"/>
  <c r="AO49" i="1"/>
  <c r="AR49" i="1"/>
  <c r="AU49" i="1"/>
  <c r="AX49" i="1"/>
  <c r="BA49" i="1"/>
  <c r="BD49" i="1"/>
  <c r="BG49" i="1"/>
  <c r="BJ49" i="1"/>
  <c r="BM49" i="1"/>
  <c r="BP49" i="1"/>
  <c r="BS49" i="1"/>
  <c r="BV49" i="1"/>
  <c r="BY49" i="1"/>
  <c r="CB49" i="1"/>
  <c r="CE49" i="1"/>
  <c r="CH49" i="1"/>
  <c r="CK49" i="1"/>
  <c r="CN49" i="1"/>
  <c r="CQ49" i="1"/>
  <c r="CT49" i="1"/>
  <c r="CW49" i="1"/>
  <c r="CZ49" i="1"/>
  <c r="DC49" i="1"/>
  <c r="DF49" i="1"/>
  <c r="DI49" i="1"/>
  <c r="DL49" i="1"/>
  <c r="DO49" i="1"/>
  <c r="F50" i="1"/>
  <c r="I50" i="1"/>
  <c r="L50" i="1"/>
  <c r="O50" i="1"/>
  <c r="R50" i="1"/>
  <c r="U50" i="1"/>
  <c r="X50" i="1"/>
  <c r="AA50" i="1"/>
  <c r="AD50" i="1"/>
  <c r="AG50" i="1"/>
  <c r="AJ50" i="1"/>
  <c r="AM50" i="1"/>
  <c r="AP50" i="1"/>
  <c r="AS50" i="1"/>
  <c r="AV50" i="1"/>
  <c r="AY50" i="1"/>
  <c r="BB50" i="1"/>
  <c r="BE50" i="1"/>
  <c r="BH50" i="1"/>
  <c r="BK50" i="1"/>
  <c r="BN50" i="1"/>
  <c r="BQ50" i="1"/>
  <c r="BT50" i="1"/>
  <c r="BW50" i="1"/>
  <c r="BZ50" i="1"/>
  <c r="CC50" i="1"/>
  <c r="CF50" i="1"/>
  <c r="CI50" i="1"/>
  <c r="CL50" i="1"/>
  <c r="CR50" i="1"/>
  <c r="CU50" i="1"/>
  <c r="CX50" i="1"/>
  <c r="DA50" i="1"/>
  <c r="DD50" i="1"/>
  <c r="DG50" i="1"/>
  <c r="DJ50" i="1"/>
  <c r="DM50" i="1"/>
  <c r="DP50" i="1"/>
  <c r="F51" i="1"/>
  <c r="I51" i="1"/>
  <c r="L51" i="1"/>
  <c r="L49" i="1" s="1"/>
  <c r="O51" i="1"/>
  <c r="R51" i="1"/>
  <c r="R49" i="1" s="1"/>
  <c r="U51" i="1"/>
  <c r="X51" i="1"/>
  <c r="X49" i="1" s="1"/>
  <c r="AA51" i="1"/>
  <c r="AD51" i="1"/>
  <c r="AD49" i="1" s="1"/>
  <c r="AG51" i="1"/>
  <c r="AJ51" i="1"/>
  <c r="AM51" i="1"/>
  <c r="AP51" i="1"/>
  <c r="AS51" i="1"/>
  <c r="AV51" i="1"/>
  <c r="AY51" i="1"/>
  <c r="BB51" i="1"/>
  <c r="BE51" i="1"/>
  <c r="BH51" i="1"/>
  <c r="BK51" i="1"/>
  <c r="BN51" i="1"/>
  <c r="BQ51" i="1"/>
  <c r="BT51" i="1"/>
  <c r="BW51" i="1"/>
  <c r="BZ51" i="1"/>
  <c r="CC51" i="1"/>
  <c r="CF51" i="1"/>
  <c r="CI51" i="1"/>
  <c r="CL51" i="1"/>
  <c r="CO51" i="1"/>
  <c r="CR51" i="1"/>
  <c r="CU51" i="1"/>
  <c r="CX51" i="1"/>
  <c r="DA51" i="1"/>
  <c r="DD51" i="1"/>
  <c r="DG51" i="1"/>
  <c r="DJ51" i="1"/>
  <c r="DM51" i="1"/>
  <c r="DP51" i="1"/>
  <c r="E54" i="1"/>
  <c r="H54" i="1"/>
  <c r="K54" i="1"/>
  <c r="N54" i="1"/>
  <c r="Q54" i="1"/>
  <c r="T54" i="1"/>
  <c r="W54" i="1"/>
  <c r="Z54" i="1"/>
  <c r="AC54" i="1"/>
  <c r="AF54" i="1"/>
  <c r="AI54" i="1"/>
  <c r="AL54" i="1"/>
  <c r="AO54" i="1"/>
  <c r="AR54" i="1"/>
  <c r="AU54" i="1"/>
  <c r="AX54" i="1"/>
  <c r="BA54" i="1"/>
  <c r="BD54" i="1"/>
  <c r="BG54" i="1"/>
  <c r="BJ54" i="1"/>
  <c r="BM54" i="1"/>
  <c r="BP54" i="1"/>
  <c r="BS54" i="1"/>
  <c r="BV54" i="1"/>
  <c r="BY54" i="1"/>
  <c r="CB54" i="1"/>
  <c r="CE54" i="1"/>
  <c r="CH54" i="1"/>
  <c r="CK54" i="1"/>
  <c r="CN54" i="1"/>
  <c r="CQ54" i="1"/>
  <c r="CT54" i="1"/>
  <c r="CW54" i="1"/>
  <c r="CZ54" i="1"/>
  <c r="DC54" i="1"/>
  <c r="DF54" i="1"/>
  <c r="DI54" i="1"/>
  <c r="DL54" i="1"/>
  <c r="DO54" i="1"/>
  <c r="F55" i="1"/>
  <c r="I55" i="1"/>
  <c r="L55" i="1"/>
  <c r="O55" i="1"/>
  <c r="R55" i="1"/>
  <c r="U55" i="1"/>
  <c r="X55" i="1"/>
  <c r="AA55" i="1"/>
  <c r="AD55" i="1"/>
  <c r="AG55" i="1"/>
  <c r="AJ55" i="1"/>
  <c r="AM55" i="1"/>
  <c r="AP55" i="1"/>
  <c r="AS55" i="1"/>
  <c r="AV55" i="1"/>
  <c r="AY55" i="1"/>
  <c r="BB55" i="1"/>
  <c r="BE55" i="1"/>
  <c r="BH55" i="1"/>
  <c r="BK55" i="1"/>
  <c r="BN55" i="1"/>
  <c r="BQ55" i="1"/>
  <c r="BT55" i="1"/>
  <c r="BW55" i="1"/>
  <c r="BZ55" i="1"/>
  <c r="CC55" i="1"/>
  <c r="CF55" i="1"/>
  <c r="CI55" i="1"/>
  <c r="CL55" i="1"/>
  <c r="CR55" i="1"/>
  <c r="CU55" i="1"/>
  <c r="CX55" i="1"/>
  <c r="DA55" i="1"/>
  <c r="DD55" i="1"/>
  <c r="DG55" i="1"/>
  <c r="DJ55" i="1"/>
  <c r="DM55" i="1"/>
  <c r="DP55" i="1"/>
  <c r="F56" i="1"/>
  <c r="I56" i="1"/>
  <c r="L56" i="1"/>
  <c r="O56" i="1"/>
  <c r="R56" i="1"/>
  <c r="U56" i="1"/>
  <c r="X56" i="1"/>
  <c r="AA56" i="1"/>
  <c r="AD56" i="1"/>
  <c r="AG56" i="1"/>
  <c r="AJ56" i="1"/>
  <c r="AM56" i="1"/>
  <c r="AP56" i="1"/>
  <c r="AS56" i="1"/>
  <c r="AV56" i="1"/>
  <c r="AY56" i="1"/>
  <c r="BB56" i="1"/>
  <c r="BE56" i="1"/>
  <c r="BH56" i="1"/>
  <c r="BK56" i="1"/>
  <c r="BN56" i="1"/>
  <c r="BQ56" i="1"/>
  <c r="BT56" i="1"/>
  <c r="BW56" i="1"/>
  <c r="BZ56" i="1"/>
  <c r="CC56" i="1"/>
  <c r="CF56" i="1"/>
  <c r="CI56" i="1"/>
  <c r="CL56" i="1"/>
  <c r="CO56" i="1"/>
  <c r="CR56" i="1"/>
  <c r="CU56" i="1"/>
  <c r="CX56" i="1"/>
  <c r="DA56" i="1"/>
  <c r="DD56" i="1"/>
  <c r="DG56" i="1"/>
  <c r="DJ56" i="1"/>
  <c r="DM56" i="1"/>
  <c r="DP56" i="1"/>
  <c r="F57" i="1"/>
  <c r="I57" i="1"/>
  <c r="L57" i="1"/>
  <c r="O57" i="1"/>
  <c r="R57" i="1"/>
  <c r="U57" i="1"/>
  <c r="X57" i="1"/>
  <c r="AD57" i="1"/>
  <c r="AG57" i="1"/>
  <c r="AJ57" i="1"/>
  <c r="AM57" i="1"/>
  <c r="AP57" i="1"/>
  <c r="AS57" i="1"/>
  <c r="AV57" i="1"/>
  <c r="AY57" i="1"/>
  <c r="BB57" i="1"/>
  <c r="BE57" i="1"/>
  <c r="BH57" i="1"/>
  <c r="BK57" i="1"/>
  <c r="BN57" i="1"/>
  <c r="BQ57" i="1"/>
  <c r="BT57" i="1"/>
  <c r="BW57" i="1"/>
  <c r="BZ57" i="1"/>
  <c r="CC57" i="1"/>
  <c r="CF57" i="1"/>
  <c r="CI57" i="1"/>
  <c r="CL57" i="1"/>
  <c r="CR57" i="1"/>
  <c r="CU57" i="1"/>
  <c r="CX57" i="1"/>
  <c r="DA57" i="1"/>
  <c r="DD57" i="1"/>
  <c r="DG57" i="1"/>
  <c r="DJ57" i="1"/>
  <c r="DM57" i="1"/>
  <c r="DP57" i="1"/>
  <c r="E58" i="1"/>
  <c r="H58" i="1"/>
  <c r="K58" i="1"/>
  <c r="N58" i="1"/>
  <c r="Q58" i="1"/>
  <c r="T58" i="1"/>
  <c r="W58" i="1"/>
  <c r="Z58" i="1"/>
  <c r="AC58" i="1"/>
  <c r="AF58" i="1"/>
  <c r="AI58" i="1"/>
  <c r="AL58" i="1"/>
  <c r="AO58" i="1"/>
  <c r="AR58" i="1"/>
  <c r="AU58" i="1"/>
  <c r="AX58" i="1"/>
  <c r="BA58" i="1"/>
  <c r="BD58" i="1"/>
  <c r="BG58" i="1"/>
  <c r="BJ58" i="1"/>
  <c r="BM58" i="1"/>
  <c r="BP58" i="1"/>
  <c r="BS58" i="1"/>
  <c r="BV58" i="1"/>
  <c r="BY58" i="1"/>
  <c r="CB58" i="1"/>
  <c r="CE58" i="1"/>
  <c r="CH58" i="1"/>
  <c r="CK58" i="1"/>
  <c r="CN58" i="1"/>
  <c r="CQ58" i="1"/>
  <c r="CT58" i="1"/>
  <c r="CW58" i="1"/>
  <c r="CZ58" i="1"/>
  <c r="DC58" i="1"/>
  <c r="DF58" i="1"/>
  <c r="DI58" i="1"/>
  <c r="DL58" i="1"/>
  <c r="DO58" i="1"/>
  <c r="F59" i="1"/>
  <c r="I59" i="1"/>
  <c r="L59" i="1"/>
  <c r="O59" i="1"/>
  <c r="R59" i="1"/>
  <c r="U59" i="1"/>
  <c r="X59" i="1"/>
  <c r="AD59" i="1"/>
  <c r="AG59" i="1"/>
  <c r="AJ59" i="1"/>
  <c r="AM59" i="1"/>
  <c r="AP59" i="1"/>
  <c r="AS59" i="1"/>
  <c r="AV59" i="1"/>
  <c r="AY59" i="1"/>
  <c r="BB59" i="1"/>
  <c r="BE59" i="1"/>
  <c r="BH59" i="1"/>
  <c r="BK59" i="1"/>
  <c r="BN59" i="1"/>
  <c r="BQ59" i="1"/>
  <c r="BT59" i="1"/>
  <c r="BW59" i="1"/>
  <c r="BZ59" i="1"/>
  <c r="CC59" i="1"/>
  <c r="CF59" i="1"/>
  <c r="CI59" i="1"/>
  <c r="CL59" i="1"/>
  <c r="CR59" i="1"/>
  <c r="CU59" i="1"/>
  <c r="CX59" i="1"/>
  <c r="DA59" i="1"/>
  <c r="DD59" i="1"/>
  <c r="DG59" i="1"/>
  <c r="DJ59" i="1"/>
  <c r="DM59" i="1"/>
  <c r="DP59" i="1"/>
  <c r="F60" i="1"/>
  <c r="I60" i="1"/>
  <c r="L60" i="1"/>
  <c r="O60" i="1"/>
  <c r="R60" i="1"/>
  <c r="U60" i="1"/>
  <c r="X60" i="1"/>
  <c r="AA60" i="1"/>
  <c r="AD60" i="1"/>
  <c r="AG60" i="1"/>
  <c r="AJ60" i="1"/>
  <c r="AM60" i="1"/>
  <c r="AP60" i="1"/>
  <c r="AS60" i="1"/>
  <c r="AV60" i="1"/>
  <c r="AY60" i="1"/>
  <c r="BB60" i="1"/>
  <c r="BE60" i="1"/>
  <c r="BH60" i="1"/>
  <c r="BK60" i="1"/>
  <c r="BN60" i="1"/>
  <c r="BQ60" i="1"/>
  <c r="BT60" i="1"/>
  <c r="BW60" i="1"/>
  <c r="BZ60" i="1"/>
  <c r="CC60" i="1"/>
  <c r="CF60" i="1"/>
  <c r="CI60" i="1"/>
  <c r="CL60" i="1"/>
  <c r="CR60" i="1"/>
  <c r="CU60" i="1"/>
  <c r="CX60" i="1"/>
  <c r="DA60" i="1"/>
  <c r="DD60" i="1"/>
  <c r="DG60" i="1"/>
  <c r="DJ60" i="1"/>
  <c r="DM60" i="1"/>
  <c r="DP60" i="1"/>
  <c r="E62" i="1"/>
  <c r="E61" i="1" s="1"/>
  <c r="H62" i="1"/>
  <c r="H61" i="1" s="1"/>
  <c r="K62" i="1"/>
  <c r="K61" i="1" s="1"/>
  <c r="N62" i="1"/>
  <c r="N61" i="1" s="1"/>
  <c r="Q62" i="1"/>
  <c r="Q61" i="1" s="1"/>
  <c r="T62" i="1"/>
  <c r="T61" i="1" s="1"/>
  <c r="W62" i="1"/>
  <c r="W61" i="1" s="1"/>
  <c r="Z62" i="1"/>
  <c r="Z61" i="1" s="1"/>
  <c r="AC62" i="1"/>
  <c r="AF62" i="1"/>
  <c r="AF61" i="1" s="1"/>
  <c r="AI62" i="1"/>
  <c r="AI61" i="1" s="1"/>
  <c r="AL62" i="1"/>
  <c r="AL61" i="1" s="1"/>
  <c r="AO62" i="1"/>
  <c r="AO61" i="1" s="1"/>
  <c r="AR62" i="1"/>
  <c r="AR61" i="1" s="1"/>
  <c r="AU62" i="1"/>
  <c r="AU61" i="1" s="1"/>
  <c r="AX62" i="1"/>
  <c r="AX61" i="1" s="1"/>
  <c r="BA62" i="1"/>
  <c r="BA61" i="1" s="1"/>
  <c r="BD62" i="1"/>
  <c r="BD61" i="1" s="1"/>
  <c r="BG62" i="1"/>
  <c r="BG61" i="1" s="1"/>
  <c r="BJ62" i="1"/>
  <c r="BJ61" i="1" s="1"/>
  <c r="BM62" i="1"/>
  <c r="BM61" i="1" s="1"/>
  <c r="BP62" i="1"/>
  <c r="BP61" i="1" s="1"/>
  <c r="BS62" i="1"/>
  <c r="BS61" i="1" s="1"/>
  <c r="BV62" i="1"/>
  <c r="BV61" i="1" s="1"/>
  <c r="BY62" i="1"/>
  <c r="BY61" i="1" s="1"/>
  <c r="CB62" i="1"/>
  <c r="CB61" i="1" s="1"/>
  <c r="CE62" i="1"/>
  <c r="CE61" i="1" s="1"/>
  <c r="CH62" i="1"/>
  <c r="CH61" i="1" s="1"/>
  <c r="CK62" i="1"/>
  <c r="CK61" i="1" s="1"/>
  <c r="CN62" i="1"/>
  <c r="CN61" i="1" s="1"/>
  <c r="CQ62" i="1"/>
  <c r="CQ61" i="1" s="1"/>
  <c r="CT62" i="1"/>
  <c r="CT61" i="1" s="1"/>
  <c r="CW62" i="1"/>
  <c r="CW61" i="1" s="1"/>
  <c r="CZ62" i="1"/>
  <c r="CZ61" i="1" s="1"/>
  <c r="DC62" i="1"/>
  <c r="DC61" i="1" s="1"/>
  <c r="DF62" i="1"/>
  <c r="DF61" i="1" s="1"/>
  <c r="DI62" i="1"/>
  <c r="DI61" i="1" s="1"/>
  <c r="DL62" i="1"/>
  <c r="DL61" i="1" s="1"/>
  <c r="DO62" i="1"/>
  <c r="DO61" i="1" s="1"/>
  <c r="F63" i="1"/>
  <c r="I63" i="1"/>
  <c r="L63" i="1"/>
  <c r="O63" i="1"/>
  <c r="R63" i="1"/>
  <c r="U63" i="1"/>
  <c r="X63" i="1"/>
  <c r="AD63" i="1"/>
  <c r="AG63" i="1"/>
  <c r="AJ63" i="1"/>
  <c r="AM63" i="1"/>
  <c r="AP63" i="1"/>
  <c r="AS63" i="1"/>
  <c r="AV63" i="1"/>
  <c r="AY63" i="1"/>
  <c r="BB63" i="1"/>
  <c r="BE63" i="1"/>
  <c r="BH63" i="1"/>
  <c r="BK63" i="1"/>
  <c r="BN63" i="1"/>
  <c r="BQ63" i="1"/>
  <c r="BT63" i="1"/>
  <c r="BW63" i="1"/>
  <c r="BZ63" i="1"/>
  <c r="CC63" i="1"/>
  <c r="CF63" i="1"/>
  <c r="CI63" i="1"/>
  <c r="CL63" i="1"/>
  <c r="CR63" i="1"/>
  <c r="CU63" i="1"/>
  <c r="CX63" i="1"/>
  <c r="DA63" i="1"/>
  <c r="DD63" i="1"/>
  <c r="DG63" i="1"/>
  <c r="DJ63" i="1"/>
  <c r="DM63" i="1"/>
  <c r="DP63" i="1"/>
  <c r="F64" i="1"/>
  <c r="I64" i="1"/>
  <c r="L64" i="1"/>
  <c r="O64" i="1"/>
  <c r="R64" i="1"/>
  <c r="U64" i="1"/>
  <c r="X64" i="1"/>
  <c r="AA64" i="1"/>
  <c r="AD64" i="1"/>
  <c r="AG64" i="1"/>
  <c r="AJ64" i="1"/>
  <c r="AM64" i="1"/>
  <c r="AP64" i="1"/>
  <c r="AS64" i="1"/>
  <c r="AV64" i="1"/>
  <c r="AY64" i="1"/>
  <c r="BB64" i="1"/>
  <c r="BE64" i="1"/>
  <c r="BH64" i="1"/>
  <c r="BK64" i="1"/>
  <c r="BN64" i="1"/>
  <c r="BQ64" i="1"/>
  <c r="BT64" i="1"/>
  <c r="BW64" i="1"/>
  <c r="BZ64" i="1"/>
  <c r="CC64" i="1"/>
  <c r="CF64" i="1"/>
  <c r="CI64" i="1"/>
  <c r="CL64" i="1"/>
  <c r="CR64" i="1"/>
  <c r="CU64" i="1"/>
  <c r="CX64" i="1"/>
  <c r="DA64" i="1"/>
  <c r="DD64" i="1"/>
  <c r="DG64" i="1"/>
  <c r="DJ64" i="1"/>
  <c r="DM64" i="1"/>
  <c r="DP64" i="1"/>
  <c r="F65" i="1"/>
  <c r="I65" i="1"/>
  <c r="L65" i="1"/>
  <c r="O65" i="1"/>
  <c r="R65" i="1"/>
  <c r="U65" i="1"/>
  <c r="X65" i="1"/>
  <c r="AA65" i="1"/>
  <c r="AD65" i="1"/>
  <c r="AG65" i="1"/>
  <c r="AJ65" i="1"/>
  <c r="AM65" i="1"/>
  <c r="AP65" i="1"/>
  <c r="AS65" i="1"/>
  <c r="AV65" i="1"/>
  <c r="AY65" i="1"/>
  <c r="BB65" i="1"/>
  <c r="BE65" i="1"/>
  <c r="BH65" i="1"/>
  <c r="BK65" i="1"/>
  <c r="BN65" i="1"/>
  <c r="BQ65" i="1"/>
  <c r="BT65" i="1"/>
  <c r="BW65" i="1"/>
  <c r="BZ65" i="1"/>
  <c r="CC65" i="1"/>
  <c r="CF65" i="1"/>
  <c r="CI65" i="1"/>
  <c r="CL65" i="1"/>
  <c r="CO65" i="1"/>
  <c r="CR65" i="1"/>
  <c r="CU65" i="1"/>
  <c r="CX65" i="1"/>
  <c r="DA65" i="1"/>
  <c r="DD65" i="1"/>
  <c r="DG65" i="1"/>
  <c r="DJ65" i="1"/>
  <c r="DM65" i="1"/>
  <c r="DP65" i="1"/>
  <c r="F66" i="1"/>
  <c r="I66" i="1"/>
  <c r="L66" i="1"/>
  <c r="O66" i="1"/>
  <c r="R66" i="1"/>
  <c r="U66" i="1"/>
  <c r="X66" i="1"/>
  <c r="AA66" i="1"/>
  <c r="AG66" i="1"/>
  <c r="AJ66" i="1"/>
  <c r="AM66" i="1"/>
  <c r="AP66" i="1"/>
  <c r="AS66" i="1"/>
  <c r="AV66" i="1"/>
  <c r="AY66" i="1"/>
  <c r="BB66" i="1"/>
  <c r="BE66" i="1"/>
  <c r="BH66" i="1"/>
  <c r="BK66" i="1"/>
  <c r="BN66" i="1"/>
  <c r="BQ66" i="1"/>
  <c r="BT66" i="1"/>
  <c r="BW66" i="1"/>
  <c r="BZ66" i="1"/>
  <c r="CC66" i="1"/>
  <c r="CF66" i="1"/>
  <c r="CI66" i="1"/>
  <c r="CL66" i="1"/>
  <c r="CR66" i="1"/>
  <c r="CU66" i="1"/>
  <c r="CX66" i="1"/>
  <c r="DA66" i="1"/>
  <c r="DD66" i="1"/>
  <c r="DG66" i="1"/>
  <c r="DJ66" i="1"/>
  <c r="DM66" i="1"/>
  <c r="DP66" i="1"/>
  <c r="F68" i="1"/>
  <c r="I68" i="1"/>
  <c r="L68" i="1"/>
  <c r="O68" i="1"/>
  <c r="R68" i="1"/>
  <c r="U68" i="1"/>
  <c r="X68" i="1"/>
  <c r="AA68" i="1"/>
  <c r="AD68" i="1"/>
  <c r="AG68" i="1"/>
  <c r="AJ68" i="1"/>
  <c r="AM68" i="1"/>
  <c r="AP68" i="1"/>
  <c r="AS68" i="1"/>
  <c r="AV68" i="1"/>
  <c r="AY68" i="1"/>
  <c r="BB68" i="1"/>
  <c r="BE68" i="1"/>
  <c r="BH68" i="1"/>
  <c r="BK68" i="1"/>
  <c r="BN68" i="1"/>
  <c r="BQ68" i="1"/>
  <c r="BT68" i="1"/>
  <c r="BW68" i="1"/>
  <c r="BZ68" i="1"/>
  <c r="CC68" i="1"/>
  <c r="CF68" i="1"/>
  <c r="CI68" i="1"/>
  <c r="CL68" i="1"/>
  <c r="CR68" i="1"/>
  <c r="CU68" i="1"/>
  <c r="CX68" i="1"/>
  <c r="DA68" i="1"/>
  <c r="DD68" i="1"/>
  <c r="DG68" i="1"/>
  <c r="DJ68" i="1"/>
  <c r="DM68" i="1"/>
  <c r="DP68" i="1"/>
  <c r="F70" i="1"/>
  <c r="I70" i="1"/>
  <c r="L70" i="1"/>
  <c r="O70" i="1"/>
  <c r="R70" i="1"/>
  <c r="U70" i="1"/>
  <c r="X70" i="1"/>
  <c r="AA70" i="1"/>
  <c r="AG70" i="1"/>
  <c r="AJ70" i="1"/>
  <c r="AM70" i="1"/>
  <c r="AP70" i="1"/>
  <c r="AS70" i="1"/>
  <c r="AV70" i="1"/>
  <c r="AY70" i="1"/>
  <c r="BB70" i="1"/>
  <c r="BE70" i="1"/>
  <c r="BH70" i="1"/>
  <c r="BK70" i="1"/>
  <c r="BN70" i="1"/>
  <c r="BQ70" i="1"/>
  <c r="BT70" i="1"/>
  <c r="BW70" i="1"/>
  <c r="BZ70" i="1"/>
  <c r="CC70" i="1"/>
  <c r="CF70" i="1"/>
  <c r="CI70" i="1"/>
  <c r="CL70" i="1"/>
  <c r="CR70" i="1"/>
  <c r="CU70" i="1"/>
  <c r="CX70" i="1"/>
  <c r="DA70" i="1"/>
  <c r="DD70" i="1"/>
  <c r="DG70" i="1"/>
  <c r="DJ70" i="1"/>
  <c r="DM70" i="1"/>
  <c r="DP70" i="1"/>
  <c r="AV12" i="10"/>
  <c r="AV7" i="10" s="1"/>
  <c r="AW12" i="10"/>
  <c r="AW7" i="10" s="1"/>
  <c r="AY12" i="10"/>
  <c r="AY7" i="10" s="1"/>
  <c r="AV21" i="10"/>
  <c r="AV18" i="10" s="1"/>
  <c r="AW21" i="10"/>
  <c r="AW18" i="10" s="1"/>
  <c r="AY21" i="10"/>
  <c r="AY18" i="10" s="1"/>
  <c r="AV29" i="10"/>
  <c r="AW29" i="10"/>
  <c r="AY29" i="10"/>
  <c r="AV37" i="10"/>
  <c r="AW37" i="10"/>
  <c r="AY37" i="10"/>
  <c r="AV41" i="10"/>
  <c r="AW41" i="10"/>
  <c r="AY41" i="10"/>
  <c r="AV49" i="10"/>
  <c r="AW49" i="10"/>
  <c r="AY49" i="10"/>
  <c r="AV54" i="10"/>
  <c r="AW54" i="10"/>
  <c r="AY54" i="10"/>
  <c r="AV58" i="10"/>
  <c r="AW58" i="10"/>
  <c r="AY58" i="10"/>
  <c r="AV62" i="10"/>
  <c r="AW62" i="10"/>
  <c r="AY62" i="10"/>
  <c r="AV67" i="10"/>
  <c r="AW67" i="10"/>
  <c r="AY67" i="10"/>
  <c r="BR67" i="9"/>
  <c r="BQ67" i="9"/>
  <c r="BP67" i="9"/>
  <c r="BR62" i="9"/>
  <c r="BQ62" i="9"/>
  <c r="BP62" i="9"/>
  <c r="BR58" i="9"/>
  <c r="BQ58" i="9"/>
  <c r="BP58" i="9"/>
  <c r="BR54" i="9"/>
  <c r="BQ54" i="9"/>
  <c r="BP54" i="9"/>
  <c r="BR49" i="9"/>
  <c r="BQ49" i="9"/>
  <c r="BP49" i="9"/>
  <c r="BR41" i="9"/>
  <c r="BQ41" i="9"/>
  <c r="BP41" i="9"/>
  <c r="BR37" i="9"/>
  <c r="BQ37" i="9"/>
  <c r="BP37" i="9"/>
  <c r="BR29" i="9"/>
  <c r="BQ29" i="9"/>
  <c r="BP29" i="9"/>
  <c r="BR21" i="9"/>
  <c r="BR18" i="9" s="1"/>
  <c r="BQ21" i="9"/>
  <c r="BQ18" i="9" s="1"/>
  <c r="BP21" i="9"/>
  <c r="BP18" i="9" s="1"/>
  <c r="BR12" i="9"/>
  <c r="BR7" i="9" s="1"/>
  <c r="BQ12" i="9"/>
  <c r="BQ7" i="9" s="1"/>
  <c r="BP12" i="9"/>
  <c r="BP7" i="9" s="1"/>
  <c r="BB12" i="9"/>
  <c r="BB7" i="9" s="1"/>
  <c r="BC12" i="9"/>
  <c r="BC7" i="9" s="1"/>
  <c r="BD12" i="9"/>
  <c r="BD7" i="9" s="1"/>
  <c r="BF12" i="9"/>
  <c r="BF7" i="9" s="1"/>
  <c r="BG12" i="9"/>
  <c r="BG7" i="9" s="1"/>
  <c r="BH12" i="9"/>
  <c r="BH7" i="9" s="1"/>
  <c r="BI12" i="9"/>
  <c r="BI7" i="9" s="1"/>
  <c r="BJ12" i="9"/>
  <c r="BJ7" i="9" s="1"/>
  <c r="BK12" i="9"/>
  <c r="BK7" i="9" s="1"/>
  <c r="BL12" i="9"/>
  <c r="BL7" i="9" s="1"/>
  <c r="BM12" i="9"/>
  <c r="BM7" i="9" s="1"/>
  <c r="BN12" i="9"/>
  <c r="BN7" i="9" s="1"/>
  <c r="BB21" i="9"/>
  <c r="BB18" i="9" s="1"/>
  <c r="BC21" i="9"/>
  <c r="BC18" i="9" s="1"/>
  <c r="BD21" i="9"/>
  <c r="BD18" i="9" s="1"/>
  <c r="BF21" i="9"/>
  <c r="BF18" i="9" s="1"/>
  <c r="BG21" i="9"/>
  <c r="BG18" i="9" s="1"/>
  <c r="BH21" i="9"/>
  <c r="BH18" i="9" s="1"/>
  <c r="BI21" i="9"/>
  <c r="BI18" i="9" s="1"/>
  <c r="BJ21" i="9"/>
  <c r="BJ18" i="9" s="1"/>
  <c r="BK21" i="9"/>
  <c r="BK18" i="9" s="1"/>
  <c r="BL21" i="9"/>
  <c r="BL18" i="9" s="1"/>
  <c r="BM21" i="9"/>
  <c r="BM18" i="9" s="1"/>
  <c r="BN21" i="9"/>
  <c r="BN18" i="9" s="1"/>
  <c r="BB29" i="9"/>
  <c r="BC29" i="9"/>
  <c r="BD29" i="9"/>
  <c r="BF29" i="9"/>
  <c r="BG29" i="9"/>
  <c r="BH29" i="9"/>
  <c r="BI29" i="9"/>
  <c r="BJ29" i="9"/>
  <c r="BK29" i="9"/>
  <c r="BL29" i="9"/>
  <c r="BM29" i="9"/>
  <c r="BN29" i="9"/>
  <c r="BB37" i="9"/>
  <c r="BC37" i="9"/>
  <c r="BD37" i="9"/>
  <c r="BF37" i="9"/>
  <c r="BG37" i="9"/>
  <c r="BH37" i="9"/>
  <c r="BI37" i="9"/>
  <c r="BJ37" i="9"/>
  <c r="BK37" i="9"/>
  <c r="BL37" i="9"/>
  <c r="BM37" i="9"/>
  <c r="BN37" i="9"/>
  <c r="BB41" i="9"/>
  <c r="BC41" i="9"/>
  <c r="BD41" i="9"/>
  <c r="BF41" i="9"/>
  <c r="BG41" i="9"/>
  <c r="BH41" i="9"/>
  <c r="BI41" i="9"/>
  <c r="BJ41" i="9"/>
  <c r="BK41" i="9"/>
  <c r="BL41" i="9"/>
  <c r="BM41" i="9"/>
  <c r="BN41" i="9"/>
  <c r="BB49" i="9"/>
  <c r="BC49" i="9"/>
  <c r="BD49" i="9"/>
  <c r="BF49" i="9"/>
  <c r="BG49" i="9"/>
  <c r="BH49" i="9"/>
  <c r="BI49" i="9"/>
  <c r="BJ49" i="9"/>
  <c r="BK49" i="9"/>
  <c r="BL49" i="9"/>
  <c r="BM49" i="9"/>
  <c r="BN49" i="9"/>
  <c r="BB54" i="9"/>
  <c r="BC54" i="9"/>
  <c r="BD54" i="9"/>
  <c r="BF54" i="9"/>
  <c r="BG54" i="9"/>
  <c r="BH54" i="9"/>
  <c r="BI54" i="9"/>
  <c r="BJ54" i="9"/>
  <c r="BK54" i="9"/>
  <c r="BL54" i="9"/>
  <c r="BM54" i="9"/>
  <c r="BN54" i="9"/>
  <c r="BB58" i="9"/>
  <c r="BC58" i="9"/>
  <c r="BD58" i="9"/>
  <c r="BF58" i="9"/>
  <c r="BG58" i="9"/>
  <c r="BH58" i="9"/>
  <c r="BI58" i="9"/>
  <c r="BJ58" i="9"/>
  <c r="BK58" i="9"/>
  <c r="BL58" i="9"/>
  <c r="BM58" i="9"/>
  <c r="BN58" i="9"/>
  <c r="BB62" i="9"/>
  <c r="BC62" i="9"/>
  <c r="BD62" i="9"/>
  <c r="BF62" i="9"/>
  <c r="BG62" i="9"/>
  <c r="BH62" i="9"/>
  <c r="BI62" i="9"/>
  <c r="BJ62" i="9"/>
  <c r="BK62" i="9"/>
  <c r="BL62" i="9"/>
  <c r="BM62" i="9"/>
  <c r="BN62" i="9"/>
  <c r="BB67" i="9"/>
  <c r="BC67" i="9"/>
  <c r="BD67" i="9"/>
  <c r="BF67" i="9"/>
  <c r="BG67" i="9"/>
  <c r="BH67" i="9"/>
  <c r="BI67" i="9"/>
  <c r="BJ67" i="9"/>
  <c r="BK67" i="9"/>
  <c r="BL67" i="9"/>
  <c r="BM67" i="9"/>
  <c r="BN67" i="9"/>
  <c r="AR12" i="9"/>
  <c r="AR7" i="9" s="1"/>
  <c r="AS12" i="9"/>
  <c r="AS7" i="9" s="1"/>
  <c r="AU12" i="9"/>
  <c r="AU7" i="9" s="1"/>
  <c r="AW12" i="9"/>
  <c r="AW7" i="9" s="1"/>
  <c r="AR21" i="9"/>
  <c r="AR18" i="9" s="1"/>
  <c r="AS21" i="9"/>
  <c r="AS18" i="9" s="1"/>
  <c r="AU21" i="9"/>
  <c r="AU18" i="9" s="1"/>
  <c r="AW21" i="9"/>
  <c r="AW18" i="9" s="1"/>
  <c r="AR29" i="9"/>
  <c r="AS29" i="9"/>
  <c r="AU29" i="9"/>
  <c r="AW29" i="9"/>
  <c r="AR37" i="9"/>
  <c r="AS37" i="9"/>
  <c r="AU37" i="9"/>
  <c r="AW37" i="9"/>
  <c r="AR41" i="9"/>
  <c r="AS41" i="9"/>
  <c r="AU41" i="9"/>
  <c r="AW41" i="9"/>
  <c r="AR49" i="9"/>
  <c r="AS49" i="9"/>
  <c r="AU49" i="9"/>
  <c r="AW49" i="9"/>
  <c r="AR54" i="9"/>
  <c r="AS54" i="9"/>
  <c r="AU54" i="9"/>
  <c r="AW54" i="9"/>
  <c r="AR58" i="9"/>
  <c r="AS58" i="9"/>
  <c r="AU58" i="9"/>
  <c r="AW58" i="9"/>
  <c r="AR62" i="9"/>
  <c r="AS62" i="9"/>
  <c r="AU62" i="9"/>
  <c r="AW62" i="9"/>
  <c r="AR67" i="9"/>
  <c r="AS67" i="9"/>
  <c r="AU67" i="9"/>
  <c r="AW67" i="9"/>
  <c r="AG67" i="9"/>
  <c r="AG62" i="9"/>
  <c r="AG58" i="9"/>
  <c r="AG54" i="9"/>
  <c r="AG49" i="9"/>
  <c r="AG41" i="9"/>
  <c r="AG37" i="9"/>
  <c r="AG29" i="9"/>
  <c r="AG21" i="9"/>
  <c r="AG18" i="9" s="1"/>
  <c r="AG12" i="9"/>
  <c r="AG7" i="9" s="1"/>
  <c r="AB67" i="9"/>
  <c r="AB62" i="9"/>
  <c r="AB58" i="9"/>
  <c r="AB54" i="9"/>
  <c r="AB49" i="9"/>
  <c r="AB41" i="9"/>
  <c r="AB37" i="9"/>
  <c r="AB29" i="9"/>
  <c r="AB21" i="9"/>
  <c r="AB18" i="9" s="1"/>
  <c r="AB12" i="9"/>
  <c r="AB7" i="9" s="1"/>
  <c r="Z67" i="9"/>
  <c r="Z62" i="9"/>
  <c r="Z58" i="9"/>
  <c r="Z54" i="9"/>
  <c r="Z49" i="9"/>
  <c r="Z41" i="9"/>
  <c r="Z37" i="9"/>
  <c r="Z29" i="9"/>
  <c r="Z21" i="9"/>
  <c r="Z18" i="9" s="1"/>
  <c r="Z12" i="9"/>
  <c r="Z7" i="9" s="1"/>
  <c r="T12" i="9"/>
  <c r="T7" i="9" s="1"/>
  <c r="W12" i="9"/>
  <c r="W7" i="9" s="1"/>
  <c r="T21" i="9"/>
  <c r="T18" i="9" s="1"/>
  <c r="W21" i="9"/>
  <c r="W18" i="9" s="1"/>
  <c r="T29" i="9"/>
  <c r="W29" i="9"/>
  <c r="T37" i="9"/>
  <c r="W37" i="9"/>
  <c r="T41" i="9"/>
  <c r="W41" i="9"/>
  <c r="T49" i="9"/>
  <c r="W49" i="9"/>
  <c r="T54" i="9"/>
  <c r="W54" i="9"/>
  <c r="T58" i="9"/>
  <c r="W58" i="9"/>
  <c r="T62" i="9"/>
  <c r="W62" i="9"/>
  <c r="T67" i="9"/>
  <c r="W67" i="9"/>
  <c r="BQ12" i="5"/>
  <c r="BQ7" i="5" s="1"/>
  <c r="BR12" i="5"/>
  <c r="BR7" i="5" s="1"/>
  <c r="BQ21" i="5"/>
  <c r="BQ18" i="5" s="1"/>
  <c r="BR21" i="5"/>
  <c r="BR18" i="5" s="1"/>
  <c r="BQ29" i="5"/>
  <c r="BR29" i="5"/>
  <c r="BQ37" i="5"/>
  <c r="BR37" i="5"/>
  <c r="BQ41" i="5"/>
  <c r="BR41" i="5"/>
  <c r="BQ49" i="5"/>
  <c r="BR49" i="5"/>
  <c r="BQ54" i="5"/>
  <c r="BR54" i="5"/>
  <c r="BQ58" i="5"/>
  <c r="BR58" i="5"/>
  <c r="BQ62" i="5"/>
  <c r="BR62" i="5"/>
  <c r="BQ67" i="5"/>
  <c r="BR67" i="5"/>
  <c r="BB12" i="5"/>
  <c r="BB7" i="5" s="1"/>
  <c r="BC12" i="5"/>
  <c r="BC7" i="5" s="1"/>
  <c r="BD12" i="5"/>
  <c r="BD7" i="5" s="1"/>
  <c r="BF12" i="5"/>
  <c r="BF7" i="5" s="1"/>
  <c r="BG12" i="5"/>
  <c r="BG7" i="5" s="1"/>
  <c r="BH12" i="5"/>
  <c r="BH7" i="5" s="1"/>
  <c r="BI12" i="5"/>
  <c r="BI7" i="5" s="1"/>
  <c r="BJ12" i="5"/>
  <c r="BJ7" i="5" s="1"/>
  <c r="BK12" i="5"/>
  <c r="BK7" i="5" s="1"/>
  <c r="BL12" i="5"/>
  <c r="BL7" i="5" s="1"/>
  <c r="BM12" i="5"/>
  <c r="BM7" i="5" s="1"/>
  <c r="BN12" i="5"/>
  <c r="BN7" i="5" s="1"/>
  <c r="BB21" i="5"/>
  <c r="BB18" i="5" s="1"/>
  <c r="BC21" i="5"/>
  <c r="BC18" i="5" s="1"/>
  <c r="BD21" i="5"/>
  <c r="BD18" i="5" s="1"/>
  <c r="BF21" i="5"/>
  <c r="BF18" i="5" s="1"/>
  <c r="BG21" i="5"/>
  <c r="BG18" i="5" s="1"/>
  <c r="BH21" i="5"/>
  <c r="BH18" i="5" s="1"/>
  <c r="BI21" i="5"/>
  <c r="BI18" i="5" s="1"/>
  <c r="BJ21" i="5"/>
  <c r="BJ18" i="5" s="1"/>
  <c r="BK21" i="5"/>
  <c r="BK18" i="5" s="1"/>
  <c r="BL21" i="5"/>
  <c r="BL18" i="5" s="1"/>
  <c r="BM21" i="5"/>
  <c r="BM18" i="5" s="1"/>
  <c r="BN21" i="5"/>
  <c r="BN18" i="5" s="1"/>
  <c r="BB29" i="5"/>
  <c r="BC29" i="5"/>
  <c r="BD29" i="5"/>
  <c r="BF29" i="5"/>
  <c r="BG29" i="5"/>
  <c r="BH29" i="5"/>
  <c r="BI29" i="5"/>
  <c r="BJ29" i="5"/>
  <c r="BK29" i="5"/>
  <c r="BL29" i="5"/>
  <c r="BM29" i="5"/>
  <c r="BN29" i="5"/>
  <c r="BB37" i="5"/>
  <c r="BC37" i="5"/>
  <c r="BD37" i="5"/>
  <c r="BF37" i="5"/>
  <c r="BG37" i="5"/>
  <c r="BH37" i="5"/>
  <c r="BI37" i="5"/>
  <c r="BJ37" i="5"/>
  <c r="BK37" i="5"/>
  <c r="BL37" i="5"/>
  <c r="BM37" i="5"/>
  <c r="BN37" i="5"/>
  <c r="BB41" i="5"/>
  <c r="BC41" i="5"/>
  <c r="BD41" i="5"/>
  <c r="BF41" i="5"/>
  <c r="BG41" i="5"/>
  <c r="BH41" i="5"/>
  <c r="BI41" i="5"/>
  <c r="BJ41" i="5"/>
  <c r="BK41" i="5"/>
  <c r="BL41" i="5"/>
  <c r="BM41" i="5"/>
  <c r="BN41" i="5"/>
  <c r="BB49" i="5"/>
  <c r="BC49" i="5"/>
  <c r="BD49" i="5"/>
  <c r="BF49" i="5"/>
  <c r="BG49" i="5"/>
  <c r="BH49" i="5"/>
  <c r="BI49" i="5"/>
  <c r="BJ49" i="5"/>
  <c r="BK49" i="5"/>
  <c r="BL49" i="5"/>
  <c r="BM49" i="5"/>
  <c r="BN49" i="5"/>
  <c r="BB54" i="5"/>
  <c r="BC54" i="5"/>
  <c r="BD54" i="5"/>
  <c r="BF54" i="5"/>
  <c r="BG54" i="5"/>
  <c r="BH54" i="5"/>
  <c r="BI54" i="5"/>
  <c r="BJ54" i="5"/>
  <c r="BK54" i="5"/>
  <c r="BL54" i="5"/>
  <c r="BM54" i="5"/>
  <c r="BN54" i="5"/>
  <c r="BB58" i="5"/>
  <c r="BC58" i="5"/>
  <c r="BD58" i="5"/>
  <c r="BF58" i="5"/>
  <c r="BG58" i="5"/>
  <c r="BH58" i="5"/>
  <c r="BI58" i="5"/>
  <c r="BJ58" i="5"/>
  <c r="BK58" i="5"/>
  <c r="BL58" i="5"/>
  <c r="BM58" i="5"/>
  <c r="BN58" i="5"/>
  <c r="BB62" i="5"/>
  <c r="BC62" i="5"/>
  <c r="BD62" i="5"/>
  <c r="BF62" i="5"/>
  <c r="BG62" i="5"/>
  <c r="BH62" i="5"/>
  <c r="BI62" i="5"/>
  <c r="BJ62" i="5"/>
  <c r="BK62" i="5"/>
  <c r="BL62" i="5"/>
  <c r="BM62" i="5"/>
  <c r="BN62" i="5"/>
  <c r="BB67" i="5"/>
  <c r="BC67" i="5"/>
  <c r="BD67" i="5"/>
  <c r="BF67" i="5"/>
  <c r="BG67" i="5"/>
  <c r="BH67" i="5"/>
  <c r="BI67" i="5"/>
  <c r="BJ67" i="5"/>
  <c r="BK67" i="5"/>
  <c r="BL67" i="5"/>
  <c r="BM67" i="5"/>
  <c r="BN67" i="5"/>
  <c r="AR12" i="5"/>
  <c r="AR7" i="5" s="1"/>
  <c r="AS12" i="5"/>
  <c r="AS7" i="5" s="1"/>
  <c r="AR21" i="5"/>
  <c r="AR18" i="5" s="1"/>
  <c r="AS21" i="5"/>
  <c r="AS18" i="5" s="1"/>
  <c r="AR29" i="5"/>
  <c r="AS29" i="5"/>
  <c r="AR37" i="5"/>
  <c r="AS37" i="5"/>
  <c r="AR41" i="5"/>
  <c r="AS41" i="5"/>
  <c r="AR49" i="5"/>
  <c r="AS49" i="5"/>
  <c r="AR54" i="5"/>
  <c r="AS54" i="5"/>
  <c r="AR58" i="5"/>
  <c r="AS58" i="5"/>
  <c r="AR62" i="5"/>
  <c r="AS62" i="5"/>
  <c r="AR67" i="5"/>
  <c r="AS67" i="5"/>
  <c r="AK12" i="5"/>
  <c r="AK7" i="5" s="1"/>
  <c r="AN12" i="5"/>
  <c r="AN7" i="5" s="1"/>
  <c r="AK21" i="5"/>
  <c r="AK18" i="5" s="1"/>
  <c r="AN21" i="5"/>
  <c r="AN18" i="5" s="1"/>
  <c r="AK29" i="5"/>
  <c r="AN29" i="5"/>
  <c r="AK37" i="5"/>
  <c r="AN37" i="5"/>
  <c r="AK41" i="5"/>
  <c r="AN41" i="5"/>
  <c r="AK49" i="5"/>
  <c r="AN49" i="5"/>
  <c r="AK54" i="5"/>
  <c r="AN54" i="5"/>
  <c r="AK58" i="5"/>
  <c r="AN58" i="5"/>
  <c r="AK62" i="5"/>
  <c r="AN62" i="5"/>
  <c r="AK67" i="5"/>
  <c r="AN67" i="5"/>
  <c r="AH67" i="5"/>
  <c r="AH62" i="5"/>
  <c r="AH58" i="5"/>
  <c r="AH54" i="5"/>
  <c r="AH49" i="5"/>
  <c r="AH41" i="5"/>
  <c r="AH37" i="5"/>
  <c r="AH29" i="5"/>
  <c r="AH21" i="5"/>
  <c r="AH18" i="5" s="1"/>
  <c r="AH12" i="5"/>
  <c r="AH7" i="5" s="1"/>
  <c r="AG67" i="5"/>
  <c r="AG62" i="5"/>
  <c r="AG58" i="5"/>
  <c r="AG54" i="5"/>
  <c r="AG49" i="5"/>
  <c r="AG41" i="5"/>
  <c r="AG37" i="5"/>
  <c r="AG29" i="5"/>
  <c r="AG21" i="5"/>
  <c r="AG18" i="5" s="1"/>
  <c r="AG12" i="5"/>
  <c r="AG7" i="5" s="1"/>
  <c r="AB67" i="5"/>
  <c r="AB62" i="5"/>
  <c r="AB58" i="5"/>
  <c r="AB54" i="5"/>
  <c r="AB49" i="5"/>
  <c r="AB41" i="5"/>
  <c r="AB37" i="5"/>
  <c r="AB29" i="5"/>
  <c r="AB21" i="5"/>
  <c r="AB18" i="5" s="1"/>
  <c r="AB12" i="5"/>
  <c r="AB7" i="5" s="1"/>
  <c r="Z67" i="5"/>
  <c r="Z62" i="5"/>
  <c r="Z58" i="5"/>
  <c r="Z54" i="5"/>
  <c r="Z49" i="5"/>
  <c r="Z41" i="5"/>
  <c r="Z37" i="5"/>
  <c r="Z29" i="5"/>
  <c r="Z21" i="5"/>
  <c r="Z18" i="5" s="1"/>
  <c r="Z12" i="5"/>
  <c r="Z7" i="5" s="1"/>
  <c r="P12" i="5"/>
  <c r="P7" i="5" s="1"/>
  <c r="S12" i="5"/>
  <c r="S7" i="5" s="1"/>
  <c r="V12" i="5"/>
  <c r="V7" i="5" s="1"/>
  <c r="P21" i="5"/>
  <c r="S21" i="5"/>
  <c r="S18" i="5" s="1"/>
  <c r="V21" i="5"/>
  <c r="P29" i="5"/>
  <c r="S29" i="5"/>
  <c r="V29" i="5"/>
  <c r="P37" i="5"/>
  <c r="S37" i="5"/>
  <c r="V37" i="5"/>
  <c r="P41" i="5"/>
  <c r="S41" i="5"/>
  <c r="V41" i="5"/>
  <c r="P49" i="5"/>
  <c r="S49" i="5"/>
  <c r="V49" i="5"/>
  <c r="P54" i="5"/>
  <c r="S54" i="5"/>
  <c r="V54" i="5"/>
  <c r="P58" i="5"/>
  <c r="S58" i="5"/>
  <c r="V58" i="5"/>
  <c r="P62" i="5"/>
  <c r="S62" i="5"/>
  <c r="V62" i="5"/>
  <c r="P67" i="5"/>
  <c r="S67" i="5"/>
  <c r="V67" i="5"/>
  <c r="AV61" i="10" l="1"/>
  <c r="AV53" i="10"/>
  <c r="AV40" i="10"/>
  <c r="AY61" i="10"/>
  <c r="AW61" i="10"/>
  <c r="AY53" i="10"/>
  <c r="AW53" i="10"/>
  <c r="AY40" i="10"/>
  <c r="AW40" i="10"/>
  <c r="F49" i="1"/>
  <c r="FY62" i="1"/>
  <c r="FJ62" i="1"/>
  <c r="GG52" i="1"/>
  <c r="BQ53" i="9"/>
  <c r="BR28" i="9"/>
  <c r="BP40" i="9"/>
  <c r="BR40" i="9"/>
  <c r="Z40" i="9"/>
  <c r="BR61" i="9"/>
  <c r="Z26" i="9"/>
  <c r="Z28" i="9"/>
  <c r="BQ28" i="9"/>
  <c r="BQ61" i="9"/>
  <c r="BQ40" i="9"/>
  <c r="BP61" i="9"/>
  <c r="AB28" i="9"/>
  <c r="AB40" i="9"/>
  <c r="AB53" i="9"/>
  <c r="AB61" i="9"/>
  <c r="AG40" i="9"/>
  <c r="AG53" i="9"/>
  <c r="AG61" i="9"/>
  <c r="BQ26" i="9"/>
  <c r="BQ6" i="9" s="1"/>
  <c r="BP53" i="9"/>
  <c r="BR53" i="9"/>
  <c r="Z53" i="9"/>
  <c r="Z61" i="9"/>
  <c r="AG28" i="9"/>
  <c r="W61" i="9"/>
  <c r="W53" i="9"/>
  <c r="W40" i="9"/>
  <c r="T61" i="9"/>
  <c r="T53" i="9"/>
  <c r="AR61" i="9"/>
  <c r="AR53" i="9"/>
  <c r="AR40" i="9"/>
  <c r="BM61" i="9"/>
  <c r="BK61" i="9"/>
  <c r="BI61" i="9"/>
  <c r="BG61" i="9"/>
  <c r="BD61" i="9"/>
  <c r="BB61" i="9"/>
  <c r="BM53" i="9"/>
  <c r="BK53" i="9"/>
  <c r="BI53" i="9"/>
  <c r="BG53" i="9"/>
  <c r="BD53" i="9"/>
  <c r="BB53" i="9"/>
  <c r="BM40" i="9"/>
  <c r="BK40" i="9"/>
  <c r="BI40" i="9"/>
  <c r="BG40" i="9"/>
  <c r="BD40" i="9"/>
  <c r="BB40" i="9"/>
  <c r="T40" i="9"/>
  <c r="AW61" i="9"/>
  <c r="AU61" i="9"/>
  <c r="AS61" i="9"/>
  <c r="AW53" i="9"/>
  <c r="AU53" i="9"/>
  <c r="AS53" i="9"/>
  <c r="AW40" i="9"/>
  <c r="AU40" i="9"/>
  <c r="AS40" i="9"/>
  <c r="BN61" i="9"/>
  <c r="BL61" i="9"/>
  <c r="BJ61" i="9"/>
  <c r="BH61" i="9"/>
  <c r="BF61" i="9"/>
  <c r="BC61" i="9"/>
  <c r="BN53" i="9"/>
  <c r="BL53" i="9"/>
  <c r="BJ53" i="9"/>
  <c r="BH53" i="9"/>
  <c r="BF53" i="9"/>
  <c r="BC53" i="9"/>
  <c r="BN40" i="9"/>
  <c r="BL40" i="9"/>
  <c r="BJ40" i="9"/>
  <c r="BH40" i="9"/>
  <c r="BF40" i="9"/>
  <c r="BC40" i="9"/>
  <c r="BP28" i="9"/>
  <c r="ES6" i="1"/>
  <c r="EJ6" i="1"/>
  <c r="DX6" i="1"/>
  <c r="EG6" i="1"/>
  <c r="ED6" i="1"/>
  <c r="EM6" i="1"/>
  <c r="EU28" i="1"/>
  <c r="DX52" i="1"/>
  <c r="DX27" i="1" s="1"/>
  <c r="ED52" i="1"/>
  <c r="ED27" i="1" s="1"/>
  <c r="EN52" i="1"/>
  <c r="EN27" i="1" s="1"/>
  <c r="EO27" i="1" s="1"/>
  <c r="ET26" i="1"/>
  <c r="EU26" i="1" s="1"/>
  <c r="EG27" i="1"/>
  <c r="FH6" i="1"/>
  <c r="EP6" i="1"/>
  <c r="GC52" i="1"/>
  <c r="GC27" i="1" s="1"/>
  <c r="GY53" i="1"/>
  <c r="GY28" i="1"/>
  <c r="FX53" i="1"/>
  <c r="FV28" i="1"/>
  <c r="GI6" i="1"/>
  <c r="FB52" i="1"/>
  <c r="FB27" i="1" s="1"/>
  <c r="EK52" i="1"/>
  <c r="DY52" i="1"/>
  <c r="EB52" i="1"/>
  <c r="EB27" i="1" s="1"/>
  <c r="EC27" i="1" s="1"/>
  <c r="ET52" i="1"/>
  <c r="ET27" i="1" s="1"/>
  <c r="DZ28" i="1"/>
  <c r="EH26" i="1"/>
  <c r="EI26" i="1" s="1"/>
  <c r="FQ52" i="1"/>
  <c r="FQ27" i="1" s="1"/>
  <c r="AC26" i="1"/>
  <c r="EC28" i="1"/>
  <c r="EB26" i="1"/>
  <c r="EB6" i="1" s="1"/>
  <c r="EC6" i="1" s="1"/>
  <c r="GV40" i="1"/>
  <c r="GS40" i="1"/>
  <c r="FS28" i="1"/>
  <c r="EY6" i="1"/>
  <c r="EQ52" i="1"/>
  <c r="EE52" i="1"/>
  <c r="EF52" i="1" s="1"/>
  <c r="ES52" i="1"/>
  <c r="ES27" i="1" s="1"/>
  <c r="FN52" i="1"/>
  <c r="FN27" i="1" s="1"/>
  <c r="EI61" i="1"/>
  <c r="DL26" i="1"/>
  <c r="DF26" i="1"/>
  <c r="CT26" i="1"/>
  <c r="CN26" i="1"/>
  <c r="CH26" i="1"/>
  <c r="CB26" i="1"/>
  <c r="BV26" i="1"/>
  <c r="BP26" i="1"/>
  <c r="BJ26" i="1"/>
  <c r="BD26" i="1"/>
  <c r="AX26" i="1"/>
  <c r="AR26" i="1"/>
  <c r="AL26" i="1"/>
  <c r="AF26" i="1"/>
  <c r="Z26" i="1"/>
  <c r="T26" i="1"/>
  <c r="N26" i="1"/>
  <c r="H26" i="1"/>
  <c r="EN26" i="1"/>
  <c r="EO26" i="1" s="1"/>
  <c r="GV53" i="1"/>
  <c r="EH6" i="1"/>
  <c r="GN28" i="1"/>
  <c r="FH52" i="1"/>
  <c r="FH27" i="1" s="1"/>
  <c r="Z61" i="5"/>
  <c r="AB61" i="5"/>
  <c r="AH26" i="5"/>
  <c r="AH28" i="5"/>
  <c r="AH61" i="5"/>
  <c r="AN61" i="5"/>
  <c r="AN53" i="5"/>
  <c r="AN40" i="5"/>
  <c r="FU52" i="1"/>
  <c r="FV52" i="1" s="1"/>
  <c r="GB28" i="1"/>
  <c r="GK62" i="1"/>
  <c r="GY40" i="1"/>
  <c r="GC6" i="1"/>
  <c r="CW26" i="1"/>
  <c r="BY26" i="1"/>
  <c r="BA26" i="1"/>
  <c r="FW6" i="1"/>
  <c r="GA52" i="1"/>
  <c r="GB52" i="1" s="1"/>
  <c r="EC7" i="1"/>
  <c r="ER62" i="1"/>
  <c r="FD62" i="1"/>
  <c r="FW52" i="1"/>
  <c r="FW27" i="1" s="1"/>
  <c r="GS26" i="1"/>
  <c r="GT26" i="1" s="1"/>
  <c r="GV61" i="1"/>
  <c r="GW61" i="1" s="1"/>
  <c r="GS53" i="1"/>
  <c r="GV28" i="1"/>
  <c r="GS28" i="1"/>
  <c r="GT28" i="1" s="1"/>
  <c r="GM52" i="1"/>
  <c r="GN52" i="1" s="1"/>
  <c r="GJ52" i="1"/>
  <c r="FX52" i="1"/>
  <c r="EY52" i="1"/>
  <c r="Z26" i="5"/>
  <c r="Z28" i="5"/>
  <c r="Z40" i="5"/>
  <c r="Z53" i="5"/>
  <c r="AN28" i="5"/>
  <c r="DI26" i="1"/>
  <c r="CK26" i="1"/>
  <c r="BM26" i="1"/>
  <c r="AO26" i="1"/>
  <c r="AB26" i="5"/>
  <c r="AB28" i="5"/>
  <c r="AB40" i="5"/>
  <c r="AB53" i="5"/>
  <c r="DO53" i="1"/>
  <c r="DI53" i="1"/>
  <c r="DC53" i="1"/>
  <c r="CW53" i="1"/>
  <c r="CQ53" i="1"/>
  <c r="CK53" i="1"/>
  <c r="CE53" i="1"/>
  <c r="BY53" i="1"/>
  <c r="BS53" i="1"/>
  <c r="BM53" i="1"/>
  <c r="BG53" i="1"/>
  <c r="BA53" i="1"/>
  <c r="AU53" i="1"/>
  <c r="AO53" i="1"/>
  <c r="AI53" i="1"/>
  <c r="AC53" i="1"/>
  <c r="W53" i="1"/>
  <c r="Q53" i="1"/>
  <c r="K53" i="1"/>
  <c r="DO26" i="1"/>
  <c r="DC26" i="1"/>
  <c r="DC6" i="1" s="1"/>
  <c r="CQ26" i="1"/>
  <c r="CE26" i="1"/>
  <c r="CE6" i="1" s="1"/>
  <c r="BS26" i="1"/>
  <c r="BG26" i="1"/>
  <c r="BG6" i="1" s="1"/>
  <c r="AU26" i="1"/>
  <c r="W26" i="1"/>
  <c r="W6" i="1" s="1"/>
  <c r="K26" i="1"/>
  <c r="E26" i="1"/>
  <c r="EI7" i="1"/>
  <c r="FF52" i="1"/>
  <c r="FY28" i="1"/>
  <c r="FJ28" i="1"/>
  <c r="GZ62" i="1"/>
  <c r="FA28" i="1"/>
  <c r="GE62" i="1"/>
  <c r="FS62" i="1"/>
  <c r="GM26" i="1"/>
  <c r="GN26" i="1" s="1"/>
  <c r="AG61" i="5"/>
  <c r="S61" i="5"/>
  <c r="S53" i="5"/>
  <c r="S40" i="5"/>
  <c r="V61" i="5"/>
  <c r="P61" i="5"/>
  <c r="V40" i="5"/>
  <c r="P40" i="5"/>
  <c r="AS61" i="5"/>
  <c r="AS53" i="5"/>
  <c r="AS40" i="5"/>
  <c r="BM61" i="5"/>
  <c r="BK61" i="5"/>
  <c r="BI61" i="5"/>
  <c r="BG61" i="5"/>
  <c r="BD61" i="5"/>
  <c r="BB61" i="5"/>
  <c r="BM53" i="5"/>
  <c r="BK53" i="5"/>
  <c r="BI53" i="5"/>
  <c r="BG53" i="5"/>
  <c r="BD53" i="5"/>
  <c r="BB53" i="5"/>
  <c r="BM40" i="5"/>
  <c r="BK40" i="5"/>
  <c r="BI40" i="5"/>
  <c r="BG40" i="5"/>
  <c r="BD40" i="5"/>
  <c r="BB40" i="5"/>
  <c r="BQ61" i="5"/>
  <c r="BQ53" i="5"/>
  <c r="BQ40" i="5"/>
  <c r="BQ28" i="5"/>
  <c r="AG26" i="5"/>
  <c r="AG28" i="5"/>
  <c r="AG40" i="5"/>
  <c r="AG53" i="5"/>
  <c r="AH40" i="5"/>
  <c r="AH53" i="5"/>
  <c r="AK61" i="5"/>
  <c r="AK53" i="5"/>
  <c r="AK40" i="5"/>
  <c r="AR61" i="5"/>
  <c r="BN61" i="5"/>
  <c r="BL61" i="5"/>
  <c r="BJ61" i="5"/>
  <c r="BH61" i="5"/>
  <c r="BF61" i="5"/>
  <c r="BC61" i="5"/>
  <c r="BN53" i="5"/>
  <c r="BL53" i="5"/>
  <c r="BJ53" i="5"/>
  <c r="BH53" i="5"/>
  <c r="BF53" i="5"/>
  <c r="BC53" i="5"/>
  <c r="BN40" i="5"/>
  <c r="BL40" i="5"/>
  <c r="BJ40" i="5"/>
  <c r="BH40" i="5"/>
  <c r="BF40" i="5"/>
  <c r="BC40" i="5"/>
  <c r="BR61" i="5"/>
  <c r="BR53" i="5"/>
  <c r="BR40" i="5"/>
  <c r="BR28" i="5"/>
  <c r="E53" i="1"/>
  <c r="DO40" i="1"/>
  <c r="DI40" i="1"/>
  <c r="CW40" i="1"/>
  <c r="CQ40" i="1"/>
  <c r="CK40" i="1"/>
  <c r="CE40" i="1"/>
  <c r="BY40" i="1"/>
  <c r="BS40" i="1"/>
  <c r="BM40" i="1"/>
  <c r="BG40" i="1"/>
  <c r="BA40" i="1"/>
  <c r="AU40" i="1"/>
  <c r="AO40" i="1"/>
  <c r="AI40" i="1"/>
  <c r="AC40" i="1"/>
  <c r="W40" i="1"/>
  <c r="Q40" i="1"/>
  <c r="E40" i="1"/>
  <c r="DL53" i="1"/>
  <c r="DF53" i="1"/>
  <c r="CZ53" i="1"/>
  <c r="CT53" i="1"/>
  <c r="CN53" i="1"/>
  <c r="CH53" i="1"/>
  <c r="CB53" i="1"/>
  <c r="BV53" i="1"/>
  <c r="BP53" i="1"/>
  <c r="BJ53" i="1"/>
  <c r="BD53" i="1"/>
  <c r="AX53" i="1"/>
  <c r="AR53" i="1"/>
  <c r="AL53" i="1"/>
  <c r="AF53" i="1"/>
  <c r="T53" i="1"/>
  <c r="N53" i="1"/>
  <c r="H53" i="1"/>
  <c r="DL40" i="1"/>
  <c r="DF40" i="1"/>
  <c r="CZ40" i="1"/>
  <c r="CT40" i="1"/>
  <c r="CN40" i="1"/>
  <c r="CH40" i="1"/>
  <c r="CB40" i="1"/>
  <c r="BV40" i="1"/>
  <c r="BP40" i="1"/>
  <c r="BJ40" i="1"/>
  <c r="BD40" i="1"/>
  <c r="AX40" i="1"/>
  <c r="AR40" i="1"/>
  <c r="AL40" i="1"/>
  <c r="AF40" i="1"/>
  <c r="Z40" i="1"/>
  <c r="T40" i="1"/>
  <c r="N40" i="1"/>
  <c r="H40" i="1"/>
  <c r="Q26" i="1"/>
  <c r="AV28" i="10"/>
  <c r="AV52" i="10" s="1"/>
  <c r="AV27" i="10" s="1"/>
  <c r="DP49" i="1"/>
  <c r="DJ49" i="1"/>
  <c r="DD49" i="1"/>
  <c r="CX49" i="1"/>
  <c r="CR49" i="1"/>
  <c r="CI37" i="1"/>
  <c r="CC37" i="1"/>
  <c r="BW37" i="1"/>
  <c r="BQ37" i="1"/>
  <c r="BK37" i="1"/>
  <c r="BE37" i="1"/>
  <c r="AY37" i="1"/>
  <c r="AS37" i="1"/>
  <c r="AM37" i="1"/>
  <c r="AG37" i="1"/>
  <c r="AA37" i="1"/>
  <c r="U37" i="1"/>
  <c r="O37" i="1"/>
  <c r="I37" i="1"/>
  <c r="AY28" i="10"/>
  <c r="AW28" i="10"/>
  <c r="EC62" i="1"/>
  <c r="W28" i="9"/>
  <c r="AR28" i="9"/>
  <c r="BM28" i="9"/>
  <c r="BK28" i="9"/>
  <c r="BK52" i="9" s="1"/>
  <c r="BK27" i="9" s="1"/>
  <c r="BI28" i="9"/>
  <c r="BG28" i="9"/>
  <c r="BD28" i="9"/>
  <c r="BB28" i="9"/>
  <c r="BR26" i="9"/>
  <c r="DP54" i="1"/>
  <c r="DJ54" i="1"/>
  <c r="DD54" i="1"/>
  <c r="CX54" i="1"/>
  <c r="CR54" i="1"/>
  <c r="GY26" i="1"/>
  <c r="GZ7" i="1"/>
  <c r="FC52" i="1"/>
  <c r="FD28" i="1"/>
  <c r="T28" i="9"/>
  <c r="T52" i="9" s="1"/>
  <c r="AW28" i="9"/>
  <c r="AU28" i="9"/>
  <c r="AS28" i="9"/>
  <c r="BN28" i="9"/>
  <c r="BL28" i="9"/>
  <c r="BJ28" i="9"/>
  <c r="BH28" i="9"/>
  <c r="BF28" i="9"/>
  <c r="BC28" i="9"/>
  <c r="BP26" i="9"/>
  <c r="EO62" i="1"/>
  <c r="GD52" i="1"/>
  <c r="FR52" i="1"/>
  <c r="FI52" i="1"/>
  <c r="V28" i="5"/>
  <c r="P28" i="5"/>
  <c r="V18" i="5"/>
  <c r="V26" i="5" s="1"/>
  <c r="P18" i="5"/>
  <c r="P26" i="5" s="1"/>
  <c r="BM28" i="5"/>
  <c r="BK28" i="5"/>
  <c r="BI28" i="5"/>
  <c r="BG28" i="5"/>
  <c r="BD28" i="5"/>
  <c r="BB28" i="5"/>
  <c r="DP67" i="1"/>
  <c r="DJ67" i="1"/>
  <c r="DD67" i="1"/>
  <c r="CX67" i="1"/>
  <c r="CR67" i="1"/>
  <c r="CI67" i="1"/>
  <c r="CC67" i="1"/>
  <c r="BW67" i="1"/>
  <c r="BQ67" i="1"/>
  <c r="BK67" i="1"/>
  <c r="BE67" i="1"/>
  <c r="AY67" i="1"/>
  <c r="AS67" i="1"/>
  <c r="AM67" i="1"/>
  <c r="AG67" i="1"/>
  <c r="AA67" i="1"/>
  <c r="U67" i="1"/>
  <c r="O67" i="1"/>
  <c r="I67" i="1"/>
  <c r="DM62" i="1"/>
  <c r="DG62" i="1"/>
  <c r="DA62" i="1"/>
  <c r="CU62" i="1"/>
  <c r="CL62" i="1"/>
  <c r="CF62" i="1"/>
  <c r="BZ62" i="1"/>
  <c r="BT62" i="1"/>
  <c r="BN62" i="1"/>
  <c r="BH62" i="1"/>
  <c r="BB62" i="1"/>
  <c r="AV62" i="1"/>
  <c r="AP62" i="1"/>
  <c r="AJ62" i="1"/>
  <c r="X62" i="1"/>
  <c r="R62" i="1"/>
  <c r="L62" i="1"/>
  <c r="F62" i="1"/>
  <c r="DP58" i="1"/>
  <c r="DJ58" i="1"/>
  <c r="DD58" i="1"/>
  <c r="CX58" i="1"/>
  <c r="CR58" i="1"/>
  <c r="CI58" i="1"/>
  <c r="CC58" i="1"/>
  <c r="BW58" i="1"/>
  <c r="BQ58" i="1"/>
  <c r="BK58" i="1"/>
  <c r="BE58" i="1"/>
  <c r="AY58" i="1"/>
  <c r="AS58" i="1"/>
  <c r="AM58" i="1"/>
  <c r="AG58" i="1"/>
  <c r="U58" i="1"/>
  <c r="O58" i="1"/>
  <c r="I58" i="1"/>
  <c r="CI54" i="1"/>
  <c r="CC54" i="1"/>
  <c r="BW54" i="1"/>
  <c r="BQ54" i="1"/>
  <c r="BK54" i="1"/>
  <c r="BE54" i="1"/>
  <c r="AY54" i="1"/>
  <c r="AS54" i="1"/>
  <c r="AM54" i="1"/>
  <c r="AG54" i="1"/>
  <c r="U54" i="1"/>
  <c r="O54" i="1"/>
  <c r="I54" i="1"/>
  <c r="CI49" i="1"/>
  <c r="CC49" i="1"/>
  <c r="BW49" i="1"/>
  <c r="BQ49" i="1"/>
  <c r="BK49" i="1"/>
  <c r="BE49" i="1"/>
  <c r="AY49" i="1"/>
  <c r="AS49" i="1"/>
  <c r="AM49" i="1"/>
  <c r="AG49" i="1"/>
  <c r="AA49" i="1"/>
  <c r="U49" i="1"/>
  <c r="O49" i="1"/>
  <c r="I49" i="1"/>
  <c r="BZ29" i="1"/>
  <c r="BT29" i="1"/>
  <c r="BN29" i="1"/>
  <c r="BH29" i="1"/>
  <c r="BB29" i="1"/>
  <c r="AV29" i="1"/>
  <c r="AP29" i="1"/>
  <c r="AJ29" i="1"/>
  <c r="AD29" i="1"/>
  <c r="X29" i="1"/>
  <c r="R29" i="1"/>
  <c r="L29" i="1"/>
  <c r="F29" i="1"/>
  <c r="DM29" i="1"/>
  <c r="DG29" i="1"/>
  <c r="DA29" i="1"/>
  <c r="CU29" i="1"/>
  <c r="AR28" i="5"/>
  <c r="DP41" i="1"/>
  <c r="DJ41" i="1"/>
  <c r="DD41" i="1"/>
  <c r="CX41" i="1"/>
  <c r="CR41" i="1"/>
  <c r="CI41" i="1"/>
  <c r="CC41" i="1"/>
  <c r="BW41" i="1"/>
  <c r="BQ41" i="1"/>
  <c r="BK41" i="1"/>
  <c r="BE41" i="1"/>
  <c r="AY41" i="1"/>
  <c r="AS41" i="1"/>
  <c r="AM41" i="1"/>
  <c r="AG41" i="1"/>
  <c r="AA41" i="1"/>
  <c r="U41" i="1"/>
  <c r="O41" i="1"/>
  <c r="I41" i="1"/>
  <c r="DM37" i="1"/>
  <c r="DG37" i="1"/>
  <c r="DA37" i="1"/>
  <c r="CU37" i="1"/>
  <c r="GM61" i="1"/>
  <c r="GN61" i="1" s="1"/>
  <c r="GB67" i="1"/>
  <c r="GA61" i="1"/>
  <c r="GB61" i="1" s="1"/>
  <c r="EZ61" i="1"/>
  <c r="FA61" i="1" s="1"/>
  <c r="EZ26" i="1"/>
  <c r="S28" i="5"/>
  <c r="AK28" i="5"/>
  <c r="AS28" i="5"/>
  <c r="BN28" i="5"/>
  <c r="BL28" i="5"/>
  <c r="BJ28" i="5"/>
  <c r="BH28" i="5"/>
  <c r="BF28" i="5"/>
  <c r="BC28" i="5"/>
  <c r="DM67" i="1"/>
  <c r="DG67" i="1"/>
  <c r="DA67" i="1"/>
  <c r="CU67" i="1"/>
  <c r="CL67" i="1"/>
  <c r="CF67" i="1"/>
  <c r="BZ67" i="1"/>
  <c r="BT67" i="1"/>
  <c r="BN67" i="1"/>
  <c r="BH67" i="1"/>
  <c r="BB67" i="1"/>
  <c r="AV67" i="1"/>
  <c r="AP67" i="1"/>
  <c r="AJ67" i="1"/>
  <c r="X67" i="1"/>
  <c r="R67" i="1"/>
  <c r="L67" i="1"/>
  <c r="F67" i="1"/>
  <c r="DP62" i="1"/>
  <c r="DJ62" i="1"/>
  <c r="DD62" i="1"/>
  <c r="CX62" i="1"/>
  <c r="CR62" i="1"/>
  <c r="CI62" i="1"/>
  <c r="CC62" i="1"/>
  <c r="BW62" i="1"/>
  <c r="BQ62" i="1"/>
  <c r="BK62" i="1"/>
  <c r="BE62" i="1"/>
  <c r="AY62" i="1"/>
  <c r="AS62" i="1"/>
  <c r="AM62" i="1"/>
  <c r="AG62" i="1"/>
  <c r="U62" i="1"/>
  <c r="O62" i="1"/>
  <c r="I62" i="1"/>
  <c r="DM58" i="1"/>
  <c r="DG58" i="1"/>
  <c r="DA58" i="1"/>
  <c r="CU58" i="1"/>
  <c r="CL58" i="1"/>
  <c r="CF58" i="1"/>
  <c r="BZ58" i="1"/>
  <c r="BT58" i="1"/>
  <c r="BN58" i="1"/>
  <c r="BH58" i="1"/>
  <c r="BB58" i="1"/>
  <c r="AV58" i="1"/>
  <c r="AP58" i="1"/>
  <c r="AJ58" i="1"/>
  <c r="AD58" i="1"/>
  <c r="X58" i="1"/>
  <c r="R58" i="1"/>
  <c r="L58" i="1"/>
  <c r="F58" i="1"/>
  <c r="DM54" i="1"/>
  <c r="DG54" i="1"/>
  <c r="DA54" i="1"/>
  <c r="CU54" i="1"/>
  <c r="CL54" i="1"/>
  <c r="CF54" i="1"/>
  <c r="BZ54" i="1"/>
  <c r="BT54" i="1"/>
  <c r="BN54" i="1"/>
  <c r="BH54" i="1"/>
  <c r="BB54" i="1"/>
  <c r="AV54" i="1"/>
  <c r="AP54" i="1"/>
  <c r="AJ54" i="1"/>
  <c r="AD54" i="1"/>
  <c r="X54" i="1"/>
  <c r="R54" i="1"/>
  <c r="L54" i="1"/>
  <c r="F54" i="1"/>
  <c r="DM49" i="1"/>
  <c r="DG49" i="1"/>
  <c r="DA49" i="1"/>
  <c r="CU49" i="1"/>
  <c r="CL49" i="1"/>
  <c r="CF49" i="1"/>
  <c r="BZ49" i="1"/>
  <c r="BT49" i="1"/>
  <c r="BN49" i="1"/>
  <c r="BH49" i="1"/>
  <c r="BB49" i="1"/>
  <c r="AV49" i="1"/>
  <c r="AP49" i="1"/>
  <c r="AJ49" i="1"/>
  <c r="DM41" i="1"/>
  <c r="DM40" i="1" s="1"/>
  <c r="DG41" i="1"/>
  <c r="DG40" i="1" s="1"/>
  <c r="DA41" i="1"/>
  <c r="DA40" i="1" s="1"/>
  <c r="CU41" i="1"/>
  <c r="CU40" i="1" s="1"/>
  <c r="BZ41" i="1"/>
  <c r="BT41" i="1"/>
  <c r="BT40" i="1" s="1"/>
  <c r="BN41" i="1"/>
  <c r="BH41" i="1"/>
  <c r="BH40" i="1" s="1"/>
  <c r="BB41" i="1"/>
  <c r="AV41" i="1"/>
  <c r="AV40" i="1" s="1"/>
  <c r="AP41" i="1"/>
  <c r="AJ41" i="1"/>
  <c r="AJ40" i="1" s="1"/>
  <c r="AD41" i="1"/>
  <c r="AD40" i="1" s="1"/>
  <c r="X41" i="1"/>
  <c r="X40" i="1" s="1"/>
  <c r="R41" i="1"/>
  <c r="R40" i="1" s="1"/>
  <c r="L41" i="1"/>
  <c r="L40" i="1" s="1"/>
  <c r="F41" i="1"/>
  <c r="F40" i="1" s="1"/>
  <c r="DP37" i="1"/>
  <c r="DJ37" i="1"/>
  <c r="DD37" i="1"/>
  <c r="CX37" i="1"/>
  <c r="CR37" i="1"/>
  <c r="CL37" i="1"/>
  <c r="CF37" i="1"/>
  <c r="BZ37" i="1"/>
  <c r="BT37" i="1"/>
  <c r="BN37" i="1"/>
  <c r="BH37" i="1"/>
  <c r="BB37" i="1"/>
  <c r="AV37" i="1"/>
  <c r="AP37" i="1"/>
  <c r="AJ37" i="1"/>
  <c r="AD37" i="1"/>
  <c r="X37" i="1"/>
  <c r="R37" i="1"/>
  <c r="L37" i="1"/>
  <c r="F37" i="1"/>
  <c r="DP29" i="1"/>
  <c r="DP28" i="1" s="1"/>
  <c r="DJ29" i="1"/>
  <c r="DJ28" i="1" s="1"/>
  <c r="DD29" i="1"/>
  <c r="DD28" i="1" s="1"/>
  <c r="CX29" i="1"/>
  <c r="CX28" i="1" s="1"/>
  <c r="CR29" i="1"/>
  <c r="CR28" i="1" s="1"/>
  <c r="CI29" i="1"/>
  <c r="CC29" i="1"/>
  <c r="BW29" i="1"/>
  <c r="BQ29" i="1"/>
  <c r="BK29" i="1"/>
  <c r="BE29" i="1"/>
  <c r="AY29" i="1"/>
  <c r="AS29" i="1"/>
  <c r="AM29" i="1"/>
  <c r="AG29" i="1"/>
  <c r="U29" i="1"/>
  <c r="O29" i="1"/>
  <c r="I29" i="1"/>
  <c r="DP12" i="1"/>
  <c r="DP7" i="1" s="1"/>
  <c r="DJ12" i="1"/>
  <c r="DJ7" i="1" s="1"/>
  <c r="DD12" i="1"/>
  <c r="DD7" i="1" s="1"/>
  <c r="CX12" i="1"/>
  <c r="CX7" i="1" s="1"/>
  <c r="CR12" i="1"/>
  <c r="CR7" i="1" s="1"/>
  <c r="CF12" i="1"/>
  <c r="BZ12" i="1"/>
  <c r="BZ7" i="1" s="1"/>
  <c r="BT12" i="1"/>
  <c r="BT7" i="1" s="1"/>
  <c r="BN12" i="1"/>
  <c r="BN7" i="1" s="1"/>
  <c r="BH12" i="1"/>
  <c r="BH7" i="1" s="1"/>
  <c r="BB12" i="1"/>
  <c r="BB7" i="1" s="1"/>
  <c r="AV12" i="1"/>
  <c r="AV7" i="1" s="1"/>
  <c r="AP12" i="1"/>
  <c r="AP7" i="1" s="1"/>
  <c r="AJ12" i="1"/>
  <c r="AJ7" i="1" s="1"/>
  <c r="AD12" i="1"/>
  <c r="AD7" i="1" s="1"/>
  <c r="X12" i="1"/>
  <c r="X7" i="1" s="1"/>
  <c r="L12" i="1"/>
  <c r="L7" i="1" s="1"/>
  <c r="F12" i="1"/>
  <c r="F7" i="1" s="1"/>
  <c r="DM12" i="1"/>
  <c r="DM7" i="1" s="1"/>
  <c r="DG12" i="1"/>
  <c r="DG7" i="1" s="1"/>
  <c r="DA12" i="1"/>
  <c r="DA7" i="1" s="1"/>
  <c r="CU12" i="1"/>
  <c r="CU7" i="1" s="1"/>
  <c r="CI12" i="1"/>
  <c r="CC12" i="1"/>
  <c r="CC7" i="1" s="1"/>
  <c r="BW12" i="1"/>
  <c r="BW7" i="1" s="1"/>
  <c r="BQ12" i="1"/>
  <c r="BK12" i="1"/>
  <c r="BK7" i="1" s="1"/>
  <c r="BE12" i="1"/>
  <c r="BE7" i="1" s="1"/>
  <c r="AY12" i="1"/>
  <c r="AY7" i="1" s="1"/>
  <c r="AS12" i="1"/>
  <c r="AS7" i="1" s="1"/>
  <c r="AM12" i="1"/>
  <c r="AM7" i="1" s="1"/>
  <c r="AG12" i="1"/>
  <c r="AG7" i="1" s="1"/>
  <c r="AA12" i="1"/>
  <c r="AA7" i="1" s="1"/>
  <c r="U12" i="1"/>
  <c r="U7" i="1" s="1"/>
  <c r="I12" i="1"/>
  <c r="I7" i="1" s="1"/>
  <c r="GT62" i="1"/>
  <c r="GH67" i="1"/>
  <c r="GG61" i="1"/>
  <c r="GH61" i="1" s="1"/>
  <c r="FV67" i="1"/>
  <c r="FU61" i="1"/>
  <c r="FV61" i="1" s="1"/>
  <c r="FF61" i="1"/>
  <c r="FG61" i="1" s="1"/>
  <c r="GA26" i="1"/>
  <c r="EU62" i="1"/>
  <c r="EI62" i="1"/>
  <c r="GG26" i="1"/>
  <c r="FU26" i="1"/>
  <c r="FF26" i="1"/>
  <c r="EL62" i="1"/>
  <c r="EK61" i="1"/>
  <c r="EF62" i="1"/>
  <c r="EE61" i="1"/>
  <c r="DZ62" i="1"/>
  <c r="DY61" i="1"/>
  <c r="DC40" i="1"/>
  <c r="CZ26" i="1"/>
  <c r="AI26" i="1"/>
  <c r="AC61" i="1"/>
  <c r="K40" i="1"/>
  <c r="O12" i="1"/>
  <c r="O7" i="1" s="1"/>
  <c r="Z53" i="1"/>
  <c r="GV26" i="1"/>
  <c r="GW7" i="1"/>
  <c r="GJ26" i="1"/>
  <c r="GK7" i="1"/>
  <c r="GD26" i="1"/>
  <c r="GE7" i="1"/>
  <c r="FX26" i="1"/>
  <c r="FY7" i="1"/>
  <c r="FR26" i="1"/>
  <c r="FS7" i="1"/>
  <c r="FI26" i="1"/>
  <c r="FJ7" i="1"/>
  <c r="FC26" i="1"/>
  <c r="FD7" i="1"/>
  <c r="EH27" i="1"/>
  <c r="EQ26" i="1"/>
  <c r="ER7" i="1"/>
  <c r="EK26" i="1"/>
  <c r="EL7" i="1"/>
  <c r="EE26" i="1"/>
  <c r="EF7" i="1"/>
  <c r="DY26" i="1"/>
  <c r="DZ7" i="1"/>
  <c r="DO28" i="1"/>
  <c r="DL28" i="1"/>
  <c r="DI28" i="1"/>
  <c r="DF28" i="1"/>
  <c r="DC28" i="1"/>
  <c r="CZ28" i="1"/>
  <c r="CW28" i="1"/>
  <c r="CT28" i="1"/>
  <c r="CQ28" i="1"/>
  <c r="CN28" i="1"/>
  <c r="CK28" i="1"/>
  <c r="CH28" i="1"/>
  <c r="CE28" i="1"/>
  <c r="CB28" i="1"/>
  <c r="BY28" i="1"/>
  <c r="BV28" i="1"/>
  <c r="BS28" i="1"/>
  <c r="BP28" i="1"/>
  <c r="BM28" i="1"/>
  <c r="BJ28" i="1"/>
  <c r="BG28" i="1"/>
  <c r="BD28" i="1"/>
  <c r="BA28" i="1"/>
  <c r="AX28" i="1"/>
  <c r="AU28" i="1"/>
  <c r="AR28" i="1"/>
  <c r="AO28" i="1"/>
  <c r="AL28" i="1"/>
  <c r="AI28" i="1"/>
  <c r="AF28" i="1"/>
  <c r="AC28" i="1"/>
  <c r="Z28" i="1"/>
  <c r="W28" i="1"/>
  <c r="T28" i="1"/>
  <c r="Q28" i="1"/>
  <c r="N28" i="1"/>
  <c r="K28" i="1"/>
  <c r="H28" i="1"/>
  <c r="E28" i="1"/>
  <c r="DB8" i="1"/>
  <c r="AH8" i="1"/>
  <c r="M8" i="1"/>
  <c r="AY26" i="10"/>
  <c r="AY6" i="10" s="1"/>
  <c r="AW26" i="10"/>
  <c r="AW6" i="10" s="1"/>
  <c r="AV26" i="10"/>
  <c r="AV6" i="10" s="1"/>
  <c r="BN26" i="9"/>
  <c r="BL26" i="9"/>
  <c r="BJ26" i="9"/>
  <c r="BH26" i="9"/>
  <c r="BF26" i="9"/>
  <c r="BC26" i="9"/>
  <c r="BM26" i="9"/>
  <c r="BK26" i="9"/>
  <c r="BI26" i="9"/>
  <c r="BG26" i="9"/>
  <c r="BD26" i="9"/>
  <c r="BB26" i="9"/>
  <c r="AW26" i="9"/>
  <c r="AU26" i="9"/>
  <c r="AS26" i="9"/>
  <c r="AR26" i="9"/>
  <c r="AG26" i="9"/>
  <c r="AB26" i="9"/>
  <c r="W26" i="9"/>
  <c r="T26" i="9"/>
  <c r="BR26" i="5"/>
  <c r="BQ26" i="5"/>
  <c r="BN26" i="5"/>
  <c r="BL26" i="5"/>
  <c r="BJ26" i="5"/>
  <c r="BH26" i="5"/>
  <c r="BF26" i="5"/>
  <c r="BC26" i="5"/>
  <c r="BM26" i="5"/>
  <c r="BK26" i="5"/>
  <c r="BI26" i="5"/>
  <c r="BG26" i="5"/>
  <c r="BD26" i="5"/>
  <c r="BB26" i="5"/>
  <c r="AS26" i="5"/>
  <c r="AR53" i="5"/>
  <c r="AR40" i="5"/>
  <c r="AR26" i="5"/>
  <c r="AN26" i="5"/>
  <c r="AK26" i="5"/>
  <c r="V53" i="5"/>
  <c r="P53" i="5"/>
  <c r="S26" i="5"/>
  <c r="AW52" i="10" l="1"/>
  <c r="AW27" i="10" s="1"/>
  <c r="AY52" i="10"/>
  <c r="AY27" i="10" s="1"/>
  <c r="BF6" i="9"/>
  <c r="BJ6" i="9"/>
  <c r="BN6" i="9"/>
  <c r="BB6" i="9"/>
  <c r="BG6" i="9"/>
  <c r="BK6" i="9"/>
  <c r="Z6" i="9"/>
  <c r="BQ52" i="9"/>
  <c r="BQ27" i="9" s="1"/>
  <c r="BP52" i="9"/>
  <c r="BP27" i="9" s="1"/>
  <c r="AB52" i="9"/>
  <c r="AB27" i="9" s="1"/>
  <c r="Z52" i="9"/>
  <c r="Z27" i="9" s="1"/>
  <c r="BR52" i="9"/>
  <c r="BR27" i="9" s="1"/>
  <c r="AU6" i="9"/>
  <c r="BP6" i="9"/>
  <c r="BF52" i="9"/>
  <c r="BF27" i="9" s="1"/>
  <c r="BJ52" i="9"/>
  <c r="BJ27" i="9" s="1"/>
  <c r="BN52" i="9"/>
  <c r="BN27" i="9" s="1"/>
  <c r="AU52" i="9"/>
  <c r="AU27" i="9" s="1"/>
  <c r="BB52" i="9"/>
  <c r="BB27" i="9" s="1"/>
  <c r="BG52" i="9"/>
  <c r="BG27" i="9" s="1"/>
  <c r="BH52" i="9"/>
  <c r="BH27" i="9" s="1"/>
  <c r="AG52" i="9"/>
  <c r="AG27" i="9" s="1"/>
  <c r="BC52" i="9"/>
  <c r="BC27" i="9" s="1"/>
  <c r="BL52" i="9"/>
  <c r="BL27" i="9" s="1"/>
  <c r="AB6" i="9"/>
  <c r="AS6" i="9"/>
  <c r="AW6" i="9"/>
  <c r="BC6" i="9"/>
  <c r="BH6" i="9"/>
  <c r="BL6" i="9"/>
  <c r="BD52" i="9"/>
  <c r="BD27" i="9" s="1"/>
  <c r="BI52" i="9"/>
  <c r="BI27" i="9" s="1"/>
  <c r="BM52" i="9"/>
  <c r="BM27" i="9" s="1"/>
  <c r="W52" i="9"/>
  <c r="W27" i="9" s="1"/>
  <c r="T6" i="9"/>
  <c r="T27" i="9"/>
  <c r="W6" i="9"/>
  <c r="AG6" i="9"/>
  <c r="AR6" i="9"/>
  <c r="BD6" i="9"/>
  <c r="BI6" i="9"/>
  <c r="BM6" i="9"/>
  <c r="AS52" i="9"/>
  <c r="AS27" i="9" s="1"/>
  <c r="AW52" i="9"/>
  <c r="AW27" i="9" s="1"/>
  <c r="BR6" i="9"/>
  <c r="AR52" i="9"/>
  <c r="AR27" i="9" s="1"/>
  <c r="AR6" i="5"/>
  <c r="EI6" i="1"/>
  <c r="GY52" i="1"/>
  <c r="GY27" i="1" s="1"/>
  <c r="GZ27" i="1" s="1"/>
  <c r="EI27" i="1"/>
  <c r="DZ52" i="1"/>
  <c r="ET6" i="1"/>
  <c r="EU6" i="1" s="1"/>
  <c r="EC52" i="1"/>
  <c r="GY6" i="1"/>
  <c r="GZ6" i="1" s="1"/>
  <c r="AA40" i="1"/>
  <c r="BW40" i="1"/>
  <c r="EU52" i="1"/>
  <c r="DP40" i="1"/>
  <c r="DP52" i="1" s="1"/>
  <c r="GM6" i="1"/>
  <c r="GN6" i="1" s="1"/>
  <c r="BD52" i="5"/>
  <c r="BD27" i="5" s="1"/>
  <c r="BI52" i="5"/>
  <c r="BI27" i="5" s="1"/>
  <c r="BM52" i="5"/>
  <c r="BM27" i="5" s="1"/>
  <c r="T6" i="1"/>
  <c r="AH6" i="5"/>
  <c r="BY6" i="1"/>
  <c r="Q6" i="1"/>
  <c r="CH6" i="1"/>
  <c r="BG52" i="5"/>
  <c r="BG27" i="5" s="1"/>
  <c r="EQ27" i="1"/>
  <c r="ER27" i="1" s="1"/>
  <c r="DM61" i="1"/>
  <c r="AC6" i="1"/>
  <c r="O28" i="1"/>
  <c r="AS52" i="5"/>
  <c r="AS27" i="5" s="1"/>
  <c r="N6" i="1"/>
  <c r="DL6" i="1"/>
  <c r="AH52" i="5"/>
  <c r="CK6" i="1"/>
  <c r="EC26" i="1"/>
  <c r="H6" i="1"/>
  <c r="DF6" i="1"/>
  <c r="N52" i="1"/>
  <c r="N27" i="1" s="1"/>
  <c r="Z52" i="1"/>
  <c r="Z27" i="1" s="1"/>
  <c r="AL52" i="1"/>
  <c r="AL27" i="1" s="1"/>
  <c r="AX52" i="1"/>
  <c r="AX27" i="1" s="1"/>
  <c r="BJ52" i="1"/>
  <c r="BJ27" i="1" s="1"/>
  <c r="BV52" i="1"/>
  <c r="BV27" i="1" s="1"/>
  <c r="CH52" i="1"/>
  <c r="CH27" i="1" s="1"/>
  <c r="CT52" i="1"/>
  <c r="CT27" i="1" s="1"/>
  <c r="DF52" i="1"/>
  <c r="DF27" i="1" s="1"/>
  <c r="EU27" i="1"/>
  <c r="AM28" i="1"/>
  <c r="BH53" i="1"/>
  <c r="O61" i="1"/>
  <c r="BK61" i="1"/>
  <c r="BF52" i="5"/>
  <c r="BF27" i="5" s="1"/>
  <c r="AY53" i="1"/>
  <c r="V52" i="5"/>
  <c r="V27" i="5" s="1"/>
  <c r="GS52" i="1"/>
  <c r="GS27" i="1" s="1"/>
  <c r="GT27" i="1" s="1"/>
  <c r="AF6" i="1"/>
  <c r="AR6" i="1"/>
  <c r="BD6" i="1"/>
  <c r="BP6" i="1"/>
  <c r="CB6" i="1"/>
  <c r="CN6" i="1"/>
  <c r="AH27" i="5"/>
  <c r="AB6" i="5"/>
  <c r="X61" i="1"/>
  <c r="CX53" i="1"/>
  <c r="DO6" i="1"/>
  <c r="AN52" i="5"/>
  <c r="AN27" i="5" s="1"/>
  <c r="AL6" i="1"/>
  <c r="BJ6" i="1"/>
  <c r="Z6" i="1"/>
  <c r="EN6" i="1"/>
  <c r="EO6" i="1" s="1"/>
  <c r="AS6" i="5"/>
  <c r="AX6" i="1"/>
  <c r="BV6" i="1"/>
  <c r="CT6" i="1"/>
  <c r="S6" i="5"/>
  <c r="AN6" i="5"/>
  <c r="BC6" i="5"/>
  <c r="BH6" i="5"/>
  <c r="BL6" i="5"/>
  <c r="BR6" i="5"/>
  <c r="DP61" i="1"/>
  <c r="AI6" i="1"/>
  <c r="AU6" i="1"/>
  <c r="BS6" i="1"/>
  <c r="CQ6" i="1"/>
  <c r="BA6" i="1"/>
  <c r="CW6" i="1"/>
  <c r="Z52" i="5"/>
  <c r="Z27" i="5" s="1"/>
  <c r="DM28" i="1"/>
  <c r="DM52" i="1" s="1"/>
  <c r="BT61" i="1"/>
  <c r="DA53" i="1"/>
  <c r="CI28" i="1"/>
  <c r="BN52" i="5"/>
  <c r="BN27" i="5" s="1"/>
  <c r="BB52" i="5"/>
  <c r="BB27" i="5" s="1"/>
  <c r="BK52" i="5"/>
  <c r="BK27" i="5" s="1"/>
  <c r="AO6" i="1"/>
  <c r="L61" i="1"/>
  <c r="AJ61" i="1"/>
  <c r="AV61" i="1"/>
  <c r="BH61" i="1"/>
  <c r="CF61" i="1"/>
  <c r="AK6" i="5"/>
  <c r="BB6" i="5"/>
  <c r="BG6" i="5"/>
  <c r="BK6" i="5"/>
  <c r="BK28" i="1"/>
  <c r="L53" i="1"/>
  <c r="CR40" i="1"/>
  <c r="CR52" i="1" s="1"/>
  <c r="DD40" i="1"/>
  <c r="DD52" i="1" s="1"/>
  <c r="CZ6" i="1"/>
  <c r="BR52" i="5"/>
  <c r="BR27" i="5" s="1"/>
  <c r="BQ52" i="5"/>
  <c r="BQ27" i="5" s="1"/>
  <c r="S52" i="5"/>
  <c r="S27" i="5" s="1"/>
  <c r="BM6" i="1"/>
  <c r="DI6" i="1"/>
  <c r="Z6" i="5"/>
  <c r="DD61" i="1"/>
  <c r="EY27" i="1"/>
  <c r="FA52" i="1"/>
  <c r="FY52" i="1"/>
  <c r="FX27" i="1"/>
  <c r="FY27" i="1" s="1"/>
  <c r="GW28" i="1"/>
  <c r="GV52" i="1"/>
  <c r="V6" i="5"/>
  <c r="BD6" i="5"/>
  <c r="BI6" i="5"/>
  <c r="BM6" i="5"/>
  <c r="H52" i="1"/>
  <c r="H27" i="1" s="1"/>
  <c r="T52" i="1"/>
  <c r="T27" i="1" s="1"/>
  <c r="AF52" i="1"/>
  <c r="AF27" i="1" s="1"/>
  <c r="AR52" i="1"/>
  <c r="AR27" i="1" s="1"/>
  <c r="BD52" i="1"/>
  <c r="BD27" i="1" s="1"/>
  <c r="BP52" i="1"/>
  <c r="BP27" i="1" s="1"/>
  <c r="CB52" i="1"/>
  <c r="CB27" i="1" s="1"/>
  <c r="CN52" i="1"/>
  <c r="CN27" i="1" s="1"/>
  <c r="CZ52" i="1"/>
  <c r="CZ27" i="1" s="1"/>
  <c r="DL52" i="1"/>
  <c r="DL27" i="1" s="1"/>
  <c r="CR61" i="1"/>
  <c r="I28" i="1"/>
  <c r="U28" i="1"/>
  <c r="K52" i="1"/>
  <c r="K27" i="1" s="1"/>
  <c r="Q52" i="1"/>
  <c r="Q27" i="1" s="1"/>
  <c r="AC52" i="1"/>
  <c r="AC27" i="1" s="1"/>
  <c r="AO52" i="1"/>
  <c r="AO27" i="1" s="1"/>
  <c r="BA52" i="1"/>
  <c r="BA27" i="1" s="1"/>
  <c r="BM52" i="1"/>
  <c r="BM27" i="1" s="1"/>
  <c r="BY52" i="1"/>
  <c r="BY27" i="1" s="1"/>
  <c r="CK52" i="1"/>
  <c r="CK27" i="1" s="1"/>
  <c r="CW52" i="1"/>
  <c r="CW27" i="1" s="1"/>
  <c r="DO52" i="1"/>
  <c r="DO27" i="1" s="1"/>
  <c r="AG28" i="1"/>
  <c r="AS28" i="1"/>
  <c r="BE28" i="1"/>
  <c r="CC28" i="1"/>
  <c r="AJ53" i="1"/>
  <c r="CF53" i="1"/>
  <c r="I61" i="1"/>
  <c r="U61" i="1"/>
  <c r="AG61" i="1"/>
  <c r="AS61" i="1"/>
  <c r="BE61" i="1"/>
  <c r="BQ61" i="1"/>
  <c r="CC61" i="1"/>
  <c r="BC52" i="5"/>
  <c r="BC27" i="5" s="1"/>
  <c r="BH52" i="5"/>
  <c r="BH27" i="5" s="1"/>
  <c r="BL52" i="5"/>
  <c r="BL27" i="5" s="1"/>
  <c r="AK52" i="5"/>
  <c r="AK27" i="5" s="1"/>
  <c r="I40" i="1"/>
  <c r="U40" i="1"/>
  <c r="AG40" i="1"/>
  <c r="AS40" i="1"/>
  <c r="BE40" i="1"/>
  <c r="CC40" i="1"/>
  <c r="O53" i="1"/>
  <c r="AG53" i="1"/>
  <c r="AS53" i="1"/>
  <c r="BE53" i="1"/>
  <c r="BQ53" i="1"/>
  <c r="CC53" i="1"/>
  <c r="BW53" i="1"/>
  <c r="P52" i="5"/>
  <c r="P27" i="5" s="1"/>
  <c r="AG52" i="5"/>
  <c r="AG27" i="5" s="1"/>
  <c r="GJ27" i="1"/>
  <c r="GK27" i="1" s="1"/>
  <c r="GS6" i="1"/>
  <c r="GT6" i="1" s="1"/>
  <c r="AY40" i="1"/>
  <c r="F61" i="1"/>
  <c r="R61" i="1"/>
  <c r="AP61" i="1"/>
  <c r="BB61" i="1"/>
  <c r="BN61" i="1"/>
  <c r="BZ61" i="1"/>
  <c r="CL61" i="1"/>
  <c r="DJ53" i="1"/>
  <c r="AY28" i="1"/>
  <c r="BW28" i="1"/>
  <c r="CX40" i="1"/>
  <c r="CX52" i="1" s="1"/>
  <c r="DJ40" i="1"/>
  <c r="DJ52" i="1" s="1"/>
  <c r="BJ52" i="5"/>
  <c r="BJ27" i="5" s="1"/>
  <c r="E6" i="1"/>
  <c r="K6" i="1"/>
  <c r="AB52" i="5"/>
  <c r="AB27" i="5" s="1"/>
  <c r="BF6" i="5"/>
  <c r="BJ6" i="5"/>
  <c r="BN6" i="5"/>
  <c r="BQ6" i="5"/>
  <c r="E52" i="1"/>
  <c r="E27" i="1" s="1"/>
  <c r="W52" i="1"/>
  <c r="W27" i="1" s="1"/>
  <c r="AI52" i="1"/>
  <c r="AI27" i="1" s="1"/>
  <c r="AU52" i="1"/>
  <c r="AU27" i="1" s="1"/>
  <c r="BG52" i="1"/>
  <c r="BG27" i="1" s="1"/>
  <c r="BS52" i="1"/>
  <c r="BS27" i="1" s="1"/>
  <c r="CE52" i="1"/>
  <c r="CE27" i="1" s="1"/>
  <c r="CQ52" i="1"/>
  <c r="CQ27" i="1" s="1"/>
  <c r="DC52" i="1"/>
  <c r="DC27" i="1" s="1"/>
  <c r="DI52" i="1"/>
  <c r="DI27" i="1" s="1"/>
  <c r="AM61" i="1"/>
  <c r="CI61" i="1"/>
  <c r="CX61" i="1"/>
  <c r="DJ61" i="1"/>
  <c r="EZ27" i="1"/>
  <c r="GA27" i="1"/>
  <c r="GB27" i="1" s="1"/>
  <c r="GM27" i="1"/>
  <c r="GN27" i="1" s="1"/>
  <c r="GZ26" i="1"/>
  <c r="X53" i="1"/>
  <c r="AV53" i="1"/>
  <c r="BT53" i="1"/>
  <c r="AY61" i="1"/>
  <c r="BW61" i="1"/>
  <c r="O40" i="1"/>
  <c r="AM40" i="1"/>
  <c r="BK40" i="1"/>
  <c r="CI40" i="1"/>
  <c r="P6" i="5"/>
  <c r="AG6" i="5"/>
  <c r="AP40" i="1"/>
  <c r="BB40" i="1"/>
  <c r="BN40" i="1"/>
  <c r="BZ40" i="1"/>
  <c r="DM53" i="1"/>
  <c r="DA28" i="1"/>
  <c r="DA52" i="1" s="1"/>
  <c r="AM53" i="1"/>
  <c r="BK53" i="1"/>
  <c r="CI53" i="1"/>
  <c r="DA61" i="1"/>
  <c r="CR53" i="1"/>
  <c r="DD53" i="1"/>
  <c r="DP53" i="1"/>
  <c r="FJ52" i="1"/>
  <c r="FI27" i="1"/>
  <c r="FJ27" i="1" s="1"/>
  <c r="GD27" i="1"/>
  <c r="GE27" i="1" s="1"/>
  <c r="F53" i="1"/>
  <c r="R53" i="1"/>
  <c r="AD53" i="1"/>
  <c r="AP53" i="1"/>
  <c r="BB53" i="1"/>
  <c r="BN53" i="1"/>
  <c r="BZ53" i="1"/>
  <c r="CL53" i="1"/>
  <c r="CU53" i="1"/>
  <c r="DG53" i="1"/>
  <c r="CU28" i="1"/>
  <c r="CU52" i="1" s="1"/>
  <c r="DG28" i="1"/>
  <c r="DG52" i="1" s="1"/>
  <c r="F28" i="1"/>
  <c r="F52" i="1" s="1"/>
  <c r="R28" i="1"/>
  <c r="R52" i="1" s="1"/>
  <c r="AD28" i="1"/>
  <c r="AD52" i="1" s="1"/>
  <c r="AP28" i="1"/>
  <c r="BB28" i="1"/>
  <c r="BN28" i="1"/>
  <c r="BZ28" i="1"/>
  <c r="I53" i="1"/>
  <c r="U53" i="1"/>
  <c r="CU61" i="1"/>
  <c r="DG61" i="1"/>
  <c r="FS52" i="1"/>
  <c r="FR27" i="1"/>
  <c r="FS27" i="1" s="1"/>
  <c r="FD52" i="1"/>
  <c r="FC27" i="1"/>
  <c r="FD27" i="1" s="1"/>
  <c r="FA26" i="1"/>
  <c r="EZ6" i="1"/>
  <c r="FA6" i="1" s="1"/>
  <c r="AR52" i="5"/>
  <c r="AR27" i="5" s="1"/>
  <c r="FF27" i="1"/>
  <c r="FG27" i="1" s="1"/>
  <c r="FU27" i="1"/>
  <c r="FV27" i="1" s="1"/>
  <c r="GG27" i="1"/>
  <c r="GH27" i="1" s="1"/>
  <c r="FV26" i="1"/>
  <c r="FU6" i="1"/>
  <c r="FV6" i="1" s="1"/>
  <c r="GB26" i="1"/>
  <c r="GA6" i="1"/>
  <c r="GB6" i="1" s="1"/>
  <c r="L28" i="1"/>
  <c r="L52" i="1" s="1"/>
  <c r="AJ28" i="1"/>
  <c r="AV28" i="1"/>
  <c r="AV52" i="1" s="1"/>
  <c r="BH28" i="1"/>
  <c r="BH52" i="1" s="1"/>
  <c r="BT28" i="1"/>
  <c r="BT52" i="1" s="1"/>
  <c r="AJ52" i="1"/>
  <c r="DZ61" i="1"/>
  <c r="DY27" i="1"/>
  <c r="DZ27" i="1" s="1"/>
  <c r="EF61" i="1"/>
  <c r="EE27" i="1"/>
  <c r="EF27" i="1" s="1"/>
  <c r="EL61" i="1"/>
  <c r="EK27" i="1"/>
  <c r="EL27" i="1" s="1"/>
  <c r="FG26" i="1"/>
  <c r="FF6" i="1"/>
  <c r="FG6" i="1" s="1"/>
  <c r="GH26" i="1"/>
  <c r="GG6" i="1"/>
  <c r="GH6" i="1" s="1"/>
  <c r="GV6" i="1"/>
  <c r="GW6" i="1" s="1"/>
  <c r="GW26" i="1"/>
  <c r="FC6" i="1"/>
  <c r="FD6" i="1" s="1"/>
  <c r="FD26" i="1"/>
  <c r="FJ26" i="1"/>
  <c r="FI6" i="1"/>
  <c r="FJ6" i="1" s="1"/>
  <c r="FR6" i="1"/>
  <c r="FS6" i="1" s="1"/>
  <c r="FS26" i="1"/>
  <c r="FY26" i="1"/>
  <c r="FX6" i="1"/>
  <c r="FY6" i="1" s="1"/>
  <c r="GD6" i="1"/>
  <c r="GE6" i="1" s="1"/>
  <c r="GE26" i="1"/>
  <c r="GK26" i="1"/>
  <c r="GJ6" i="1"/>
  <c r="GK6" i="1" s="1"/>
  <c r="DZ26" i="1"/>
  <c r="DY6" i="1"/>
  <c r="DZ6" i="1" s="1"/>
  <c r="EF26" i="1"/>
  <c r="EE6" i="1"/>
  <c r="EF6" i="1" s="1"/>
  <c r="EL26" i="1"/>
  <c r="EK6" i="1"/>
  <c r="EL6" i="1" s="1"/>
  <c r="ER26" i="1"/>
  <c r="EQ6" i="1"/>
  <c r="ER6" i="1" s="1"/>
  <c r="BO7" i="1"/>
  <c r="CA7" i="1"/>
  <c r="CY7" i="1"/>
  <c r="DK7" i="1"/>
  <c r="M7" i="1"/>
  <c r="Y7" i="1"/>
  <c r="AK7" i="1"/>
  <c r="AQ7" i="1"/>
  <c r="AW7" i="1"/>
  <c r="CV7" i="1"/>
  <c r="DH7" i="1"/>
  <c r="BI7" i="1"/>
  <c r="BU7" i="1"/>
  <c r="DQ7" i="1"/>
  <c r="J7" i="1"/>
  <c r="P7" i="1"/>
  <c r="AH7" i="1"/>
  <c r="AN7" i="1"/>
  <c r="AT7" i="1"/>
  <c r="AZ7" i="1"/>
  <c r="BF7" i="1"/>
  <c r="DB7" i="1"/>
  <c r="DN7" i="1"/>
  <c r="BS69" i="5"/>
  <c r="AP69" i="5"/>
  <c r="AZ69" i="5"/>
  <c r="BW52" i="1" l="1"/>
  <c r="BW27" i="1" s="1"/>
  <c r="DM27" i="1"/>
  <c r="BK52" i="1"/>
  <c r="BK27" i="1" s="1"/>
  <c r="O52" i="1"/>
  <c r="O27" i="1" s="1"/>
  <c r="DD27" i="1"/>
  <c r="BB52" i="1"/>
  <c r="BB27" i="1" s="1"/>
  <c r="BT27" i="1"/>
  <c r="CI52" i="1"/>
  <c r="CI27" i="1" s="1"/>
  <c r="AM52" i="1"/>
  <c r="AM27" i="1" s="1"/>
  <c r="GT52" i="1"/>
  <c r="BE52" i="1"/>
  <c r="BE27" i="1" s="1"/>
  <c r="CR27" i="1"/>
  <c r="DP27" i="1"/>
  <c r="AJ27" i="1"/>
  <c r="BH27" i="1"/>
  <c r="F27" i="1"/>
  <c r="BZ52" i="1"/>
  <c r="BZ27" i="1" s="1"/>
  <c r="AG52" i="1"/>
  <c r="AG27" i="1" s="1"/>
  <c r="I52" i="1"/>
  <c r="I27" i="1" s="1"/>
  <c r="AY52" i="1"/>
  <c r="AY27" i="1" s="1"/>
  <c r="BT69" i="5"/>
  <c r="AV27" i="1"/>
  <c r="L27" i="1"/>
  <c r="DG27" i="1"/>
  <c r="BN52" i="1"/>
  <c r="BN27" i="1" s="1"/>
  <c r="AP52" i="1"/>
  <c r="AP27" i="1" s="1"/>
  <c r="R27" i="1"/>
  <c r="DJ27" i="1"/>
  <c r="CC52" i="1"/>
  <c r="CC27" i="1" s="1"/>
  <c r="AS52" i="1"/>
  <c r="AS27" i="1" s="1"/>
  <c r="U52" i="1"/>
  <c r="U27" i="1" s="1"/>
  <c r="FA27" i="1"/>
  <c r="CX27" i="1"/>
  <c r="GW52" i="1"/>
  <c r="GV27" i="1"/>
  <c r="GW27" i="1" s="1"/>
  <c r="CU27" i="1"/>
  <c r="DA27" i="1"/>
  <c r="BS69" i="10"/>
  <c r="AZ69" i="10"/>
  <c r="AP69" i="10"/>
  <c r="BT69" i="10" l="1"/>
  <c r="D28" i="14" l="1"/>
  <c r="M8" i="7" l="1"/>
  <c r="M10" i="7"/>
  <c r="M19" i="7"/>
  <c r="D53" i="32" l="1"/>
  <c r="E53" i="32"/>
  <c r="F53" i="32"/>
  <c r="G53" i="32"/>
  <c r="H53" i="32"/>
  <c r="I53" i="32"/>
  <c r="J53" i="32"/>
  <c r="K53" i="32"/>
  <c r="K49" i="32" s="1"/>
  <c r="L53" i="32"/>
  <c r="M53" i="32"/>
  <c r="N53" i="32"/>
  <c r="O53" i="32"/>
  <c r="P53" i="32"/>
  <c r="D50" i="32"/>
  <c r="E50" i="32"/>
  <c r="F50" i="32"/>
  <c r="G50" i="32"/>
  <c r="G49" i="32" s="1"/>
  <c r="H50" i="32"/>
  <c r="I50" i="32"/>
  <c r="J50" i="32"/>
  <c r="K50" i="32"/>
  <c r="L50" i="32"/>
  <c r="M50" i="32"/>
  <c r="N50" i="32"/>
  <c r="O50" i="32"/>
  <c r="P50" i="32"/>
  <c r="Q54" i="32"/>
  <c r="D49" i="32"/>
  <c r="F49" i="32"/>
  <c r="H49" i="32"/>
  <c r="I49" i="32"/>
  <c r="J49" i="32"/>
  <c r="L49" i="32"/>
  <c r="M49" i="32"/>
  <c r="N49" i="32"/>
  <c r="O49" i="32"/>
  <c r="P49" i="32"/>
  <c r="Q51" i="32"/>
  <c r="E49" i="32" l="1"/>
  <c r="AP69" i="9"/>
  <c r="L66" i="8" s="1"/>
  <c r="N66" i="8" s="1"/>
  <c r="R66" i="8" s="1"/>
  <c r="Q41" i="32" l="1"/>
  <c r="J85" i="18" l="1"/>
  <c r="E29" i="28" l="1"/>
  <c r="D29" i="28"/>
  <c r="G29" i="28"/>
  <c r="H29" i="28"/>
  <c r="F27" i="28"/>
  <c r="F30" i="28" s="1"/>
  <c r="F28" i="28"/>
  <c r="F26" i="28"/>
  <c r="F31" i="28" s="1"/>
  <c r="F19" i="28"/>
  <c r="F29" i="28" l="1"/>
  <c r="F87" i="18" l="1"/>
  <c r="G87" i="18"/>
  <c r="H87" i="18"/>
  <c r="I87" i="18"/>
  <c r="G38" i="18"/>
  <c r="J27" i="28"/>
  <c r="K27" i="28"/>
  <c r="J28" i="28"/>
  <c r="K28" i="28"/>
  <c r="K26" i="28"/>
  <c r="K31" i="28" s="1"/>
  <c r="J26" i="28"/>
  <c r="J31" i="28" s="1"/>
  <c r="I27" i="28"/>
  <c r="I30" i="28" s="1"/>
  <c r="I28" i="28"/>
  <c r="I26" i="28"/>
  <c r="I31" i="28" s="1"/>
  <c r="E23" i="28"/>
  <c r="E33" i="28" s="1"/>
  <c r="G23" i="28"/>
  <c r="G33" i="28" s="1"/>
  <c r="H23" i="28"/>
  <c r="H33" i="28" s="1"/>
  <c r="D23" i="28"/>
  <c r="D33" i="28" s="1"/>
  <c r="J7" i="28"/>
  <c r="K7" i="28"/>
  <c r="I7" i="28"/>
  <c r="F7" i="28"/>
  <c r="J12" i="28"/>
  <c r="K12" i="28"/>
  <c r="J13" i="28"/>
  <c r="K13" i="28"/>
  <c r="J14" i="28"/>
  <c r="K14" i="28"/>
  <c r="J15" i="28"/>
  <c r="K15" i="28"/>
  <c r="I12" i="28"/>
  <c r="I13" i="28"/>
  <c r="I14" i="28"/>
  <c r="I15" i="28"/>
  <c r="F12" i="28"/>
  <c r="F13" i="28"/>
  <c r="F14" i="28"/>
  <c r="F15" i="28"/>
  <c r="J30" i="28" l="1"/>
  <c r="K30" i="28"/>
  <c r="L7" i="28"/>
  <c r="I29" i="28"/>
  <c r="L26" i="28"/>
  <c r="L31" i="28" s="1"/>
  <c r="L28" i="28"/>
  <c r="L27" i="28"/>
  <c r="K29" i="28"/>
  <c r="J29" i="28"/>
  <c r="L15" i="28"/>
  <c r="L14" i="28"/>
  <c r="L13" i="28"/>
  <c r="L12" i="28"/>
  <c r="L30" i="28" l="1"/>
  <c r="L29" i="28"/>
  <c r="J69" i="18"/>
  <c r="D6" i="14" l="1"/>
  <c r="C25" i="17" l="1"/>
  <c r="AL230" i="37" s="1"/>
  <c r="B25" i="17"/>
  <c r="EN230" i="37" l="1"/>
  <c r="AL231" i="37"/>
  <c r="AL232" i="37" s="1"/>
  <c r="AL243" i="37" s="1"/>
  <c r="E15" i="35"/>
  <c r="E9" i="35"/>
  <c r="EN231" i="37" l="1"/>
  <c r="EP230" i="37"/>
  <c r="AL407" i="37"/>
  <c r="AL410" i="37"/>
  <c r="AL3" i="37"/>
  <c r="AL244" i="37" s="1"/>
  <c r="I19" i="28"/>
  <c r="K19" i="28"/>
  <c r="L19" i="28" s="1"/>
  <c r="EP231" i="37" l="1"/>
  <c r="EN232" i="37"/>
  <c r="CL16" i="1"/>
  <c r="CL12" i="1" s="1"/>
  <c r="EP232" i="37" l="1"/>
  <c r="CL23" i="1"/>
  <c r="J18" i="28"/>
  <c r="K18" i="28"/>
  <c r="F17" i="28"/>
  <c r="F18" i="28"/>
  <c r="F20" i="28"/>
  <c r="I18" i="28"/>
  <c r="L18" i="28" l="1"/>
  <c r="J37" i="18" l="1"/>
  <c r="C50" i="14" l="1"/>
  <c r="C14" i="14"/>
  <c r="C40" i="14"/>
  <c r="D57" i="14"/>
  <c r="X35" i="1" s="1"/>
  <c r="X28" i="1" s="1"/>
  <c r="X52" i="1" s="1"/>
  <c r="X27" i="1" s="1"/>
  <c r="D55" i="14" l="1"/>
  <c r="D53" i="14"/>
  <c r="D52" i="14"/>
  <c r="D51" i="14"/>
  <c r="D49" i="14"/>
  <c r="D48" i="14"/>
  <c r="D45" i="14"/>
  <c r="D42" i="14"/>
  <c r="D34" i="14"/>
  <c r="D33" i="14"/>
  <c r="D32" i="14"/>
  <c r="D31" i="14"/>
  <c r="D30" i="14"/>
  <c r="D29" i="14"/>
  <c r="D27" i="14"/>
  <c r="D26" i="14"/>
  <c r="D17" i="14"/>
  <c r="D18" i="14"/>
  <c r="D19" i="14"/>
  <c r="D15" i="14"/>
  <c r="D40" i="14" l="1"/>
  <c r="M39" i="7" l="1"/>
  <c r="M40" i="7"/>
  <c r="M42" i="7"/>
  <c r="M27" i="7"/>
  <c r="M28" i="7"/>
  <c r="M29" i="7"/>
  <c r="J45" i="18" l="1"/>
  <c r="J44" i="18"/>
  <c r="E87" i="18" l="1"/>
  <c r="J79" i="18" l="1"/>
  <c r="L60" i="7" l="1"/>
  <c r="CO70" i="1" l="1"/>
  <c r="CO68" i="1"/>
  <c r="CO66" i="1"/>
  <c r="CO64" i="1"/>
  <c r="CO63" i="1"/>
  <c r="CO60" i="1"/>
  <c r="CO59" i="1"/>
  <c r="CO57" i="1"/>
  <c r="CO55" i="1"/>
  <c r="CO50" i="1"/>
  <c r="CO49" i="1" s="1"/>
  <c r="CO48" i="1"/>
  <c r="CO47" i="1"/>
  <c r="CO46" i="1"/>
  <c r="CO42" i="1"/>
  <c r="CO39" i="1"/>
  <c r="CO37" i="1" s="1"/>
  <c r="CO36" i="1"/>
  <c r="CO35" i="1"/>
  <c r="CO31" i="1"/>
  <c r="CO30" i="1"/>
  <c r="CO25" i="1"/>
  <c r="CO23" i="1"/>
  <c r="CO17" i="1"/>
  <c r="CO15" i="1"/>
  <c r="CO11" i="1"/>
  <c r="CO9" i="1"/>
  <c r="CO8" i="1"/>
  <c r="CO67" i="1" l="1"/>
  <c r="CO54" i="1"/>
  <c r="CO58" i="1"/>
  <c r="CO62" i="1"/>
  <c r="CO61" i="1" s="1"/>
  <c r="I26" i="7"/>
  <c r="CO53" i="1" l="1"/>
  <c r="CF34" i="1" l="1"/>
  <c r="CF29" i="1" s="1"/>
  <c r="D33" i="32" l="1"/>
  <c r="GO63" i="1"/>
  <c r="J4" i="28"/>
  <c r="EV8" i="1" l="1"/>
  <c r="EV10" i="1"/>
  <c r="EV11" i="1"/>
  <c r="EV13" i="1"/>
  <c r="EV14" i="1"/>
  <c r="EV15" i="1"/>
  <c r="EV16" i="1"/>
  <c r="EV17" i="1"/>
  <c r="EV19" i="1"/>
  <c r="EV20" i="1"/>
  <c r="EV22" i="1"/>
  <c r="EV23" i="1"/>
  <c r="EV24" i="1"/>
  <c r="EV25" i="1"/>
  <c r="EV29" i="1"/>
  <c r="EV30" i="1"/>
  <c r="EV31" i="1"/>
  <c r="EV32" i="1"/>
  <c r="EV33" i="1"/>
  <c r="EV34" i="1"/>
  <c r="EV35" i="1"/>
  <c r="EV36" i="1"/>
  <c r="EV38" i="1"/>
  <c r="EV39" i="1"/>
  <c r="EV42" i="1"/>
  <c r="EV43" i="1"/>
  <c r="EV44" i="1"/>
  <c r="EV45" i="1"/>
  <c r="EV46" i="1"/>
  <c r="EV47" i="1"/>
  <c r="EV48" i="1"/>
  <c r="EV50" i="1"/>
  <c r="EV51" i="1"/>
  <c r="EV54" i="1"/>
  <c r="EV55" i="1"/>
  <c r="EV56" i="1"/>
  <c r="EV57" i="1"/>
  <c r="EV59" i="1"/>
  <c r="EV60" i="1"/>
  <c r="EV63" i="1"/>
  <c r="EV64" i="1"/>
  <c r="EV65" i="1"/>
  <c r="EV66" i="1"/>
  <c r="EV68" i="1"/>
  <c r="EV70" i="1"/>
  <c r="EV67" i="1" l="1"/>
  <c r="H65" i="14"/>
  <c r="AQ45" i="16" l="1"/>
  <c r="AQ68" i="16"/>
  <c r="AQ72"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V30" i="32"/>
  <c r="V12" i="32"/>
  <c r="V4" i="32"/>
  <c r="C15" i="35" l="1"/>
  <c r="L67" i="16" l="1"/>
  <c r="O64" i="16"/>
  <c r="N64" i="16"/>
  <c r="M64" i="16"/>
  <c r="L64" i="16"/>
  <c r="K64" i="16"/>
  <c r="K63" i="16" s="1"/>
  <c r="K59" i="16" s="1"/>
  <c r="K58" i="16" s="1"/>
  <c r="L63" i="16"/>
  <c r="L59" i="16" s="1"/>
  <c r="L58" i="16" s="1"/>
  <c r="O59" i="16"/>
  <c r="N59" i="16"/>
  <c r="N58" i="16" s="1"/>
  <c r="M59" i="16"/>
  <c r="O55" i="16"/>
  <c r="N55" i="16"/>
  <c r="M55" i="16"/>
  <c r="L55" i="16"/>
  <c r="K55" i="16"/>
  <c r="O51" i="16"/>
  <c r="N51" i="16"/>
  <c r="M51" i="16"/>
  <c r="L51" i="16"/>
  <c r="K51" i="16"/>
  <c r="L47" i="16"/>
  <c r="O46" i="16"/>
  <c r="N46" i="16"/>
  <c r="M46" i="16"/>
  <c r="L46" i="16"/>
  <c r="K46" i="16"/>
  <c r="L43" i="16"/>
  <c r="O38" i="16"/>
  <c r="O37" i="16" s="1"/>
  <c r="N38" i="16"/>
  <c r="M38" i="16"/>
  <c r="M37" i="16" s="1"/>
  <c r="L38" i="16"/>
  <c r="K38" i="16"/>
  <c r="L36" i="16"/>
  <c r="L34" i="16" s="1"/>
  <c r="O34" i="16"/>
  <c r="N34" i="16"/>
  <c r="M34" i="16"/>
  <c r="K34" i="16"/>
  <c r="L33" i="16"/>
  <c r="L32" i="16"/>
  <c r="L26" i="16"/>
  <c r="K26" i="16"/>
  <c r="L22" i="16"/>
  <c r="O18" i="16"/>
  <c r="N18" i="16"/>
  <c r="M18" i="16"/>
  <c r="K18" i="16"/>
  <c r="K15" i="16"/>
  <c r="L9" i="16"/>
  <c r="L4" i="16" s="1"/>
  <c r="K9" i="16"/>
  <c r="K4" i="16" s="1"/>
  <c r="K50" i="16" l="1"/>
  <c r="O50" i="16"/>
  <c r="M50" i="16"/>
  <c r="M58" i="16"/>
  <c r="N50" i="16"/>
  <c r="L50" i="16"/>
  <c r="M15" i="16"/>
  <c r="M74" i="16" s="1"/>
  <c r="N37" i="16"/>
  <c r="O15" i="16"/>
  <c r="O74" i="16" s="1"/>
  <c r="K25" i="16"/>
  <c r="L37" i="16"/>
  <c r="N15" i="16"/>
  <c r="L25" i="16"/>
  <c r="L73" i="16" s="1"/>
  <c r="K37" i="16"/>
  <c r="K74" i="16" s="1"/>
  <c r="O58" i="16"/>
  <c r="K23" i="16"/>
  <c r="N74" i="16" l="1"/>
  <c r="K49" i="16"/>
  <c r="K73" i="16"/>
  <c r="L49" i="16"/>
  <c r="K69" i="16"/>
  <c r="G15" i="35"/>
  <c r="F15" i="35"/>
  <c r="G9" i="35"/>
  <c r="F9" i="35"/>
  <c r="L70" i="16" l="1"/>
  <c r="L24" i="16"/>
  <c r="K70" i="16"/>
  <c r="K71" i="16" s="1"/>
  <c r="K24" i="16"/>
  <c r="C9" i="35"/>
  <c r="I64" i="7" l="1"/>
  <c r="I59" i="7"/>
  <c r="I55" i="7"/>
  <c r="I51" i="7"/>
  <c r="I46" i="7"/>
  <c r="I38" i="7"/>
  <c r="I34" i="7"/>
  <c r="I25" i="7" s="1"/>
  <c r="I18" i="7"/>
  <c r="I15" i="7" s="1"/>
  <c r="C64" i="7"/>
  <c r="I50" i="7" l="1"/>
  <c r="I58" i="7"/>
  <c r="I37" i="7"/>
  <c r="I71" i="7" s="1"/>
  <c r="I74" i="7" s="1"/>
  <c r="Y50" i="16"/>
  <c r="Y48" i="16"/>
  <c r="Y46" i="16"/>
  <c r="I49" i="7" l="1"/>
  <c r="I24" i="7" s="1"/>
  <c r="I69" i="7" s="1"/>
  <c r="J64" i="7" l="1"/>
  <c r="J59" i="7"/>
  <c r="J55" i="7"/>
  <c r="J51" i="7"/>
  <c r="J46" i="7"/>
  <c r="J38" i="7"/>
  <c r="J34" i="7"/>
  <c r="J26" i="7"/>
  <c r="J18" i="7"/>
  <c r="J15" i="7" s="1"/>
  <c r="J9" i="7"/>
  <c r="J4" i="7" s="1"/>
  <c r="G64" i="7"/>
  <c r="G59" i="7"/>
  <c r="G55" i="7"/>
  <c r="G51" i="7"/>
  <c r="G46" i="7"/>
  <c r="G38" i="7"/>
  <c r="G34" i="7"/>
  <c r="G26" i="7"/>
  <c r="G18" i="7"/>
  <c r="G15" i="7" s="1"/>
  <c r="G9" i="7"/>
  <c r="G4" i="7" s="1"/>
  <c r="D64" i="7"/>
  <c r="D59" i="7"/>
  <c r="D55" i="7"/>
  <c r="D51" i="7"/>
  <c r="D46" i="7"/>
  <c r="D38" i="7"/>
  <c r="D34" i="7"/>
  <c r="D26" i="7"/>
  <c r="D18" i="7"/>
  <c r="D15" i="7" s="1"/>
  <c r="D9" i="7"/>
  <c r="Q55" i="32"/>
  <c r="Q52" i="32"/>
  <c r="D45" i="32"/>
  <c r="N37" i="32"/>
  <c r="M37" i="32"/>
  <c r="L37" i="32"/>
  <c r="K37" i="32"/>
  <c r="J37" i="32"/>
  <c r="I37" i="32"/>
  <c r="H37" i="32"/>
  <c r="F37" i="32"/>
  <c r="E37" i="32"/>
  <c r="P37" i="32"/>
  <c r="D37" i="32"/>
  <c r="Q31" i="32"/>
  <c r="D25" i="32"/>
  <c r="D17" i="32"/>
  <c r="D14" i="32" s="1"/>
  <c r="Q9" i="32"/>
  <c r="D8" i="32"/>
  <c r="D3" i="32" s="1"/>
  <c r="AC156" i="16"/>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C82" i="16"/>
  <c r="AC81" i="16"/>
  <c r="C81" i="16"/>
  <c r="AC80" i="16"/>
  <c r="V80" i="16"/>
  <c r="U80" i="16"/>
  <c r="T80" i="16"/>
  <c r="S80" i="16"/>
  <c r="AC79" i="16"/>
  <c r="V79" i="16"/>
  <c r="R79" i="16"/>
  <c r="AC78" i="16"/>
  <c r="AC77" i="16"/>
  <c r="V77" i="16"/>
  <c r="AC76" i="16"/>
  <c r="AC75" i="16"/>
  <c r="W75" i="16"/>
  <c r="W74" i="16"/>
  <c r="U73" i="16"/>
  <c r="U79" i="16" s="1"/>
  <c r="U81" i="16" s="1"/>
  <c r="T73" i="16"/>
  <c r="S73" i="16"/>
  <c r="S79" i="16" s="1"/>
  <c r="AC72" i="16"/>
  <c r="W72" i="16"/>
  <c r="W71" i="16"/>
  <c r="W80" i="16" s="1"/>
  <c r="R71" i="16"/>
  <c r="R80" i="16" s="1"/>
  <c r="W70" i="16"/>
  <c r="AC68" i="16"/>
  <c r="H53" i="16"/>
  <c r="H51" i="16"/>
  <c r="H50" i="16" s="1"/>
  <c r="H46" i="16"/>
  <c r="AC45" i="16"/>
  <c r="H38" i="16"/>
  <c r="H33" i="16"/>
  <c r="H26" i="16"/>
  <c r="H18" i="16"/>
  <c r="H15" i="16" s="1"/>
  <c r="H9" i="16"/>
  <c r="H8" i="16"/>
  <c r="H25" i="16" l="1"/>
  <c r="V81" i="16"/>
  <c r="D37" i="7"/>
  <c r="D50" i="7"/>
  <c r="G25" i="7"/>
  <c r="G37" i="7"/>
  <c r="G50" i="7"/>
  <c r="D25" i="7"/>
  <c r="J37" i="7"/>
  <c r="J71" i="7" s="1"/>
  <c r="J74" i="7" s="1"/>
  <c r="D58" i="7"/>
  <c r="G23" i="7"/>
  <c r="G3" i="7" s="1"/>
  <c r="J25" i="7"/>
  <c r="J70" i="7" s="1"/>
  <c r="H37" i="16"/>
  <c r="S77" i="16"/>
  <c r="S81" i="16"/>
  <c r="H49" i="16"/>
  <c r="H24" i="16" s="1"/>
  <c r="R81" i="16"/>
  <c r="D22" i="32"/>
  <c r="D2" i="32" s="1"/>
  <c r="D36" i="32"/>
  <c r="O37" i="32"/>
  <c r="D24" i="32"/>
  <c r="Q43" i="32"/>
  <c r="Q28" i="32"/>
  <c r="Q29" i="32"/>
  <c r="Q50" i="32"/>
  <c r="G37" i="32"/>
  <c r="Q10" i="32"/>
  <c r="D4" i="7"/>
  <c r="D23" i="7" s="1"/>
  <c r="D3" i="7" s="1"/>
  <c r="S82" i="16"/>
  <c r="H4" i="16"/>
  <c r="H23" i="16" s="1"/>
  <c r="H3" i="16" s="1"/>
  <c r="W73" i="16"/>
  <c r="W77" i="16" s="1"/>
  <c r="J58" i="7"/>
  <c r="J50" i="7"/>
  <c r="J23" i="7"/>
  <c r="G71" i="7"/>
  <c r="G74" i="7" s="1"/>
  <c r="G58" i="7"/>
  <c r="Q27" i="32"/>
  <c r="Q44" i="32"/>
  <c r="Q42" i="32"/>
  <c r="Q47" i="32"/>
  <c r="Q53" i="32"/>
  <c r="V82" i="16"/>
  <c r="T77" i="16"/>
  <c r="R77" i="16"/>
  <c r="R82" i="16" s="1"/>
  <c r="T79" i="16"/>
  <c r="T81" i="16" s="1"/>
  <c r="U77" i="16"/>
  <c r="U82" i="16" s="1"/>
  <c r="G49" i="7" l="1"/>
  <c r="G70" i="7"/>
  <c r="G73" i="7" s="1"/>
  <c r="G75" i="7" s="1"/>
  <c r="J49" i="7"/>
  <c r="J24" i="7" s="1"/>
  <c r="J69" i="7" s="1"/>
  <c r="D49" i="7"/>
  <c r="D24" i="7" s="1"/>
  <c r="H56" i="16"/>
  <c r="W79" i="16"/>
  <c r="W81" i="16" s="1"/>
  <c r="Q37" i="32"/>
  <c r="Q49" i="32"/>
  <c r="D48" i="32"/>
  <c r="D23" i="32" s="1"/>
  <c r="D57" i="32" s="1"/>
  <c r="W82" i="16"/>
  <c r="J3" i="7"/>
  <c r="J72" i="7"/>
  <c r="J73" i="7"/>
  <c r="J75" i="7" s="1"/>
  <c r="G24" i="7"/>
  <c r="G69" i="7" s="1"/>
  <c r="T82" i="16"/>
  <c r="G72" i="7" l="1"/>
  <c r="C6" i="29"/>
  <c r="D6" i="29" s="1"/>
  <c r="E6" i="29" s="1"/>
  <c r="D23" i="17" l="1"/>
  <c r="J77" i="18" l="1"/>
  <c r="J72" i="18"/>
  <c r="J67" i="18"/>
  <c r="J54" i="18" l="1"/>
  <c r="F6" i="24" l="1"/>
  <c r="F9" i="24" s="1"/>
  <c r="D9" i="24"/>
  <c r="E9" i="24"/>
  <c r="C6" i="24"/>
  <c r="G6" i="24" s="1"/>
  <c r="B9" i="24"/>
  <c r="AE34" i="9" s="1"/>
  <c r="CL34" i="1" s="1"/>
  <c r="CL29" i="1" s="1"/>
  <c r="CL28" i="1" s="1"/>
  <c r="CL8" i="1" l="1"/>
  <c r="CL9" i="1"/>
  <c r="CM9" i="1" s="1"/>
  <c r="C9" i="24"/>
  <c r="CM8" i="1" l="1"/>
  <c r="J86" i="18" l="1"/>
  <c r="D26" i="30" l="1"/>
  <c r="D21" i="29"/>
  <c r="C21" i="29"/>
  <c r="B21" i="29"/>
  <c r="C10" i="29"/>
  <c r="D10" i="29" s="1"/>
  <c r="E10" i="29" s="1"/>
  <c r="I24" i="18"/>
  <c r="H24" i="18"/>
  <c r="E24" i="18"/>
  <c r="K11" i="28"/>
  <c r="J11" i="28"/>
  <c r="F11" i="28"/>
  <c r="I11" i="28"/>
  <c r="I9" i="28"/>
  <c r="I10" i="28"/>
  <c r="F9" i="28"/>
  <c r="F10" i="28"/>
  <c r="K9" i="28"/>
  <c r="K10" i="28"/>
  <c r="J9" i="28"/>
  <c r="L9" i="28" s="1"/>
  <c r="J10" i="28"/>
  <c r="L10" i="28" l="1"/>
  <c r="L11" i="28"/>
  <c r="C26" i="30"/>
  <c r="D27" i="30" s="1"/>
  <c r="K8" i="28" l="1"/>
  <c r="K16" i="28"/>
  <c r="J8" i="28"/>
  <c r="J16" i="28"/>
  <c r="I8" i="28"/>
  <c r="I16" i="28"/>
  <c r="F8" i="28"/>
  <c r="F16" i="28"/>
  <c r="L16" i="28" l="1"/>
  <c r="L8" i="28"/>
  <c r="AF45" i="9"/>
  <c r="CO45" i="1" s="1"/>
  <c r="CO41" i="1" s="1"/>
  <c r="CO40" i="1" s="1"/>
  <c r="CO34" i="1"/>
  <c r="CO29" i="1" s="1"/>
  <c r="CO28" i="1" s="1"/>
  <c r="K20" i="28"/>
  <c r="J20" i="28"/>
  <c r="AD10" i="9"/>
  <c r="CI10" i="1" s="1"/>
  <c r="CO52" i="1" l="1"/>
  <c r="CO27" i="1" s="1"/>
  <c r="CI7" i="1"/>
  <c r="CO16" i="1"/>
  <c r="CO12" i="1" s="1"/>
  <c r="CO10" i="1"/>
  <c r="L20" i="28"/>
  <c r="I20" i="28"/>
  <c r="CP10" i="1" l="1"/>
  <c r="CO7" i="1"/>
  <c r="CP7" i="1" s="1"/>
  <c r="CO20" i="1"/>
  <c r="CO24" i="1"/>
  <c r="CO19" i="1"/>
  <c r="H22" i="28" l="1"/>
  <c r="G22" i="28"/>
  <c r="I4" i="28"/>
  <c r="I3" i="28"/>
  <c r="F4" i="28"/>
  <c r="F3" i="28"/>
  <c r="E22" i="28"/>
  <c r="D22" i="28"/>
  <c r="E24" i="28" l="1"/>
  <c r="E34" i="28" s="1"/>
  <c r="E32" i="28"/>
  <c r="D24" i="28"/>
  <c r="D34" i="28" s="1"/>
  <c r="D32" i="28"/>
  <c r="H24" i="28"/>
  <c r="H34" i="28" s="1"/>
  <c r="H32" i="28"/>
  <c r="G24" i="28"/>
  <c r="G34" i="28" s="1"/>
  <c r="G32" i="28"/>
  <c r="D14" i="17"/>
  <c r="X46" i="9"/>
  <c r="BQ46" i="1" s="1"/>
  <c r="BQ40" i="1" s="1"/>
  <c r="J83" i="18" l="1"/>
  <c r="B16" i="17"/>
  <c r="B18" i="17" s="1"/>
  <c r="AZ68" i="5"/>
  <c r="G65" i="8" s="1"/>
  <c r="DV68" i="1"/>
  <c r="DV60" i="1"/>
  <c r="DV46" i="1"/>
  <c r="DV51" i="1"/>
  <c r="B49" i="5"/>
  <c r="K49" i="5"/>
  <c r="I41" i="9"/>
  <c r="K49" i="9"/>
  <c r="AP44" i="10"/>
  <c r="B49" i="10"/>
  <c r="J49" i="10"/>
  <c r="DV20" i="1"/>
  <c r="DV24" i="1"/>
  <c r="DV8" i="1"/>
  <c r="DV9" i="1"/>
  <c r="DV10" i="1"/>
  <c r="DV11" i="1"/>
  <c r="DV14" i="1"/>
  <c r="DV15" i="1"/>
  <c r="DV17" i="1"/>
  <c r="DV30" i="1"/>
  <c r="DV34" i="1"/>
  <c r="DV35" i="1"/>
  <c r="DV36" i="1"/>
  <c r="DV39" i="1"/>
  <c r="B37" i="5"/>
  <c r="J37" i="5"/>
  <c r="H37" i="9"/>
  <c r="K37" i="9"/>
  <c r="B37" i="10"/>
  <c r="J37" i="10"/>
  <c r="DV63" i="1"/>
  <c r="DV66" i="1"/>
  <c r="K4" i="28"/>
  <c r="L4" i="28" s="1"/>
  <c r="J3" i="28"/>
  <c r="K3" i="28"/>
  <c r="I22" i="28"/>
  <c r="I32" i="28" s="1"/>
  <c r="F22" i="28"/>
  <c r="F32" i="28" s="1"/>
  <c r="J21" i="28"/>
  <c r="K21" i="28"/>
  <c r="I21" i="28"/>
  <c r="I23" i="28" s="1"/>
  <c r="I33" i="28" s="1"/>
  <c r="F21" i="28"/>
  <c r="F23" i="28" s="1"/>
  <c r="F33" i="28" s="1"/>
  <c r="J17" i="28"/>
  <c r="K17" i="28"/>
  <c r="I17" i="28"/>
  <c r="J6" i="28"/>
  <c r="K6" i="28"/>
  <c r="I6" i="28"/>
  <c r="F6" i="28"/>
  <c r="J5" i="28"/>
  <c r="K5" i="28"/>
  <c r="I5" i="28"/>
  <c r="F5" i="28"/>
  <c r="CL24" i="1"/>
  <c r="F3" i="24"/>
  <c r="C3" i="24"/>
  <c r="G3" i="24" s="1"/>
  <c r="G4" i="24" s="1"/>
  <c r="F4" i="24"/>
  <c r="AE46" i="9"/>
  <c r="CL46" i="1" s="1"/>
  <c r="E4" i="24"/>
  <c r="E10" i="24"/>
  <c r="AE45" i="9"/>
  <c r="CL45" i="1" s="1"/>
  <c r="CL41" i="1" s="1"/>
  <c r="D4" i="24"/>
  <c r="D10" i="24" s="1"/>
  <c r="C4" i="24"/>
  <c r="C10" i="24" s="1"/>
  <c r="B4" i="24"/>
  <c r="AD19" i="9"/>
  <c r="CI19" i="1" s="1"/>
  <c r="AD23" i="9"/>
  <c r="CI23" i="1" s="1"/>
  <c r="AD24" i="9"/>
  <c r="CI24" i="1" s="1"/>
  <c r="CF9" i="1"/>
  <c r="AC41" i="9"/>
  <c r="BQ36" i="1"/>
  <c r="BQ28" i="1" s="1"/>
  <c r="BQ52" i="1" s="1"/>
  <c r="BQ27" i="1" s="1"/>
  <c r="J42" i="18"/>
  <c r="J43" i="18"/>
  <c r="J47" i="18"/>
  <c r="J48" i="18"/>
  <c r="J49" i="18"/>
  <c r="J51" i="18"/>
  <c r="J84" i="18"/>
  <c r="G88" i="18"/>
  <c r="J35" i="18"/>
  <c r="J33" i="18"/>
  <c r="J32" i="18"/>
  <c r="J30" i="18"/>
  <c r="J29" i="18"/>
  <c r="J26" i="18"/>
  <c r="J23" i="18"/>
  <c r="J4" i="18"/>
  <c r="D22" i="17"/>
  <c r="D25" i="17" s="1"/>
  <c r="H25" i="9"/>
  <c r="U25" i="1" s="1"/>
  <c r="D17" i="17"/>
  <c r="D6" i="17"/>
  <c r="D7" i="17"/>
  <c r="D8" i="17"/>
  <c r="D9" i="17"/>
  <c r="D10" i="17"/>
  <c r="D11" i="17"/>
  <c r="D12" i="17"/>
  <c r="D13" i="17"/>
  <c r="D15" i="17"/>
  <c r="C16" i="17"/>
  <c r="C18" i="17" s="1"/>
  <c r="AP14" i="5"/>
  <c r="AZ64" i="5"/>
  <c r="G61" i="8" s="1"/>
  <c r="K11" i="8"/>
  <c r="G54" i="8"/>
  <c r="P67" i="10"/>
  <c r="P62" i="10"/>
  <c r="P58" i="10"/>
  <c r="P54" i="10"/>
  <c r="P49" i="10"/>
  <c r="P41" i="10"/>
  <c r="P37" i="10"/>
  <c r="P29" i="10"/>
  <c r="P21" i="10"/>
  <c r="AS21" i="1" s="1"/>
  <c r="AS18" i="1" s="1"/>
  <c r="AS26" i="1" s="1"/>
  <c r="P12" i="10"/>
  <c r="P7" i="10" s="1"/>
  <c r="DV22" i="1"/>
  <c r="DV31" i="1"/>
  <c r="DV32" i="1"/>
  <c r="DV33" i="1"/>
  <c r="DV38" i="1"/>
  <c r="DV43" i="1"/>
  <c r="DV44" i="1"/>
  <c r="DV48" i="1"/>
  <c r="DV50" i="1"/>
  <c r="DV55" i="1"/>
  <c r="DV56" i="1"/>
  <c r="DV64" i="1"/>
  <c r="DV65" i="1"/>
  <c r="EL73" i="1"/>
  <c r="EO73" i="1"/>
  <c r="ER73" i="1"/>
  <c r="DR8" i="1"/>
  <c r="DR9" i="1"/>
  <c r="DR10" i="1"/>
  <c r="DR11" i="1"/>
  <c r="DR13" i="1"/>
  <c r="DR14" i="1"/>
  <c r="I9" i="7" s="1"/>
  <c r="I4" i="7" s="1"/>
  <c r="DR15" i="1"/>
  <c r="DR16" i="1"/>
  <c r="DR17" i="1"/>
  <c r="DR19" i="1"/>
  <c r="DR20" i="1"/>
  <c r="DR22" i="1"/>
  <c r="DR23" i="1"/>
  <c r="DR24" i="1"/>
  <c r="DR25" i="1"/>
  <c r="DR30" i="1"/>
  <c r="DR31" i="1"/>
  <c r="DR32" i="1"/>
  <c r="DR33" i="1"/>
  <c r="DR34" i="1"/>
  <c r="DR35" i="1"/>
  <c r="DR36" i="1"/>
  <c r="DR38" i="1"/>
  <c r="DR39" i="1"/>
  <c r="DR42" i="1"/>
  <c r="DR43" i="1"/>
  <c r="DR44" i="1"/>
  <c r="DR45" i="1"/>
  <c r="DR46" i="1"/>
  <c r="DR47" i="1"/>
  <c r="DR48" i="1"/>
  <c r="DR50" i="1"/>
  <c r="DR51" i="1"/>
  <c r="DR55" i="1"/>
  <c r="DR56" i="1"/>
  <c r="DR57" i="1"/>
  <c r="DR59" i="1"/>
  <c r="DR60" i="1"/>
  <c r="DR63" i="1"/>
  <c r="DR64" i="1"/>
  <c r="DR65" i="1"/>
  <c r="DR66" i="1"/>
  <c r="DR68" i="1"/>
  <c r="DR67" i="1" s="1"/>
  <c r="DR70" i="1"/>
  <c r="C13" i="1"/>
  <c r="C22" i="1"/>
  <c r="C32" i="1"/>
  <c r="C33" i="1"/>
  <c r="C38" i="1"/>
  <c r="C43" i="1"/>
  <c r="C51" i="1"/>
  <c r="C56" i="1"/>
  <c r="C65" i="1"/>
  <c r="BC73" i="1"/>
  <c r="BF73" i="1"/>
  <c r="BO73" i="1"/>
  <c r="BX73" i="1"/>
  <c r="CD73" i="1"/>
  <c r="CJ73" i="1"/>
  <c r="CM73" i="1"/>
  <c r="CP73" i="1"/>
  <c r="CS73" i="1"/>
  <c r="CV73" i="1"/>
  <c r="CY73" i="1"/>
  <c r="DB73" i="1"/>
  <c r="DH73" i="1"/>
  <c r="DN73" i="1"/>
  <c r="AN73" i="1"/>
  <c r="AH73" i="1"/>
  <c r="AE73" i="1"/>
  <c r="V73" i="1"/>
  <c r="S73" i="1"/>
  <c r="P73" i="1"/>
  <c r="J73" i="1"/>
  <c r="G73" i="1"/>
  <c r="D73" i="1"/>
  <c r="GO70" i="1"/>
  <c r="HA70" i="1" s="1"/>
  <c r="GO68" i="1"/>
  <c r="GO66" i="1"/>
  <c r="HA66" i="1" s="1"/>
  <c r="GO65" i="1"/>
  <c r="HA65" i="1" s="1"/>
  <c r="GO64" i="1"/>
  <c r="HA64" i="1" s="1"/>
  <c r="HA63" i="1"/>
  <c r="GR73" i="1"/>
  <c r="DU62" i="1"/>
  <c r="B62" i="1"/>
  <c r="B61" i="1"/>
  <c r="GO60" i="1"/>
  <c r="HA60" i="1" s="1"/>
  <c r="GO59" i="1"/>
  <c r="HA59" i="1" s="1"/>
  <c r="HD59" i="1" s="1"/>
  <c r="DU58" i="1"/>
  <c r="B58" i="1"/>
  <c r="GO57" i="1"/>
  <c r="HA57" i="1" s="1"/>
  <c r="HD57" i="1" s="1"/>
  <c r="GO56" i="1"/>
  <c r="HA56" i="1" s="1"/>
  <c r="GO55" i="1"/>
  <c r="HA55" i="1" s="1"/>
  <c r="DU54" i="1"/>
  <c r="B54" i="1"/>
  <c r="B53" i="1"/>
  <c r="GO51" i="1"/>
  <c r="HA51" i="1" s="1"/>
  <c r="GO50" i="1"/>
  <c r="HA50" i="1" s="1"/>
  <c r="DU49" i="1"/>
  <c r="B49" i="1"/>
  <c r="GO48" i="1"/>
  <c r="HA48" i="1" s="1"/>
  <c r="L45" i="7" s="1"/>
  <c r="GO47" i="1"/>
  <c r="HA47" i="1" s="1"/>
  <c r="HD47" i="1" s="1"/>
  <c r="GO46" i="1"/>
  <c r="HA46" i="1" s="1"/>
  <c r="GO45" i="1"/>
  <c r="HA45" i="1" s="1"/>
  <c r="GO44" i="1"/>
  <c r="HA44" i="1" s="1"/>
  <c r="GO43" i="1"/>
  <c r="HA43" i="1" s="1"/>
  <c r="HD43" i="1" s="1"/>
  <c r="GO42" i="1"/>
  <c r="HA42" i="1" s="1"/>
  <c r="DU41" i="1"/>
  <c r="B41" i="1"/>
  <c r="B40" i="1"/>
  <c r="GO39" i="1"/>
  <c r="HA39" i="1" s="1"/>
  <c r="HD39" i="1" s="1"/>
  <c r="GO38" i="1"/>
  <c r="HA38" i="1" s="1"/>
  <c r="DU37" i="1"/>
  <c r="B37" i="1"/>
  <c r="GO36" i="1"/>
  <c r="HA36" i="1" s="1"/>
  <c r="HD36" i="1" s="1"/>
  <c r="GO35" i="1"/>
  <c r="HA35" i="1" s="1"/>
  <c r="GO34" i="1"/>
  <c r="HA34" i="1" s="1"/>
  <c r="HD34" i="1" s="1"/>
  <c r="GO33" i="1"/>
  <c r="HA33" i="1" s="1"/>
  <c r="GO32" i="1"/>
  <c r="HA32" i="1" s="1"/>
  <c r="GO31" i="1"/>
  <c r="HA31" i="1" s="1"/>
  <c r="GO30" i="1"/>
  <c r="HA30" i="1" s="1"/>
  <c r="DU29" i="1"/>
  <c r="B29" i="1"/>
  <c r="GO25" i="1"/>
  <c r="HA25" i="1" s="1"/>
  <c r="GO24" i="1"/>
  <c r="HA24" i="1" s="1"/>
  <c r="GO23" i="1"/>
  <c r="HA23" i="1" s="1"/>
  <c r="GO22" i="1"/>
  <c r="HA22" i="1" s="1"/>
  <c r="HD22" i="1" s="1"/>
  <c r="DU21" i="1"/>
  <c r="DR21" i="1"/>
  <c r="B21" i="1"/>
  <c r="GO20" i="1"/>
  <c r="HA20" i="1" s="1"/>
  <c r="GO19" i="1"/>
  <c r="HA19" i="1" s="1"/>
  <c r="HD19" i="1" s="1"/>
  <c r="B18" i="1"/>
  <c r="GO17" i="1"/>
  <c r="HA17" i="1" s="1"/>
  <c r="GO16" i="1"/>
  <c r="HA16" i="1" s="1"/>
  <c r="HD16" i="1" s="1"/>
  <c r="GO15" i="1"/>
  <c r="HA15" i="1" s="1"/>
  <c r="GO14" i="1"/>
  <c r="HA14" i="1" s="1"/>
  <c r="HD14" i="1" s="1"/>
  <c r="GO13" i="1"/>
  <c r="HA13" i="1" s="1"/>
  <c r="GR72" i="1"/>
  <c r="FZ72" i="1"/>
  <c r="EP72" i="1"/>
  <c r="EJ72" i="1"/>
  <c r="DU12" i="1"/>
  <c r="B12" i="1"/>
  <c r="GO11" i="1"/>
  <c r="HA11" i="1" s="1"/>
  <c r="HD11" i="1" s="1"/>
  <c r="GO10" i="1"/>
  <c r="HA10" i="1" s="1"/>
  <c r="GO9" i="1"/>
  <c r="HA9" i="1" s="1"/>
  <c r="HD9" i="1" s="1"/>
  <c r="GO8" i="1"/>
  <c r="HA8" i="1" s="1"/>
  <c r="B7" i="1"/>
  <c r="B26" i="1" s="1"/>
  <c r="HD66" i="1"/>
  <c r="HD60" i="1"/>
  <c r="GO12" i="1"/>
  <c r="HA12" i="1" s="1"/>
  <c r="GO54" i="1"/>
  <c r="HA54" i="1" s="1"/>
  <c r="DU40" i="1"/>
  <c r="EP73" i="1"/>
  <c r="DU7" i="1"/>
  <c r="DU28" i="1"/>
  <c r="DU52" i="1" s="1"/>
  <c r="DR54" i="1"/>
  <c r="DU53" i="1"/>
  <c r="DU61" i="1"/>
  <c r="DR29" i="1"/>
  <c r="DR37" i="1"/>
  <c r="B28" i="1"/>
  <c r="DU18" i="1"/>
  <c r="GO29" i="1"/>
  <c r="HA29" i="1" s="1"/>
  <c r="AR73" i="9"/>
  <c r="B52" i="1"/>
  <c r="EY73" i="1"/>
  <c r="B27" i="1"/>
  <c r="B73" i="1"/>
  <c r="R23" i="15"/>
  <c r="P23" i="15"/>
  <c r="O23" i="15"/>
  <c r="N23" i="15"/>
  <c r="M23" i="15"/>
  <c r="L23" i="15"/>
  <c r="H23" i="15"/>
  <c r="E23" i="15"/>
  <c r="D23" i="15"/>
  <c r="C23" i="15"/>
  <c r="Q23" i="15"/>
  <c r="J23" i="15"/>
  <c r="C57" i="14"/>
  <c r="D54" i="14"/>
  <c r="C54" i="14"/>
  <c r="D50" i="14"/>
  <c r="D23" i="14" s="1"/>
  <c r="D25" i="14"/>
  <c r="C25" i="14"/>
  <c r="C23" i="14" s="1"/>
  <c r="D14" i="14"/>
  <c r="D7" i="14"/>
  <c r="D5" i="14"/>
  <c r="D4" i="14" s="1"/>
  <c r="C5" i="14"/>
  <c r="C4" i="14" s="1"/>
  <c r="D71" i="7"/>
  <c r="D74" i="7" s="1"/>
  <c r="D70" i="7"/>
  <c r="D73" i="7" s="1"/>
  <c r="M67" i="7"/>
  <c r="M65" i="7"/>
  <c r="M64" i="7"/>
  <c r="M63" i="7"/>
  <c r="M62" i="7"/>
  <c r="M61" i="7"/>
  <c r="M60" i="7"/>
  <c r="M59" i="7"/>
  <c r="M58" i="7"/>
  <c r="M57" i="7"/>
  <c r="M56" i="7"/>
  <c r="M55" i="7"/>
  <c r="M54" i="7"/>
  <c r="M53" i="7"/>
  <c r="L53" i="7"/>
  <c r="M52" i="7"/>
  <c r="M51" i="7"/>
  <c r="M50" i="7"/>
  <c r="M49" i="7"/>
  <c r="M48" i="7"/>
  <c r="M47" i="7"/>
  <c r="M46" i="7"/>
  <c r="M45" i="7"/>
  <c r="M44" i="7"/>
  <c r="M43" i="7"/>
  <c r="M41" i="7"/>
  <c r="L40" i="7"/>
  <c r="M38" i="7"/>
  <c r="M37" i="7"/>
  <c r="M36" i="7"/>
  <c r="M35" i="7"/>
  <c r="M34" i="7"/>
  <c r="M33" i="7"/>
  <c r="M32" i="7"/>
  <c r="M31" i="7"/>
  <c r="M30" i="7"/>
  <c r="F26" i="7"/>
  <c r="L28" i="7"/>
  <c r="M26" i="7"/>
  <c r="M25" i="7"/>
  <c r="M24" i="7"/>
  <c r="M69" i="7" s="1"/>
  <c r="M23" i="7"/>
  <c r="M22" i="7"/>
  <c r="M21" i="7"/>
  <c r="M20" i="7"/>
  <c r="L19" i="7"/>
  <c r="M18" i="7"/>
  <c r="M17" i="7"/>
  <c r="M16" i="7"/>
  <c r="M15" i="7"/>
  <c r="M14" i="7"/>
  <c r="M13" i="7"/>
  <c r="M12" i="7"/>
  <c r="M11" i="7"/>
  <c r="M9" i="7"/>
  <c r="M7" i="7"/>
  <c r="M6" i="7"/>
  <c r="M5" i="7"/>
  <c r="M4" i="7"/>
  <c r="M3" i="7"/>
  <c r="BO70" i="10"/>
  <c r="BO68" i="10"/>
  <c r="BS68" i="10" s="1"/>
  <c r="BR67" i="10"/>
  <c r="BQ67" i="10"/>
  <c r="BP67" i="10"/>
  <c r="BN67" i="10"/>
  <c r="BM67" i="10"/>
  <c r="BL67" i="10"/>
  <c r="BK67" i="10"/>
  <c r="BJ67" i="10"/>
  <c r="BI67" i="10"/>
  <c r="BH67" i="10"/>
  <c r="BG67" i="10"/>
  <c r="BF67" i="10"/>
  <c r="BD67" i="10"/>
  <c r="BC67" i="10"/>
  <c r="BB67" i="10"/>
  <c r="BA67" i="10"/>
  <c r="AO67" i="10"/>
  <c r="AN67" i="10"/>
  <c r="AM67" i="10"/>
  <c r="AL67" i="10"/>
  <c r="AK67" i="10"/>
  <c r="AJ67" i="10"/>
  <c r="AI67" i="10"/>
  <c r="AH67" i="10"/>
  <c r="AG67" i="10"/>
  <c r="AF67" i="10"/>
  <c r="AE67" i="10"/>
  <c r="AD67" i="10"/>
  <c r="AC67" i="10"/>
  <c r="AB67" i="10"/>
  <c r="AA67" i="10"/>
  <c r="Z67" i="10"/>
  <c r="Y67" i="10"/>
  <c r="X67" i="10"/>
  <c r="W67" i="10"/>
  <c r="V67" i="10"/>
  <c r="U67" i="10"/>
  <c r="T67" i="10"/>
  <c r="S67" i="10"/>
  <c r="R67" i="10"/>
  <c r="Q67" i="10"/>
  <c r="O67" i="10"/>
  <c r="N67" i="10"/>
  <c r="M67" i="10"/>
  <c r="L67" i="10"/>
  <c r="K67" i="10"/>
  <c r="I67" i="10"/>
  <c r="H67" i="10"/>
  <c r="G67" i="10"/>
  <c r="F67" i="10"/>
  <c r="E67" i="10"/>
  <c r="D67" i="10"/>
  <c r="C67" i="10"/>
  <c r="BO66" i="10"/>
  <c r="BS66" i="10" s="1"/>
  <c r="E63" i="8" s="1"/>
  <c r="BO65" i="10"/>
  <c r="BS65" i="10" s="1"/>
  <c r="AZ65" i="10"/>
  <c r="I62" i="8" s="1"/>
  <c r="AP65" i="10"/>
  <c r="M62" i="8" s="1"/>
  <c r="BO64" i="10"/>
  <c r="BS64" i="10" s="1"/>
  <c r="E61" i="8" s="1"/>
  <c r="AZ64" i="10"/>
  <c r="I61" i="8" s="1"/>
  <c r="BO63" i="10"/>
  <c r="BR62" i="10"/>
  <c r="BR61" i="10" s="1"/>
  <c r="BQ62" i="10"/>
  <c r="BQ61" i="10" s="1"/>
  <c r="BP62" i="10"/>
  <c r="BP61" i="10" s="1"/>
  <c r="BN62" i="10"/>
  <c r="BN61" i="10" s="1"/>
  <c r="BM62" i="10"/>
  <c r="BM61" i="10" s="1"/>
  <c r="BL62" i="10"/>
  <c r="BL61" i="10" s="1"/>
  <c r="BK62" i="10"/>
  <c r="BK61" i="10" s="1"/>
  <c r="BJ62" i="10"/>
  <c r="BJ61" i="10" s="1"/>
  <c r="BI62" i="10"/>
  <c r="BH62" i="10"/>
  <c r="BH61" i="10" s="1"/>
  <c r="BG62" i="10"/>
  <c r="BF62" i="10"/>
  <c r="BF61" i="10" s="1"/>
  <c r="BD62" i="10"/>
  <c r="BC62" i="10"/>
  <c r="BC61" i="10" s="1"/>
  <c r="BB62" i="10"/>
  <c r="BB61" i="10" s="1"/>
  <c r="BA62" i="10"/>
  <c r="BA61" i="10" s="1"/>
  <c r="AO62" i="10"/>
  <c r="AO61" i="10" s="1"/>
  <c r="AN62" i="10"/>
  <c r="AN61" i="10" s="1"/>
  <c r="AM62" i="10"/>
  <c r="AL62" i="10"/>
  <c r="AL61" i="10" s="1"/>
  <c r="AK62" i="10"/>
  <c r="AJ62" i="10"/>
  <c r="AJ61" i="10" s="1"/>
  <c r="AI62" i="10"/>
  <c r="AI61" i="10" s="1"/>
  <c r="AH62" i="10"/>
  <c r="AH61" i="10" s="1"/>
  <c r="AG62" i="10"/>
  <c r="AG61" i="10" s="1"/>
  <c r="AF62" i="10"/>
  <c r="AE62" i="10"/>
  <c r="AE61" i="10" s="1"/>
  <c r="AD62" i="10"/>
  <c r="AD61" i="10" s="1"/>
  <c r="AC62" i="10"/>
  <c r="AC61" i="10" s="1"/>
  <c r="AB62" i="10"/>
  <c r="AB61" i="10" s="1"/>
  <c r="AA62" i="10"/>
  <c r="AA61" i="10" s="1"/>
  <c r="Z62" i="10"/>
  <c r="Z61" i="10" s="1"/>
  <c r="Y62" i="10"/>
  <c r="Y61" i="10" s="1"/>
  <c r="X62" i="10"/>
  <c r="X61" i="10" s="1"/>
  <c r="W62" i="10"/>
  <c r="W61" i="10" s="1"/>
  <c r="V62" i="10"/>
  <c r="V61" i="10" s="1"/>
  <c r="U62" i="10"/>
  <c r="U61" i="10" s="1"/>
  <c r="T62" i="10"/>
  <c r="T61" i="10" s="1"/>
  <c r="S62" i="10"/>
  <c r="S61" i="10" s="1"/>
  <c r="R62" i="10"/>
  <c r="R61" i="10" s="1"/>
  <c r="Q62" i="10"/>
  <c r="Q61" i="10" s="1"/>
  <c r="O62" i="10"/>
  <c r="O61" i="10" s="1"/>
  <c r="N62" i="10"/>
  <c r="N61" i="10" s="1"/>
  <c r="M62" i="10"/>
  <c r="M61" i="10" s="1"/>
  <c r="L62" i="10"/>
  <c r="L61" i="10" s="1"/>
  <c r="K62" i="10"/>
  <c r="K61" i="10" s="1"/>
  <c r="I62" i="10"/>
  <c r="I61" i="10" s="1"/>
  <c r="H62" i="10"/>
  <c r="H61" i="10" s="1"/>
  <c r="G62" i="10"/>
  <c r="G61" i="10" s="1"/>
  <c r="F62" i="10"/>
  <c r="F61" i="10" s="1"/>
  <c r="E62" i="10"/>
  <c r="E61" i="10" s="1"/>
  <c r="D62" i="10"/>
  <c r="D61" i="10" s="1"/>
  <c r="C62" i="10"/>
  <c r="C61" i="10" s="1"/>
  <c r="AF61" i="10"/>
  <c r="BO60" i="10"/>
  <c r="BS60" i="10" s="1"/>
  <c r="E57" i="8" s="1"/>
  <c r="BO59" i="10"/>
  <c r="BR58" i="10"/>
  <c r="BQ58" i="10"/>
  <c r="BP58" i="10"/>
  <c r="BN58" i="10"/>
  <c r="BM58" i="10"/>
  <c r="BL58" i="10"/>
  <c r="BK58" i="10"/>
  <c r="BJ58" i="10"/>
  <c r="BI58" i="10"/>
  <c r="BH58" i="10"/>
  <c r="BG58" i="10"/>
  <c r="BF58" i="10"/>
  <c r="BD58" i="10"/>
  <c r="BC58" i="10"/>
  <c r="BB58" i="10"/>
  <c r="BA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O58" i="10"/>
  <c r="N58" i="10"/>
  <c r="M58" i="10"/>
  <c r="L58" i="10"/>
  <c r="K58" i="10"/>
  <c r="I58" i="10"/>
  <c r="H58" i="10"/>
  <c r="G58" i="10"/>
  <c r="F58" i="10"/>
  <c r="E58" i="10"/>
  <c r="D58" i="10"/>
  <c r="C58" i="10"/>
  <c r="BO57" i="10"/>
  <c r="BS57" i="10" s="1"/>
  <c r="E54" i="8" s="1"/>
  <c r="BO56" i="10"/>
  <c r="BS56" i="10" s="1"/>
  <c r="AZ56" i="10"/>
  <c r="I53" i="8" s="1"/>
  <c r="AP56" i="10"/>
  <c r="M53" i="8" s="1"/>
  <c r="BO55" i="10"/>
  <c r="AZ55" i="10"/>
  <c r="I52" i="8" s="1"/>
  <c r="BR54" i="10"/>
  <c r="BQ54" i="10"/>
  <c r="BP54" i="10"/>
  <c r="BN54" i="10"/>
  <c r="BM54" i="10"/>
  <c r="BL54" i="10"/>
  <c r="BK54" i="10"/>
  <c r="BJ54" i="10"/>
  <c r="BI54" i="10"/>
  <c r="BH54" i="10"/>
  <c r="BG54" i="10"/>
  <c r="BF54" i="10"/>
  <c r="BD54" i="10"/>
  <c r="BC54" i="10"/>
  <c r="BB54" i="10"/>
  <c r="BA54" i="10"/>
  <c r="AO54" i="10"/>
  <c r="AN54" i="10"/>
  <c r="AM54" i="10"/>
  <c r="AL54" i="10"/>
  <c r="AK54" i="10"/>
  <c r="AJ54" i="10"/>
  <c r="AI54" i="10"/>
  <c r="AH54" i="10"/>
  <c r="AG54" i="10"/>
  <c r="AF54" i="10"/>
  <c r="AE54" i="10"/>
  <c r="AD54" i="10"/>
  <c r="AC54" i="10"/>
  <c r="AB54" i="10"/>
  <c r="AA54" i="10"/>
  <c r="Z54" i="10"/>
  <c r="Y54" i="10"/>
  <c r="X54" i="10"/>
  <c r="W54" i="10"/>
  <c r="V54" i="10"/>
  <c r="U54" i="10"/>
  <c r="T54" i="10"/>
  <c r="S54" i="10"/>
  <c r="R54" i="10"/>
  <c r="Q54" i="10"/>
  <c r="O54" i="10"/>
  <c r="N54" i="10"/>
  <c r="M54" i="10"/>
  <c r="L54" i="10"/>
  <c r="K54" i="10"/>
  <c r="I54" i="10"/>
  <c r="H54" i="10"/>
  <c r="G54" i="10"/>
  <c r="F54" i="10"/>
  <c r="E54" i="10"/>
  <c r="D54" i="10"/>
  <c r="C54" i="10"/>
  <c r="BO51" i="10"/>
  <c r="AP51" i="10"/>
  <c r="M48" i="8" s="1"/>
  <c r="BO50" i="10"/>
  <c r="BS50" i="10" s="1"/>
  <c r="E47" i="8" s="1"/>
  <c r="AZ50" i="10"/>
  <c r="I47" i="8" s="1"/>
  <c r="BR49" i="10"/>
  <c r="BQ49" i="10"/>
  <c r="BP49" i="10"/>
  <c r="BN49" i="10"/>
  <c r="BM49" i="10"/>
  <c r="BL49" i="10"/>
  <c r="BK49" i="10"/>
  <c r="BJ49" i="10"/>
  <c r="BI49" i="10"/>
  <c r="BH49" i="10"/>
  <c r="BG49" i="10"/>
  <c r="BF49" i="10"/>
  <c r="BD49" i="10"/>
  <c r="BC49" i="10"/>
  <c r="BB49" i="10"/>
  <c r="BA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O49" i="10"/>
  <c r="N49" i="10"/>
  <c r="M49" i="10"/>
  <c r="L49" i="10"/>
  <c r="K49" i="10"/>
  <c r="I49" i="10"/>
  <c r="H49" i="10"/>
  <c r="G49" i="10"/>
  <c r="F49" i="10"/>
  <c r="E49" i="10"/>
  <c r="D49" i="10"/>
  <c r="C49" i="10"/>
  <c r="BO48" i="10"/>
  <c r="BS48" i="10" s="1"/>
  <c r="E45" i="8" s="1"/>
  <c r="AZ48" i="10"/>
  <c r="I45" i="8" s="1"/>
  <c r="BO47" i="10"/>
  <c r="BS47" i="10" s="1"/>
  <c r="E44" i="8" s="1"/>
  <c r="BO46" i="10"/>
  <c r="BS46" i="10" s="1"/>
  <c r="E43" i="8" s="1"/>
  <c r="BO45" i="10"/>
  <c r="BS45" i="10" s="1"/>
  <c r="E42" i="8" s="1"/>
  <c r="BO44" i="10"/>
  <c r="BS44" i="10" s="1"/>
  <c r="E41" i="8" s="1"/>
  <c r="AZ44" i="10"/>
  <c r="I41" i="8" s="1"/>
  <c r="BO43" i="10"/>
  <c r="BS43" i="10" s="1"/>
  <c r="E40" i="8" s="1"/>
  <c r="AZ43" i="10"/>
  <c r="I40" i="8" s="1"/>
  <c r="AP43" i="10"/>
  <c r="M40" i="8" s="1"/>
  <c r="BO42" i="10"/>
  <c r="BS42" i="10" s="1"/>
  <c r="E39" i="8" s="1"/>
  <c r="BR41" i="10"/>
  <c r="BR40" i="10" s="1"/>
  <c r="BQ41" i="10"/>
  <c r="BP41" i="10"/>
  <c r="BP40" i="10" s="1"/>
  <c r="BN41" i="10"/>
  <c r="BM41" i="10"/>
  <c r="BM40" i="10" s="1"/>
  <c r="BL41" i="10"/>
  <c r="BK41" i="10"/>
  <c r="BK40" i="10" s="1"/>
  <c r="BJ41" i="10"/>
  <c r="BI41" i="10"/>
  <c r="BI40" i="10" s="1"/>
  <c r="BH41" i="10"/>
  <c r="BH40" i="10" s="1"/>
  <c r="BG41" i="10"/>
  <c r="BG40" i="10" s="1"/>
  <c r="BF41" i="10"/>
  <c r="BF40" i="10" s="1"/>
  <c r="BD41" i="10"/>
  <c r="BC41" i="10"/>
  <c r="BC40" i="10" s="1"/>
  <c r="BB41" i="10"/>
  <c r="BB40" i="10" s="1"/>
  <c r="BA41" i="10"/>
  <c r="BA40" i="10" s="1"/>
  <c r="AO41" i="10"/>
  <c r="AO40" i="10" s="1"/>
  <c r="AN41" i="10"/>
  <c r="AN40" i="10" s="1"/>
  <c r="AM41" i="10"/>
  <c r="AL41" i="10"/>
  <c r="AL40" i="10" s="1"/>
  <c r="AK41" i="10"/>
  <c r="AJ41" i="10"/>
  <c r="AI41" i="10"/>
  <c r="AI40" i="10" s="1"/>
  <c r="AH41" i="10"/>
  <c r="AH40" i="10" s="1"/>
  <c r="AG41" i="10"/>
  <c r="AG40" i="10" s="1"/>
  <c r="AF41" i="10"/>
  <c r="AF40" i="10" s="1"/>
  <c r="AE41" i="10"/>
  <c r="AE40" i="10" s="1"/>
  <c r="AD41" i="10"/>
  <c r="AD40" i="10" s="1"/>
  <c r="AC41" i="10"/>
  <c r="AC40" i="10" s="1"/>
  <c r="AB41" i="10"/>
  <c r="AB40" i="10" s="1"/>
  <c r="AA41" i="10"/>
  <c r="AA40" i="10" s="1"/>
  <c r="Z41" i="10"/>
  <c r="Z40" i="10" s="1"/>
  <c r="Y41" i="10"/>
  <c r="Y40" i="10" s="1"/>
  <c r="X41" i="10"/>
  <c r="W41" i="10"/>
  <c r="V41" i="10"/>
  <c r="U41" i="10"/>
  <c r="U40" i="10" s="1"/>
  <c r="T41" i="10"/>
  <c r="S41" i="10"/>
  <c r="S40" i="10" s="1"/>
  <c r="R41" i="10"/>
  <c r="Q41" i="10"/>
  <c r="Q40" i="10" s="1"/>
  <c r="O41" i="10"/>
  <c r="O40" i="10" s="1"/>
  <c r="N41" i="10"/>
  <c r="M41" i="10"/>
  <c r="M40" i="10" s="1"/>
  <c r="L41" i="10"/>
  <c r="K41" i="10"/>
  <c r="K40" i="10" s="1"/>
  <c r="I41" i="10"/>
  <c r="I40" i="10" s="1"/>
  <c r="H41" i="10"/>
  <c r="G41" i="10"/>
  <c r="G40" i="10" s="1"/>
  <c r="F41" i="10"/>
  <c r="E41" i="10"/>
  <c r="E40" i="10" s="1"/>
  <c r="D41" i="10"/>
  <c r="C41" i="10"/>
  <c r="AJ40" i="10"/>
  <c r="BO39" i="10"/>
  <c r="BO38" i="10"/>
  <c r="BS38" i="10" s="1"/>
  <c r="AZ38" i="10"/>
  <c r="I35" i="8" s="1"/>
  <c r="AP38" i="10"/>
  <c r="M35" i="8" s="1"/>
  <c r="BR37" i="10"/>
  <c r="BQ37" i="10"/>
  <c r="BP37" i="10"/>
  <c r="BN37" i="10"/>
  <c r="BM37" i="10"/>
  <c r="BL37" i="10"/>
  <c r="BK37" i="10"/>
  <c r="BJ37" i="10"/>
  <c r="BI37" i="10"/>
  <c r="BH37" i="10"/>
  <c r="BG37" i="10"/>
  <c r="BF37" i="10"/>
  <c r="BD37" i="10"/>
  <c r="BC37" i="10"/>
  <c r="BB37" i="10"/>
  <c r="BA37" i="10"/>
  <c r="AO37" i="10"/>
  <c r="AN37" i="10"/>
  <c r="AM37" i="10"/>
  <c r="AL37" i="10"/>
  <c r="AK37" i="10"/>
  <c r="AJ37" i="10"/>
  <c r="AI37" i="10"/>
  <c r="AH37" i="10"/>
  <c r="AG37" i="10"/>
  <c r="AF37" i="10"/>
  <c r="AE37" i="10"/>
  <c r="AD37" i="10"/>
  <c r="AC37" i="10"/>
  <c r="AB37" i="10"/>
  <c r="AA37" i="10"/>
  <c r="Z37" i="10"/>
  <c r="Y37" i="10"/>
  <c r="X37" i="10"/>
  <c r="W37" i="10"/>
  <c r="V37" i="10"/>
  <c r="U37" i="10"/>
  <c r="T37" i="10"/>
  <c r="S37" i="10"/>
  <c r="R37" i="10"/>
  <c r="Q37" i="10"/>
  <c r="O37" i="10"/>
  <c r="N37" i="10"/>
  <c r="M37" i="10"/>
  <c r="L37" i="10"/>
  <c r="K37" i="10"/>
  <c r="I37" i="10"/>
  <c r="H37" i="10"/>
  <c r="G37" i="10"/>
  <c r="F37" i="10"/>
  <c r="E37" i="10"/>
  <c r="D37" i="10"/>
  <c r="C37" i="10"/>
  <c r="BO36" i="10"/>
  <c r="BS36" i="10" s="1"/>
  <c r="E33" i="8" s="1"/>
  <c r="BO35" i="10"/>
  <c r="BS35" i="10" s="1"/>
  <c r="E32" i="8" s="1"/>
  <c r="BO34" i="10"/>
  <c r="BS34" i="10" s="1"/>
  <c r="E31" i="8" s="1"/>
  <c r="BO33" i="10"/>
  <c r="BS33" i="10" s="1"/>
  <c r="E30" i="8" s="1"/>
  <c r="AZ33" i="10"/>
  <c r="I30" i="8" s="1"/>
  <c r="AP33" i="10"/>
  <c r="M30" i="8" s="1"/>
  <c r="BO32" i="10"/>
  <c r="AZ32" i="10"/>
  <c r="I29" i="8" s="1"/>
  <c r="AP32" i="10"/>
  <c r="M29" i="8" s="1"/>
  <c r="BO31" i="10"/>
  <c r="BS31" i="10" s="1"/>
  <c r="E28" i="8" s="1"/>
  <c r="AZ31" i="10"/>
  <c r="I28" i="8" s="1"/>
  <c r="BO30" i="10"/>
  <c r="BS30" i="10" s="1"/>
  <c r="BR29" i="10"/>
  <c r="BQ29" i="10"/>
  <c r="BP29" i="10"/>
  <c r="BN29" i="10"/>
  <c r="BM29" i="10"/>
  <c r="BL29" i="10"/>
  <c r="BK29" i="10"/>
  <c r="BJ29" i="10"/>
  <c r="BI29" i="10"/>
  <c r="BH29" i="10"/>
  <c r="BG29" i="10"/>
  <c r="BF29" i="10"/>
  <c r="BD29" i="10"/>
  <c r="BC29" i="10"/>
  <c r="BB29" i="10"/>
  <c r="BA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O29" i="10"/>
  <c r="N29" i="10"/>
  <c r="M29" i="10"/>
  <c r="L29" i="10"/>
  <c r="K29" i="10"/>
  <c r="I29" i="10"/>
  <c r="H29" i="10"/>
  <c r="G29" i="10"/>
  <c r="F29" i="10"/>
  <c r="E29" i="10"/>
  <c r="D29" i="10"/>
  <c r="C29" i="10"/>
  <c r="BO25" i="10"/>
  <c r="BS25" i="10" s="1"/>
  <c r="E22" i="8" s="1"/>
  <c r="BO24" i="10"/>
  <c r="BS24" i="10" s="1"/>
  <c r="E21" i="8" s="1"/>
  <c r="BO23" i="10"/>
  <c r="BS23" i="10" s="1"/>
  <c r="E20" i="8" s="1"/>
  <c r="BO22" i="10"/>
  <c r="AZ22" i="10"/>
  <c r="I19" i="8" s="1"/>
  <c r="AP22" i="10"/>
  <c r="M19" i="8" s="1"/>
  <c r="W40" i="10"/>
  <c r="BR21" i="10"/>
  <c r="BR18" i="10" s="1"/>
  <c r="BQ21" i="10"/>
  <c r="BQ18" i="10" s="1"/>
  <c r="BP21" i="10"/>
  <c r="BP18" i="10" s="1"/>
  <c r="BN21" i="10"/>
  <c r="BN18" i="10" s="1"/>
  <c r="BM21" i="10"/>
  <c r="BL21" i="10"/>
  <c r="BL18" i="10" s="1"/>
  <c r="BK21" i="10"/>
  <c r="BK18" i="10" s="1"/>
  <c r="BJ21" i="10"/>
  <c r="BJ18" i="10" s="1"/>
  <c r="BI21" i="10"/>
  <c r="BI18" i="10" s="1"/>
  <c r="BH21" i="10"/>
  <c r="BH18" i="10" s="1"/>
  <c r="BG21" i="10"/>
  <c r="BG18" i="10" s="1"/>
  <c r="BF21" i="10"/>
  <c r="BF18" i="10" s="1"/>
  <c r="BD21" i="10"/>
  <c r="BD18" i="10" s="1"/>
  <c r="BC21" i="10"/>
  <c r="BC18" i="10" s="1"/>
  <c r="BB21" i="10"/>
  <c r="BB18" i="10" s="1"/>
  <c r="BA21" i="10"/>
  <c r="BA18" i="10" s="1"/>
  <c r="AW72" i="10"/>
  <c r="AO21" i="10"/>
  <c r="DP21" i="1" s="1"/>
  <c r="DP18" i="1" s="1"/>
  <c r="DP26" i="1" s="1"/>
  <c r="AN21" i="10"/>
  <c r="DM21" i="1" s="1"/>
  <c r="DM18" i="1" s="1"/>
  <c r="DM26" i="1" s="1"/>
  <c r="AM21" i="10"/>
  <c r="DJ21" i="1" s="1"/>
  <c r="DJ18" i="1" s="1"/>
  <c r="DJ26" i="1" s="1"/>
  <c r="AL21" i="10"/>
  <c r="DG21" i="1" s="1"/>
  <c r="DG18" i="1" s="1"/>
  <c r="DG26" i="1" s="1"/>
  <c r="AK21" i="10"/>
  <c r="AJ21" i="10"/>
  <c r="DA21" i="1" s="1"/>
  <c r="DA18" i="1" s="1"/>
  <c r="DA26" i="1" s="1"/>
  <c r="AI21" i="10"/>
  <c r="AH21" i="10"/>
  <c r="CU21" i="1" s="1"/>
  <c r="CU18" i="1" s="1"/>
  <c r="CU26" i="1" s="1"/>
  <c r="AG21" i="10"/>
  <c r="CR21" i="1" s="1"/>
  <c r="CR18" i="1" s="1"/>
  <c r="CR26" i="1" s="1"/>
  <c r="AF21" i="10"/>
  <c r="AF18" i="10" s="1"/>
  <c r="AE21" i="10"/>
  <c r="AE18" i="10" s="1"/>
  <c r="AD21" i="10"/>
  <c r="AD18" i="10" s="1"/>
  <c r="AC21" i="10"/>
  <c r="AC18" i="10" s="1"/>
  <c r="AB21" i="10"/>
  <c r="CC21" i="1" s="1"/>
  <c r="CC18" i="1" s="1"/>
  <c r="CC26" i="1" s="1"/>
  <c r="AA21" i="10"/>
  <c r="Z21" i="10"/>
  <c r="BW21" i="1" s="1"/>
  <c r="BW18" i="1" s="1"/>
  <c r="BW26" i="1" s="1"/>
  <c r="Y21" i="10"/>
  <c r="X21" i="10"/>
  <c r="X18" i="10" s="1"/>
  <c r="W21" i="10"/>
  <c r="V21" i="10"/>
  <c r="BK21" i="1" s="1"/>
  <c r="BK18" i="1" s="1"/>
  <c r="BK26" i="1" s="1"/>
  <c r="U21" i="10"/>
  <c r="T21" i="10"/>
  <c r="BE21" i="1" s="1"/>
  <c r="BE18" i="1" s="1"/>
  <c r="BE26" i="1" s="1"/>
  <c r="S21" i="10"/>
  <c r="R21" i="10"/>
  <c r="AY21" i="1" s="1"/>
  <c r="AY18" i="1" s="1"/>
  <c r="AY26" i="1" s="1"/>
  <c r="Q21" i="10"/>
  <c r="O21" i="10"/>
  <c r="AP21" i="1" s="1"/>
  <c r="AP18" i="1" s="1"/>
  <c r="AP26" i="1" s="1"/>
  <c r="N21" i="10"/>
  <c r="M21" i="10"/>
  <c r="AJ21" i="1" s="1"/>
  <c r="AJ18" i="1" s="1"/>
  <c r="AJ26" i="1" s="1"/>
  <c r="L21" i="10"/>
  <c r="K21" i="10"/>
  <c r="K18" i="10" s="1"/>
  <c r="I21" i="10"/>
  <c r="I18" i="10" s="1"/>
  <c r="H21" i="10"/>
  <c r="H18" i="10" s="1"/>
  <c r="G21" i="10"/>
  <c r="G18" i="10" s="1"/>
  <c r="F21" i="10"/>
  <c r="F18" i="10" s="1"/>
  <c r="E21" i="10"/>
  <c r="E18" i="10" s="1"/>
  <c r="D21" i="10"/>
  <c r="D18" i="10" s="1"/>
  <c r="C21" i="10"/>
  <c r="C18" i="10" s="1"/>
  <c r="BO20" i="10"/>
  <c r="BS20" i="10" s="1"/>
  <c r="E17" i="8" s="1"/>
  <c r="BO19" i="10"/>
  <c r="BS19" i="10" s="1"/>
  <c r="BM18" i="10"/>
  <c r="BO17" i="10"/>
  <c r="BS17" i="10" s="1"/>
  <c r="E14" i="8" s="1"/>
  <c r="BO16" i="10"/>
  <c r="BS16" i="10" s="1"/>
  <c r="E13" i="8" s="1"/>
  <c r="BO15" i="10"/>
  <c r="BS15" i="10" s="1"/>
  <c r="E12" i="8" s="1"/>
  <c r="BO14" i="10"/>
  <c r="BS14" i="10" s="1"/>
  <c r="E11" i="8" s="1"/>
  <c r="BO13" i="10"/>
  <c r="BS13" i="10" s="1"/>
  <c r="AP13" i="10"/>
  <c r="M10" i="8" s="1"/>
  <c r="BR12" i="10"/>
  <c r="BR7" i="10" s="1"/>
  <c r="BQ12" i="10"/>
  <c r="BQ7" i="10" s="1"/>
  <c r="BP12" i="10"/>
  <c r="BP7" i="10" s="1"/>
  <c r="BN12" i="10"/>
  <c r="BN7" i="10" s="1"/>
  <c r="BM12" i="10"/>
  <c r="BM7" i="10" s="1"/>
  <c r="BL12" i="10"/>
  <c r="BL7" i="10" s="1"/>
  <c r="BK12" i="10"/>
  <c r="BK7" i="10" s="1"/>
  <c r="BJ12" i="10"/>
  <c r="BJ7" i="10" s="1"/>
  <c r="BI12" i="10"/>
  <c r="BI7" i="10" s="1"/>
  <c r="BH12" i="10"/>
  <c r="BH7" i="10" s="1"/>
  <c r="BG12" i="10"/>
  <c r="BG7" i="10" s="1"/>
  <c r="BF12" i="10"/>
  <c r="BF7" i="10" s="1"/>
  <c r="BD12" i="10"/>
  <c r="BD7" i="10" s="1"/>
  <c r="BC12" i="10"/>
  <c r="BC7" i="10" s="1"/>
  <c r="BB12" i="10"/>
  <c r="BB7" i="10" s="1"/>
  <c r="BA12" i="10"/>
  <c r="BA7" i="10" s="1"/>
  <c r="AO12" i="10"/>
  <c r="AN12" i="10"/>
  <c r="AN7" i="10" s="1"/>
  <c r="AM12" i="10"/>
  <c r="AM7" i="10" s="1"/>
  <c r="AL12" i="10"/>
  <c r="AL7" i="10" s="1"/>
  <c r="AK12" i="10"/>
  <c r="AK7" i="10" s="1"/>
  <c r="AJ12" i="10"/>
  <c r="AJ7" i="10" s="1"/>
  <c r="AI12" i="10"/>
  <c r="AI7" i="10" s="1"/>
  <c r="AH12" i="10"/>
  <c r="AH7" i="10" s="1"/>
  <c r="AG12" i="10"/>
  <c r="AG7" i="10" s="1"/>
  <c r="AF12" i="10"/>
  <c r="AF7" i="10" s="1"/>
  <c r="AE12" i="10"/>
  <c r="AE7" i="10" s="1"/>
  <c r="AD12" i="10"/>
  <c r="AD7" i="10" s="1"/>
  <c r="AC12" i="10"/>
  <c r="AC7" i="10" s="1"/>
  <c r="AB12" i="10"/>
  <c r="AB7" i="10" s="1"/>
  <c r="AA12" i="10"/>
  <c r="AA7" i="10" s="1"/>
  <c r="Z12" i="10"/>
  <c r="Z7" i="10" s="1"/>
  <c r="Y12" i="10"/>
  <c r="Y7" i="10" s="1"/>
  <c r="X12" i="10"/>
  <c r="X7" i="10" s="1"/>
  <c r="W12" i="10"/>
  <c r="W7" i="10" s="1"/>
  <c r="V12" i="10"/>
  <c r="V7" i="10" s="1"/>
  <c r="U12" i="10"/>
  <c r="U7" i="10" s="1"/>
  <c r="T12" i="10"/>
  <c r="T7" i="10" s="1"/>
  <c r="S12" i="10"/>
  <c r="S7" i="10" s="1"/>
  <c r="R12" i="10"/>
  <c r="R7" i="10" s="1"/>
  <c r="Q12" i="10"/>
  <c r="Q7" i="10" s="1"/>
  <c r="O12" i="10"/>
  <c r="O7" i="10" s="1"/>
  <c r="N12" i="10"/>
  <c r="N7" i="10" s="1"/>
  <c r="M12" i="10"/>
  <c r="M7" i="10" s="1"/>
  <c r="L12" i="10"/>
  <c r="L7" i="10" s="1"/>
  <c r="K12" i="10"/>
  <c r="K7" i="10" s="1"/>
  <c r="I12" i="10"/>
  <c r="I7" i="10" s="1"/>
  <c r="H12" i="10"/>
  <c r="H7" i="10" s="1"/>
  <c r="G12" i="10"/>
  <c r="G7" i="10" s="1"/>
  <c r="F12" i="10"/>
  <c r="F7" i="10" s="1"/>
  <c r="E12" i="10"/>
  <c r="E7" i="10" s="1"/>
  <c r="D12" i="10"/>
  <c r="D7" i="10" s="1"/>
  <c r="C12" i="10"/>
  <c r="C7" i="10" s="1"/>
  <c r="BO11" i="10"/>
  <c r="BS11" i="10" s="1"/>
  <c r="E8" i="8" s="1"/>
  <c r="BO10" i="10"/>
  <c r="BS10" i="10" s="1"/>
  <c r="E7" i="8" s="1"/>
  <c r="BO9" i="10"/>
  <c r="BS9" i="10" s="1"/>
  <c r="BO8" i="10"/>
  <c r="BS8" i="10" s="1"/>
  <c r="E5" i="8" s="1"/>
  <c r="AW73" i="10"/>
  <c r="BO70" i="9"/>
  <c r="BS70" i="9" s="1"/>
  <c r="D67" i="8" s="1"/>
  <c r="AV72" i="10"/>
  <c r="AO7" i="10"/>
  <c r="BO68" i="9"/>
  <c r="BS68" i="9" s="1"/>
  <c r="BA67" i="9"/>
  <c r="AQ67" i="9"/>
  <c r="AD67" i="9"/>
  <c r="BO66" i="9"/>
  <c r="BS66" i="9" s="1"/>
  <c r="D63" i="8" s="1"/>
  <c r="BO65" i="9"/>
  <c r="BS65" i="9" s="1"/>
  <c r="D62" i="8" s="1"/>
  <c r="AZ65" i="9"/>
  <c r="H62" i="8" s="1"/>
  <c r="AP65" i="9"/>
  <c r="L62" i="8" s="1"/>
  <c r="BO64" i="9"/>
  <c r="BS64" i="9" s="1"/>
  <c r="D61" i="8" s="1"/>
  <c r="AZ64" i="9"/>
  <c r="H61" i="8" s="1"/>
  <c r="BO63" i="9"/>
  <c r="BS63" i="9" s="1"/>
  <c r="BQ73" i="9"/>
  <c r="BN73" i="9"/>
  <c r="BL73" i="9"/>
  <c r="BG73" i="9"/>
  <c r="BF73" i="9"/>
  <c r="BB73" i="9"/>
  <c r="BA62" i="9"/>
  <c r="AQ62" i="9"/>
  <c r="AD62" i="9"/>
  <c r="I62" i="9"/>
  <c r="BO60" i="9"/>
  <c r="BS60" i="9" s="1"/>
  <c r="D57" i="8" s="1"/>
  <c r="BO59" i="9"/>
  <c r="BS59" i="9" s="1"/>
  <c r="BA58" i="9"/>
  <c r="AQ58" i="9"/>
  <c r="AD58" i="9"/>
  <c r="I58" i="9"/>
  <c r="BO57" i="9"/>
  <c r="BS57" i="9" s="1"/>
  <c r="D54" i="8" s="1"/>
  <c r="BO56" i="9"/>
  <c r="BS56" i="9" s="1"/>
  <c r="D53" i="8" s="1"/>
  <c r="AZ56" i="9"/>
  <c r="H53" i="8" s="1"/>
  <c r="AP56" i="9"/>
  <c r="L53" i="8" s="1"/>
  <c r="BO55" i="9"/>
  <c r="BS55" i="9" s="1"/>
  <c r="AZ55" i="9"/>
  <c r="H52" i="8" s="1"/>
  <c r="BA54" i="9"/>
  <c r="BA53" i="9" s="1"/>
  <c r="AQ54" i="9"/>
  <c r="AD54" i="9"/>
  <c r="AD53" i="9" s="1"/>
  <c r="I54" i="9"/>
  <c r="I53" i="9" s="1"/>
  <c r="AV73" i="10"/>
  <c r="AE67" i="9"/>
  <c r="AC58" i="9"/>
  <c r="AC67" i="9"/>
  <c r="AQ53" i="9"/>
  <c r="AE58" i="9"/>
  <c r="H67" i="9"/>
  <c r="AE54" i="9"/>
  <c r="AE53" i="9" s="1"/>
  <c r="AE62" i="9"/>
  <c r="AC62" i="9"/>
  <c r="AC54" i="9"/>
  <c r="AC53" i="9" s="1"/>
  <c r="BO51" i="9"/>
  <c r="BS51" i="9" s="1"/>
  <c r="AP51" i="9"/>
  <c r="L48" i="8" s="1"/>
  <c r="BO50" i="9"/>
  <c r="BS50" i="9" s="1"/>
  <c r="D47" i="8" s="1"/>
  <c r="AZ50" i="9"/>
  <c r="H47" i="8" s="1"/>
  <c r="BA49" i="9"/>
  <c r="AQ49" i="9"/>
  <c r="AD49" i="9"/>
  <c r="I49" i="9"/>
  <c r="BO48" i="9"/>
  <c r="BS48" i="9" s="1"/>
  <c r="D45" i="8" s="1"/>
  <c r="AZ48" i="9"/>
  <c r="H45" i="8" s="1"/>
  <c r="BO47" i="9"/>
  <c r="BS47" i="9" s="1"/>
  <c r="D44" i="8" s="1"/>
  <c r="BO46" i="9"/>
  <c r="BS46" i="9" s="1"/>
  <c r="D43" i="8" s="1"/>
  <c r="BO45" i="9"/>
  <c r="BS45" i="9" s="1"/>
  <c r="BO44" i="9"/>
  <c r="BS44" i="9" s="1"/>
  <c r="D41" i="8" s="1"/>
  <c r="AZ44" i="9"/>
  <c r="AP44" i="9"/>
  <c r="L41" i="8" s="1"/>
  <c r="BO43" i="9"/>
  <c r="BS43" i="9" s="1"/>
  <c r="D40" i="8" s="1"/>
  <c r="AZ43" i="9"/>
  <c r="H40" i="8" s="1"/>
  <c r="AP43" i="9"/>
  <c r="L40" i="8" s="1"/>
  <c r="BO42" i="9"/>
  <c r="BS42" i="9" s="1"/>
  <c r="D39" i="8" s="1"/>
  <c r="BA41" i="9"/>
  <c r="BA40" i="9" s="1"/>
  <c r="AQ41" i="9"/>
  <c r="AQ40" i="9" s="1"/>
  <c r="AD41" i="9"/>
  <c r="AD40" i="9" s="1"/>
  <c r="BO39" i="9"/>
  <c r="BS39" i="9" s="1"/>
  <c r="D36" i="8" s="1"/>
  <c r="BO38" i="9"/>
  <c r="BS38" i="9" s="1"/>
  <c r="AZ38" i="9"/>
  <c r="H35" i="8" s="1"/>
  <c r="AP38" i="9"/>
  <c r="L35" i="8" s="1"/>
  <c r="BA37" i="9"/>
  <c r="AQ37" i="9"/>
  <c r="AD37" i="9"/>
  <c r="I37" i="9"/>
  <c r="BO36" i="9"/>
  <c r="BS36" i="9" s="1"/>
  <c r="D33" i="8" s="1"/>
  <c r="BO35" i="9"/>
  <c r="BS35" i="9" s="1"/>
  <c r="D32" i="8" s="1"/>
  <c r="BO34" i="9"/>
  <c r="BS34" i="9" s="1"/>
  <c r="BO33" i="9"/>
  <c r="BS33" i="9" s="1"/>
  <c r="D30" i="8" s="1"/>
  <c r="AZ33" i="9"/>
  <c r="H30" i="8" s="1"/>
  <c r="AP33" i="9"/>
  <c r="L30" i="8" s="1"/>
  <c r="BO32" i="9"/>
  <c r="BS32" i="9" s="1"/>
  <c r="AZ32" i="9"/>
  <c r="H29" i="8" s="1"/>
  <c r="AP32" i="9"/>
  <c r="L29" i="8" s="1"/>
  <c r="BO31" i="9"/>
  <c r="BS31" i="9" s="1"/>
  <c r="D28" i="8" s="1"/>
  <c r="AZ31" i="9"/>
  <c r="H28" i="8" s="1"/>
  <c r="BO30" i="9"/>
  <c r="BS30" i="9" s="1"/>
  <c r="D27" i="8" s="1"/>
  <c r="BA29" i="9"/>
  <c r="BA28" i="9" s="1"/>
  <c r="AQ29" i="9"/>
  <c r="AQ28" i="9" s="1"/>
  <c r="AD29" i="9"/>
  <c r="I29" i="9"/>
  <c r="I28" i="9" s="1"/>
  <c r="BO25" i="9"/>
  <c r="BS25" i="9" s="1"/>
  <c r="D22" i="8" s="1"/>
  <c r="BO24" i="9"/>
  <c r="BS24" i="9" s="1"/>
  <c r="D21" i="8" s="1"/>
  <c r="L65" i="7"/>
  <c r="AC37" i="9"/>
  <c r="AE49" i="9"/>
  <c r="X37" i="9"/>
  <c r="AE37" i="9"/>
  <c r="AC49" i="9"/>
  <c r="AC61" i="9"/>
  <c r="AS73" i="9"/>
  <c r="AE29" i="9"/>
  <c r="AC29" i="9"/>
  <c r="BI73" i="9"/>
  <c r="BO23" i="9"/>
  <c r="BS23" i="9" s="1"/>
  <c r="D20" i="8" s="1"/>
  <c r="BO22" i="9"/>
  <c r="BS22" i="9" s="1"/>
  <c r="AZ22" i="9"/>
  <c r="H19" i="8" s="1"/>
  <c r="BA21" i="9"/>
  <c r="BA18" i="9" s="1"/>
  <c r="AQ21" i="9"/>
  <c r="AQ18" i="9" s="1"/>
  <c r="I21" i="9"/>
  <c r="I18" i="9" s="1"/>
  <c r="BO20" i="9"/>
  <c r="BO19" i="9"/>
  <c r="BS19" i="9" s="1"/>
  <c r="BO17" i="9"/>
  <c r="BS17" i="9" s="1"/>
  <c r="D14" i="8" s="1"/>
  <c r="BO16" i="9"/>
  <c r="BS16" i="9" s="1"/>
  <c r="D13" i="8" s="1"/>
  <c r="BO15" i="9"/>
  <c r="BS15" i="9" s="1"/>
  <c r="D12" i="8" s="1"/>
  <c r="BO14" i="9"/>
  <c r="BS14" i="9" s="1"/>
  <c r="AP14" i="9"/>
  <c r="L11" i="8" s="1"/>
  <c r="BO13" i="9"/>
  <c r="BS13" i="9" s="1"/>
  <c r="D10" i="8" s="1"/>
  <c r="AP13" i="9"/>
  <c r="L10" i="8" s="1"/>
  <c r="BA12" i="9"/>
  <c r="BA7" i="9" s="1"/>
  <c r="AQ12" i="9"/>
  <c r="AD12" i="9"/>
  <c r="I12" i="9"/>
  <c r="I7" i="9" s="1"/>
  <c r="BO11" i="9"/>
  <c r="BS11" i="9" s="1"/>
  <c r="D8" i="8" s="1"/>
  <c r="BO10" i="9"/>
  <c r="BS10" i="9" s="1"/>
  <c r="BO9" i="9"/>
  <c r="BS9" i="9" s="1"/>
  <c r="D6" i="8" s="1"/>
  <c r="BO8" i="9"/>
  <c r="BS8" i="9" s="1"/>
  <c r="D5" i="8" s="1"/>
  <c r="BN72" i="9"/>
  <c r="AQ7" i="9"/>
  <c r="AQ26" i="9" s="1"/>
  <c r="BM73" i="9"/>
  <c r="L48" i="7"/>
  <c r="BJ73" i="9"/>
  <c r="AC12" i="9"/>
  <c r="AE12" i="9"/>
  <c r="BM72" i="9"/>
  <c r="BI72" i="9"/>
  <c r="BR73" i="9"/>
  <c r="BO70" i="5"/>
  <c r="BO68" i="5"/>
  <c r="BP67" i="5"/>
  <c r="BA67" i="5"/>
  <c r="AQ67" i="5"/>
  <c r="AF67" i="5"/>
  <c r="AE67" i="5"/>
  <c r="AD67" i="5"/>
  <c r="G67" i="5"/>
  <c r="F67" i="5"/>
  <c r="E67" i="5"/>
  <c r="D67" i="5"/>
  <c r="C67" i="5"/>
  <c r="BO66" i="5"/>
  <c r="BC73" i="9"/>
  <c r="AU73" i="9"/>
  <c r="L10" i="7"/>
  <c r="BD72" i="9"/>
  <c r="AC67" i="5"/>
  <c r="BB72" i="9"/>
  <c r="BC72" i="9"/>
  <c r="BH72" i="9"/>
  <c r="BL72" i="9"/>
  <c r="X67" i="5"/>
  <c r="BO65" i="5"/>
  <c r="AZ65" i="5"/>
  <c r="G62" i="8" s="1"/>
  <c r="AP65" i="5"/>
  <c r="K62" i="8" s="1"/>
  <c r="BO64" i="5"/>
  <c r="BP62" i="5"/>
  <c r="BO63" i="5"/>
  <c r="BA62" i="5"/>
  <c r="AQ62" i="5"/>
  <c r="AF62" i="5"/>
  <c r="AE62" i="5"/>
  <c r="AD62" i="5"/>
  <c r="G62" i="5"/>
  <c r="F62" i="5"/>
  <c r="E62" i="5"/>
  <c r="D62" i="5"/>
  <c r="C62" i="5"/>
  <c r="AW73" i="9"/>
  <c r="X62" i="5"/>
  <c r="X61" i="5" s="1"/>
  <c r="H62" i="5"/>
  <c r="AS72" i="9"/>
  <c r="BF72" i="9"/>
  <c r="B62" i="5"/>
  <c r="AC62" i="5"/>
  <c r="AQ61" i="5"/>
  <c r="AF61" i="5"/>
  <c r="AE61" i="5"/>
  <c r="AD61" i="5"/>
  <c r="G61" i="5"/>
  <c r="F61" i="5"/>
  <c r="E61" i="5"/>
  <c r="D61" i="5"/>
  <c r="C61" i="5"/>
  <c r="BO60" i="5"/>
  <c r="BS60" i="5" s="1"/>
  <c r="BO59" i="5"/>
  <c r="BP58" i="5"/>
  <c r="BA58" i="5"/>
  <c r="AQ58" i="5"/>
  <c r="AF58" i="5"/>
  <c r="AE58" i="5"/>
  <c r="AD58" i="5"/>
  <c r="G58" i="5"/>
  <c r="F58" i="5"/>
  <c r="E58" i="5"/>
  <c r="D58" i="5"/>
  <c r="C58" i="5"/>
  <c r="BO57" i="5"/>
  <c r="BO56" i="5"/>
  <c r="AZ56" i="5"/>
  <c r="G53" i="8" s="1"/>
  <c r="AP56" i="5"/>
  <c r="K53" i="8" s="1"/>
  <c r="BO55" i="5"/>
  <c r="AZ55" i="5"/>
  <c r="G52" i="8" s="1"/>
  <c r="BP54" i="5"/>
  <c r="BA54" i="5"/>
  <c r="AQ54" i="5"/>
  <c r="AF54" i="5"/>
  <c r="AE54" i="5"/>
  <c r="AD54" i="5"/>
  <c r="G54" i="5"/>
  <c r="F54" i="5"/>
  <c r="E54" i="5"/>
  <c r="D54" i="5"/>
  <c r="C54" i="5"/>
  <c r="BA61" i="5"/>
  <c r="AC58" i="5"/>
  <c r="X58" i="5"/>
  <c r="BG72" i="9"/>
  <c r="AR72" i="9"/>
  <c r="AC54" i="5"/>
  <c r="X54" i="5"/>
  <c r="Z73" i="9"/>
  <c r="BO51" i="5"/>
  <c r="AP51" i="5"/>
  <c r="K48" i="8" s="1"/>
  <c r="BO50" i="5"/>
  <c r="AZ50" i="5"/>
  <c r="G47" i="8" s="1"/>
  <c r="BP49" i="5"/>
  <c r="BA49" i="5"/>
  <c r="AQ49" i="5"/>
  <c r="AF49" i="5"/>
  <c r="AE49" i="5"/>
  <c r="AD49" i="5"/>
  <c r="G49" i="5"/>
  <c r="F49" i="5"/>
  <c r="E49" i="5"/>
  <c r="D49" i="5"/>
  <c r="C49" i="5"/>
  <c r="BO48" i="5"/>
  <c r="AZ48" i="5"/>
  <c r="G45" i="8" s="1"/>
  <c r="BO47" i="5"/>
  <c r="BO46" i="5"/>
  <c r="BS46" i="5" s="1"/>
  <c r="C43" i="8" s="1"/>
  <c r="BO45" i="5"/>
  <c r="BO44" i="5"/>
  <c r="BS44" i="5" s="1"/>
  <c r="C41" i="8" s="1"/>
  <c r="AZ44" i="5"/>
  <c r="G41" i="8" s="1"/>
  <c r="AP44" i="5"/>
  <c r="K41" i="8" s="1"/>
  <c r="BO43" i="5"/>
  <c r="AZ43" i="5"/>
  <c r="G40" i="8" s="1"/>
  <c r="AP43" i="5"/>
  <c r="K40" i="8" s="1"/>
  <c r="BO42" i="5"/>
  <c r="BP41" i="5"/>
  <c r="BA41" i="5"/>
  <c r="AQ41" i="5"/>
  <c r="AF41" i="5"/>
  <c r="AE41" i="5"/>
  <c r="AD41" i="5"/>
  <c r="G41" i="5"/>
  <c r="F41" i="5"/>
  <c r="E41" i="5"/>
  <c r="D41" i="5"/>
  <c r="C41" i="5"/>
  <c r="AU72" i="9"/>
  <c r="AU74" i="9" s="1"/>
  <c r="B41" i="5"/>
  <c r="X41" i="5"/>
  <c r="H49" i="5"/>
  <c r="AC49" i="5"/>
  <c r="X49" i="5"/>
  <c r="AW72" i="9"/>
  <c r="BJ72" i="9"/>
  <c r="K41" i="5"/>
  <c r="W73" i="9"/>
  <c r="BO39" i="5"/>
  <c r="BO38" i="5"/>
  <c r="AZ38" i="5"/>
  <c r="G35" i="8" s="1"/>
  <c r="AP38" i="5"/>
  <c r="K35" i="8" s="1"/>
  <c r="BP37" i="5"/>
  <c r="BA37" i="5"/>
  <c r="AQ37" i="5"/>
  <c r="AF37" i="5"/>
  <c r="AE37" i="5"/>
  <c r="AD37" i="5"/>
  <c r="G37" i="5"/>
  <c r="F37" i="5"/>
  <c r="E37" i="5"/>
  <c r="D37" i="5"/>
  <c r="C37" i="5"/>
  <c r="BO36" i="5"/>
  <c r="BO35" i="5"/>
  <c r="BS35" i="5" s="1"/>
  <c r="C32" i="8" s="1"/>
  <c r="BO34" i="5"/>
  <c r="BO33" i="5"/>
  <c r="AZ33" i="5"/>
  <c r="G30" i="8" s="1"/>
  <c r="AP33" i="5"/>
  <c r="K30" i="8" s="1"/>
  <c r="BO32" i="5"/>
  <c r="AZ32" i="5"/>
  <c r="G29" i="8" s="1"/>
  <c r="AP32" i="5"/>
  <c r="K29" i="8" s="1"/>
  <c r="BO31" i="5"/>
  <c r="AZ31" i="5"/>
  <c r="G28" i="8" s="1"/>
  <c r="BO30" i="5"/>
  <c r="BP29" i="5"/>
  <c r="BN73" i="5"/>
  <c r="BL73" i="5"/>
  <c r="BJ73" i="5"/>
  <c r="BG73" i="5"/>
  <c r="BC73" i="5"/>
  <c r="BA29" i="5"/>
  <c r="BA28" i="5" s="1"/>
  <c r="AQ29" i="5"/>
  <c r="AF29" i="5"/>
  <c r="AF28" i="5" s="1"/>
  <c r="AE29" i="5"/>
  <c r="AE28" i="5" s="1"/>
  <c r="AD29" i="5"/>
  <c r="AD28" i="5" s="1"/>
  <c r="G29" i="5"/>
  <c r="G28" i="5" s="1"/>
  <c r="F29" i="5"/>
  <c r="F28" i="5" s="1"/>
  <c r="E29" i="5"/>
  <c r="E28" i="5" s="1"/>
  <c r="D29" i="5"/>
  <c r="D28" i="5" s="1"/>
  <c r="C29" i="5"/>
  <c r="C28" i="5" s="1"/>
  <c r="BR73" i="5"/>
  <c r="BK73" i="5"/>
  <c r="BI73" i="5"/>
  <c r="AQ28" i="5"/>
  <c r="X29" i="5"/>
  <c r="X37" i="5"/>
  <c r="AC37" i="5"/>
  <c r="AG73" i="9"/>
  <c r="AB73" i="9"/>
  <c r="K37" i="5"/>
  <c r="T73" i="9"/>
  <c r="BO25" i="5"/>
  <c r="BO24" i="5"/>
  <c r="BO23" i="5"/>
  <c r="BS23" i="5" s="1"/>
  <c r="C20" i="8" s="1"/>
  <c r="BO22" i="5"/>
  <c r="BS22" i="5" s="1"/>
  <c r="C19" i="8" s="1"/>
  <c r="AZ22" i="5"/>
  <c r="G19" i="8" s="1"/>
  <c r="AP22" i="5"/>
  <c r="K19" i="8" s="1"/>
  <c r="BP21" i="5"/>
  <c r="BP18" i="5" s="1"/>
  <c r="BK72" i="5"/>
  <c r="BA21" i="5"/>
  <c r="BA18" i="5" s="1"/>
  <c r="AQ21" i="5"/>
  <c r="AQ18" i="5" s="1"/>
  <c r="AF21" i="5"/>
  <c r="AF18" i="5" s="1"/>
  <c r="AE21" i="5"/>
  <c r="AE18" i="5" s="1"/>
  <c r="AD21" i="5"/>
  <c r="AD18" i="5" s="1"/>
  <c r="F21" i="5"/>
  <c r="E21" i="5"/>
  <c r="D21" i="5"/>
  <c r="C21" i="5"/>
  <c r="BO20" i="5"/>
  <c r="BO19" i="5"/>
  <c r="L33" i="7"/>
  <c r="BW73" i="1"/>
  <c r="AS73" i="5"/>
  <c r="CC73" i="1"/>
  <c r="AH73" i="5"/>
  <c r="G21" i="5"/>
  <c r="BO17" i="5"/>
  <c r="BO16" i="5"/>
  <c r="BO15" i="5"/>
  <c r="BO14" i="5"/>
  <c r="BO13" i="5"/>
  <c r="BP12" i="5"/>
  <c r="BP7" i="5" s="1"/>
  <c r="BA12" i="5"/>
  <c r="BA7" i="5" s="1"/>
  <c r="AQ12" i="5"/>
  <c r="AQ7" i="5" s="1"/>
  <c r="AF12" i="5"/>
  <c r="AF7" i="5" s="1"/>
  <c r="AE12" i="5"/>
  <c r="AE7" i="5" s="1"/>
  <c r="AD12" i="5"/>
  <c r="AD7" i="5" s="1"/>
  <c r="F12" i="5"/>
  <c r="F7" i="5" s="1"/>
  <c r="E12" i="5"/>
  <c r="E7" i="5" s="1"/>
  <c r="D12" i="5"/>
  <c r="D7" i="5" s="1"/>
  <c r="C12" i="5"/>
  <c r="C7" i="5" s="1"/>
  <c r="BO11" i="5"/>
  <c r="BO10" i="5"/>
  <c r="CR73" i="1"/>
  <c r="AG73" i="5"/>
  <c r="P73" i="5"/>
  <c r="S73" i="5"/>
  <c r="AR73" i="5"/>
  <c r="AK73" i="5"/>
  <c r="V73" i="5"/>
  <c r="G18" i="5"/>
  <c r="AB73" i="5"/>
  <c r="Z73" i="5"/>
  <c r="AC12" i="5"/>
  <c r="X12" i="5"/>
  <c r="BO9" i="5"/>
  <c r="BO8" i="5"/>
  <c r="BL72" i="5"/>
  <c r="BH72" i="5"/>
  <c r="AT73" i="1"/>
  <c r="AO73" i="5"/>
  <c r="AK72" i="5"/>
  <c r="AH72" i="5"/>
  <c r="BC72" i="5"/>
  <c r="AB72" i="5"/>
  <c r="Z72" i="5"/>
  <c r="AG72" i="5"/>
  <c r="L5" i="7"/>
  <c r="AN73" i="5"/>
  <c r="BB72" i="5"/>
  <c r="V72" i="5"/>
  <c r="AG72" i="9"/>
  <c r="AS72" i="5"/>
  <c r="S72" i="5"/>
  <c r="AN72" i="5"/>
  <c r="AR72" i="5"/>
  <c r="P72" i="5"/>
  <c r="AB72" i="9"/>
  <c r="Z72" i="9"/>
  <c r="T72" i="9"/>
  <c r="BQ72" i="9"/>
  <c r="BR72" i="9"/>
  <c r="L7" i="7"/>
  <c r="DV19" i="1"/>
  <c r="L16" i="7"/>
  <c r="DV16" i="1"/>
  <c r="DV59" i="1"/>
  <c r="DV70" i="1"/>
  <c r="DV23" i="1"/>
  <c r="DV45" i="1"/>
  <c r="DV47" i="1"/>
  <c r="DV25" i="1"/>
  <c r="AZ63" i="9"/>
  <c r="H60" i="8" s="1"/>
  <c r="L12" i="7"/>
  <c r="L36" i="7"/>
  <c r="L56" i="7"/>
  <c r="L31" i="7"/>
  <c r="L44" i="7"/>
  <c r="L11" i="7"/>
  <c r="AY73" i="10"/>
  <c r="F64" i="7"/>
  <c r="L6" i="7"/>
  <c r="AY72" i="10"/>
  <c r="S23" i="15" l="1"/>
  <c r="G17" i="9"/>
  <c r="G12" i="9" s="1"/>
  <c r="G7" i="9" s="1"/>
  <c r="AH138" i="37"/>
  <c r="G17" i="5"/>
  <c r="G12" i="5" s="1"/>
  <c r="G7" i="5" s="1"/>
  <c r="G26" i="5" s="1"/>
  <c r="AG138" i="37"/>
  <c r="D3" i="14"/>
  <c r="K23" i="28"/>
  <c r="AO18" i="10"/>
  <c r="AM53" i="10"/>
  <c r="BK53" i="10"/>
  <c r="AF26" i="10"/>
  <c r="O18" i="10"/>
  <c r="O26" i="10" s="1"/>
  <c r="AN28" i="10"/>
  <c r="AN52" i="10" s="1"/>
  <c r="AN27" i="10" s="1"/>
  <c r="AN73" i="10" s="1"/>
  <c r="AK61" i="10"/>
  <c r="AD53" i="10"/>
  <c r="AM61" i="10"/>
  <c r="AM18" i="10"/>
  <c r="AM26" i="10" s="1"/>
  <c r="AM6" i="10" s="1"/>
  <c r="AM72" i="10" s="1"/>
  <c r="BD61" i="10"/>
  <c r="AH18" i="10"/>
  <c r="AH26" i="10" s="1"/>
  <c r="S28" i="10"/>
  <c r="S52" i="10" s="1"/>
  <c r="S27" i="10" s="1"/>
  <c r="S73" i="10" s="1"/>
  <c r="AO28" i="10"/>
  <c r="AO52" i="10" s="1"/>
  <c r="AO27" i="10" s="1"/>
  <c r="AO73" i="10" s="1"/>
  <c r="AL28" i="10"/>
  <c r="AL52" i="10" s="1"/>
  <c r="AL27" i="10" s="1"/>
  <c r="AL73" i="10" s="1"/>
  <c r="BA28" i="10"/>
  <c r="BA52" i="10" s="1"/>
  <c r="BA27" i="10" s="1"/>
  <c r="H53" i="10"/>
  <c r="BI53" i="10"/>
  <c r="AN18" i="10"/>
  <c r="AN26" i="10" s="1"/>
  <c r="AB18" i="10"/>
  <c r="AB26" i="10" s="1"/>
  <c r="AL18" i="10"/>
  <c r="AL26" i="10" s="1"/>
  <c r="F28" i="10"/>
  <c r="BJ28" i="10"/>
  <c r="BL28" i="10"/>
  <c r="BN28" i="10"/>
  <c r="L53" i="10"/>
  <c r="N53" i="10"/>
  <c r="Q53" i="10"/>
  <c r="S53" i="10"/>
  <c r="U53" i="10"/>
  <c r="Y53" i="10"/>
  <c r="AA53" i="10"/>
  <c r="AC53" i="10"/>
  <c r="AE53" i="10"/>
  <c r="AG53" i="10"/>
  <c r="AI53" i="10"/>
  <c r="AK53" i="10"/>
  <c r="AO53" i="10"/>
  <c r="BB53" i="10"/>
  <c r="BD53" i="10"/>
  <c r="BG53" i="10"/>
  <c r="BM53" i="10"/>
  <c r="BP53" i="10"/>
  <c r="BR26" i="10"/>
  <c r="D26" i="10"/>
  <c r="E28" i="10"/>
  <c r="E52" i="10" s="1"/>
  <c r="E27" i="10" s="1"/>
  <c r="E73" i="10" s="1"/>
  <c r="U28" i="10"/>
  <c r="U52" i="10" s="1"/>
  <c r="U27" i="10" s="1"/>
  <c r="U73" i="10" s="1"/>
  <c r="AL53" i="10"/>
  <c r="AN53" i="10"/>
  <c r="F26" i="10"/>
  <c r="I21" i="1"/>
  <c r="I18" i="1" s="1"/>
  <c r="I26" i="1" s="1"/>
  <c r="J26" i="1" s="1"/>
  <c r="O21" i="1"/>
  <c r="O18" i="1" s="1"/>
  <c r="O26" i="1" s="1"/>
  <c r="P26" i="1" s="1"/>
  <c r="BO12" i="10"/>
  <c r="BO7" i="10" s="1"/>
  <c r="BP26" i="10"/>
  <c r="AJ18" i="10"/>
  <c r="AJ26" i="10" s="1"/>
  <c r="C28" i="10"/>
  <c r="G28" i="10"/>
  <c r="G52" i="10" s="1"/>
  <c r="G27" i="10" s="1"/>
  <c r="G73" i="10" s="1"/>
  <c r="I28" i="10"/>
  <c r="I52" i="10" s="1"/>
  <c r="I27" i="10" s="1"/>
  <c r="I73" i="10" s="1"/>
  <c r="L28" i="10"/>
  <c r="N28" i="10"/>
  <c r="Q28" i="10"/>
  <c r="Q52" i="10" s="1"/>
  <c r="Q27" i="10" s="1"/>
  <c r="Q73" i="10" s="1"/>
  <c r="W28" i="10"/>
  <c r="W52" i="10" s="1"/>
  <c r="W27" i="10" s="1"/>
  <c r="W73" i="10" s="1"/>
  <c r="Y28" i="10"/>
  <c r="Y52" i="10" s="1"/>
  <c r="Y27" i="10" s="1"/>
  <c r="Y73" i="10" s="1"/>
  <c r="AA28" i="10"/>
  <c r="AA52" i="10" s="1"/>
  <c r="AA27" i="10" s="1"/>
  <c r="AA73" i="10" s="1"/>
  <c r="AC28" i="10"/>
  <c r="AC52" i="10" s="1"/>
  <c r="AC27" i="10" s="1"/>
  <c r="AC73" i="10" s="1"/>
  <c r="AE28" i="10"/>
  <c r="AE52" i="10" s="1"/>
  <c r="AE27" i="10" s="1"/>
  <c r="AE73" i="10" s="1"/>
  <c r="AG28" i="10"/>
  <c r="AG52" i="10" s="1"/>
  <c r="AG27" i="10" s="1"/>
  <c r="AG73" i="10" s="1"/>
  <c r="AI28" i="10"/>
  <c r="AI52" i="10" s="1"/>
  <c r="AI27" i="10" s="1"/>
  <c r="AI73" i="10" s="1"/>
  <c r="AK28" i="10"/>
  <c r="AM28" i="10"/>
  <c r="BB28" i="10"/>
  <c r="BB52" i="10" s="1"/>
  <c r="BB27" i="10" s="1"/>
  <c r="BD28" i="10"/>
  <c r="BG28" i="10"/>
  <c r="BG52" i="10" s="1"/>
  <c r="BI28" i="10"/>
  <c r="BI52" i="10" s="1"/>
  <c r="BK28" i="10"/>
  <c r="BK52" i="10" s="1"/>
  <c r="BK27" i="10" s="1"/>
  <c r="BM28" i="10"/>
  <c r="BM52" i="10" s="1"/>
  <c r="BM27" i="10" s="1"/>
  <c r="BP28" i="10"/>
  <c r="BP52" i="10" s="1"/>
  <c r="BP27" i="10" s="1"/>
  <c r="BR28" i="10"/>
  <c r="BR52" i="10" s="1"/>
  <c r="BR27" i="10" s="1"/>
  <c r="AJ53" i="10"/>
  <c r="BA53" i="10"/>
  <c r="BC53" i="10"/>
  <c r="BF53" i="10"/>
  <c r="BH53" i="10"/>
  <c r="BJ53" i="10"/>
  <c r="BL53" i="10"/>
  <c r="BN53" i="10"/>
  <c r="I26" i="10"/>
  <c r="X26" i="10"/>
  <c r="V28" i="10"/>
  <c r="X28" i="10"/>
  <c r="BC28" i="10"/>
  <c r="BC52" i="10" s="1"/>
  <c r="BC27" i="10" s="1"/>
  <c r="BF28" i="10"/>
  <c r="BF52" i="10" s="1"/>
  <c r="BF27" i="10" s="1"/>
  <c r="BH28" i="10"/>
  <c r="BH52" i="10" s="1"/>
  <c r="BH27" i="10" s="1"/>
  <c r="BQ28" i="10"/>
  <c r="M53" i="10"/>
  <c r="O53" i="10"/>
  <c r="T53" i="10"/>
  <c r="Z53" i="10"/>
  <c r="AF53" i="10"/>
  <c r="AH53" i="10"/>
  <c r="BQ53" i="10"/>
  <c r="Q30" i="8"/>
  <c r="BB26" i="10"/>
  <c r="C26" i="10"/>
  <c r="P40" i="10"/>
  <c r="P53" i="10"/>
  <c r="P61" i="10"/>
  <c r="AE26" i="10"/>
  <c r="CX21" i="1"/>
  <c r="CX18" i="1" s="1"/>
  <c r="CX26" i="1" s="1"/>
  <c r="CX6" i="1" s="1"/>
  <c r="CY6" i="1" s="1"/>
  <c r="AI18" i="10"/>
  <c r="AI26" i="10" s="1"/>
  <c r="DD21" i="1"/>
  <c r="DD18" i="1" s="1"/>
  <c r="DD26" i="1" s="1"/>
  <c r="DD6" i="1" s="1"/>
  <c r="DE6" i="1" s="1"/>
  <c r="AK18" i="10"/>
  <c r="AK26" i="10" s="1"/>
  <c r="BS55" i="10"/>
  <c r="E52" i="8" s="1"/>
  <c r="BO54" i="10"/>
  <c r="BS59" i="10"/>
  <c r="E56" i="8" s="1"/>
  <c r="BO58" i="10"/>
  <c r="BO53" i="10" s="1"/>
  <c r="F21" i="1"/>
  <c r="F18" i="1" s="1"/>
  <c r="F26" i="1" s="1"/>
  <c r="L21" i="1"/>
  <c r="L18" i="1" s="1"/>
  <c r="L26" i="1" s="1"/>
  <c r="M26" i="1" s="1"/>
  <c r="BF26" i="10"/>
  <c r="BH26" i="10"/>
  <c r="AG18" i="10"/>
  <c r="AG26" i="10" s="1"/>
  <c r="BS32" i="10"/>
  <c r="E29" i="8" s="1"/>
  <c r="Q29" i="8" s="1"/>
  <c r="BO29" i="10"/>
  <c r="BS70" i="10"/>
  <c r="E67" i="8" s="1"/>
  <c r="BO67" i="10"/>
  <c r="E26" i="10"/>
  <c r="AC26" i="10"/>
  <c r="BM26" i="10"/>
  <c r="BS12" i="10"/>
  <c r="E9" i="8" s="1"/>
  <c r="R28" i="10"/>
  <c r="AJ28" i="10"/>
  <c r="AJ52" i="10" s="1"/>
  <c r="AJ27" i="10" s="1"/>
  <c r="AJ73" i="10" s="1"/>
  <c r="D40" i="10"/>
  <c r="F40" i="10"/>
  <c r="H40" i="10"/>
  <c r="D53" i="10"/>
  <c r="F53" i="10"/>
  <c r="K53" i="10"/>
  <c r="R53" i="10"/>
  <c r="V53" i="10"/>
  <c r="X53" i="10"/>
  <c r="AB53" i="10"/>
  <c r="BN26" i="10"/>
  <c r="BQ26" i="10"/>
  <c r="BQ6" i="10" s="1"/>
  <c r="V18" i="10"/>
  <c r="V26" i="10" s="1"/>
  <c r="BT65" i="10"/>
  <c r="E62" i="8"/>
  <c r="Q62" i="8" s="1"/>
  <c r="AY74" i="10"/>
  <c r="BG26" i="10"/>
  <c r="BN40" i="10"/>
  <c r="AT26" i="1"/>
  <c r="AS6" i="1"/>
  <c r="AT6" i="1" s="1"/>
  <c r="AT72" i="1" s="1"/>
  <c r="AT74" i="1" s="1"/>
  <c r="C53" i="10"/>
  <c r="E53" i="10"/>
  <c r="G53" i="10"/>
  <c r="I53" i="10"/>
  <c r="W53" i="10"/>
  <c r="BI61" i="10"/>
  <c r="P18" i="10"/>
  <c r="P26" i="10" s="1"/>
  <c r="P28" i="10"/>
  <c r="HB24" i="1"/>
  <c r="E21" i="7" s="1"/>
  <c r="HB30" i="1"/>
  <c r="E27" i="7" s="1"/>
  <c r="HB31" i="1"/>
  <c r="E28" i="7" s="1"/>
  <c r="HB47" i="1"/>
  <c r="E44" i="7" s="1"/>
  <c r="HB48" i="1"/>
  <c r="E45" i="7" s="1"/>
  <c r="Z74" i="9"/>
  <c r="FP9" i="1"/>
  <c r="HB13" i="1"/>
  <c r="E10" i="7" s="1"/>
  <c r="HB34" i="1"/>
  <c r="HB36" i="1"/>
  <c r="HB42" i="1"/>
  <c r="E39" i="7" s="1"/>
  <c r="HB59" i="1"/>
  <c r="E56" i="7" s="1"/>
  <c r="AQ6" i="9"/>
  <c r="AQ72" i="9" s="1"/>
  <c r="AE28" i="9"/>
  <c r="AQ52" i="9"/>
  <c r="AE61" i="9"/>
  <c r="T74" i="9"/>
  <c r="AB74" i="9"/>
  <c r="HB14" i="1"/>
  <c r="E11" i="7" s="1"/>
  <c r="HB16" i="1"/>
  <c r="E13" i="7" s="1"/>
  <c r="HB38" i="1"/>
  <c r="E35" i="7" s="1"/>
  <c r="HB51" i="1"/>
  <c r="E48" i="7" s="1"/>
  <c r="AR74" i="9"/>
  <c r="BA52" i="9"/>
  <c r="BA61" i="9"/>
  <c r="GQ63" i="1"/>
  <c r="HB64" i="1"/>
  <c r="E61" i="7" s="1"/>
  <c r="BO54" i="9"/>
  <c r="AD61" i="9"/>
  <c r="AQ61" i="9"/>
  <c r="AQ27" i="9" s="1"/>
  <c r="AQ73" i="9" s="1"/>
  <c r="FP10" i="1"/>
  <c r="AW74" i="9"/>
  <c r="HB55" i="1"/>
  <c r="E52" i="7" s="1"/>
  <c r="AS74" i="9"/>
  <c r="BO58" i="9"/>
  <c r="I26" i="9"/>
  <c r="I6" i="9" s="1"/>
  <c r="I72" i="9" s="1"/>
  <c r="AG74" i="9"/>
  <c r="I40" i="9"/>
  <c r="AR74" i="5"/>
  <c r="Z74" i="5"/>
  <c r="AS74" i="5"/>
  <c r="AB74" i="5"/>
  <c r="AK74" i="5"/>
  <c r="BS31" i="5"/>
  <c r="C28" i="8" s="1"/>
  <c r="F28" i="8" s="1"/>
  <c r="AF53" i="5"/>
  <c r="AC61" i="5"/>
  <c r="BS64" i="5"/>
  <c r="C61" i="8" s="1"/>
  <c r="X53" i="5"/>
  <c r="C40" i="5"/>
  <c r="C52" i="5" s="1"/>
  <c r="C27" i="5" s="1"/>
  <c r="C73" i="5" s="1"/>
  <c r="AD40" i="5"/>
  <c r="AD52" i="5" s="1"/>
  <c r="AD27" i="5" s="1"/>
  <c r="AD73" i="5" s="1"/>
  <c r="BA40" i="5"/>
  <c r="BA52" i="5" s="1"/>
  <c r="BA27" i="5" s="1"/>
  <c r="BA73" i="5" s="1"/>
  <c r="D53" i="5"/>
  <c r="F53" i="5"/>
  <c r="AD53" i="5"/>
  <c r="BA53" i="5"/>
  <c r="BA26" i="5"/>
  <c r="C18" i="5"/>
  <c r="C26" i="5" s="1"/>
  <c r="E18" i="5"/>
  <c r="E26" i="5" s="1"/>
  <c r="BK74" i="5"/>
  <c r="BS30" i="5"/>
  <c r="C27" i="8" s="1"/>
  <c r="BP28" i="5"/>
  <c r="BS48" i="5"/>
  <c r="C45" i="8" s="1"/>
  <c r="F45" i="8" s="1"/>
  <c r="BS38" i="5"/>
  <c r="C35" i="8" s="1"/>
  <c r="AQ26" i="5"/>
  <c r="BS47" i="5"/>
  <c r="C44" i="8" s="1"/>
  <c r="F44" i="8" s="1"/>
  <c r="D40" i="5"/>
  <c r="D52" i="5" s="1"/>
  <c r="D27" i="5" s="1"/>
  <c r="D73" i="5" s="1"/>
  <c r="F40" i="5"/>
  <c r="AF40" i="5"/>
  <c r="AF52" i="5" s="1"/>
  <c r="AF27" i="5" s="1"/>
  <c r="AF73" i="5" s="1"/>
  <c r="E40" i="5"/>
  <c r="E52" i="5" s="1"/>
  <c r="E27" i="5" s="1"/>
  <c r="E73" i="5" s="1"/>
  <c r="G40" i="5"/>
  <c r="G52" i="5" s="1"/>
  <c r="G27" i="5" s="1"/>
  <c r="G73" i="5" s="1"/>
  <c r="AE40" i="5"/>
  <c r="AE52" i="5" s="1"/>
  <c r="AE27" i="5" s="1"/>
  <c r="AE73" i="5" s="1"/>
  <c r="AQ40" i="5"/>
  <c r="AQ52" i="5" s="1"/>
  <c r="AQ27" i="5" s="1"/>
  <c r="AQ73" i="5" s="1"/>
  <c r="BP40" i="5"/>
  <c r="BP52" i="5" s="1"/>
  <c r="AF26" i="5"/>
  <c r="AC53" i="5"/>
  <c r="BS10" i="5"/>
  <c r="C7" i="8" s="1"/>
  <c r="V74" i="5"/>
  <c r="X40" i="5"/>
  <c r="C53" i="5"/>
  <c r="E53" i="5"/>
  <c r="G53" i="5"/>
  <c r="AE53" i="5"/>
  <c r="AQ53" i="5"/>
  <c r="BP53" i="5"/>
  <c r="BP26" i="5"/>
  <c r="AD26" i="5"/>
  <c r="F52" i="5"/>
  <c r="F27" i="5" s="1"/>
  <c r="F73" i="5" s="1"/>
  <c r="BS51" i="5"/>
  <c r="C48" i="8" s="1"/>
  <c r="AN74" i="5"/>
  <c r="AG74" i="5"/>
  <c r="AH74" i="5"/>
  <c r="P74" i="5"/>
  <c r="BS36" i="5"/>
  <c r="C33" i="8" s="1"/>
  <c r="F33" i="8" s="1"/>
  <c r="BS34" i="5"/>
  <c r="C31" i="8" s="1"/>
  <c r="BS42" i="5"/>
  <c r="C39" i="8" s="1"/>
  <c r="F39" i="8" s="1"/>
  <c r="BS59" i="5"/>
  <c r="C56" i="8" s="1"/>
  <c r="BO49" i="5"/>
  <c r="BS55" i="5"/>
  <c r="C52" i="8" s="1"/>
  <c r="BP61" i="5"/>
  <c r="CL40" i="1"/>
  <c r="CL52" i="1" s="1"/>
  <c r="CL27" i="1" s="1"/>
  <c r="C57" i="8"/>
  <c r="AE26" i="5"/>
  <c r="BS13" i="5"/>
  <c r="C10" i="8" s="1"/>
  <c r="S74" i="5"/>
  <c r="BS9" i="5"/>
  <c r="C6" i="8" s="1"/>
  <c r="BS24" i="5"/>
  <c r="C21" i="8" s="1"/>
  <c r="F21" i="8" s="1"/>
  <c r="D18" i="5"/>
  <c r="D26" i="5" s="1"/>
  <c r="F18" i="5"/>
  <c r="F26" i="5" s="1"/>
  <c r="BS50" i="5"/>
  <c r="C47" i="8" s="1"/>
  <c r="F47" i="8" s="1"/>
  <c r="BT38" i="10"/>
  <c r="E35" i="8"/>
  <c r="Q35" i="8" s="1"/>
  <c r="E65" i="8"/>
  <c r="BT56" i="10"/>
  <c r="E53" i="8"/>
  <c r="Q53" i="8" s="1"/>
  <c r="K26" i="10"/>
  <c r="BD26" i="10"/>
  <c r="BK26" i="10"/>
  <c r="BK6" i="10" s="1"/>
  <c r="G26" i="10"/>
  <c r="AD26" i="10"/>
  <c r="BL26" i="10"/>
  <c r="AK26" i="1"/>
  <c r="AJ6" i="1"/>
  <c r="AK6" i="1" s="1"/>
  <c r="M18" i="10"/>
  <c r="M26" i="10" s="1"/>
  <c r="AQ26" i="1"/>
  <c r="AP6" i="1"/>
  <c r="AQ6" i="1" s="1"/>
  <c r="AZ26" i="1"/>
  <c r="AY6" i="1"/>
  <c r="AZ6" i="1" s="1"/>
  <c r="BF26" i="1"/>
  <c r="BE6" i="1"/>
  <c r="BF6" i="1" s="1"/>
  <c r="BK6" i="1"/>
  <c r="BL72" i="1" s="1"/>
  <c r="T18" i="10"/>
  <c r="T26" i="10" s="1"/>
  <c r="W18" i="10"/>
  <c r="W26" i="10" s="1"/>
  <c r="BN21" i="1"/>
  <c r="BN18" i="1" s="1"/>
  <c r="BN26" i="1" s="1"/>
  <c r="Y18" i="10"/>
  <c r="Y26" i="10" s="1"/>
  <c r="BT21" i="1"/>
  <c r="BT18" i="1" s="1"/>
  <c r="BT26" i="1" s="1"/>
  <c r="Z18" i="10"/>
  <c r="Z26" i="10" s="1"/>
  <c r="CC6" i="1"/>
  <c r="CV26" i="1"/>
  <c r="CU6" i="1"/>
  <c r="CV6" i="1" s="1"/>
  <c r="DB26" i="1"/>
  <c r="DA6" i="1"/>
  <c r="DB6" i="1" s="1"/>
  <c r="DH26" i="1"/>
  <c r="DG6" i="1"/>
  <c r="DH6" i="1" s="1"/>
  <c r="DN26" i="1"/>
  <c r="DM6" i="1"/>
  <c r="DN6" i="1" s="1"/>
  <c r="C40" i="10"/>
  <c r="R40" i="10"/>
  <c r="X40" i="10"/>
  <c r="BL40" i="10"/>
  <c r="BQ40" i="10"/>
  <c r="AO26" i="10"/>
  <c r="BI26" i="10"/>
  <c r="L18" i="10"/>
  <c r="L26" i="10" s="1"/>
  <c r="AG21" i="1"/>
  <c r="AG18" i="1" s="1"/>
  <c r="AG26" i="1" s="1"/>
  <c r="N18" i="10"/>
  <c r="N26" i="10" s="1"/>
  <c r="AM21" i="1"/>
  <c r="AM18" i="1" s="1"/>
  <c r="AM26" i="1" s="1"/>
  <c r="Q18" i="10"/>
  <c r="Q26" i="10" s="1"/>
  <c r="AV21" i="1"/>
  <c r="AV18" i="1" s="1"/>
  <c r="AV26" i="1" s="1"/>
  <c r="S18" i="10"/>
  <c r="S26" i="10" s="1"/>
  <c r="BB21" i="1"/>
  <c r="BB18" i="1" s="1"/>
  <c r="BB26" i="1" s="1"/>
  <c r="U18" i="10"/>
  <c r="U26" i="10" s="1"/>
  <c r="BH21" i="1"/>
  <c r="BH18" i="1" s="1"/>
  <c r="BH26" i="1" s="1"/>
  <c r="R18" i="10"/>
  <c r="R26" i="10" s="1"/>
  <c r="BW6" i="1"/>
  <c r="AA18" i="10"/>
  <c r="AA26" i="10" s="1"/>
  <c r="BZ21" i="1"/>
  <c r="BZ18" i="1" s="1"/>
  <c r="BZ26" i="1" s="1"/>
  <c r="CR6" i="1"/>
  <c r="CS72" i="1" s="1"/>
  <c r="CS74" i="1" s="1"/>
  <c r="DK26" i="1"/>
  <c r="DJ6" i="1"/>
  <c r="DK6" i="1" s="1"/>
  <c r="DQ26" i="1"/>
  <c r="DP6" i="1"/>
  <c r="DQ6" i="1" s="1"/>
  <c r="BC26" i="10"/>
  <c r="BJ26" i="10"/>
  <c r="D28" i="10"/>
  <c r="H28" i="10"/>
  <c r="T28" i="10"/>
  <c r="AH28" i="10"/>
  <c r="AH52" i="10" s="1"/>
  <c r="AH27" i="10" s="1"/>
  <c r="AH73" i="10" s="1"/>
  <c r="BD40" i="10"/>
  <c r="HB19" i="1"/>
  <c r="HB23" i="1"/>
  <c r="E20" i="7" s="1"/>
  <c r="HB44" i="1"/>
  <c r="E41" i="7" s="1"/>
  <c r="HB46" i="1"/>
  <c r="E43" i="7" s="1"/>
  <c r="HB60" i="1"/>
  <c r="E57" i="7" s="1"/>
  <c r="BO21" i="9"/>
  <c r="BO18" i="9" s="1"/>
  <c r="BO41" i="9"/>
  <c r="BO49" i="9"/>
  <c r="BO37" i="9"/>
  <c r="BO67" i="9"/>
  <c r="BA26" i="9"/>
  <c r="BA6" i="9" s="1"/>
  <c r="BA72" i="9" s="1"/>
  <c r="CF36" i="1"/>
  <c r="CF28" i="1" s="1"/>
  <c r="CF45" i="1"/>
  <c r="CF41" i="1" s="1"/>
  <c r="CF46" i="1"/>
  <c r="CF10" i="1"/>
  <c r="CG10" i="1" s="1"/>
  <c r="BQ10" i="1"/>
  <c r="BQ7" i="1" s="1"/>
  <c r="AC28" i="9"/>
  <c r="AC7" i="9"/>
  <c r="I52" i="9"/>
  <c r="BS16" i="5"/>
  <c r="C13" i="8" s="1"/>
  <c r="F13" i="8" s="1"/>
  <c r="BS11" i="5"/>
  <c r="C8" i="8" s="1"/>
  <c r="F8" i="8" s="1"/>
  <c r="GQ11" i="1"/>
  <c r="BS14" i="5"/>
  <c r="C11" i="8" s="1"/>
  <c r="BO12" i="5"/>
  <c r="BO7" i="5" s="1"/>
  <c r="HB15" i="1"/>
  <c r="E12" i="7" s="1"/>
  <c r="BS17" i="5"/>
  <c r="C14" i="8" s="1"/>
  <c r="F14" i="8" s="1"/>
  <c r="HB17" i="1"/>
  <c r="E14" i="7" s="1"/>
  <c r="BS20" i="5"/>
  <c r="C17" i="8" s="1"/>
  <c r="HB20" i="1"/>
  <c r="BO21" i="5"/>
  <c r="BO18" i="5" s="1"/>
  <c r="HB22" i="1"/>
  <c r="E19" i="7" s="1"/>
  <c r="BS32" i="5"/>
  <c r="C29" i="8" s="1"/>
  <c r="O29" i="8" s="1"/>
  <c r="HB32" i="1"/>
  <c r="E29" i="7" s="1"/>
  <c r="BO54" i="5"/>
  <c r="HB56" i="1"/>
  <c r="E53" i="7" s="1"/>
  <c r="BS65" i="5"/>
  <c r="C62" i="8" s="1"/>
  <c r="HB65" i="1"/>
  <c r="E62" i="7" s="1"/>
  <c r="BS66" i="5"/>
  <c r="C63" i="8" s="1"/>
  <c r="HB66" i="1"/>
  <c r="E63" i="7" s="1"/>
  <c r="BS8" i="5"/>
  <c r="C5" i="8" s="1"/>
  <c r="F5" i="8" s="1"/>
  <c r="BS25" i="5"/>
  <c r="C22" i="8" s="1"/>
  <c r="F22" i="8" s="1"/>
  <c r="HB25" i="1"/>
  <c r="E22" i="7" s="1"/>
  <c r="BS33" i="5"/>
  <c r="C30" i="8" s="1"/>
  <c r="HB33" i="1"/>
  <c r="E30" i="7" s="1"/>
  <c r="BS39" i="5"/>
  <c r="C36" i="8" s="1"/>
  <c r="HB39" i="1"/>
  <c r="E36" i="7" s="1"/>
  <c r="BS43" i="5"/>
  <c r="C40" i="8" s="1"/>
  <c r="O40" i="8" s="1"/>
  <c r="HB43" i="1"/>
  <c r="E40" i="7" s="1"/>
  <c r="BS45" i="5"/>
  <c r="C42" i="8" s="1"/>
  <c r="HB45" i="1"/>
  <c r="E42" i="7" s="1"/>
  <c r="BS57" i="5"/>
  <c r="C54" i="8" s="1"/>
  <c r="HB57" i="1"/>
  <c r="E54" i="7" s="1"/>
  <c r="BS70" i="5"/>
  <c r="C67" i="8" s="1"/>
  <c r="CG9" i="1"/>
  <c r="DV67" i="1"/>
  <c r="HA68" i="1"/>
  <c r="GO67" i="1"/>
  <c r="HD50" i="1"/>
  <c r="HD55" i="1"/>
  <c r="C51" i="7"/>
  <c r="HD64" i="1"/>
  <c r="L61" i="7"/>
  <c r="HD54" i="1"/>
  <c r="HD56" i="1"/>
  <c r="HD51" i="1"/>
  <c r="HD48" i="1"/>
  <c r="L43" i="7"/>
  <c r="L62" i="7"/>
  <c r="DU27" i="1"/>
  <c r="DU73" i="1" s="1"/>
  <c r="HD20" i="1"/>
  <c r="HD44" i="1"/>
  <c r="HD70" i="1"/>
  <c r="HD8" i="1"/>
  <c r="HD13" i="1"/>
  <c r="HD15" i="1"/>
  <c r="HD31" i="1"/>
  <c r="HD46" i="1"/>
  <c r="HD63" i="1"/>
  <c r="HD65" i="1"/>
  <c r="AW74" i="10"/>
  <c r="AV74" i="10"/>
  <c r="BS37" i="9"/>
  <c r="D34" i="8" s="1"/>
  <c r="BT38" i="9"/>
  <c r="D35" i="8"/>
  <c r="P35" i="8" s="1"/>
  <c r="BS49" i="9"/>
  <c r="D46" i="8" s="1"/>
  <c r="D48" i="8"/>
  <c r="BS54" i="9"/>
  <c r="D51" i="8" s="1"/>
  <c r="D52" i="8"/>
  <c r="BT44" i="9"/>
  <c r="J35" i="8"/>
  <c r="P53" i="8"/>
  <c r="H41" i="8"/>
  <c r="P41" i="8" s="1"/>
  <c r="P30" i="8"/>
  <c r="BT33" i="9"/>
  <c r="BT65" i="9"/>
  <c r="BT56" i="9"/>
  <c r="BT22" i="5"/>
  <c r="BS56" i="5"/>
  <c r="C53" i="8" s="1"/>
  <c r="BS15" i="5"/>
  <c r="C12" i="8" s="1"/>
  <c r="F12" i="8" s="1"/>
  <c r="BO37" i="5"/>
  <c r="BO41" i="5"/>
  <c r="BO58" i="5"/>
  <c r="GX72" i="1"/>
  <c r="O19" i="8"/>
  <c r="J61" i="8"/>
  <c r="BO29" i="5"/>
  <c r="GO58" i="1"/>
  <c r="HA58" i="1" s="1"/>
  <c r="C55" i="7" s="1"/>
  <c r="C50" i="7" s="1"/>
  <c r="DS56" i="1"/>
  <c r="K53" i="7" s="1"/>
  <c r="DS43" i="1"/>
  <c r="K40" i="7" s="1"/>
  <c r="DS33" i="1"/>
  <c r="K30" i="7" s="1"/>
  <c r="BM72" i="5"/>
  <c r="BQ72" i="5"/>
  <c r="DR49" i="1"/>
  <c r="J62" i="8"/>
  <c r="BT33" i="10"/>
  <c r="J52" i="8"/>
  <c r="J53" i="8"/>
  <c r="J47" i="8"/>
  <c r="N53" i="8"/>
  <c r="X7" i="5"/>
  <c r="N48" i="8"/>
  <c r="AZ54" i="5"/>
  <c r="G51" i="8" s="1"/>
  <c r="DO73" i="1"/>
  <c r="X28" i="5"/>
  <c r="BA26" i="10"/>
  <c r="H26" i="10"/>
  <c r="T40" i="10"/>
  <c r="V40" i="10"/>
  <c r="Q40" i="8"/>
  <c r="J40" i="8"/>
  <c r="BS22" i="10"/>
  <c r="BO21" i="10"/>
  <c r="BO18" i="10" s="1"/>
  <c r="BS39" i="10"/>
  <c r="E36" i="8" s="1"/>
  <c r="BO37" i="10"/>
  <c r="K28" i="10"/>
  <c r="K52" i="10" s="1"/>
  <c r="K27" i="10" s="1"/>
  <c r="K73" i="10" s="1"/>
  <c r="M28" i="10"/>
  <c r="M52" i="10" s="1"/>
  <c r="M27" i="10" s="1"/>
  <c r="M73" i="10" s="1"/>
  <c r="O28" i="10"/>
  <c r="O52" i="10" s="1"/>
  <c r="O27" i="10" s="1"/>
  <c r="O73" i="10" s="1"/>
  <c r="Z28" i="10"/>
  <c r="Z52" i="10" s="1"/>
  <c r="Z27" i="10" s="1"/>
  <c r="Z73" i="10" s="1"/>
  <c r="AB28" i="10"/>
  <c r="AB52" i="10" s="1"/>
  <c r="AB27" i="10" s="1"/>
  <c r="AB73" i="10" s="1"/>
  <c r="AD28" i="10"/>
  <c r="AD52" i="10" s="1"/>
  <c r="AD27" i="10" s="1"/>
  <c r="AD73" i="10" s="1"/>
  <c r="AF28" i="10"/>
  <c r="AF52" i="10" s="1"/>
  <c r="AF27" i="10" s="1"/>
  <c r="AF73" i="10" s="1"/>
  <c r="E27" i="8"/>
  <c r="L40" i="10"/>
  <c r="N40" i="10"/>
  <c r="AK40" i="10"/>
  <c r="AM40" i="10"/>
  <c r="BJ40" i="10"/>
  <c r="BS41" i="10"/>
  <c r="E38" i="8" s="1"/>
  <c r="BS51" i="10"/>
  <c r="E48" i="8" s="1"/>
  <c r="BO49" i="10"/>
  <c r="BR53" i="10"/>
  <c r="BS63" i="10"/>
  <c r="BO62" i="10"/>
  <c r="K73" i="1"/>
  <c r="DI73" i="1"/>
  <c r="BT43" i="10"/>
  <c r="BG61" i="10"/>
  <c r="DR12" i="1"/>
  <c r="GO21" i="1"/>
  <c r="HA21" i="1" s="1"/>
  <c r="EA73" i="1"/>
  <c r="EM73" i="1"/>
  <c r="T72" i="1"/>
  <c r="AF73" i="1"/>
  <c r="GF72" i="1"/>
  <c r="AO72" i="1"/>
  <c r="GL72" i="1"/>
  <c r="GO53" i="1"/>
  <c r="HA53" i="1" s="1"/>
  <c r="H73" i="1"/>
  <c r="CT73" i="1"/>
  <c r="FW73" i="1"/>
  <c r="CW73" i="1"/>
  <c r="EV61" i="1"/>
  <c r="E6" i="8"/>
  <c r="E16" i="8"/>
  <c r="DR41" i="1"/>
  <c r="GO41" i="1"/>
  <c r="HA41" i="1" s="1"/>
  <c r="E10" i="8"/>
  <c r="J19" i="8"/>
  <c r="J45" i="8"/>
  <c r="BO41" i="10"/>
  <c r="ES73" i="1"/>
  <c r="CE73" i="1"/>
  <c r="CZ73" i="1"/>
  <c r="BV73" i="1"/>
  <c r="BS73" i="1"/>
  <c r="EV12" i="1"/>
  <c r="EV7" i="1"/>
  <c r="GO37" i="1"/>
  <c r="HA37" i="1" s="1"/>
  <c r="DR58" i="1"/>
  <c r="GO62" i="1"/>
  <c r="HA62" i="1" s="1"/>
  <c r="DC72" i="1"/>
  <c r="W73" i="1"/>
  <c r="BD73" i="1"/>
  <c r="EM72" i="1"/>
  <c r="GO7" i="1"/>
  <c r="HA7" i="1" s="1"/>
  <c r="GC72" i="1"/>
  <c r="H72" i="1"/>
  <c r="DR53" i="1"/>
  <c r="FE72" i="1"/>
  <c r="AC73" i="1"/>
  <c r="AO73" i="1"/>
  <c r="AU73" i="1"/>
  <c r="BA73" i="1"/>
  <c r="BG73" i="1"/>
  <c r="ED73" i="1"/>
  <c r="EJ73" i="1"/>
  <c r="EJ74" i="1" s="1"/>
  <c r="EV58" i="1"/>
  <c r="FT73" i="1"/>
  <c r="DS65" i="1"/>
  <c r="K62" i="7" s="1"/>
  <c r="DS51" i="1"/>
  <c r="K48" i="7" s="1"/>
  <c r="DS38" i="1"/>
  <c r="DS32" i="1"/>
  <c r="K29" i="7" s="1"/>
  <c r="EW64" i="1"/>
  <c r="H61" i="7" s="1"/>
  <c r="EW55" i="1"/>
  <c r="H52" i="7" s="1"/>
  <c r="EW48" i="1"/>
  <c r="H45" i="7" s="1"/>
  <c r="EW43" i="1"/>
  <c r="H40" i="7" s="1"/>
  <c r="EW33" i="1"/>
  <c r="H30" i="7" s="1"/>
  <c r="EW31" i="1"/>
  <c r="H28" i="7" s="1"/>
  <c r="BT44" i="10"/>
  <c r="DR40" i="1"/>
  <c r="E73" i="1"/>
  <c r="O41" i="8"/>
  <c r="F41" i="8"/>
  <c r="GO40" i="1"/>
  <c r="HA40" i="1" s="1"/>
  <c r="F20" i="8"/>
  <c r="F32" i="8"/>
  <c r="N40" i="8"/>
  <c r="CH73" i="1"/>
  <c r="AL73" i="1"/>
  <c r="N73" i="1"/>
  <c r="EG73" i="1"/>
  <c r="BY73" i="1"/>
  <c r="E72" i="1"/>
  <c r="K72" i="1"/>
  <c r="EV41" i="1"/>
  <c r="GL73" i="1"/>
  <c r="BT44" i="5"/>
  <c r="J28" i="8"/>
  <c r="J30" i="8"/>
  <c r="J29" i="8"/>
  <c r="N29" i="8"/>
  <c r="F43" i="8"/>
  <c r="DC73" i="1"/>
  <c r="CQ73" i="1"/>
  <c r="DL73" i="1"/>
  <c r="CB73" i="1"/>
  <c r="AR73" i="1"/>
  <c r="T73" i="1"/>
  <c r="BM73" i="1"/>
  <c r="BJ73" i="1"/>
  <c r="GF73" i="1"/>
  <c r="GO49" i="1"/>
  <c r="HA49" i="1" s="1"/>
  <c r="BT32" i="9"/>
  <c r="D29" i="8"/>
  <c r="BT43" i="9"/>
  <c r="BS12" i="9"/>
  <c r="D9" i="8" s="1"/>
  <c r="D11" i="8"/>
  <c r="BS21" i="9"/>
  <c r="D18" i="8" s="1"/>
  <c r="D19" i="8"/>
  <c r="P40" i="8"/>
  <c r="N30" i="8"/>
  <c r="BO12" i="9"/>
  <c r="BO7" i="9" s="1"/>
  <c r="DR28" i="1"/>
  <c r="DF73" i="1"/>
  <c r="AX73" i="1"/>
  <c r="AF72" i="1"/>
  <c r="AL72" i="1"/>
  <c r="AR72" i="1"/>
  <c r="CK72" i="1"/>
  <c r="DF72" i="1"/>
  <c r="DF74" i="1" s="1"/>
  <c r="FH72" i="1"/>
  <c r="FN72" i="1"/>
  <c r="FQ72" i="1"/>
  <c r="GI72" i="1"/>
  <c r="AC72" i="1"/>
  <c r="BV72" i="1"/>
  <c r="CQ72" i="1"/>
  <c r="CN73" i="1"/>
  <c r="BP73" i="1"/>
  <c r="AI72" i="1"/>
  <c r="AU72" i="1"/>
  <c r="DI72" i="1"/>
  <c r="EG72" i="1"/>
  <c r="ES72" i="1"/>
  <c r="CH72" i="1"/>
  <c r="GO18" i="1"/>
  <c r="HA18" i="1" s="1"/>
  <c r="W72" i="1"/>
  <c r="BS72" i="1"/>
  <c r="BD72" i="1"/>
  <c r="BJ72" i="1"/>
  <c r="CB72" i="1"/>
  <c r="EV21" i="1"/>
  <c r="EV37" i="1"/>
  <c r="EV49" i="1"/>
  <c r="GC73" i="1"/>
  <c r="GI73" i="1"/>
  <c r="GI74" i="1" s="1"/>
  <c r="GX73" i="1"/>
  <c r="EV53" i="1"/>
  <c r="FH73" i="1"/>
  <c r="FH74" i="1" s="1"/>
  <c r="HD17" i="1"/>
  <c r="L14" i="7"/>
  <c r="HD24" i="1"/>
  <c r="L21" i="7"/>
  <c r="L30" i="7"/>
  <c r="HD33" i="1"/>
  <c r="HD35" i="1"/>
  <c r="L32" i="7"/>
  <c r="HD38" i="1"/>
  <c r="L39" i="7"/>
  <c r="HD42" i="1"/>
  <c r="HD23" i="1"/>
  <c r="L20" i="7"/>
  <c r="HD30" i="1"/>
  <c r="L27" i="7"/>
  <c r="L29" i="7"/>
  <c r="HD32" i="1"/>
  <c r="L57" i="7"/>
  <c r="L41" i="7"/>
  <c r="L52" i="7"/>
  <c r="C59" i="7"/>
  <c r="C58" i="7" s="1"/>
  <c r="L47" i="7"/>
  <c r="C46" i="7"/>
  <c r="EW65" i="1"/>
  <c r="H62" i="7" s="1"/>
  <c r="EW56" i="1"/>
  <c r="H53" i="7" s="1"/>
  <c r="EW50" i="1"/>
  <c r="H47" i="7" s="1"/>
  <c r="EW44" i="1"/>
  <c r="H41" i="7" s="1"/>
  <c r="EW38" i="1"/>
  <c r="H35" i="7" s="1"/>
  <c r="EW32" i="1"/>
  <c r="H29" i="7" s="1"/>
  <c r="EW22" i="1"/>
  <c r="H19" i="7" s="1"/>
  <c r="I23" i="7"/>
  <c r="I3" i="7" s="1"/>
  <c r="I70" i="7"/>
  <c r="P62" i="8"/>
  <c r="N62" i="8"/>
  <c r="J87" i="18"/>
  <c r="BQ73" i="5"/>
  <c r="J23" i="28"/>
  <c r="BO62" i="5"/>
  <c r="BB73" i="5"/>
  <c r="BB74" i="5" s="1"/>
  <c r="F24" i="28"/>
  <c r="F34" i="28" s="1"/>
  <c r="I24" i="28"/>
  <c r="I34" i="28" s="1"/>
  <c r="BO29" i="9"/>
  <c r="BS63" i="5"/>
  <c r="BS58" i="9"/>
  <c r="D56" i="8"/>
  <c r="HD29" i="1"/>
  <c r="BQ74" i="9"/>
  <c r="BN74" i="9"/>
  <c r="BM74" i="9"/>
  <c r="BL74" i="9"/>
  <c r="BH73" i="9"/>
  <c r="BH74" i="9" s="1"/>
  <c r="BF74" i="9"/>
  <c r="BC74" i="9"/>
  <c r="BB74" i="9"/>
  <c r="CL10" i="1"/>
  <c r="AD20" i="9"/>
  <c r="CI20" i="1" s="1"/>
  <c r="F24" i="18"/>
  <c r="J24" i="18" s="1"/>
  <c r="GR74" i="1"/>
  <c r="FZ73" i="1"/>
  <c r="FZ74" i="1" s="1"/>
  <c r="FQ73" i="1"/>
  <c r="HD45" i="1"/>
  <c r="FB73" i="1"/>
  <c r="EP74" i="1"/>
  <c r="EV28" i="1"/>
  <c r="EV62" i="1"/>
  <c r="Z72" i="1"/>
  <c r="EV18" i="1"/>
  <c r="HD25" i="1"/>
  <c r="CT72" i="1"/>
  <c r="CW72" i="1"/>
  <c r="CZ72" i="1"/>
  <c r="EA72" i="1"/>
  <c r="ED72" i="1"/>
  <c r="FT72" i="1"/>
  <c r="BA72" i="1"/>
  <c r="BG72" i="1"/>
  <c r="BM72" i="1"/>
  <c r="FB72" i="1"/>
  <c r="FW72" i="1"/>
  <c r="HD10" i="1"/>
  <c r="DU26" i="1"/>
  <c r="DO72" i="1"/>
  <c r="DL72" i="1"/>
  <c r="CN72" i="1"/>
  <c r="CE72" i="1"/>
  <c r="BY72" i="1"/>
  <c r="BP72" i="1"/>
  <c r="AX72" i="1"/>
  <c r="DR18" i="1"/>
  <c r="Q72" i="1"/>
  <c r="DR7" i="1"/>
  <c r="N72" i="1"/>
  <c r="B6" i="1"/>
  <c r="D13" i="14"/>
  <c r="C13" i="14"/>
  <c r="C3" i="14" s="1"/>
  <c r="C65" i="14" s="1"/>
  <c r="J21" i="10"/>
  <c r="J18" i="10" s="1"/>
  <c r="DV21" i="1"/>
  <c r="DV58" i="1"/>
  <c r="DV37" i="1"/>
  <c r="DW35" i="1"/>
  <c r="DV29" i="1"/>
  <c r="DW10" i="1"/>
  <c r="DW9" i="1"/>
  <c r="DW8" i="1"/>
  <c r="AP22" i="9"/>
  <c r="L19" i="8" s="1"/>
  <c r="DW63" i="1"/>
  <c r="DV62" i="1"/>
  <c r="C47" i="1"/>
  <c r="DV49" i="1"/>
  <c r="F9" i="7"/>
  <c r="L13" i="7"/>
  <c r="L54" i="7"/>
  <c r="F55" i="7"/>
  <c r="F38" i="7"/>
  <c r="L17" i="7"/>
  <c r="L8" i="7"/>
  <c r="F34" i="7"/>
  <c r="F59" i="7"/>
  <c r="F18" i="7"/>
  <c r="F46" i="7"/>
  <c r="L46" i="7" s="1"/>
  <c r="F51" i="7"/>
  <c r="M41" i="8"/>
  <c r="N41" i="8" s="1"/>
  <c r="AC29" i="5"/>
  <c r="AC28" i="5" s="1"/>
  <c r="X49" i="9"/>
  <c r="J41" i="5"/>
  <c r="H54" i="5"/>
  <c r="C63" i="1"/>
  <c r="B29" i="5"/>
  <c r="B28" i="5" s="1"/>
  <c r="K58" i="5"/>
  <c r="G41" i="9"/>
  <c r="H21" i="5"/>
  <c r="C42" i="1"/>
  <c r="C60" i="1"/>
  <c r="AF58" i="9"/>
  <c r="C46" i="1"/>
  <c r="C70" i="1"/>
  <c r="C50" i="1"/>
  <c r="H41" i="9"/>
  <c r="B58" i="5"/>
  <c r="H29" i="5"/>
  <c r="K12" i="5"/>
  <c r="K7" i="5" s="1"/>
  <c r="C15" i="1"/>
  <c r="C23" i="1"/>
  <c r="C20" i="1"/>
  <c r="C19" i="1"/>
  <c r="C68" i="1"/>
  <c r="B54" i="5"/>
  <c r="C59" i="1"/>
  <c r="B67" i="5"/>
  <c r="B61" i="5" s="1"/>
  <c r="B54" i="10"/>
  <c r="C36" i="1"/>
  <c r="J58" i="10"/>
  <c r="H58" i="9"/>
  <c r="AQ67" i="10"/>
  <c r="K40" i="5"/>
  <c r="B12" i="5"/>
  <c r="C35" i="1"/>
  <c r="AP45" i="10"/>
  <c r="M42" i="8" s="1"/>
  <c r="J41" i="10"/>
  <c r="J40" i="10" s="1"/>
  <c r="G49" i="9"/>
  <c r="X41" i="9"/>
  <c r="H58" i="5"/>
  <c r="C39" i="1"/>
  <c r="H41" i="5"/>
  <c r="H40" i="5" s="1"/>
  <c r="AQ49" i="10"/>
  <c r="C34" i="1"/>
  <c r="C30" i="1"/>
  <c r="B23" i="15"/>
  <c r="M71" i="7"/>
  <c r="M74" i="7" s="1"/>
  <c r="M70" i="7"/>
  <c r="M73" i="7" s="1"/>
  <c r="D72" i="7"/>
  <c r="D75" i="7"/>
  <c r="C55" i="1"/>
  <c r="K23" i="15"/>
  <c r="I23" i="15"/>
  <c r="F23" i="15"/>
  <c r="L64" i="7"/>
  <c r="L67" i="7"/>
  <c r="D16" i="17"/>
  <c r="D18" i="17" s="1"/>
  <c r="J13" i="18"/>
  <c r="CF19" i="1"/>
  <c r="C66" i="1"/>
  <c r="AQ62" i="10"/>
  <c r="C17" i="1"/>
  <c r="K21" i="9"/>
  <c r="K18" i="9" s="1"/>
  <c r="C31" i="1"/>
  <c r="H29" i="9"/>
  <c r="H28" i="9" s="1"/>
  <c r="AQ12" i="10"/>
  <c r="K12" i="9"/>
  <c r="K7" i="9" s="1"/>
  <c r="B21" i="5"/>
  <c r="B18" i="5" s="1"/>
  <c r="AQ41" i="10"/>
  <c r="L68" i="7"/>
  <c r="L63" i="7"/>
  <c r="DR61" i="1"/>
  <c r="DR62" i="1"/>
  <c r="K54" i="5"/>
  <c r="AF37" i="9"/>
  <c r="AF29" i="9"/>
  <c r="AF21" i="9"/>
  <c r="CO21" i="1" s="1"/>
  <c r="CO18" i="1" s="1"/>
  <c r="CO26" i="1" s="1"/>
  <c r="C48" i="1"/>
  <c r="K41" i="9"/>
  <c r="K40" i="9" s="1"/>
  <c r="C45" i="1"/>
  <c r="AF41" i="9"/>
  <c r="J49" i="5"/>
  <c r="G58" i="9"/>
  <c r="AQ29" i="10"/>
  <c r="G37" i="9"/>
  <c r="X29" i="9"/>
  <c r="H37" i="5"/>
  <c r="C16" i="1"/>
  <c r="H12" i="5"/>
  <c r="H7" i="5" s="1"/>
  <c r="C25" i="1"/>
  <c r="J21" i="5"/>
  <c r="DV13" i="1"/>
  <c r="X21" i="1"/>
  <c r="X18" i="1" s="1"/>
  <c r="X26" i="1" s="1"/>
  <c r="AF49" i="9"/>
  <c r="H49" i="9"/>
  <c r="C64" i="1"/>
  <c r="K29" i="5"/>
  <c r="K28" i="5" s="1"/>
  <c r="AF12" i="9"/>
  <c r="H12" i="9"/>
  <c r="H7" i="9" s="1"/>
  <c r="G21" i="9"/>
  <c r="R21" i="1" s="1"/>
  <c r="R18" i="1" s="1"/>
  <c r="C24" i="1"/>
  <c r="K21" i="5"/>
  <c r="K58" i="9"/>
  <c r="G67" i="9"/>
  <c r="H67" i="5"/>
  <c r="AQ37" i="10"/>
  <c r="AQ54" i="10"/>
  <c r="DV57" i="1"/>
  <c r="AF62" i="9"/>
  <c r="G29" i="9"/>
  <c r="J12" i="10"/>
  <c r="J7" i="10" s="1"/>
  <c r="X12" i="9"/>
  <c r="C11" i="1"/>
  <c r="H21" i="9"/>
  <c r="H18" i="9" s="1"/>
  <c r="DV42" i="1"/>
  <c r="B40" i="5"/>
  <c r="K29" i="9"/>
  <c r="K28" i="9" s="1"/>
  <c r="X58" i="9"/>
  <c r="X67" i="9"/>
  <c r="B12" i="10"/>
  <c r="B7" i="10" s="1"/>
  <c r="BS68" i="5"/>
  <c r="C65" i="8" s="1"/>
  <c r="BJ72" i="5"/>
  <c r="BJ74" i="5" s="1"/>
  <c r="D42" i="8"/>
  <c r="BS41" i="9"/>
  <c r="D31" i="8"/>
  <c r="BS29" i="9"/>
  <c r="G54" i="9"/>
  <c r="AF54" i="9"/>
  <c r="K54" i="9"/>
  <c r="B29" i="10"/>
  <c r="B28" i="10" s="1"/>
  <c r="I67" i="9"/>
  <c r="I61" i="9" s="1"/>
  <c r="AP42" i="9"/>
  <c r="L39" i="8" s="1"/>
  <c r="AP50" i="9"/>
  <c r="L47" i="8" s="1"/>
  <c r="P47" i="8" s="1"/>
  <c r="H54" i="9"/>
  <c r="G10" i="24"/>
  <c r="B10" i="24"/>
  <c r="F10" i="24"/>
  <c r="AD28" i="9"/>
  <c r="AE41" i="9"/>
  <c r="CL20" i="1"/>
  <c r="CL19" i="1"/>
  <c r="J14" i="18"/>
  <c r="BS20" i="9"/>
  <c r="D17" i="8" s="1"/>
  <c r="BJ74" i="9"/>
  <c r="H62" i="9"/>
  <c r="C57" i="1"/>
  <c r="X62" i="9"/>
  <c r="L3" i="28"/>
  <c r="J67" i="5"/>
  <c r="L5" i="28"/>
  <c r="L6" i="28"/>
  <c r="L17" i="28"/>
  <c r="L21" i="28"/>
  <c r="AZ42" i="10"/>
  <c r="I39" i="8" s="1"/>
  <c r="AD21" i="9"/>
  <c r="CI21" i="1" s="1"/>
  <c r="AZ24" i="10"/>
  <c r="I21" i="8" s="1"/>
  <c r="AP23" i="10"/>
  <c r="K22" i="28"/>
  <c r="J22" i="28"/>
  <c r="J32" i="28" s="1"/>
  <c r="BR74" i="9"/>
  <c r="BP73" i="9"/>
  <c r="BS62" i="9"/>
  <c r="D59" i="8" s="1"/>
  <c r="D60" i="8"/>
  <c r="BK73" i="9"/>
  <c r="J57" i="9"/>
  <c r="J54" i="9" s="1"/>
  <c r="BO62" i="9"/>
  <c r="BI74" i="9"/>
  <c r="BG74" i="9"/>
  <c r="BS67" i="9"/>
  <c r="D64" i="8" s="1"/>
  <c r="D65" i="8"/>
  <c r="D16" i="8"/>
  <c r="BN72" i="5"/>
  <c r="BN74" i="5" s="1"/>
  <c r="BL74" i="5"/>
  <c r="BH73" i="5"/>
  <c r="BH74" i="5" s="1"/>
  <c r="BD73" i="5"/>
  <c r="BO67" i="5"/>
  <c r="BC74" i="5"/>
  <c r="BS19" i="5"/>
  <c r="X54" i="9"/>
  <c r="G62" i="9"/>
  <c r="AZ30" i="9"/>
  <c r="H27" i="8" s="1"/>
  <c r="AZ59" i="9"/>
  <c r="H56" i="8" s="1"/>
  <c r="J67" i="10"/>
  <c r="AF67" i="9"/>
  <c r="AZ16" i="9"/>
  <c r="H13" i="8" s="1"/>
  <c r="AP25" i="9"/>
  <c r="L22" i="8" s="1"/>
  <c r="B58" i="10"/>
  <c r="AQ58" i="10"/>
  <c r="AZ34" i="9"/>
  <c r="AP20" i="10"/>
  <c r="AP34" i="10"/>
  <c r="M31" i="8" s="1"/>
  <c r="AP11" i="10"/>
  <c r="AQ21" i="10"/>
  <c r="AZ19" i="9"/>
  <c r="H16" i="8" s="1"/>
  <c r="AP48" i="5"/>
  <c r="K45" i="8" s="1"/>
  <c r="AZ42" i="5"/>
  <c r="G39" i="8" s="1"/>
  <c r="B41" i="10"/>
  <c r="B40" i="10" s="1"/>
  <c r="B67" i="10"/>
  <c r="AP68" i="5"/>
  <c r="AP63" i="5"/>
  <c r="AZ30" i="10"/>
  <c r="I27" i="8" s="1"/>
  <c r="AZ15" i="10"/>
  <c r="I12" i="8" s="1"/>
  <c r="AP14" i="10"/>
  <c r="C14" i="1"/>
  <c r="B62" i="10"/>
  <c r="J29" i="10"/>
  <c r="J28" i="10" s="1"/>
  <c r="AZ17" i="5"/>
  <c r="G14" i="8" s="1"/>
  <c r="AZ13" i="5"/>
  <c r="AP17" i="9"/>
  <c r="L14" i="8" s="1"/>
  <c r="AP24" i="10"/>
  <c r="B21" i="10"/>
  <c r="AP19" i="10"/>
  <c r="C44" i="1"/>
  <c r="DS44" i="1" s="1"/>
  <c r="AP66" i="10"/>
  <c r="M63" i="8" s="1"/>
  <c r="AP64" i="10"/>
  <c r="AZ66" i="5"/>
  <c r="G63" i="8" s="1"/>
  <c r="AP39" i="10"/>
  <c r="M36" i="8" s="1"/>
  <c r="AP35" i="10"/>
  <c r="M32" i="8" s="1"/>
  <c r="AZ39" i="5"/>
  <c r="AZ37" i="5" s="1"/>
  <c r="G34" i="8" s="1"/>
  <c r="AZ11" i="9"/>
  <c r="H8" i="8" s="1"/>
  <c r="AP16" i="10"/>
  <c r="AP15" i="10"/>
  <c r="AP11" i="5"/>
  <c r="K8" i="8" s="1"/>
  <c r="AP25" i="5"/>
  <c r="K22" i="8" s="1"/>
  <c r="AZ20" i="10"/>
  <c r="AZ25" i="9"/>
  <c r="AP46" i="10"/>
  <c r="M43" i="8" s="1"/>
  <c r="AP42" i="10"/>
  <c r="AZ42" i="9"/>
  <c r="AP70" i="10"/>
  <c r="AZ25" i="10"/>
  <c r="I22" i="8" s="1"/>
  <c r="AZ24" i="5"/>
  <c r="G21" i="8" s="1"/>
  <c r="AP42" i="5"/>
  <c r="AP60" i="9"/>
  <c r="AZ68" i="9"/>
  <c r="J59" i="9" s="1"/>
  <c r="AS236" i="37" s="1"/>
  <c r="AC40" i="9"/>
  <c r="AC41" i="5"/>
  <c r="AP46" i="5"/>
  <c r="K43" i="8" s="1"/>
  <c r="AC7" i="5"/>
  <c r="AP30" i="9"/>
  <c r="AP35" i="9"/>
  <c r="L32" i="8" s="1"/>
  <c r="AP47" i="9"/>
  <c r="AP55" i="10"/>
  <c r="AP63" i="9"/>
  <c r="L60" i="8" s="1"/>
  <c r="AZ66" i="9"/>
  <c r="AZ62" i="9" s="1"/>
  <c r="H59" i="8" s="1"/>
  <c r="AP30" i="10"/>
  <c r="AP31" i="9"/>
  <c r="AP34" i="5"/>
  <c r="AZ36" i="10"/>
  <c r="I33" i="8" s="1"/>
  <c r="AZ34" i="5"/>
  <c r="G31" i="8" s="1"/>
  <c r="AZ13" i="10"/>
  <c r="AZ14" i="9"/>
  <c r="AZ15" i="5"/>
  <c r="G12" i="8" s="1"/>
  <c r="AP9" i="10"/>
  <c r="AP8" i="10"/>
  <c r="AZ23" i="10"/>
  <c r="AP48" i="10"/>
  <c r="AP47" i="10"/>
  <c r="AP48" i="9"/>
  <c r="AP45" i="5"/>
  <c r="K42" i="8" s="1"/>
  <c r="AZ47" i="9"/>
  <c r="H44" i="8" s="1"/>
  <c r="AP59" i="10"/>
  <c r="AZ60" i="5"/>
  <c r="G57" i="8" s="1"/>
  <c r="AZ70" i="10"/>
  <c r="AP64" i="9"/>
  <c r="AZ66" i="10"/>
  <c r="AP31" i="5"/>
  <c r="AZ36" i="9"/>
  <c r="H33" i="8" s="1"/>
  <c r="AZ17" i="10"/>
  <c r="I14" i="8" s="1"/>
  <c r="AP9" i="5"/>
  <c r="K6" i="8" s="1"/>
  <c r="AP17" i="5"/>
  <c r="K14" i="8" s="1"/>
  <c r="AZ23" i="9"/>
  <c r="AP46" i="9"/>
  <c r="AP45" i="9"/>
  <c r="AP50" i="5"/>
  <c r="AZ47" i="10"/>
  <c r="I44" i="8" s="1"/>
  <c r="AZ47" i="5"/>
  <c r="AZ60" i="10"/>
  <c r="I57" i="8" s="1"/>
  <c r="AP68" i="9"/>
  <c r="AZ70" i="5"/>
  <c r="AZ67" i="5" s="1"/>
  <c r="D7" i="8"/>
  <c r="N35" i="8"/>
  <c r="AP64" i="5"/>
  <c r="AZ35" i="10"/>
  <c r="AZ34" i="10"/>
  <c r="AZ35" i="9"/>
  <c r="AZ30" i="5"/>
  <c r="AZ16" i="10"/>
  <c r="AZ11" i="10"/>
  <c r="AZ17" i="9"/>
  <c r="AZ13" i="9"/>
  <c r="AZ14" i="5"/>
  <c r="AZ24" i="9"/>
  <c r="AZ25" i="5"/>
  <c r="AP50" i="10"/>
  <c r="AZ51" i="10"/>
  <c r="AZ51" i="9"/>
  <c r="AZ51" i="5"/>
  <c r="AP60" i="10"/>
  <c r="AP68" i="10"/>
  <c r="AP55" i="9"/>
  <c r="L52" i="8" s="1"/>
  <c r="AP55" i="5"/>
  <c r="AZ57" i="10"/>
  <c r="AZ57" i="9"/>
  <c r="AP36" i="10"/>
  <c r="AP31" i="10"/>
  <c r="AZ39" i="10"/>
  <c r="AZ39" i="9"/>
  <c r="AZ14" i="10"/>
  <c r="AZ15" i="9"/>
  <c r="AZ16" i="5"/>
  <c r="AZ11" i="5"/>
  <c r="AP17" i="10"/>
  <c r="AP10" i="10"/>
  <c r="AP25" i="10"/>
  <c r="AZ19" i="10"/>
  <c r="AZ20" i="9"/>
  <c r="AZ23" i="5"/>
  <c r="AP47" i="5"/>
  <c r="AZ46" i="10"/>
  <c r="AZ45" i="10"/>
  <c r="AZ46" i="9"/>
  <c r="AZ45" i="9"/>
  <c r="AZ46" i="5"/>
  <c r="AZ45" i="5"/>
  <c r="AP60" i="5"/>
  <c r="AZ59" i="10"/>
  <c r="AZ60" i="9"/>
  <c r="AZ59" i="5"/>
  <c r="AZ68" i="10"/>
  <c r="J63" i="10" s="1"/>
  <c r="AZ70" i="9"/>
  <c r="R17" i="1" l="1"/>
  <c r="R12" i="1" s="1"/>
  <c r="R7" i="1" s="1"/>
  <c r="EN236" i="37"/>
  <c r="EN237" i="37" s="1"/>
  <c r="EN242" i="37" s="1"/>
  <c r="AS237" i="37"/>
  <c r="AS242" i="37" s="1"/>
  <c r="AS243" i="37" s="1"/>
  <c r="K33" i="28"/>
  <c r="K70" i="5"/>
  <c r="EN138" i="37"/>
  <c r="EN139" i="37" s="1"/>
  <c r="EN140" i="37" s="1"/>
  <c r="EN243" i="37" s="1"/>
  <c r="EN3" i="37" s="1"/>
  <c r="AH139" i="37"/>
  <c r="AH140" i="37" s="1"/>
  <c r="AH243" i="37" s="1"/>
  <c r="J33" i="28"/>
  <c r="K66" i="5"/>
  <c r="AW329" i="37" s="1"/>
  <c r="AG139" i="37"/>
  <c r="AG140" i="37" s="1"/>
  <c r="AG243" i="37" s="1"/>
  <c r="EM138" i="37"/>
  <c r="D65" i="14"/>
  <c r="AR250" i="37"/>
  <c r="AQ74" i="9"/>
  <c r="W6" i="10"/>
  <c r="W72" i="10" s="1"/>
  <c r="H6" i="10"/>
  <c r="H72" i="10" s="1"/>
  <c r="AL6" i="10"/>
  <c r="AL72" i="10" s="1"/>
  <c r="AL74" i="10" s="1"/>
  <c r="F6" i="10"/>
  <c r="F72" i="10" s="1"/>
  <c r="BM6" i="10"/>
  <c r="AI6" i="10"/>
  <c r="AI72" i="10" s="1"/>
  <c r="AI74" i="10" s="1"/>
  <c r="AE6" i="10"/>
  <c r="AE72" i="10" s="1"/>
  <c r="AE74" i="10" s="1"/>
  <c r="BJ6" i="10"/>
  <c r="U6" i="10"/>
  <c r="U72" i="10" s="1"/>
  <c r="U74" i="10" s="1"/>
  <c r="Q6" i="10"/>
  <c r="Q72" i="10" s="1"/>
  <c r="Q74" i="10" s="1"/>
  <c r="L6" i="10"/>
  <c r="L72" i="10" s="1"/>
  <c r="AO6" i="10"/>
  <c r="AO72" i="10" s="1"/>
  <c r="AO74" i="10" s="1"/>
  <c r="BL52" i="10"/>
  <c r="BL27" i="10" s="1"/>
  <c r="AD6" i="10"/>
  <c r="AD72" i="10" s="1"/>
  <c r="AD74" i="10" s="1"/>
  <c r="O6" i="1"/>
  <c r="P6" i="1" s="1"/>
  <c r="BD52" i="10"/>
  <c r="BD27" i="10" s="1"/>
  <c r="T6" i="10"/>
  <c r="T72" i="10" s="1"/>
  <c r="I6" i="1"/>
  <c r="J6" i="1" s="1"/>
  <c r="AM52" i="10"/>
  <c r="AM27" i="10" s="1"/>
  <c r="AM73" i="10" s="1"/>
  <c r="AM74" i="10" s="1"/>
  <c r="N52" i="10"/>
  <c r="N27" i="10" s="1"/>
  <c r="N73" i="10" s="1"/>
  <c r="BA6" i="10"/>
  <c r="L6" i="1"/>
  <c r="M6" i="1" s="1"/>
  <c r="AA6" i="10"/>
  <c r="AA72" i="10" s="1"/>
  <c r="AA74" i="10" s="1"/>
  <c r="C52" i="10"/>
  <c r="C27" i="10" s="1"/>
  <c r="C73" i="10" s="1"/>
  <c r="BD6" i="10"/>
  <c r="BI27" i="10"/>
  <c r="BN6" i="10"/>
  <c r="D6" i="10"/>
  <c r="D72" i="10" s="1"/>
  <c r="F52" i="10"/>
  <c r="F27" i="10" s="1"/>
  <c r="F73" i="10" s="1"/>
  <c r="BF6" i="10"/>
  <c r="Y6" i="10"/>
  <c r="Y72" i="10" s="1"/>
  <c r="Y74" i="10" s="1"/>
  <c r="AF6" i="10"/>
  <c r="AF72" i="10" s="1"/>
  <c r="AF74" i="10" s="1"/>
  <c r="BR6" i="10"/>
  <c r="BJ52" i="10"/>
  <c r="BJ27" i="10" s="1"/>
  <c r="DE26" i="1"/>
  <c r="BI6" i="10"/>
  <c r="BT32" i="10"/>
  <c r="BS67" i="10"/>
  <c r="E64" i="8" s="1"/>
  <c r="I6" i="10"/>
  <c r="I72" i="10" s="1"/>
  <c r="I74" i="10" s="1"/>
  <c r="E6" i="10"/>
  <c r="E72" i="10" s="1"/>
  <c r="E74" i="10" s="1"/>
  <c r="BN52" i="10"/>
  <c r="BN27" i="10" s="1"/>
  <c r="O6" i="10"/>
  <c r="O72" i="10" s="1"/>
  <c r="O74" i="10" s="1"/>
  <c r="BP6" i="10"/>
  <c r="AN6" i="10"/>
  <c r="AN72" i="10" s="1"/>
  <c r="AN74" i="10" s="1"/>
  <c r="H52" i="10"/>
  <c r="H27" i="10" s="1"/>
  <c r="H73" i="10" s="1"/>
  <c r="P52" i="10"/>
  <c r="P27" i="10" s="1"/>
  <c r="P73" i="10" s="1"/>
  <c r="BG6" i="10"/>
  <c r="AG6" i="10"/>
  <c r="AG72" i="10" s="1"/>
  <c r="AG74" i="10" s="1"/>
  <c r="BB6" i="10"/>
  <c r="AH6" i="10"/>
  <c r="AH72" i="10" s="1"/>
  <c r="AH74" i="10" s="1"/>
  <c r="F53" i="8"/>
  <c r="R53" i="8" s="1"/>
  <c r="S6" i="10"/>
  <c r="S72" i="10" s="1"/>
  <c r="S74" i="10" s="1"/>
  <c r="N6" i="10"/>
  <c r="N72" i="10" s="1"/>
  <c r="BQ52" i="10"/>
  <c r="BQ27" i="10" s="1"/>
  <c r="X52" i="10"/>
  <c r="X27" i="10" s="1"/>
  <c r="X73" i="10" s="1"/>
  <c r="BL6" i="10"/>
  <c r="BS54" i="10"/>
  <c r="E51" i="8" s="1"/>
  <c r="P6" i="10"/>
  <c r="P72" i="10" s="1"/>
  <c r="AC6" i="10"/>
  <c r="AC72" i="10" s="1"/>
  <c r="AC74" i="10" s="1"/>
  <c r="AK6" i="10"/>
  <c r="AK72" i="10" s="1"/>
  <c r="AB6" i="10"/>
  <c r="AB72" i="10" s="1"/>
  <c r="AB74" i="10" s="1"/>
  <c r="AJ6" i="10"/>
  <c r="AJ72" i="10" s="1"/>
  <c r="AJ74" i="10" s="1"/>
  <c r="AQ61" i="10"/>
  <c r="BS7" i="10"/>
  <c r="E4" i="8" s="1"/>
  <c r="BG27" i="10"/>
  <c r="AK52" i="10"/>
  <c r="AK27" i="10" s="1"/>
  <c r="AK73" i="10" s="1"/>
  <c r="AK74" i="10" s="1"/>
  <c r="L52" i="10"/>
  <c r="L27" i="10" s="1"/>
  <c r="L73" i="10" s="1"/>
  <c r="T52" i="10"/>
  <c r="T27" i="10" s="1"/>
  <c r="T73" i="10" s="1"/>
  <c r="CF7" i="1"/>
  <c r="CG7" i="1" s="1"/>
  <c r="FO67" i="1"/>
  <c r="FP63" i="1"/>
  <c r="BC6" i="10"/>
  <c r="Z6" i="10"/>
  <c r="Z72" i="10" s="1"/>
  <c r="Z74" i="10" s="1"/>
  <c r="BH6" i="10"/>
  <c r="V52" i="10"/>
  <c r="V27" i="10" s="1"/>
  <c r="V73" i="10" s="1"/>
  <c r="X6" i="10"/>
  <c r="X72" i="10" s="1"/>
  <c r="BO61" i="10"/>
  <c r="BO28" i="10"/>
  <c r="F6" i="1"/>
  <c r="CY26" i="1"/>
  <c r="M6" i="10"/>
  <c r="M72" i="10" s="1"/>
  <c r="M74" i="10" s="1"/>
  <c r="K6" i="10"/>
  <c r="K72" i="10" s="1"/>
  <c r="K74" i="10" s="1"/>
  <c r="C6" i="10"/>
  <c r="C72" i="10" s="1"/>
  <c r="V6" i="10"/>
  <c r="V72" i="10" s="1"/>
  <c r="BO26" i="10"/>
  <c r="BO6" i="10" s="1"/>
  <c r="BS29" i="10"/>
  <c r="E26" i="8" s="1"/>
  <c r="D52" i="10"/>
  <c r="D27" i="10" s="1"/>
  <c r="D73" i="10" s="1"/>
  <c r="R6" i="10"/>
  <c r="R72" i="10" s="1"/>
  <c r="R52" i="10"/>
  <c r="R27" i="10" s="1"/>
  <c r="R73" i="10" s="1"/>
  <c r="BS58" i="10"/>
  <c r="E55" i="8" s="1"/>
  <c r="W74" i="10"/>
  <c r="Q41" i="8"/>
  <c r="G6" i="10"/>
  <c r="G72" i="10" s="1"/>
  <c r="G74" i="10" s="1"/>
  <c r="BO40" i="10"/>
  <c r="F27" i="8"/>
  <c r="AP63" i="10"/>
  <c r="AP62" i="10" s="1"/>
  <c r="M59" i="8" s="1"/>
  <c r="AA63" i="1"/>
  <c r="AA62" i="1" s="1"/>
  <c r="AA61" i="1" s="1"/>
  <c r="F6" i="8"/>
  <c r="BR10" i="1"/>
  <c r="I27" i="9"/>
  <c r="I73" i="9" s="1"/>
  <c r="FO58" i="1"/>
  <c r="HB58" i="1" s="1"/>
  <c r="E55" i="7" s="1"/>
  <c r="HB9" i="1"/>
  <c r="E6" i="7" s="1"/>
  <c r="BO61" i="9"/>
  <c r="AR74" i="1"/>
  <c r="CQ74" i="1"/>
  <c r="BA27" i="9"/>
  <c r="BA73" i="9" s="1"/>
  <c r="P52" i="8"/>
  <c r="HB10" i="1"/>
  <c r="HC10" i="1" s="1"/>
  <c r="FO49" i="1"/>
  <c r="HB49" i="1" s="1"/>
  <c r="E46" i="7" s="1"/>
  <c r="AE7" i="9"/>
  <c r="I74" i="9"/>
  <c r="CF23" i="1"/>
  <c r="BQ23" i="1"/>
  <c r="HB50" i="1"/>
  <c r="E47" i="7" s="1"/>
  <c r="BO53" i="9"/>
  <c r="BA74" i="9"/>
  <c r="AC52" i="9"/>
  <c r="AC27" i="9" s="1"/>
  <c r="AC73" i="9" s="1"/>
  <c r="BO28" i="9"/>
  <c r="BO40" i="9"/>
  <c r="J41" i="8"/>
  <c r="R41" i="8" s="1"/>
  <c r="F35" i="8"/>
  <c r="R35" i="8" s="1"/>
  <c r="F42" i="8"/>
  <c r="BT55" i="5"/>
  <c r="F52" i="8" s="1"/>
  <c r="O45" i="8"/>
  <c r="F31" i="8"/>
  <c r="X52" i="5"/>
  <c r="X27" i="5" s="1"/>
  <c r="BS58" i="5"/>
  <c r="C55" i="8" s="1"/>
  <c r="BT64" i="5"/>
  <c r="AF6" i="5"/>
  <c r="AF72" i="5" s="1"/>
  <c r="AF74" i="5" s="1"/>
  <c r="AE6" i="5"/>
  <c r="AE72" i="5" s="1"/>
  <c r="AE74" i="5" s="1"/>
  <c r="BD74" i="1"/>
  <c r="BT32" i="5"/>
  <c r="BA6" i="5"/>
  <c r="BA72" i="5" s="1"/>
  <c r="BA74" i="5" s="1"/>
  <c r="BP6" i="5"/>
  <c r="BP72" i="5" s="1"/>
  <c r="F7" i="8"/>
  <c r="BS29" i="5"/>
  <c r="C26" i="8" s="1"/>
  <c r="F48" i="8"/>
  <c r="BT65" i="5"/>
  <c r="O53" i="8"/>
  <c r="D6" i="5"/>
  <c r="D72" i="5" s="1"/>
  <c r="D74" i="5" s="1"/>
  <c r="AD6" i="5"/>
  <c r="AD72" i="5" s="1"/>
  <c r="AQ6" i="5"/>
  <c r="AQ72" i="5" s="1"/>
  <c r="AQ74" i="5" s="1"/>
  <c r="AD74" i="5"/>
  <c r="C6" i="5"/>
  <c r="C72" i="5" s="1"/>
  <c r="C74" i="5" s="1"/>
  <c r="CH74" i="1"/>
  <c r="BT33" i="5"/>
  <c r="BT43" i="5"/>
  <c r="CR72" i="1"/>
  <c r="CR74" i="1" s="1"/>
  <c r="BO53" i="5"/>
  <c r="G6" i="5"/>
  <c r="G72" i="5" s="1"/>
  <c r="G74" i="5" s="1"/>
  <c r="F6" i="5"/>
  <c r="F72" i="5" s="1"/>
  <c r="F74" i="5" s="1"/>
  <c r="E6" i="5"/>
  <c r="E72" i="5" s="1"/>
  <c r="E74" i="5" s="1"/>
  <c r="CI18" i="1"/>
  <c r="CI26" i="1" s="1"/>
  <c r="CJ26" i="1" s="1"/>
  <c r="BS21" i="5"/>
  <c r="C18" i="8" s="1"/>
  <c r="BO28" i="5"/>
  <c r="BT38" i="5"/>
  <c r="BO40" i="5"/>
  <c r="BP27" i="5"/>
  <c r="BP73" i="5" s="1"/>
  <c r="BP74" i="5" s="1"/>
  <c r="O35" i="8"/>
  <c r="L55" i="7"/>
  <c r="HB63" i="1"/>
  <c r="E60" i="7" s="1"/>
  <c r="HD21" i="1"/>
  <c r="F11" i="8"/>
  <c r="BS41" i="5"/>
  <c r="C38" i="8" s="1"/>
  <c r="BS37" i="5"/>
  <c r="C34" i="8" s="1"/>
  <c r="F36" i="8"/>
  <c r="BQ74" i="5"/>
  <c r="F10" i="8"/>
  <c r="BS49" i="5"/>
  <c r="C46" i="8" s="1"/>
  <c r="CE74" i="1"/>
  <c r="DL74" i="1"/>
  <c r="BM74" i="1"/>
  <c r="GC74" i="1"/>
  <c r="HD37" i="1"/>
  <c r="GL74" i="1"/>
  <c r="K74" i="1"/>
  <c r="N30" i="7"/>
  <c r="C29" i="32" s="1"/>
  <c r="R29" i="32" s="1"/>
  <c r="EM74" i="1"/>
  <c r="BT56" i="5"/>
  <c r="BS54" i="5"/>
  <c r="DW62" i="1"/>
  <c r="HD58" i="1"/>
  <c r="BS37" i="10"/>
  <c r="E34" i="8" s="1"/>
  <c r="FO62" i="1"/>
  <c r="C67" i="1"/>
  <c r="CA26" i="1"/>
  <c r="BZ6" i="1"/>
  <c r="CA6" i="1" s="1"/>
  <c r="BX72" i="1"/>
  <c r="BX74" i="1" s="1"/>
  <c r="BW72" i="1"/>
  <c r="BW74" i="1" s="1"/>
  <c r="BU26" i="1"/>
  <c r="BT6" i="1"/>
  <c r="BU6" i="1" s="1"/>
  <c r="BO26" i="1"/>
  <c r="BN6" i="1"/>
  <c r="BO6" i="1" s="1"/>
  <c r="BI26" i="1"/>
  <c r="BH6" i="1"/>
  <c r="BI6" i="1" s="1"/>
  <c r="BB6" i="1"/>
  <c r="AW26" i="1"/>
  <c r="AV6" i="1"/>
  <c r="AW6" i="1" s="1"/>
  <c r="AN26" i="1"/>
  <c r="AM6" i="1"/>
  <c r="AN6" i="1" s="1"/>
  <c r="AH26" i="1"/>
  <c r="AG6" i="1"/>
  <c r="AH6" i="1" s="1"/>
  <c r="CD72" i="1"/>
  <c r="CD74" i="1" s="1"/>
  <c r="CC72" i="1"/>
  <c r="CC74" i="1" s="1"/>
  <c r="BS7" i="9"/>
  <c r="D4" i="8" s="1"/>
  <c r="GQ19" i="1"/>
  <c r="BS18" i="9"/>
  <c r="D15" i="8" s="1"/>
  <c r="HB70" i="1"/>
  <c r="E67" i="7" s="1"/>
  <c r="HB35" i="1"/>
  <c r="E32" i="7" s="1"/>
  <c r="FO12" i="1"/>
  <c r="FO7" i="1" s="1"/>
  <c r="CF20" i="1"/>
  <c r="BQ20" i="1"/>
  <c r="CF24" i="1"/>
  <c r="BQ19" i="1"/>
  <c r="BQ24" i="1"/>
  <c r="CM10" i="1"/>
  <c r="CL7" i="1"/>
  <c r="CM7" i="1" s="1"/>
  <c r="CF40" i="1"/>
  <c r="CF52" i="1" s="1"/>
  <c r="CF27" i="1" s="1"/>
  <c r="FO29" i="1"/>
  <c r="HB29" i="1" s="1"/>
  <c r="FO41" i="1"/>
  <c r="FO21" i="1"/>
  <c r="FO18" i="1" s="1"/>
  <c r="J59" i="5"/>
  <c r="BS67" i="5"/>
  <c r="C64" i="8" s="1"/>
  <c r="HB68" i="1"/>
  <c r="E65" i="7" s="1"/>
  <c r="BS12" i="5"/>
  <c r="C9" i="8" s="1"/>
  <c r="F9" i="8" s="1"/>
  <c r="FO54" i="1"/>
  <c r="FP8" i="1"/>
  <c r="FO37" i="1"/>
  <c r="HB37" i="1" s="1"/>
  <c r="E34" i="7" s="1"/>
  <c r="K18" i="5"/>
  <c r="K26" i="5" s="1"/>
  <c r="AD21" i="1"/>
  <c r="AD18" i="1" s="1"/>
  <c r="AD26" i="1" s="1"/>
  <c r="GQ68" i="1"/>
  <c r="S7" i="1"/>
  <c r="R26" i="1"/>
  <c r="BR7" i="1"/>
  <c r="X6" i="1"/>
  <c r="Y6" i="1" s="1"/>
  <c r="Y72" i="1" s="1"/>
  <c r="Y26" i="1"/>
  <c r="J18" i="5"/>
  <c r="AA21" i="1"/>
  <c r="AA18" i="1" s="1"/>
  <c r="AA26" i="1" s="1"/>
  <c r="H18" i="5"/>
  <c r="H26" i="5" s="1"/>
  <c r="U21" i="1"/>
  <c r="U18" i="1" s="1"/>
  <c r="U26" i="1" s="1"/>
  <c r="FQ74" i="1"/>
  <c r="HD68" i="1"/>
  <c r="HD67" i="1" s="1"/>
  <c r="HA67" i="1"/>
  <c r="ES74" i="1"/>
  <c r="EG74" i="1"/>
  <c r="BS74" i="1"/>
  <c r="AU74" i="1"/>
  <c r="N74" i="1"/>
  <c r="DO74" i="1"/>
  <c r="EA74" i="1"/>
  <c r="E74" i="1"/>
  <c r="AL74" i="1"/>
  <c r="BP74" i="1"/>
  <c r="CZ74" i="1"/>
  <c r="BJ74" i="1"/>
  <c r="GX74" i="1"/>
  <c r="HD18" i="1"/>
  <c r="CO6" i="1"/>
  <c r="CP6" i="1" s="1"/>
  <c r="CP26" i="1"/>
  <c r="C9" i="7"/>
  <c r="C4" i="7" s="1"/>
  <c r="HD12" i="1"/>
  <c r="HD41" i="1"/>
  <c r="DI74" i="1"/>
  <c r="DC74" i="1"/>
  <c r="N40" i="7"/>
  <c r="C39" i="32" s="1"/>
  <c r="R39" i="32" s="1"/>
  <c r="HD49" i="1"/>
  <c r="W74" i="1"/>
  <c r="T74" i="1"/>
  <c r="J62" i="10"/>
  <c r="J61" i="10" s="1"/>
  <c r="N29" i="7"/>
  <c r="C28" i="32" s="1"/>
  <c r="R28" i="32" s="1"/>
  <c r="HB11" i="1"/>
  <c r="HC11" i="1" s="1"/>
  <c r="N53" i="7"/>
  <c r="AO74" i="1"/>
  <c r="AC74" i="1"/>
  <c r="CT74" i="1"/>
  <c r="HE44" i="1"/>
  <c r="J41" i="16" s="1"/>
  <c r="AC41" i="16" s="1"/>
  <c r="AX74" i="1"/>
  <c r="BY74" i="1"/>
  <c r="CN74" i="1"/>
  <c r="FB74" i="1"/>
  <c r="FT74" i="1"/>
  <c r="ED74" i="1"/>
  <c r="DX72" i="1"/>
  <c r="HE56" i="1"/>
  <c r="J53" i="16" s="1"/>
  <c r="AQ53" i="16" s="1"/>
  <c r="N62" i="7"/>
  <c r="C51" i="32" s="1"/>
  <c r="R51" i="32" s="1"/>
  <c r="EV40" i="1"/>
  <c r="HD40" i="1" s="1"/>
  <c r="CB74" i="1"/>
  <c r="BV74" i="1"/>
  <c r="AF74" i="1"/>
  <c r="F40" i="8"/>
  <c r="R40" i="8" s="1"/>
  <c r="GF74" i="1"/>
  <c r="FN73" i="1"/>
  <c r="FN74" i="1" s="1"/>
  <c r="HD7" i="1"/>
  <c r="H74" i="1"/>
  <c r="F62" i="8"/>
  <c r="R62" i="8" s="1"/>
  <c r="O62" i="8"/>
  <c r="CW74" i="1"/>
  <c r="BT22" i="10"/>
  <c r="BS21" i="10"/>
  <c r="E19" i="8"/>
  <c r="Q19" i="8" s="1"/>
  <c r="FW74" i="1"/>
  <c r="F19" i="8"/>
  <c r="CK73" i="1"/>
  <c r="CK74" i="1" s="1"/>
  <c r="Q73" i="1"/>
  <c r="Q74" i="1" s="1"/>
  <c r="BS62" i="10"/>
  <c r="E60" i="8"/>
  <c r="BS49" i="10"/>
  <c r="AI73" i="1"/>
  <c r="AI74" i="1" s="1"/>
  <c r="DR52" i="1"/>
  <c r="BA74" i="1"/>
  <c r="GO61" i="1"/>
  <c r="HA61" i="1" s="1"/>
  <c r="HD61" i="1" s="1"/>
  <c r="HE43" i="1"/>
  <c r="J40" i="16" s="1"/>
  <c r="GO28" i="1"/>
  <c r="HA28" i="1" s="1"/>
  <c r="HD28" i="1" s="1"/>
  <c r="BG74" i="1"/>
  <c r="HE33" i="1"/>
  <c r="J30" i="16" s="1"/>
  <c r="HE65" i="1"/>
  <c r="J62" i="16" s="1"/>
  <c r="HD53" i="1"/>
  <c r="O30" i="8"/>
  <c r="F30" i="8"/>
  <c r="R30" i="8" s="1"/>
  <c r="K67" i="5"/>
  <c r="DS69" i="1"/>
  <c r="HE69" i="1" s="1"/>
  <c r="BO26" i="9"/>
  <c r="BO6" i="9" s="1"/>
  <c r="BO72" i="9" s="1"/>
  <c r="F29" i="8"/>
  <c r="R29" i="8" s="1"/>
  <c r="P29" i="8"/>
  <c r="GO26" i="1"/>
  <c r="HA26" i="1" s="1"/>
  <c r="C38" i="7"/>
  <c r="C37" i="7" s="1"/>
  <c r="I72" i="7"/>
  <c r="I73" i="7"/>
  <c r="I75" i="7" s="1"/>
  <c r="HE32" i="1"/>
  <c r="J29" i="16" s="1"/>
  <c r="C26" i="7"/>
  <c r="L35" i="7"/>
  <c r="C34" i="7"/>
  <c r="HE38" i="1"/>
  <c r="J35" i="16" s="1"/>
  <c r="H38" i="18"/>
  <c r="H88" i="18" s="1"/>
  <c r="K62" i="5"/>
  <c r="I38" i="18"/>
  <c r="I88" i="18" s="1"/>
  <c r="F38" i="18"/>
  <c r="F88" i="18" s="1"/>
  <c r="K24" i="28"/>
  <c r="K32" i="28"/>
  <c r="L23" i="28"/>
  <c r="L33" i="28" s="1"/>
  <c r="E38" i="18"/>
  <c r="E88" i="18" s="1"/>
  <c r="HB8" i="1"/>
  <c r="HC8" i="1" s="1"/>
  <c r="GQ8" i="1"/>
  <c r="J24" i="28"/>
  <c r="K66" i="9" s="1"/>
  <c r="C60" i="8"/>
  <c r="BS62" i="5"/>
  <c r="C59" i="8" s="1"/>
  <c r="BS53" i="9"/>
  <c r="D50" i="8" s="1"/>
  <c r="D55" i="8"/>
  <c r="O14" i="8"/>
  <c r="EW47" i="1"/>
  <c r="H44" i="7" s="1"/>
  <c r="K53" i="5"/>
  <c r="BT59" i="10"/>
  <c r="K52" i="9"/>
  <c r="DS48" i="1"/>
  <c r="HE48" i="1" s="1"/>
  <c r="AP57" i="9"/>
  <c r="L54" i="8" s="1"/>
  <c r="F4" i="7"/>
  <c r="EW70" i="1"/>
  <c r="H67" i="7" s="1"/>
  <c r="C58" i="1"/>
  <c r="GQ36" i="1"/>
  <c r="AC21" i="5"/>
  <c r="L42" i="7"/>
  <c r="DR26" i="1"/>
  <c r="L22" i="7"/>
  <c r="C18" i="7"/>
  <c r="C15" i="7" s="1"/>
  <c r="C23" i="7" s="1"/>
  <c r="GU72" i="1"/>
  <c r="EY72" i="1"/>
  <c r="EY74" i="1" s="1"/>
  <c r="GO6" i="1"/>
  <c r="EV26" i="1"/>
  <c r="DU6" i="1"/>
  <c r="DR6" i="1"/>
  <c r="B72" i="1"/>
  <c r="B74" i="1" s="1"/>
  <c r="BT22" i="9"/>
  <c r="J30" i="5"/>
  <c r="EW15" i="1"/>
  <c r="H12" i="7" s="1"/>
  <c r="EW11" i="1"/>
  <c r="H8" i="7" s="1"/>
  <c r="EW16" i="1"/>
  <c r="H13" i="7" s="1"/>
  <c r="EW24" i="1"/>
  <c r="H21" i="7" s="1"/>
  <c r="EW60" i="1"/>
  <c r="H57" i="7" s="1"/>
  <c r="EW25" i="1"/>
  <c r="H22" i="7" s="1"/>
  <c r="EW14" i="1"/>
  <c r="H11" i="7" s="1"/>
  <c r="EW34" i="1"/>
  <c r="H31" i="7" s="1"/>
  <c r="EW66" i="1"/>
  <c r="H63" i="7" s="1"/>
  <c r="EW17" i="1"/>
  <c r="H14" i="7" s="1"/>
  <c r="EW46" i="1"/>
  <c r="H43" i="7" s="1"/>
  <c r="EW42" i="1"/>
  <c r="H39" i="7" s="1"/>
  <c r="DV41" i="1"/>
  <c r="EW57" i="1"/>
  <c r="H54" i="7" s="1"/>
  <c r="DV54" i="1"/>
  <c r="DS25" i="1"/>
  <c r="HE25" i="1" s="1"/>
  <c r="J22" i="16" s="1"/>
  <c r="DS17" i="1"/>
  <c r="DS55" i="1"/>
  <c r="HE55" i="1" s="1"/>
  <c r="J52" i="16" s="1"/>
  <c r="C54" i="1"/>
  <c r="C29" i="1"/>
  <c r="C41" i="1"/>
  <c r="DS42" i="1"/>
  <c r="K39" i="7" s="1"/>
  <c r="EW49" i="1"/>
  <c r="DS47" i="1"/>
  <c r="DV61" i="1"/>
  <c r="DW61" i="1" s="1"/>
  <c r="DS22" i="1"/>
  <c r="HE22" i="1" s="1"/>
  <c r="EW39" i="1"/>
  <c r="H36" i="7" s="1"/>
  <c r="EW23" i="1"/>
  <c r="H20" i="7" s="1"/>
  <c r="BT63" i="9"/>
  <c r="C12" i="1"/>
  <c r="DS14" i="1"/>
  <c r="K11" i="7" s="1"/>
  <c r="DS64" i="1"/>
  <c r="HE64" i="1" s="1"/>
  <c r="J61" i="16" s="1"/>
  <c r="DV12" i="1"/>
  <c r="EW13" i="1"/>
  <c r="H10" i="7" s="1"/>
  <c r="DS45" i="1"/>
  <c r="DT45" i="1" s="1"/>
  <c r="DS31" i="1"/>
  <c r="HE31" i="1" s="1"/>
  <c r="J28" i="16" s="1"/>
  <c r="C37" i="1"/>
  <c r="DS68" i="1"/>
  <c r="C49" i="1"/>
  <c r="DS50" i="1"/>
  <c r="DS46" i="1"/>
  <c r="DS60" i="1"/>
  <c r="C62" i="1"/>
  <c r="EW51" i="1"/>
  <c r="HE51" i="1" s="1"/>
  <c r="J48" i="16" s="1"/>
  <c r="EW68" i="1"/>
  <c r="N19" i="8"/>
  <c r="P19" i="8"/>
  <c r="EW30" i="1"/>
  <c r="H27" i="7" s="1"/>
  <c r="DV28" i="1"/>
  <c r="EW37" i="1"/>
  <c r="EW45" i="1"/>
  <c r="H42" i="7" s="1"/>
  <c r="EW59" i="1"/>
  <c r="H56" i="7" s="1"/>
  <c r="DV18" i="1"/>
  <c r="F58" i="7"/>
  <c r="L58" i="7" s="1"/>
  <c r="F37" i="7"/>
  <c r="L38" i="7"/>
  <c r="F15" i="7"/>
  <c r="F50" i="7"/>
  <c r="L50" i="7" s="1"/>
  <c r="L51" i="7"/>
  <c r="F25" i="7"/>
  <c r="L34" i="7"/>
  <c r="L4" i="7"/>
  <c r="X40" i="9"/>
  <c r="G36" i="8"/>
  <c r="X7" i="9"/>
  <c r="AT73" i="9"/>
  <c r="G40" i="9"/>
  <c r="K52" i="8"/>
  <c r="O52" i="8" s="1"/>
  <c r="B53" i="5"/>
  <c r="M67" i="8"/>
  <c r="AQ28" i="10"/>
  <c r="AQ7" i="10"/>
  <c r="AQ53" i="10"/>
  <c r="H28" i="5"/>
  <c r="H52" i="5" s="1"/>
  <c r="BT50" i="9"/>
  <c r="S25" i="15"/>
  <c r="AY73" i="9"/>
  <c r="AP12" i="10"/>
  <c r="M9" i="8" s="1"/>
  <c r="AQ40" i="10"/>
  <c r="AX73" i="9"/>
  <c r="K26" i="9"/>
  <c r="AP49" i="9"/>
  <c r="L46" i="8" s="1"/>
  <c r="H26" i="9"/>
  <c r="K61" i="8"/>
  <c r="BT55" i="9"/>
  <c r="BT68" i="5"/>
  <c r="K65" i="8"/>
  <c r="O65" i="8" s="1"/>
  <c r="X61" i="9"/>
  <c r="H40" i="9"/>
  <c r="H52" i="9" s="1"/>
  <c r="G18" i="9"/>
  <c r="H53" i="5"/>
  <c r="AP41" i="10"/>
  <c r="AF18" i="9"/>
  <c r="AP20" i="5"/>
  <c r="AC21" i="9"/>
  <c r="AC18" i="9" s="1"/>
  <c r="AC26" i="9" s="1"/>
  <c r="AC6" i="9" s="1"/>
  <c r="AC72" i="9" s="1"/>
  <c r="M72" i="7"/>
  <c r="M75" i="7"/>
  <c r="AP23" i="9"/>
  <c r="AP24" i="5"/>
  <c r="AP23" i="5"/>
  <c r="K20" i="8" s="1"/>
  <c r="X21" i="5"/>
  <c r="X21" i="9"/>
  <c r="J20" i="18"/>
  <c r="J26" i="10"/>
  <c r="AZ12" i="9"/>
  <c r="H9" i="8" s="1"/>
  <c r="Z73" i="1"/>
  <c r="Z74" i="1" s="1"/>
  <c r="DR27" i="1"/>
  <c r="HD62" i="1"/>
  <c r="X28" i="9"/>
  <c r="AP37" i="10"/>
  <c r="M34" i="8" s="1"/>
  <c r="J40" i="5"/>
  <c r="AF28" i="9"/>
  <c r="J52" i="10"/>
  <c r="G28" i="9"/>
  <c r="AF40" i="9"/>
  <c r="K53" i="9"/>
  <c r="H61" i="5"/>
  <c r="AF7" i="9"/>
  <c r="B52" i="10"/>
  <c r="FD72" i="1"/>
  <c r="FC72" i="1"/>
  <c r="D38" i="8"/>
  <c r="BS40" i="9"/>
  <c r="BS28" i="9"/>
  <c r="D26" i="8"/>
  <c r="HC34" i="1"/>
  <c r="E31" i="7"/>
  <c r="J27" i="18"/>
  <c r="AF53" i="9"/>
  <c r="G53" i="9"/>
  <c r="H53" i="9"/>
  <c r="AE40" i="9"/>
  <c r="AD52" i="9"/>
  <c r="AP20" i="9"/>
  <c r="L17" i="8" s="1"/>
  <c r="J62" i="5"/>
  <c r="J61" i="5" s="1"/>
  <c r="AP66" i="5"/>
  <c r="P60" i="8"/>
  <c r="J21" i="18"/>
  <c r="F17" i="8"/>
  <c r="E17" i="7"/>
  <c r="G61" i="9"/>
  <c r="M73" i="9"/>
  <c r="AZ12" i="5"/>
  <c r="AP29" i="10"/>
  <c r="M26" i="8" s="1"/>
  <c r="K60" i="8"/>
  <c r="BT17" i="5"/>
  <c r="H61" i="9"/>
  <c r="J62" i="9"/>
  <c r="AD7" i="9"/>
  <c r="AD18" i="9"/>
  <c r="L22" i="28"/>
  <c r="L32" i="28" s="1"/>
  <c r="BT48" i="5"/>
  <c r="M20" i="8"/>
  <c r="AE21" i="9"/>
  <c r="CL21" i="1" s="1"/>
  <c r="CL18" i="1" s="1"/>
  <c r="BR72" i="5"/>
  <c r="BR74" i="5" s="1"/>
  <c r="BS61" i="9"/>
  <c r="D58" i="8" s="1"/>
  <c r="BP72" i="9"/>
  <c r="BP74" i="9" s="1"/>
  <c r="E33" i="7"/>
  <c r="HC36" i="1"/>
  <c r="BO26" i="5"/>
  <c r="BF72" i="5"/>
  <c r="BD72" i="5"/>
  <c r="BD74" i="5" s="1"/>
  <c r="BO61" i="5"/>
  <c r="C16" i="8"/>
  <c r="F16" i="8" s="1"/>
  <c r="AZ29" i="9"/>
  <c r="H26" i="8" s="1"/>
  <c r="H31" i="8"/>
  <c r="B53" i="10"/>
  <c r="M17" i="8"/>
  <c r="AF61" i="9"/>
  <c r="X53" i="9"/>
  <c r="X73" i="5"/>
  <c r="M8" i="8"/>
  <c r="AQ18" i="10"/>
  <c r="F65" i="8"/>
  <c r="K39" i="8"/>
  <c r="O39" i="8" s="1"/>
  <c r="BT42" i="5"/>
  <c r="H39" i="8"/>
  <c r="I17" i="8"/>
  <c r="BT20" i="10"/>
  <c r="M12" i="8"/>
  <c r="Q12" i="8" s="1"/>
  <c r="BT15" i="10"/>
  <c r="BT64" i="10"/>
  <c r="M61" i="8"/>
  <c r="Q61" i="8" s="1"/>
  <c r="M16" i="8"/>
  <c r="M21" i="8"/>
  <c r="Q21" i="8" s="1"/>
  <c r="BT24" i="10"/>
  <c r="G10" i="8"/>
  <c r="B61" i="10"/>
  <c r="M11" i="8"/>
  <c r="N11" i="8" s="1"/>
  <c r="M60" i="8"/>
  <c r="H65" i="8"/>
  <c r="L57" i="8"/>
  <c r="M39" i="8"/>
  <c r="BT42" i="10"/>
  <c r="H22" i="8"/>
  <c r="P22" i="8" s="1"/>
  <c r="BT25" i="9"/>
  <c r="M13" i="8"/>
  <c r="B18" i="10"/>
  <c r="C21" i="1"/>
  <c r="BT42" i="9"/>
  <c r="AC40" i="5"/>
  <c r="AP41" i="5"/>
  <c r="K38" i="8" s="1"/>
  <c r="G67" i="8"/>
  <c r="AP41" i="9"/>
  <c r="L42" i="8"/>
  <c r="N42" i="8" s="1"/>
  <c r="I63" i="8"/>
  <c r="Q63" i="8" s="1"/>
  <c r="BT66" i="10"/>
  <c r="I67" i="8"/>
  <c r="BT70" i="10"/>
  <c r="M56" i="8"/>
  <c r="M44" i="8"/>
  <c r="Q44" i="8" s="1"/>
  <c r="BT47" i="10"/>
  <c r="AZ21" i="10"/>
  <c r="I18" i="8" s="1"/>
  <c r="I20" i="8"/>
  <c r="BT23" i="10"/>
  <c r="M5" i="8"/>
  <c r="I10" i="8"/>
  <c r="Q10" i="8" s="1"/>
  <c r="BT13" i="10"/>
  <c r="BT31" i="9"/>
  <c r="L28" i="8"/>
  <c r="P28" i="8" s="1"/>
  <c r="H63" i="8"/>
  <c r="BT68" i="9"/>
  <c r="L65" i="8"/>
  <c r="G44" i="8"/>
  <c r="J44" i="8" s="1"/>
  <c r="AP49" i="5"/>
  <c r="K47" i="8"/>
  <c r="O47" i="8" s="1"/>
  <c r="BT50" i="5"/>
  <c r="L43" i="8"/>
  <c r="N43" i="8" s="1"/>
  <c r="H20" i="8"/>
  <c r="K28" i="8"/>
  <c r="O28" i="8" s="1"/>
  <c r="BT31" i="5"/>
  <c r="BT64" i="9"/>
  <c r="L61" i="8"/>
  <c r="P61" i="8" s="1"/>
  <c r="BT48" i="9"/>
  <c r="L45" i="8"/>
  <c r="P45" i="8" s="1"/>
  <c r="BT48" i="10"/>
  <c r="M45" i="8"/>
  <c r="M6" i="8"/>
  <c r="BT14" i="9"/>
  <c r="H11" i="8"/>
  <c r="P11" i="8" s="1"/>
  <c r="K31" i="8"/>
  <c r="O31" i="8" s="1"/>
  <c r="BT34" i="5"/>
  <c r="M27" i="8"/>
  <c r="Q27" i="8" s="1"/>
  <c r="BT30" i="10"/>
  <c r="BT55" i="10"/>
  <c r="M52" i="8"/>
  <c r="Q52" i="8" s="1"/>
  <c r="BT47" i="9"/>
  <c r="L44" i="8"/>
  <c r="P44" i="8" s="1"/>
  <c r="BT30" i="9"/>
  <c r="L27" i="8"/>
  <c r="P27" i="8" s="1"/>
  <c r="BG72" i="5"/>
  <c r="BG74" i="5" s="1"/>
  <c r="K35" i="7"/>
  <c r="N35" i="7" s="1"/>
  <c r="C34" i="32" s="1"/>
  <c r="AZ67" i="9"/>
  <c r="H67" i="8"/>
  <c r="AZ58" i="9"/>
  <c r="H55" i="8" s="1"/>
  <c r="BT60" i="9"/>
  <c r="H57" i="8"/>
  <c r="K57" i="8"/>
  <c r="BT60" i="5"/>
  <c r="G43" i="8"/>
  <c r="BT46" i="5"/>
  <c r="BT46" i="9"/>
  <c r="H43" i="8"/>
  <c r="I43" i="8"/>
  <c r="Q43" i="8" s="1"/>
  <c r="BT46" i="10"/>
  <c r="AZ21" i="5"/>
  <c r="G20" i="8"/>
  <c r="BT19" i="10"/>
  <c r="I16" i="8"/>
  <c r="M14" i="8"/>
  <c r="BT17" i="10"/>
  <c r="G13" i="8"/>
  <c r="H12" i="8"/>
  <c r="AZ12" i="10"/>
  <c r="I11" i="8"/>
  <c r="BT14" i="10"/>
  <c r="AZ37" i="10"/>
  <c r="I34" i="8" s="1"/>
  <c r="I36" i="8"/>
  <c r="Q36" i="8" s="1"/>
  <c r="BT39" i="10"/>
  <c r="BT37" i="10" s="1"/>
  <c r="BT31" i="10"/>
  <c r="M28" i="8"/>
  <c r="AZ54" i="10"/>
  <c r="I54" i="8"/>
  <c r="AP58" i="10"/>
  <c r="BT60" i="10"/>
  <c r="M57" i="8"/>
  <c r="Q57" i="8" s="1"/>
  <c r="AZ49" i="9"/>
  <c r="H46" i="8" s="1"/>
  <c r="BT51" i="9"/>
  <c r="H48" i="8"/>
  <c r="P48" i="8" s="1"/>
  <c r="AP49" i="10"/>
  <c r="BT50" i="10"/>
  <c r="M47" i="8"/>
  <c r="G22" i="8"/>
  <c r="BT25" i="5"/>
  <c r="G11" i="8"/>
  <c r="BT14" i="5"/>
  <c r="BT17" i="9"/>
  <c r="H14" i="8"/>
  <c r="I13" i="8"/>
  <c r="BT16" i="10"/>
  <c r="BT35" i="9"/>
  <c r="H32" i="8"/>
  <c r="BT35" i="10"/>
  <c r="I32" i="8"/>
  <c r="Q32" i="8" s="1"/>
  <c r="B52" i="5"/>
  <c r="B27" i="5" s="1"/>
  <c r="B73" i="5" s="1"/>
  <c r="AZ67" i="10"/>
  <c r="I64" i="8" s="1"/>
  <c r="I65" i="8"/>
  <c r="AZ58" i="5"/>
  <c r="G56" i="8"/>
  <c r="AZ58" i="10"/>
  <c r="I55" i="8" s="1"/>
  <c r="I56" i="8"/>
  <c r="AZ41" i="5"/>
  <c r="G42" i="8"/>
  <c r="BT45" i="5"/>
  <c r="AZ41" i="9"/>
  <c r="BT45" i="9"/>
  <c r="H42" i="8"/>
  <c r="AZ41" i="10"/>
  <c r="BT45" i="10"/>
  <c r="I42" i="8"/>
  <c r="Q42" i="8" s="1"/>
  <c r="K44" i="8"/>
  <c r="BT47" i="5"/>
  <c r="H17" i="8"/>
  <c r="AP21" i="10"/>
  <c r="M22" i="8"/>
  <c r="BT25" i="10"/>
  <c r="M7" i="8"/>
  <c r="G8" i="8"/>
  <c r="BT11" i="5"/>
  <c r="AZ37" i="9"/>
  <c r="H36" i="8"/>
  <c r="M33" i="8"/>
  <c r="Q33" i="8" s="1"/>
  <c r="BT36" i="10"/>
  <c r="AZ54" i="9"/>
  <c r="H54" i="8"/>
  <c r="AP67" i="10"/>
  <c r="M65" i="8"/>
  <c r="BT68" i="10"/>
  <c r="AZ49" i="5"/>
  <c r="G48" i="8"/>
  <c r="BT51" i="5"/>
  <c r="AZ49" i="10"/>
  <c r="I46" i="8" s="1"/>
  <c r="I48" i="8"/>
  <c r="Q48" i="8" s="1"/>
  <c r="BT51" i="10"/>
  <c r="AZ21" i="9"/>
  <c r="H18" i="8" s="1"/>
  <c r="H21" i="8"/>
  <c r="BT13" i="9"/>
  <c r="H10" i="8"/>
  <c r="I8" i="8"/>
  <c r="BT11" i="10"/>
  <c r="AZ29" i="5"/>
  <c r="G27" i="8"/>
  <c r="J27" i="8" s="1"/>
  <c r="AZ29" i="10"/>
  <c r="BT34" i="10"/>
  <c r="I31" i="8"/>
  <c r="F61" i="8"/>
  <c r="K41" i="7"/>
  <c r="N41" i="7" s="1"/>
  <c r="C40" i="32" s="1"/>
  <c r="R40" i="32" s="1"/>
  <c r="K52" i="5"/>
  <c r="G64" i="8"/>
  <c r="AD66" i="1" l="1"/>
  <c r="AD62" i="1" s="1"/>
  <c r="AX329" i="37"/>
  <c r="AW331" i="37"/>
  <c r="AW336" i="37" s="1"/>
  <c r="EM329" i="37"/>
  <c r="AP70" i="5"/>
  <c r="AW397" i="37"/>
  <c r="AS410" i="37"/>
  <c r="AS3" i="37"/>
  <c r="AS244" i="37" s="1"/>
  <c r="AS407" i="37"/>
  <c r="AA59" i="1"/>
  <c r="AA58" i="1" s="1"/>
  <c r="DS58" i="1" s="1"/>
  <c r="AR236" i="37"/>
  <c r="AH3" i="37"/>
  <c r="AH244" i="37" s="1"/>
  <c r="AH407" i="37"/>
  <c r="AH410" i="37"/>
  <c r="EN407" i="37"/>
  <c r="EN244" i="37"/>
  <c r="K34" i="28"/>
  <c r="K70" i="9"/>
  <c r="AX397" i="37" s="1"/>
  <c r="EP138" i="37"/>
  <c r="EM139" i="37"/>
  <c r="AG407" i="37"/>
  <c r="AG3" i="37"/>
  <c r="AG244" i="37" s="1"/>
  <c r="AG410" i="37"/>
  <c r="AR251" i="37"/>
  <c r="AR318" i="37" s="1"/>
  <c r="AR404" i="37" s="1"/>
  <c r="EM250" i="37"/>
  <c r="N74" i="10"/>
  <c r="H74" i="10"/>
  <c r="T74" i="10"/>
  <c r="F74" i="10"/>
  <c r="L74" i="10"/>
  <c r="D74" i="10"/>
  <c r="C74" i="10"/>
  <c r="X74" i="10"/>
  <c r="P74" i="10"/>
  <c r="FO61" i="1"/>
  <c r="FP61" i="1" s="1"/>
  <c r="BO52" i="10"/>
  <c r="BO27" i="10" s="1"/>
  <c r="V74" i="10"/>
  <c r="BS53" i="10"/>
  <c r="E50" i="8" s="1"/>
  <c r="R74" i="10"/>
  <c r="BS28" i="10"/>
  <c r="E25" i="8" s="1"/>
  <c r="HC9" i="1"/>
  <c r="DS63" i="1"/>
  <c r="K60" i="7" s="1"/>
  <c r="HE50" i="1"/>
  <c r="J47" i="16" s="1"/>
  <c r="J46" i="16" s="1"/>
  <c r="GQ9" i="1"/>
  <c r="F34" i="8"/>
  <c r="FO53" i="1"/>
  <c r="HB53" i="1" s="1"/>
  <c r="E50" i="7" s="1"/>
  <c r="E7" i="7"/>
  <c r="GQ10" i="1"/>
  <c r="AC74" i="9"/>
  <c r="FO40" i="1"/>
  <c r="HB40" i="1" s="1"/>
  <c r="E37" i="7" s="1"/>
  <c r="BO52" i="9"/>
  <c r="BO27" i="9" s="1"/>
  <c r="BO73" i="9" s="1"/>
  <c r="BO74" i="9" s="1"/>
  <c r="BQ21" i="1"/>
  <c r="BS26" i="9"/>
  <c r="D23" i="8" s="1"/>
  <c r="BS53" i="5"/>
  <c r="C50" i="8" s="1"/>
  <c r="BO6" i="5"/>
  <c r="BO72" i="5" s="1"/>
  <c r="BS18" i="5"/>
  <c r="C15" i="8" s="1"/>
  <c r="R19" i="8"/>
  <c r="BS7" i="5"/>
  <c r="C4" i="8" s="1"/>
  <c r="F4" i="8" s="1"/>
  <c r="BO52" i="5"/>
  <c r="BO27" i="5" s="1"/>
  <c r="AP59" i="5"/>
  <c r="AP58" i="5" s="1"/>
  <c r="HB12" i="1"/>
  <c r="E9" i="7" s="1"/>
  <c r="CI6" i="1"/>
  <c r="CJ6" i="1" s="1"/>
  <c r="CJ72" i="1" s="1"/>
  <c r="CJ74" i="1" s="1"/>
  <c r="F26" i="8"/>
  <c r="BQ18" i="1"/>
  <c r="BQ26" i="1" s="1"/>
  <c r="BR26" i="1" s="1"/>
  <c r="C53" i="1"/>
  <c r="BS40" i="5"/>
  <c r="C37" i="8" s="1"/>
  <c r="F38" i="8"/>
  <c r="J58" i="5"/>
  <c r="CL26" i="1"/>
  <c r="CL6" i="1" s="1"/>
  <c r="CM6" i="1" s="1"/>
  <c r="HB54" i="1"/>
  <c r="E51" i="7" s="1"/>
  <c r="C51" i="8"/>
  <c r="HC63" i="1"/>
  <c r="BS28" i="5"/>
  <c r="C25" i="8" s="1"/>
  <c r="DS20" i="1"/>
  <c r="DT20" i="1" s="1"/>
  <c r="K61" i="5"/>
  <c r="K27" i="5" s="1"/>
  <c r="EW67" i="1"/>
  <c r="EX67" i="1" s="1"/>
  <c r="FP62" i="1"/>
  <c r="F60" i="8"/>
  <c r="FP7" i="1"/>
  <c r="HB7" i="1"/>
  <c r="E4" i="7" s="1"/>
  <c r="HB21" i="1"/>
  <c r="E18" i="7" s="1"/>
  <c r="GQ67" i="1"/>
  <c r="HB41" i="1"/>
  <c r="E38" i="7" s="1"/>
  <c r="HB67" i="1"/>
  <c r="HC67" i="1" s="1"/>
  <c r="HC68" i="1"/>
  <c r="FO26" i="1"/>
  <c r="HB26" i="1" s="1"/>
  <c r="FO28" i="1"/>
  <c r="X18" i="5"/>
  <c r="X26" i="5" s="1"/>
  <c r="X6" i="5" s="1"/>
  <c r="X72" i="5" s="1"/>
  <c r="X74" i="5" s="1"/>
  <c r="AP30" i="5"/>
  <c r="AP29" i="5" s="1"/>
  <c r="AA30" i="1"/>
  <c r="AA29" i="1" s="1"/>
  <c r="AA28" i="1" s="1"/>
  <c r="AA52" i="1" s="1"/>
  <c r="AA27" i="1" s="1"/>
  <c r="S26" i="1"/>
  <c r="R6" i="1"/>
  <c r="S6" i="1" s="1"/>
  <c r="AD6" i="1"/>
  <c r="AE72" i="1" s="1"/>
  <c r="AE74" i="1" s="1"/>
  <c r="AC18" i="5"/>
  <c r="AC26" i="5" s="1"/>
  <c r="AC6" i="5" s="1"/>
  <c r="AC72" i="5" s="1"/>
  <c r="CF21" i="1"/>
  <c r="CF18" i="1" s="1"/>
  <c r="CF26" i="1" s="1"/>
  <c r="U6" i="1"/>
  <c r="V6" i="1" s="1"/>
  <c r="V26" i="1"/>
  <c r="L9" i="7"/>
  <c r="J66" i="16"/>
  <c r="HD26" i="1"/>
  <c r="E5" i="7"/>
  <c r="L15" i="7"/>
  <c r="FY73" i="1"/>
  <c r="FX73" i="1"/>
  <c r="AQ41" i="16"/>
  <c r="BS61" i="5"/>
  <c r="C58" i="8" s="1"/>
  <c r="E8" i="7"/>
  <c r="AC53" i="16"/>
  <c r="GZ72" i="1"/>
  <c r="E46" i="8"/>
  <c r="F46" i="8" s="1"/>
  <c r="BS40" i="10"/>
  <c r="BS61" i="10"/>
  <c r="E58" i="8" s="1"/>
  <c r="E59" i="8"/>
  <c r="E18" i="8"/>
  <c r="F18" i="8" s="1"/>
  <c r="BS18" i="10"/>
  <c r="AQ30" i="16"/>
  <c r="AC30" i="16"/>
  <c r="AQ40" i="16"/>
  <c r="AC40" i="16"/>
  <c r="GO52" i="1"/>
  <c r="HA52" i="1" s="1"/>
  <c r="K66" i="7"/>
  <c r="N66" i="7" s="1"/>
  <c r="C54" i="32" s="1"/>
  <c r="R54" i="32" s="1"/>
  <c r="EV52" i="1"/>
  <c r="FF73" i="1"/>
  <c r="FG73" i="1"/>
  <c r="GH73" i="1"/>
  <c r="GG73" i="1"/>
  <c r="GM73" i="1"/>
  <c r="GN73" i="1"/>
  <c r="GQ18" i="1"/>
  <c r="HB18" i="1"/>
  <c r="F49" i="7"/>
  <c r="AQ35" i="16"/>
  <c r="AC35" i="16"/>
  <c r="AQ62" i="16"/>
  <c r="AC62" i="16"/>
  <c r="O34" i="32"/>
  <c r="G34" i="32"/>
  <c r="P34" i="32"/>
  <c r="N34" i="32"/>
  <c r="L34" i="32"/>
  <c r="J34" i="32"/>
  <c r="H34" i="32"/>
  <c r="F34" i="32"/>
  <c r="M34" i="32"/>
  <c r="K34" i="32"/>
  <c r="I34" i="32"/>
  <c r="E34" i="32"/>
  <c r="C25" i="7"/>
  <c r="L26" i="7"/>
  <c r="AQ29" i="16"/>
  <c r="AC29" i="16"/>
  <c r="AQ61" i="16"/>
  <c r="AC61" i="16"/>
  <c r="HF22" i="1"/>
  <c r="J19" i="16"/>
  <c r="AQ22" i="16"/>
  <c r="AC22" i="16"/>
  <c r="AQ48" i="16"/>
  <c r="AC48" i="16"/>
  <c r="AQ28" i="16"/>
  <c r="AC28" i="16"/>
  <c r="AQ52" i="16"/>
  <c r="AC52" i="16"/>
  <c r="K42" i="7"/>
  <c r="N42" i="7" s="1"/>
  <c r="C41" i="32" s="1"/>
  <c r="R41" i="32" s="1"/>
  <c r="J38" i="18"/>
  <c r="J88" i="18" s="1"/>
  <c r="DS66" i="1"/>
  <c r="J34" i="28"/>
  <c r="DS23" i="1"/>
  <c r="HE23" i="1" s="1"/>
  <c r="J20" i="16" s="1"/>
  <c r="BT58" i="10"/>
  <c r="AV73" i="5"/>
  <c r="DW28" i="1"/>
  <c r="BT57" i="9"/>
  <c r="BT54" i="9" s="1"/>
  <c r="L24" i="28"/>
  <c r="L34" i="28" s="1"/>
  <c r="B73" i="9"/>
  <c r="HE46" i="1"/>
  <c r="O73" i="9"/>
  <c r="DT22" i="1"/>
  <c r="K6" i="5"/>
  <c r="K72" i="5" s="1"/>
  <c r="R73" i="9"/>
  <c r="HE14" i="1"/>
  <c r="J11" i="16" s="1"/>
  <c r="K61" i="7"/>
  <c r="N61" i="7" s="1"/>
  <c r="J29" i="5"/>
  <c r="J28" i="5" s="1"/>
  <c r="H48" i="7"/>
  <c r="N48" i="7" s="1"/>
  <c r="C47" i="32" s="1"/>
  <c r="R47" i="32" s="1"/>
  <c r="AP54" i="9"/>
  <c r="L51" i="8" s="1"/>
  <c r="HE60" i="1"/>
  <c r="J57" i="16" s="1"/>
  <c r="EW29" i="1"/>
  <c r="H26" i="7" s="1"/>
  <c r="HE47" i="1"/>
  <c r="J44" i="16" s="1"/>
  <c r="FI72" i="1"/>
  <c r="AC52" i="5"/>
  <c r="AC27" i="5" s="1"/>
  <c r="EW58" i="1"/>
  <c r="H55" i="7" s="1"/>
  <c r="AQ52" i="10"/>
  <c r="AQ27" i="10" s="1"/>
  <c r="K52" i="7"/>
  <c r="N52" i="7" s="1"/>
  <c r="HE42" i="1"/>
  <c r="J39" i="16" s="1"/>
  <c r="HE68" i="1"/>
  <c r="HE17" i="1"/>
  <c r="EW21" i="1"/>
  <c r="H18" i="7" s="1"/>
  <c r="BT23" i="5"/>
  <c r="GU73" i="1"/>
  <c r="GU74" i="1" s="1"/>
  <c r="L18" i="7"/>
  <c r="C71" i="7"/>
  <c r="C3" i="7"/>
  <c r="GO72" i="1"/>
  <c r="HA6" i="1"/>
  <c r="HA72" i="1" s="1"/>
  <c r="EV6" i="1"/>
  <c r="EV72" i="1" s="1"/>
  <c r="DU72" i="1"/>
  <c r="DU74" i="1" s="1"/>
  <c r="DR72" i="1"/>
  <c r="K19" i="7"/>
  <c r="N19" i="7" s="1"/>
  <c r="L73" i="9"/>
  <c r="C61" i="1"/>
  <c r="HE45" i="1"/>
  <c r="J42" i="16" s="1"/>
  <c r="EW12" i="1"/>
  <c r="H9" i="7" s="1"/>
  <c r="DV7" i="1"/>
  <c r="C18" i="1"/>
  <c r="DV53" i="1"/>
  <c r="EW54" i="1"/>
  <c r="H51" i="7" s="1"/>
  <c r="DS49" i="1"/>
  <c r="HE49" i="1" s="1"/>
  <c r="C40" i="1"/>
  <c r="DS40" i="1" s="1"/>
  <c r="DS41" i="1"/>
  <c r="C28" i="1"/>
  <c r="EW41" i="1"/>
  <c r="H38" i="7" s="1"/>
  <c r="DV40" i="1"/>
  <c r="EW40" i="1" s="1"/>
  <c r="DS59" i="1"/>
  <c r="HE59" i="1" s="1"/>
  <c r="J56" i="16" s="1"/>
  <c r="F23" i="7"/>
  <c r="F70" i="7"/>
  <c r="L25" i="7"/>
  <c r="L70" i="7" s="1"/>
  <c r="F71" i="7"/>
  <c r="F74" i="7" s="1"/>
  <c r="L37" i="7"/>
  <c r="L71" i="7" s="1"/>
  <c r="L74" i="7" s="1"/>
  <c r="X18" i="9"/>
  <c r="X26" i="9" s="1"/>
  <c r="Q72" i="9"/>
  <c r="Q13" i="8"/>
  <c r="BT49" i="9"/>
  <c r="AP7" i="10"/>
  <c r="G26" i="9"/>
  <c r="G6" i="9" s="1"/>
  <c r="AP61" i="10"/>
  <c r="M58" i="8" s="1"/>
  <c r="AJ73" i="9"/>
  <c r="P65" i="8"/>
  <c r="Q67" i="8"/>
  <c r="Q73" i="9"/>
  <c r="H6" i="5"/>
  <c r="M38" i="8"/>
  <c r="AL73" i="9"/>
  <c r="N11" i="7"/>
  <c r="C10" i="32" s="1"/>
  <c r="R10" i="32" s="1"/>
  <c r="P43" i="8"/>
  <c r="U73" i="9"/>
  <c r="AR73" i="10"/>
  <c r="AP28" i="10"/>
  <c r="M25" i="8" s="1"/>
  <c r="BT41" i="10"/>
  <c r="Q34" i="8"/>
  <c r="Q20" i="8"/>
  <c r="AA73" i="9"/>
  <c r="BT41" i="9"/>
  <c r="N60" i="8"/>
  <c r="G9" i="8"/>
  <c r="K17" i="8"/>
  <c r="AP62" i="5"/>
  <c r="K63" i="8"/>
  <c r="AP21" i="5"/>
  <c r="BT21" i="5" s="1"/>
  <c r="BT23" i="9"/>
  <c r="BT24" i="5"/>
  <c r="K21" i="8"/>
  <c r="O21" i="8" s="1"/>
  <c r="L20" i="8"/>
  <c r="N20" i="8" s="1"/>
  <c r="BT66" i="5"/>
  <c r="BT20" i="9"/>
  <c r="L59" i="7"/>
  <c r="DR73" i="1"/>
  <c r="Q56" i="8"/>
  <c r="N39" i="7"/>
  <c r="C38" i="32" s="1"/>
  <c r="AF52" i="9"/>
  <c r="K6" i="9"/>
  <c r="X52" i="9"/>
  <c r="AF26" i="9"/>
  <c r="G52" i="9"/>
  <c r="BM73" i="5"/>
  <c r="BM74" i="5" s="1"/>
  <c r="D37" i="8"/>
  <c r="HC29" i="1"/>
  <c r="E26" i="7"/>
  <c r="BS52" i="9"/>
  <c r="D25" i="8"/>
  <c r="O61" i="8"/>
  <c r="H6" i="9"/>
  <c r="AE52" i="9"/>
  <c r="AD27" i="9"/>
  <c r="J67" i="9"/>
  <c r="B27" i="10"/>
  <c r="B73" i="10" s="1"/>
  <c r="N61" i="8"/>
  <c r="R61" i="8" s="1"/>
  <c r="Q8" i="8"/>
  <c r="BT49" i="10"/>
  <c r="Q11" i="8"/>
  <c r="Q16" i="8"/>
  <c r="AZ18" i="10"/>
  <c r="I15" i="8" s="1"/>
  <c r="Q17" i="8"/>
  <c r="H27" i="9"/>
  <c r="H73" i="9" s="1"/>
  <c r="N65" i="8"/>
  <c r="AD26" i="9"/>
  <c r="AD6" i="9" s="1"/>
  <c r="AE18" i="9"/>
  <c r="GY72" i="1"/>
  <c r="GS72" i="1"/>
  <c r="GT72" i="1"/>
  <c r="BK72" i="9"/>
  <c r="BK74" i="9" s="1"/>
  <c r="BF73" i="5"/>
  <c r="BF74" i="5" s="1"/>
  <c r="FJ72" i="1"/>
  <c r="HC19" i="1"/>
  <c r="E16" i="7"/>
  <c r="N73" i="9"/>
  <c r="H27" i="5"/>
  <c r="AQ26" i="10"/>
  <c r="B26" i="10"/>
  <c r="B6" i="10" s="1"/>
  <c r="N39" i="8"/>
  <c r="Q39" i="8"/>
  <c r="J58" i="9"/>
  <c r="J53" i="9" s="1"/>
  <c r="AP59" i="9"/>
  <c r="J27" i="10"/>
  <c r="J73" i="10" s="1"/>
  <c r="J39" i="8"/>
  <c r="P39" i="8"/>
  <c r="P42" i="8"/>
  <c r="J56" i="8"/>
  <c r="AU73" i="5"/>
  <c r="K43" i="7"/>
  <c r="N43" i="7" s="1"/>
  <c r="C42" i="32" s="1"/>
  <c r="R42" i="32" s="1"/>
  <c r="DT46" i="1"/>
  <c r="L38" i="8"/>
  <c r="AP40" i="9"/>
  <c r="L37" i="8" s="1"/>
  <c r="F67" i="8"/>
  <c r="N52" i="8"/>
  <c r="R52" i="8" s="1"/>
  <c r="N45" i="8"/>
  <c r="R45" i="8" s="1"/>
  <c r="Q45" i="8"/>
  <c r="K45" i="7"/>
  <c r="N45" i="7" s="1"/>
  <c r="C44" i="32" s="1"/>
  <c r="R44" i="32" s="1"/>
  <c r="K46" i="8"/>
  <c r="AP40" i="5"/>
  <c r="K37" i="8" s="1"/>
  <c r="J63" i="8"/>
  <c r="BI72" i="5"/>
  <c r="BI74" i="5" s="1"/>
  <c r="FR72" i="1"/>
  <c r="FS72" i="1"/>
  <c r="Q31" i="8"/>
  <c r="J31" i="8"/>
  <c r="G26" i="8"/>
  <c r="P10" i="8"/>
  <c r="J10" i="8"/>
  <c r="J21" i="8"/>
  <c r="J48" i="8"/>
  <c r="R48" i="8" s="1"/>
  <c r="O48" i="8"/>
  <c r="BT67" i="10"/>
  <c r="M64" i="8"/>
  <c r="J36" i="8"/>
  <c r="HF25" i="1"/>
  <c r="BT21" i="10"/>
  <c r="BT18" i="10" s="1"/>
  <c r="M18" i="8"/>
  <c r="AP18" i="10"/>
  <c r="AZ18" i="9"/>
  <c r="N44" i="8"/>
  <c r="R44" i="8" s="1"/>
  <c r="O44" i="8"/>
  <c r="I38" i="8"/>
  <c r="AZ40" i="10"/>
  <c r="I37" i="8" s="1"/>
  <c r="J42" i="8"/>
  <c r="R42" i="8" s="1"/>
  <c r="O42" i="8"/>
  <c r="AZ53" i="5"/>
  <c r="G55" i="8"/>
  <c r="J55" i="8" s="1"/>
  <c r="Q65" i="8"/>
  <c r="J65" i="8"/>
  <c r="P32" i="8"/>
  <c r="O22" i="8"/>
  <c r="J22" i="8"/>
  <c r="DT50" i="1"/>
  <c r="K47" i="7"/>
  <c r="N47" i="7" s="1"/>
  <c r="C46" i="32" s="1"/>
  <c r="P46" i="8"/>
  <c r="M55" i="8"/>
  <c r="Q55" i="8" s="1"/>
  <c r="AZ53" i="10"/>
  <c r="I50" i="8" s="1"/>
  <c r="I51" i="8"/>
  <c r="K28" i="7"/>
  <c r="N28" i="7" s="1"/>
  <c r="C27" i="32" s="1"/>
  <c r="R27" i="32" s="1"/>
  <c r="BT12" i="10"/>
  <c r="I9" i="8"/>
  <c r="Q9" i="8" s="1"/>
  <c r="O20" i="8"/>
  <c r="J20" i="8"/>
  <c r="J43" i="8"/>
  <c r="R43" i="8" s="1"/>
  <c r="O43" i="8"/>
  <c r="N57" i="8"/>
  <c r="J67" i="8"/>
  <c r="I26" i="8"/>
  <c r="Q26" i="8" s="1"/>
  <c r="AZ28" i="10"/>
  <c r="G46" i="8"/>
  <c r="BT49" i="5"/>
  <c r="H46" i="7"/>
  <c r="K65" i="7"/>
  <c r="J54" i="8"/>
  <c r="P54" i="8"/>
  <c r="AZ53" i="9"/>
  <c r="H50" i="8" s="1"/>
  <c r="H51" i="8"/>
  <c r="H34" i="8"/>
  <c r="J34" i="8" s="1"/>
  <c r="H34" i="7"/>
  <c r="AZ28" i="9"/>
  <c r="O8" i="8"/>
  <c r="J8" i="8"/>
  <c r="N22" i="8"/>
  <c r="Q22" i="8"/>
  <c r="DT25" i="1"/>
  <c r="K22" i="7"/>
  <c r="N22" i="7" s="1"/>
  <c r="C21" i="32" s="1"/>
  <c r="P17" i="8"/>
  <c r="K44" i="7"/>
  <c r="N44" i="7" s="1"/>
  <c r="C43" i="32" s="1"/>
  <c r="R43" i="32" s="1"/>
  <c r="H38" i="8"/>
  <c r="AZ40" i="9"/>
  <c r="H37" i="8" s="1"/>
  <c r="G38" i="8"/>
  <c r="O38" i="8" s="1"/>
  <c r="AZ40" i="5"/>
  <c r="EX68" i="1"/>
  <c r="H65" i="7"/>
  <c r="BT41" i="5"/>
  <c r="J14" i="8"/>
  <c r="P14" i="8"/>
  <c r="J11" i="8"/>
  <c r="R11" i="8" s="1"/>
  <c r="O11" i="8"/>
  <c r="N47" i="8"/>
  <c r="R47" i="8" s="1"/>
  <c r="Q47" i="8"/>
  <c r="M46" i="8"/>
  <c r="AP40" i="10"/>
  <c r="N28" i="8"/>
  <c r="R28" i="8" s="1"/>
  <c r="Q28" i="8"/>
  <c r="BT29" i="10"/>
  <c r="BT28" i="10" s="1"/>
  <c r="J12" i="8"/>
  <c r="J13" i="8"/>
  <c r="Q14" i="8"/>
  <c r="N14" i="8"/>
  <c r="K14" i="7"/>
  <c r="N14" i="7" s="1"/>
  <c r="C13" i="32" s="1"/>
  <c r="DT17" i="1"/>
  <c r="G18" i="8"/>
  <c r="K57" i="7"/>
  <c r="N57" i="7" s="1"/>
  <c r="J57" i="8"/>
  <c r="P57" i="8"/>
  <c r="H64" i="8"/>
  <c r="AZ61" i="9"/>
  <c r="H58" i="8" s="1"/>
  <c r="AW398" i="37" l="1"/>
  <c r="AW403" i="37" s="1"/>
  <c r="AW404" i="37" s="1"/>
  <c r="EM397" i="37"/>
  <c r="EM331" i="37"/>
  <c r="EN329" i="37"/>
  <c r="EN331" i="37" s="1"/>
  <c r="EN336" i="37" s="1"/>
  <c r="AX331" i="37"/>
  <c r="AX336" i="37" s="1"/>
  <c r="EN397" i="37"/>
  <c r="EN398" i="37" s="1"/>
  <c r="EN403" i="37" s="1"/>
  <c r="EN404" i="37" s="1"/>
  <c r="AX398" i="37"/>
  <c r="AX403" i="37" s="1"/>
  <c r="AX404" i="37" s="1"/>
  <c r="K67" i="8"/>
  <c r="O67" i="8" s="1"/>
  <c r="AP67" i="5"/>
  <c r="BT70" i="5"/>
  <c r="AR237" i="37"/>
  <c r="AR242" i="37" s="1"/>
  <c r="EM236" i="37"/>
  <c r="AD70" i="1"/>
  <c r="AD67" i="1" s="1"/>
  <c r="K67" i="9"/>
  <c r="EP139" i="37"/>
  <c r="EM140" i="37"/>
  <c r="EP250" i="37"/>
  <c r="EM251" i="37"/>
  <c r="AR408" i="37"/>
  <c r="AR245" i="37"/>
  <c r="AR405" i="37" s="1"/>
  <c r="J6" i="9"/>
  <c r="J72" i="9" s="1"/>
  <c r="AQ47" i="16"/>
  <c r="HD52" i="1"/>
  <c r="HB61" i="1"/>
  <c r="HC61" i="1" s="1"/>
  <c r="AC47" i="16"/>
  <c r="HF50" i="1"/>
  <c r="BS6" i="9"/>
  <c r="D3" i="8" s="1"/>
  <c r="GQ7" i="1"/>
  <c r="BT59" i="5"/>
  <c r="BS26" i="5"/>
  <c r="C23" i="8" s="1"/>
  <c r="K27" i="8"/>
  <c r="N27" i="8" s="1"/>
  <c r="R27" i="8" s="1"/>
  <c r="K56" i="8"/>
  <c r="BQ6" i="1"/>
  <c r="BR6" i="1" s="1"/>
  <c r="CM26" i="1"/>
  <c r="BS52" i="5"/>
  <c r="C49" i="8" s="1"/>
  <c r="HB62" i="1"/>
  <c r="GQ62" i="1"/>
  <c r="E64" i="7"/>
  <c r="F25" i="8"/>
  <c r="DS30" i="1"/>
  <c r="HE30" i="1" s="1"/>
  <c r="J27" i="16" s="1"/>
  <c r="AC27" i="16" s="1"/>
  <c r="HC7" i="1"/>
  <c r="BT30" i="5"/>
  <c r="K20" i="7"/>
  <c r="N20" i="7" s="1"/>
  <c r="H64" i="7"/>
  <c r="Q18" i="8"/>
  <c r="FO6" i="1"/>
  <c r="HB6" i="1" s="1"/>
  <c r="FP26" i="1"/>
  <c r="FO52" i="1"/>
  <c r="GQ52" i="1" s="1"/>
  <c r="CF6" i="1"/>
  <c r="CG6" i="1" s="1"/>
  <c r="CG26" i="1"/>
  <c r="L73" i="7"/>
  <c r="L75" i="7" s="1"/>
  <c r="DR74" i="1"/>
  <c r="GB73" i="1"/>
  <c r="GA73" i="1"/>
  <c r="HB28" i="1"/>
  <c r="HC28" i="1" s="1"/>
  <c r="GQ28" i="1"/>
  <c r="GQ61" i="1"/>
  <c r="E15" i="8"/>
  <c r="BS26" i="10"/>
  <c r="E37" i="8"/>
  <c r="F37" i="8" s="1"/>
  <c r="BS52" i="10"/>
  <c r="F15" i="8"/>
  <c r="FE73" i="1"/>
  <c r="FE74" i="1" s="1"/>
  <c r="GO27" i="1"/>
  <c r="GG72" i="1"/>
  <c r="GG74" i="1" s="1"/>
  <c r="GH72" i="1"/>
  <c r="GH74" i="1" s="1"/>
  <c r="Q34" i="32"/>
  <c r="R34" i="32" s="1"/>
  <c r="GK72" i="1"/>
  <c r="GJ72" i="1"/>
  <c r="DX73" i="1"/>
  <c r="DX74" i="1" s="1"/>
  <c r="EV27" i="1"/>
  <c r="FU73" i="1"/>
  <c r="FV73" i="1"/>
  <c r="GM72" i="1"/>
  <c r="GM74" i="1" s="1"/>
  <c r="GN72" i="1"/>
  <c r="GN74" i="1" s="1"/>
  <c r="FG72" i="1"/>
  <c r="FG74" i="1" s="1"/>
  <c r="FF72" i="1"/>
  <c r="FF74" i="1" s="1"/>
  <c r="FA73" i="1"/>
  <c r="EZ73" i="1"/>
  <c r="EZ72" i="1"/>
  <c r="FA72" i="1"/>
  <c r="GE73" i="1"/>
  <c r="GD73" i="1"/>
  <c r="C70" i="7"/>
  <c r="C73" i="7" s="1"/>
  <c r="C49" i="7"/>
  <c r="C24" i="7" s="1"/>
  <c r="C69" i="7" s="1"/>
  <c r="F13" i="32"/>
  <c r="H13" i="32"/>
  <c r="J13" i="32"/>
  <c r="L13" i="32"/>
  <c r="N13" i="32"/>
  <c r="P13" i="32"/>
  <c r="G13" i="32"/>
  <c r="I13" i="32"/>
  <c r="K13" i="32"/>
  <c r="M13" i="32"/>
  <c r="O13" i="32"/>
  <c r="E13" i="32"/>
  <c r="C37" i="32"/>
  <c r="R38" i="32"/>
  <c r="F46" i="32"/>
  <c r="F45" i="32" s="1"/>
  <c r="F36" i="32" s="1"/>
  <c r="H46" i="32"/>
  <c r="H45" i="32" s="1"/>
  <c r="H36" i="32" s="1"/>
  <c r="J46" i="32"/>
  <c r="J45" i="32" s="1"/>
  <c r="J36" i="32" s="1"/>
  <c r="L46" i="32"/>
  <c r="L45" i="32" s="1"/>
  <c r="L36" i="32" s="1"/>
  <c r="N46" i="32"/>
  <c r="N45" i="32" s="1"/>
  <c r="N36" i="32" s="1"/>
  <c r="P46" i="32"/>
  <c r="P45" i="32" s="1"/>
  <c r="P36" i="32" s="1"/>
  <c r="G46" i="32"/>
  <c r="G45" i="32" s="1"/>
  <c r="G36" i="32" s="1"/>
  <c r="I46" i="32"/>
  <c r="I45" i="32" s="1"/>
  <c r="I36" i="32" s="1"/>
  <c r="K46" i="32"/>
  <c r="K45" i="32" s="1"/>
  <c r="K36" i="32" s="1"/>
  <c r="M46" i="32"/>
  <c r="M45" i="32" s="1"/>
  <c r="M36" i="32" s="1"/>
  <c r="O46" i="32"/>
  <c r="O45" i="32" s="1"/>
  <c r="O36" i="32" s="1"/>
  <c r="E46" i="32"/>
  <c r="C45" i="32"/>
  <c r="P19" i="7"/>
  <c r="C18" i="32"/>
  <c r="AQ56" i="16"/>
  <c r="J55" i="16"/>
  <c r="AC56" i="16"/>
  <c r="HF17" i="1"/>
  <c r="J14" i="16"/>
  <c r="AQ39" i="16"/>
  <c r="J38" i="16"/>
  <c r="AC39" i="16"/>
  <c r="AQ44" i="16"/>
  <c r="AC44" i="16"/>
  <c r="AQ57" i="16"/>
  <c r="AC57" i="16"/>
  <c r="C7" i="29"/>
  <c r="D7" i="29" s="1"/>
  <c r="E7" i="29" s="1"/>
  <c r="J43" i="16"/>
  <c r="AQ20" i="16"/>
  <c r="AC20" i="16"/>
  <c r="AQ46" i="16"/>
  <c r="AC46" i="16"/>
  <c r="AQ19" i="16"/>
  <c r="L19" i="16"/>
  <c r="L18" i="16" s="1"/>
  <c r="L15" i="16" s="1"/>
  <c r="AC19" i="16"/>
  <c r="AQ42" i="16"/>
  <c r="Y49" i="16"/>
  <c r="AC42" i="16"/>
  <c r="HF68" i="1"/>
  <c r="J65" i="16"/>
  <c r="AQ11" i="16"/>
  <c r="AC11" i="16"/>
  <c r="AP66" i="9"/>
  <c r="AP62" i="9" s="1"/>
  <c r="L59" i="8" s="1"/>
  <c r="P59" i="8" s="1"/>
  <c r="K62" i="9"/>
  <c r="DG73" i="1"/>
  <c r="GQ26" i="1"/>
  <c r="U73" i="1"/>
  <c r="HE66" i="1"/>
  <c r="J63" i="16" s="1"/>
  <c r="K38" i="7"/>
  <c r="N38" i="7" s="1"/>
  <c r="DT41" i="1"/>
  <c r="P51" i="8"/>
  <c r="HE58" i="1"/>
  <c r="K63" i="7"/>
  <c r="N63" i="7" s="1"/>
  <c r="X72" i="1"/>
  <c r="HF23" i="1"/>
  <c r="AS73" i="10"/>
  <c r="N17" i="8"/>
  <c r="DA73" i="1"/>
  <c r="FC73" i="1"/>
  <c r="FC74" i="1" s="1"/>
  <c r="FD73" i="1"/>
  <c r="FD74" i="1" s="1"/>
  <c r="FR73" i="1"/>
  <c r="FR74" i="1" s="1"/>
  <c r="FS73" i="1"/>
  <c r="FS74" i="1" s="1"/>
  <c r="GV72" i="1"/>
  <c r="GW72" i="1"/>
  <c r="FU72" i="1"/>
  <c r="FV72" i="1"/>
  <c r="C74" i="7"/>
  <c r="C72" i="7"/>
  <c r="HD6" i="1"/>
  <c r="HD72" i="1" s="1"/>
  <c r="AP70" i="9"/>
  <c r="AP67" i="9" s="1"/>
  <c r="BT40" i="9"/>
  <c r="C52" i="1"/>
  <c r="C27" i="1" s="1"/>
  <c r="C73" i="1" s="1"/>
  <c r="HE41" i="1"/>
  <c r="EW53" i="1"/>
  <c r="H50" i="7" s="1"/>
  <c r="DV26" i="1"/>
  <c r="DW26" i="1" s="1"/>
  <c r="HE40" i="1"/>
  <c r="DV52" i="1"/>
  <c r="DW7" i="1"/>
  <c r="GA72" i="1"/>
  <c r="GB72" i="1"/>
  <c r="GY73" i="1"/>
  <c r="GZ73" i="1"/>
  <c r="GZ74" i="1" s="1"/>
  <c r="GY74" i="1"/>
  <c r="L72" i="7"/>
  <c r="F72" i="7"/>
  <c r="F73" i="7"/>
  <c r="F75" i="7" s="1"/>
  <c r="F24" i="7"/>
  <c r="F69" i="7" s="1"/>
  <c r="L49" i="7"/>
  <c r="F3" i="7"/>
  <c r="L3" i="7" s="1"/>
  <c r="L23" i="7"/>
  <c r="L72" i="5"/>
  <c r="H72" i="5"/>
  <c r="W73" i="5"/>
  <c r="AJ73" i="5"/>
  <c r="X6" i="9"/>
  <c r="Y72" i="5"/>
  <c r="AF6" i="9"/>
  <c r="AF72" i="9" s="1"/>
  <c r="N72" i="5"/>
  <c r="K18" i="8"/>
  <c r="O18" i="8" s="1"/>
  <c r="T73" i="5"/>
  <c r="Q38" i="8"/>
  <c r="N38" i="8"/>
  <c r="M4" i="8"/>
  <c r="HF49" i="1"/>
  <c r="AF27" i="9"/>
  <c r="AF73" i="9" s="1"/>
  <c r="P73" i="9"/>
  <c r="P37" i="8"/>
  <c r="AP52" i="10"/>
  <c r="M49" i="8" s="1"/>
  <c r="J9" i="8"/>
  <c r="BT40" i="10"/>
  <c r="BT52" i="10" s="1"/>
  <c r="DZ73" i="1"/>
  <c r="E73" i="9"/>
  <c r="G27" i="9"/>
  <c r="G73" i="9" s="1"/>
  <c r="I72" i="5"/>
  <c r="AQ73" i="10"/>
  <c r="R20" i="8"/>
  <c r="K59" i="8"/>
  <c r="DT23" i="1"/>
  <c r="P20" i="8"/>
  <c r="HF46" i="1"/>
  <c r="F73" i="9"/>
  <c r="U72" i="9"/>
  <c r="U74" i="9" s="1"/>
  <c r="Q64" i="8"/>
  <c r="N65" i="7"/>
  <c r="P65" i="7" s="1"/>
  <c r="O46" i="8"/>
  <c r="F73" i="1"/>
  <c r="X27" i="9"/>
  <c r="K72" i="9"/>
  <c r="AD72" i="1"/>
  <c r="T72" i="5"/>
  <c r="N46" i="8"/>
  <c r="R65" i="8"/>
  <c r="V72" i="9"/>
  <c r="J61" i="9"/>
  <c r="GK73" i="1"/>
  <c r="GJ73" i="1"/>
  <c r="BD73" i="9"/>
  <c r="BD74" i="9" s="1"/>
  <c r="D49" i="8"/>
  <c r="BS27" i="9"/>
  <c r="Q74" i="9"/>
  <c r="G72" i="9"/>
  <c r="H72" i="9"/>
  <c r="H74" i="9" s="1"/>
  <c r="AE27" i="9"/>
  <c r="AD73" i="9"/>
  <c r="CI73" i="1"/>
  <c r="K17" i="7"/>
  <c r="R73" i="1"/>
  <c r="AS73" i="1"/>
  <c r="C72" i="9"/>
  <c r="CI72" i="1"/>
  <c r="AD72" i="9"/>
  <c r="BK72" i="1"/>
  <c r="AE26" i="9"/>
  <c r="AE6" i="9" s="1"/>
  <c r="GD72" i="1"/>
  <c r="GE72" i="1"/>
  <c r="E58" i="7"/>
  <c r="BO73" i="5"/>
  <c r="BO74" i="5" s="1"/>
  <c r="HC18" i="1"/>
  <c r="E15" i="7"/>
  <c r="E71" i="7" s="1"/>
  <c r="BS6" i="5"/>
  <c r="AS72" i="1"/>
  <c r="P72" i="9"/>
  <c r="BN73" i="1"/>
  <c r="D72" i="9"/>
  <c r="E72" i="9"/>
  <c r="AI73" i="9"/>
  <c r="R72" i="9"/>
  <c r="R74" i="9" s="1"/>
  <c r="AG73" i="1"/>
  <c r="L73" i="5"/>
  <c r="I73" i="1"/>
  <c r="D73" i="9"/>
  <c r="AM73" i="9"/>
  <c r="BE73" i="1"/>
  <c r="H73" i="5"/>
  <c r="R39" i="8"/>
  <c r="AQ6" i="10"/>
  <c r="BT59" i="9"/>
  <c r="BT58" i="9" s="1"/>
  <c r="BT53" i="9" s="1"/>
  <c r="L56" i="8"/>
  <c r="P56" i="8" s="1"/>
  <c r="AP58" i="9"/>
  <c r="B72" i="10"/>
  <c r="B74" i="10" s="1"/>
  <c r="O43" i="7"/>
  <c r="P43" i="7"/>
  <c r="J46" i="8"/>
  <c r="F54" i="8"/>
  <c r="Q46" i="8"/>
  <c r="FX72" i="1"/>
  <c r="FX74" i="1" s="1"/>
  <c r="FY72" i="1"/>
  <c r="FY74" i="1" s="1"/>
  <c r="O63" i="8"/>
  <c r="F63" i="8"/>
  <c r="DT49" i="1"/>
  <c r="K46" i="7"/>
  <c r="N46" i="7" s="1"/>
  <c r="R14" i="8"/>
  <c r="AL73" i="5"/>
  <c r="G37" i="8"/>
  <c r="BT40" i="5"/>
  <c r="H37" i="7"/>
  <c r="AZ52" i="9"/>
  <c r="H25" i="8"/>
  <c r="J51" i="8"/>
  <c r="J18" i="8"/>
  <c r="P47" i="7"/>
  <c r="R22" i="8"/>
  <c r="M15" i="8"/>
  <c r="AP26" i="10"/>
  <c r="J26" i="8"/>
  <c r="J64" i="8"/>
  <c r="F57" i="8"/>
  <c r="R57" i="8" s="1"/>
  <c r="O57" i="8"/>
  <c r="M37" i="8"/>
  <c r="AM73" i="1"/>
  <c r="N73" i="5"/>
  <c r="J38" i="8"/>
  <c r="P38" i="8"/>
  <c r="I25" i="8"/>
  <c r="Q25" i="8" s="1"/>
  <c r="AZ52" i="10"/>
  <c r="AC73" i="5"/>
  <c r="AC74" i="5" s="1"/>
  <c r="G50" i="8"/>
  <c r="J50" i="8" s="1"/>
  <c r="H15" i="8"/>
  <c r="O27" i="8"/>
  <c r="K26" i="8"/>
  <c r="BT29" i="5"/>
  <c r="J52" i="5"/>
  <c r="F59" i="8"/>
  <c r="AX73" i="5"/>
  <c r="F64" i="8"/>
  <c r="AR72" i="10"/>
  <c r="AR74" i="10" s="1"/>
  <c r="DY73" i="1"/>
  <c r="Q73" i="5"/>
  <c r="K73" i="5"/>
  <c r="K74" i="5" s="1"/>
  <c r="M73" i="5"/>
  <c r="EC73" i="1"/>
  <c r="EB73" i="1"/>
  <c r="DT59" i="1"/>
  <c r="K56" i="7"/>
  <c r="N56" i="7" s="1"/>
  <c r="P56" i="7" s="1"/>
  <c r="K55" i="8"/>
  <c r="BT58" i="5"/>
  <c r="C19" i="32" l="1"/>
  <c r="O20" i="7"/>
  <c r="BT66" i="9"/>
  <c r="BT62" i="9" s="1"/>
  <c r="EN245" i="37"/>
  <c r="EN405" i="37" s="1"/>
  <c r="EN408" i="37"/>
  <c r="EN410" i="37"/>
  <c r="EP329" i="37"/>
  <c r="AW245" i="37"/>
  <c r="AW405" i="37" s="1"/>
  <c r="AW408" i="37"/>
  <c r="AW410" i="37"/>
  <c r="K64" i="8"/>
  <c r="O64" i="8" s="1"/>
  <c r="BT67" i="5"/>
  <c r="AX245" i="37"/>
  <c r="AX408" i="37"/>
  <c r="AX405" i="37"/>
  <c r="AX410" i="37"/>
  <c r="EP331" i="37"/>
  <c r="EM336" i="37"/>
  <c r="EP336" i="37" s="1"/>
  <c r="EP397" i="37"/>
  <c r="EM398" i="37"/>
  <c r="AP61" i="5"/>
  <c r="K58" i="8" s="1"/>
  <c r="EP236" i="37"/>
  <c r="EM237" i="37"/>
  <c r="AE67" i="1"/>
  <c r="AD61" i="1"/>
  <c r="AD27" i="1" s="1"/>
  <c r="EP140" i="37"/>
  <c r="EP251" i="37"/>
  <c r="EM318" i="37"/>
  <c r="BS72" i="9"/>
  <c r="Q15" i="8"/>
  <c r="AD74" i="9"/>
  <c r="AQ27" i="16"/>
  <c r="BS27" i="5"/>
  <c r="E59" i="7"/>
  <c r="HC62" i="1"/>
  <c r="P20" i="7"/>
  <c r="GK74" i="1"/>
  <c r="GA74" i="1"/>
  <c r="K27" i="7"/>
  <c r="N27" i="7" s="1"/>
  <c r="C26" i="32" s="1"/>
  <c r="H26" i="32" s="1"/>
  <c r="GD74" i="1"/>
  <c r="CF72" i="1"/>
  <c r="E25" i="7"/>
  <c r="E70" i="7" s="1"/>
  <c r="E72" i="7" s="1"/>
  <c r="GJ74" i="1"/>
  <c r="GB74" i="1"/>
  <c r="HF30" i="1"/>
  <c r="DT30" i="1"/>
  <c r="GQ6" i="1"/>
  <c r="GQ72" i="1" s="1"/>
  <c r="FV74" i="1"/>
  <c r="GP72" i="1"/>
  <c r="HB52" i="1"/>
  <c r="E49" i="7" s="1"/>
  <c r="FO27" i="1"/>
  <c r="FP6" i="1"/>
  <c r="FP72" i="1" s="1"/>
  <c r="FO72" i="1"/>
  <c r="L24" i="7"/>
  <c r="L69" i="7" s="1"/>
  <c r="FA74" i="1"/>
  <c r="GE74" i="1"/>
  <c r="FU74" i="1"/>
  <c r="E49" i="8"/>
  <c r="F49" i="8" s="1"/>
  <c r="BS27" i="10"/>
  <c r="E24" i="8" s="1"/>
  <c r="E23" i="8"/>
  <c r="BS6" i="10"/>
  <c r="E3" i="8" s="1"/>
  <c r="F23" i="8"/>
  <c r="GO73" i="1"/>
  <c r="GO74" i="1" s="1"/>
  <c r="HA27" i="1"/>
  <c r="HA73" i="1" s="1"/>
  <c r="HA74" i="1" s="1"/>
  <c r="CI74" i="1"/>
  <c r="EZ74" i="1"/>
  <c r="EV73" i="1"/>
  <c r="EV74" i="1" s="1"/>
  <c r="HD27" i="1"/>
  <c r="HD73" i="1" s="1"/>
  <c r="HD74" i="1" s="1"/>
  <c r="C75" i="7"/>
  <c r="GS73" i="1"/>
  <c r="GS74" i="1" s="1"/>
  <c r="GT73" i="1"/>
  <c r="GT74" i="1" s="1"/>
  <c r="Q13" i="32"/>
  <c r="R13" i="32" s="1"/>
  <c r="P63" i="7"/>
  <c r="C52" i="32"/>
  <c r="Q21" i="32"/>
  <c r="R21" i="32" s="1"/>
  <c r="C36" i="32"/>
  <c r="R37" i="32"/>
  <c r="E45" i="32"/>
  <c r="E36" i="32" s="1"/>
  <c r="Q46" i="32"/>
  <c r="R46" i="32" s="1"/>
  <c r="AQ65" i="16"/>
  <c r="AC65" i="16"/>
  <c r="AQ55" i="16"/>
  <c r="AC55" i="16"/>
  <c r="L23" i="16"/>
  <c r="L74" i="16"/>
  <c r="AQ43" i="16"/>
  <c r="AC43" i="16"/>
  <c r="AQ38" i="16"/>
  <c r="J37" i="16"/>
  <c r="AC38" i="16"/>
  <c r="AQ14" i="16"/>
  <c r="AC14" i="16"/>
  <c r="HF66" i="1"/>
  <c r="N59" i="8"/>
  <c r="L63" i="8"/>
  <c r="P63" i="8" s="1"/>
  <c r="DS62" i="1"/>
  <c r="K59" i="7" s="1"/>
  <c r="O63" i="7"/>
  <c r="AP27" i="10"/>
  <c r="M24" i="8" s="1"/>
  <c r="N74" i="5"/>
  <c r="L74" i="5"/>
  <c r="R38" i="8"/>
  <c r="H74" i="5"/>
  <c r="GV73" i="1"/>
  <c r="GV74" i="1" s="1"/>
  <c r="GW73" i="1"/>
  <c r="GW74" i="1" s="1"/>
  <c r="K61" i="9"/>
  <c r="K27" i="9" s="1"/>
  <c r="K73" i="9" s="1"/>
  <c r="K74" i="9" s="1"/>
  <c r="L67" i="8"/>
  <c r="BT70" i="9"/>
  <c r="BT67" i="9" s="1"/>
  <c r="BT61" i="9" s="1"/>
  <c r="DS70" i="1"/>
  <c r="DV6" i="1"/>
  <c r="DV27" i="1"/>
  <c r="DW52" i="1"/>
  <c r="L72" i="1"/>
  <c r="F72" i="1"/>
  <c r="F74" i="1" s="1"/>
  <c r="AN73" i="9"/>
  <c r="DM73" i="1"/>
  <c r="CO73" i="1"/>
  <c r="BB73" i="1"/>
  <c r="AJ72" i="5"/>
  <c r="AJ74" i="5" s="1"/>
  <c r="AI73" i="5"/>
  <c r="CX73" i="1"/>
  <c r="X72" i="9"/>
  <c r="BQ72" i="1"/>
  <c r="HF40" i="1"/>
  <c r="V73" i="9"/>
  <c r="V74" i="9" s="1"/>
  <c r="R46" i="8"/>
  <c r="T74" i="5"/>
  <c r="AS72" i="10"/>
  <c r="AS74" i="10" s="1"/>
  <c r="S73" i="9"/>
  <c r="AS74" i="1"/>
  <c r="O73" i="1"/>
  <c r="P74" i="9"/>
  <c r="CG72" i="1"/>
  <c r="B12" i="29"/>
  <c r="AF74" i="9"/>
  <c r="BR72" i="1"/>
  <c r="C73" i="9"/>
  <c r="C74" i="9" s="1"/>
  <c r="Y73" i="5"/>
  <c r="Y74" i="5" s="1"/>
  <c r="HF59" i="1"/>
  <c r="AK73" i="9"/>
  <c r="X73" i="9"/>
  <c r="AH73" i="9"/>
  <c r="CU73" i="1"/>
  <c r="BE72" i="1"/>
  <c r="BE74" i="1" s="1"/>
  <c r="BF72" i="1"/>
  <c r="BF74" i="1" s="1"/>
  <c r="BC72" i="1"/>
  <c r="BC74" i="1" s="1"/>
  <c r="FJ73" i="1"/>
  <c r="FJ74" i="1" s="1"/>
  <c r="FI73" i="1"/>
  <c r="FI74" i="1" s="1"/>
  <c r="BS73" i="9"/>
  <c r="D24" i="8"/>
  <c r="E74" i="9"/>
  <c r="G74" i="9"/>
  <c r="CO72" i="1"/>
  <c r="CP72" i="1"/>
  <c r="CP74" i="1" s="1"/>
  <c r="V72" i="1"/>
  <c r="V74" i="1" s="1"/>
  <c r="U72" i="1"/>
  <c r="U74" i="1" s="1"/>
  <c r="R72" i="1"/>
  <c r="R74" i="1" s="1"/>
  <c r="S72" i="1"/>
  <c r="S74" i="1" s="1"/>
  <c r="AE73" i="9"/>
  <c r="CL73" i="1"/>
  <c r="AV73" i="9"/>
  <c r="EK73" i="1"/>
  <c r="L73" i="1"/>
  <c r="M73" i="1"/>
  <c r="AE72" i="9"/>
  <c r="F51" i="8"/>
  <c r="BS72" i="5"/>
  <c r="C3" i="8"/>
  <c r="HC26" i="1"/>
  <c r="E23" i="7"/>
  <c r="E74" i="7"/>
  <c r="I72" i="1"/>
  <c r="I74" i="1" s="1"/>
  <c r="J72" i="1"/>
  <c r="J74" i="1" s="1"/>
  <c r="DD73" i="1"/>
  <c r="DE73" i="1"/>
  <c r="D74" i="9"/>
  <c r="BK73" i="1"/>
  <c r="BK74" i="1" s="1"/>
  <c r="BL73" i="1"/>
  <c r="BL74" i="1" s="1"/>
  <c r="AQ72" i="10"/>
  <c r="AQ74" i="10" s="1"/>
  <c r="L55" i="8"/>
  <c r="P55" i="8" s="1"/>
  <c r="AP53" i="9"/>
  <c r="N56" i="8"/>
  <c r="K37" i="7"/>
  <c r="DT40" i="1"/>
  <c r="M23" i="8"/>
  <c r="AZ27" i="9"/>
  <c r="H49" i="8"/>
  <c r="CG73" i="1"/>
  <c r="CF73" i="1"/>
  <c r="I49" i="8"/>
  <c r="Q49" i="8" s="1"/>
  <c r="Q37" i="8"/>
  <c r="N37" i="8"/>
  <c r="O46" i="7"/>
  <c r="P46" i="7"/>
  <c r="O37" i="8"/>
  <c r="J37" i="8"/>
  <c r="O26" i="8"/>
  <c r="J27" i="5"/>
  <c r="HF58" i="1"/>
  <c r="K55" i="7"/>
  <c r="DT58" i="1"/>
  <c r="AW73" i="1"/>
  <c r="AV73" i="1"/>
  <c r="AK73" i="1"/>
  <c r="AJ73" i="1"/>
  <c r="O56" i="8"/>
  <c r="F56" i="8"/>
  <c r="DZ72" i="1"/>
  <c r="DZ74" i="1" s="1"/>
  <c r="DY72" i="1"/>
  <c r="DY74" i="1" s="1"/>
  <c r="F58" i="8"/>
  <c r="DS67" i="1" l="1"/>
  <c r="DT67" i="1" s="1"/>
  <c r="HE70" i="1"/>
  <c r="EP398" i="37"/>
  <c r="EM403" i="37"/>
  <c r="EP403" i="37" s="1"/>
  <c r="EM242" i="37"/>
  <c r="EP237" i="37"/>
  <c r="EP318" i="37"/>
  <c r="BS74" i="9"/>
  <c r="AP73" i="10"/>
  <c r="F3" i="8"/>
  <c r="G26" i="32"/>
  <c r="O26" i="32"/>
  <c r="J26" i="32"/>
  <c r="O27" i="7"/>
  <c r="K26" i="32"/>
  <c r="N26" i="32"/>
  <c r="F26" i="32"/>
  <c r="Q19" i="32"/>
  <c r="R19" i="32" s="1"/>
  <c r="P27" i="7"/>
  <c r="CF74" i="1"/>
  <c r="E26" i="32"/>
  <c r="M26" i="32"/>
  <c r="I26" i="32"/>
  <c r="P26" i="32"/>
  <c r="L26" i="32"/>
  <c r="E73" i="7"/>
  <c r="E75" i="7" s="1"/>
  <c r="BS73" i="5"/>
  <c r="BS74" i="5" s="1"/>
  <c r="C24" i="8"/>
  <c r="F24" i="8" s="1"/>
  <c r="HC52" i="1"/>
  <c r="FP27" i="1"/>
  <c r="FP73" i="1" s="1"/>
  <c r="FP74" i="1" s="1"/>
  <c r="FO73" i="1"/>
  <c r="FO74" i="1" s="1"/>
  <c r="R52" i="32"/>
  <c r="C50" i="32"/>
  <c r="Q36" i="32"/>
  <c r="R36" i="32" s="1"/>
  <c r="Q45" i="32"/>
  <c r="R45" i="32" s="1"/>
  <c r="Q18" i="32"/>
  <c r="R18" i="32" s="1"/>
  <c r="L69" i="16"/>
  <c r="L71" i="16" s="1"/>
  <c r="AQ37" i="16"/>
  <c r="AC37" i="16"/>
  <c r="AQ63" i="16"/>
  <c r="AC63" i="16"/>
  <c r="N63" i="8"/>
  <c r="R63" i="8" s="1"/>
  <c r="DT62" i="1"/>
  <c r="G72" i="1"/>
  <c r="G74" i="1" s="1"/>
  <c r="M72" i="1"/>
  <c r="M74" i="1" s="1"/>
  <c r="DV73" i="1"/>
  <c r="HF70" i="1"/>
  <c r="DT70" i="1"/>
  <c r="K67" i="7"/>
  <c r="N67" i="7" s="1"/>
  <c r="L64" i="8"/>
  <c r="AP61" i="9"/>
  <c r="L58" i="8" s="1"/>
  <c r="N67" i="8"/>
  <c r="R67" i="8" s="1"/>
  <c r="P67" i="8"/>
  <c r="X74" i="9"/>
  <c r="DW27" i="1"/>
  <c r="DW73" i="1" s="1"/>
  <c r="CO74" i="1"/>
  <c r="EC72" i="1"/>
  <c r="EC74" i="1" s="1"/>
  <c r="EB72" i="1"/>
  <c r="EB74" i="1" s="1"/>
  <c r="CG74" i="1"/>
  <c r="C12" i="29"/>
  <c r="L74" i="1"/>
  <c r="BQ73" i="1"/>
  <c r="BQ74" i="1" s="1"/>
  <c r="BR73" i="1"/>
  <c r="BR74" i="1" s="1"/>
  <c r="AE74" i="9"/>
  <c r="CL72" i="1"/>
  <c r="CL74" i="1" s="1"/>
  <c r="CM72" i="1"/>
  <c r="CM74" i="1" s="1"/>
  <c r="R56" i="8"/>
  <c r="E3" i="7"/>
  <c r="HC6" i="1"/>
  <c r="HC72" i="1" s="1"/>
  <c r="HB72" i="1"/>
  <c r="DV72" i="1"/>
  <c r="DW6" i="1"/>
  <c r="DW72" i="1" s="1"/>
  <c r="L50" i="8"/>
  <c r="P50" i="8" s="1"/>
  <c r="N55" i="8"/>
  <c r="N37" i="7"/>
  <c r="P37" i="7" s="1"/>
  <c r="AZ73" i="9"/>
  <c r="H24" i="8"/>
  <c r="R37" i="8"/>
  <c r="J73" i="5"/>
  <c r="N55" i="7"/>
  <c r="P55" i="7" s="1"/>
  <c r="O55" i="8"/>
  <c r="F55" i="8"/>
  <c r="C55" i="32" l="1"/>
  <c r="O67" i="7"/>
  <c r="P67" i="7"/>
  <c r="EM404" i="37"/>
  <c r="EM245" i="37" s="1"/>
  <c r="EP242" i="37"/>
  <c r="EP404" i="37"/>
  <c r="Q26" i="32"/>
  <c r="R26" i="32" s="1"/>
  <c r="HB27" i="1"/>
  <c r="GP73" i="1"/>
  <c r="GP74" i="1" s="1"/>
  <c r="GQ27" i="1"/>
  <c r="GQ73" i="1" s="1"/>
  <c r="GQ74" i="1" s="1"/>
  <c r="J67" i="16"/>
  <c r="J64" i="16" s="1"/>
  <c r="HE67" i="1"/>
  <c r="HF67" i="1" s="1"/>
  <c r="R55" i="32"/>
  <c r="C53" i="32"/>
  <c r="R53" i="32" s="1"/>
  <c r="R50" i="32"/>
  <c r="DV74" i="1"/>
  <c r="DW74" i="1"/>
  <c r="K64" i="7"/>
  <c r="N64" i="7" s="1"/>
  <c r="P64" i="8"/>
  <c r="N64" i="8"/>
  <c r="R64" i="8" s="1"/>
  <c r="AD73" i="1"/>
  <c r="AD74" i="1" s="1"/>
  <c r="DS61" i="1"/>
  <c r="P58" i="8"/>
  <c r="N58" i="8"/>
  <c r="R55" i="8"/>
  <c r="E12" i="29"/>
  <c r="D12" i="29"/>
  <c r="O37" i="7"/>
  <c r="F50" i="8"/>
  <c r="O64" i="7" l="1"/>
  <c r="P64" i="7"/>
  <c r="EM408" i="37"/>
  <c r="EP245" i="37"/>
  <c r="EM405" i="37"/>
  <c r="EP405" i="37" s="1"/>
  <c r="EP408" i="37"/>
  <c r="AC67" i="16"/>
  <c r="AQ67" i="16"/>
  <c r="HC27" i="1"/>
  <c r="HC73" i="1" s="1"/>
  <c r="HC74" i="1" s="1"/>
  <c r="E24" i="7"/>
  <c r="E69" i="7" s="1"/>
  <c r="HB73" i="1"/>
  <c r="HB74" i="1" s="1"/>
  <c r="C49" i="32"/>
  <c r="R49" i="32" s="1"/>
  <c r="AQ64" i="16"/>
  <c r="AC64" i="16"/>
  <c r="DT61" i="1"/>
  <c r="K58" i="7"/>
  <c r="AP36" i="9" l="1"/>
  <c r="AP34" i="9"/>
  <c r="DS34" i="1" l="1"/>
  <c r="HE34" i="1" s="1"/>
  <c r="J31" i="16" s="1"/>
  <c r="BT36" i="9"/>
  <c r="L33" i="8"/>
  <c r="L31" i="8"/>
  <c r="AP29" i="9"/>
  <c r="BT34" i="9"/>
  <c r="J26" i="16" l="1"/>
  <c r="M31" i="16"/>
  <c r="AQ31" i="16"/>
  <c r="AC31" i="16"/>
  <c r="DS29" i="1"/>
  <c r="HE29" i="1" s="1"/>
  <c r="P33" i="8"/>
  <c r="BT29" i="9"/>
  <c r="HF34" i="1"/>
  <c r="N31" i="8"/>
  <c r="R31" i="8" s="1"/>
  <c r="P31" i="8"/>
  <c r="J52" i="9"/>
  <c r="J27" i="9" s="1"/>
  <c r="K31" i="7"/>
  <c r="N31" i="7" s="1"/>
  <c r="C30" i="32" s="1"/>
  <c r="DT34" i="1"/>
  <c r="L26" i="8"/>
  <c r="N31" i="16" l="1"/>
  <c r="M26" i="16"/>
  <c r="M25" i="16" s="1"/>
  <c r="M49" i="16" s="1"/>
  <c r="F30" i="32"/>
  <c r="F25" i="32" s="1"/>
  <c r="H30" i="32"/>
  <c r="H25" i="32" s="1"/>
  <c r="J30" i="32"/>
  <c r="J25" i="32" s="1"/>
  <c r="L30" i="32"/>
  <c r="L25" i="32" s="1"/>
  <c r="N30" i="32"/>
  <c r="N25" i="32" s="1"/>
  <c r="P30" i="32"/>
  <c r="P25" i="32" s="1"/>
  <c r="E30" i="32"/>
  <c r="G30" i="32"/>
  <c r="G25" i="32" s="1"/>
  <c r="I30" i="32"/>
  <c r="I25" i="32" s="1"/>
  <c r="K30" i="32"/>
  <c r="K25" i="32" s="1"/>
  <c r="M30" i="32"/>
  <c r="M25" i="32" s="1"/>
  <c r="O30" i="32"/>
  <c r="O25" i="32" s="1"/>
  <c r="C25" i="32"/>
  <c r="AQ26" i="16"/>
  <c r="AC26" i="16"/>
  <c r="DT29" i="1"/>
  <c r="K26" i="7"/>
  <c r="N26" i="7" s="1"/>
  <c r="P26" i="8"/>
  <c r="N26" i="8"/>
  <c r="R26" i="8" s="1"/>
  <c r="O31" i="7"/>
  <c r="P31" i="7"/>
  <c r="HF29" i="1"/>
  <c r="M70" i="16" l="1"/>
  <c r="M24" i="16"/>
  <c r="O31" i="16"/>
  <c r="O26" i="16" s="1"/>
  <c r="O25" i="16" s="1"/>
  <c r="O49" i="16" s="1"/>
  <c r="N26" i="16"/>
  <c r="N25" i="16" s="1"/>
  <c r="N49" i="16" s="1"/>
  <c r="Q30" i="32"/>
  <c r="R30" i="32" s="1"/>
  <c r="E25" i="32"/>
  <c r="J73" i="9"/>
  <c r="J74" i="9" s="1"/>
  <c r="O26" i="7"/>
  <c r="P26" i="7"/>
  <c r="N70" i="16" l="1"/>
  <c r="N24" i="16"/>
  <c r="O24" i="16"/>
  <c r="O70" i="16"/>
  <c r="Q25" i="32"/>
  <c r="R25" i="32" s="1"/>
  <c r="AB73" i="1"/>
  <c r="AA73" i="1"/>
  <c r="M72" i="9" l="1"/>
  <c r="M74" i="9" s="1"/>
  <c r="AV72" i="9" l="1"/>
  <c r="AV74" i="9" s="1"/>
  <c r="O72" i="9" l="1"/>
  <c r="O74" i="9" s="1"/>
  <c r="AP8" i="5" l="1"/>
  <c r="B7" i="5"/>
  <c r="B26" i="5" s="1"/>
  <c r="B6" i="5" s="1"/>
  <c r="B72" i="5" s="1"/>
  <c r="B74" i="5" s="1"/>
  <c r="K5" i="8" l="1"/>
  <c r="AL72" i="5" l="1"/>
  <c r="AL74" i="5" s="1"/>
  <c r="AO73" i="9" l="1"/>
  <c r="AM73" i="5"/>
  <c r="AL72" i="9"/>
  <c r="AL74" i="9" s="1"/>
  <c r="AH72" i="9"/>
  <c r="AH74" i="9" s="1"/>
  <c r="AZ36" i="5"/>
  <c r="AT72" i="10"/>
  <c r="AT72" i="9"/>
  <c r="AT74" i="9" s="1"/>
  <c r="AI72" i="5"/>
  <c r="AI74" i="5" s="1"/>
  <c r="G33" i="8" l="1"/>
  <c r="AT73" i="5"/>
  <c r="EW36" i="1"/>
  <c r="AW72" i="5"/>
  <c r="EX36" i="1" l="1"/>
  <c r="H33" i="7"/>
  <c r="J33" i="8"/>
  <c r="DJ73" i="1" l="1"/>
  <c r="DK73" i="1"/>
  <c r="DG72" i="1"/>
  <c r="DG74" i="1" s="1"/>
  <c r="DH72" i="1"/>
  <c r="DH74" i="1" s="1"/>
  <c r="CV72" i="1"/>
  <c r="CV74" i="1" s="1"/>
  <c r="CU72" i="1"/>
  <c r="CU74" i="1" s="1"/>
  <c r="EN72" i="1"/>
  <c r="EO72" i="1"/>
  <c r="EO74" i="1" s="1"/>
  <c r="DP73" i="1" l="1"/>
  <c r="DQ73" i="1"/>
  <c r="N72" i="9" l="1"/>
  <c r="N74" i="9" s="1"/>
  <c r="AP11" i="9"/>
  <c r="L8" i="8" l="1"/>
  <c r="BT11" i="9"/>
  <c r="DS11" i="1"/>
  <c r="HE11" i="1" l="1"/>
  <c r="DT11" i="1"/>
  <c r="K8" i="7"/>
  <c r="N8" i="7" s="1"/>
  <c r="C7" i="32" s="1"/>
  <c r="P8" i="8"/>
  <c r="N8" i="8"/>
  <c r="R8" i="8" s="1"/>
  <c r="F7" i="32" l="1"/>
  <c r="H7" i="32"/>
  <c r="J7" i="32"/>
  <c r="L7" i="32"/>
  <c r="N7" i="32"/>
  <c r="P7" i="32"/>
  <c r="G7" i="32"/>
  <c r="I7" i="32"/>
  <c r="K7" i="32"/>
  <c r="M7" i="32"/>
  <c r="O7" i="32"/>
  <c r="E7" i="32"/>
  <c r="HF11" i="1"/>
  <c r="J8" i="16"/>
  <c r="P8" i="7"/>
  <c r="O8" i="7"/>
  <c r="Q7" i="32" l="1"/>
  <c r="R7" i="32" s="1"/>
  <c r="AQ8" i="16"/>
  <c r="AC8" i="16"/>
  <c r="AM72" i="1"/>
  <c r="AM74" i="1" s="1"/>
  <c r="AN72" i="1"/>
  <c r="AN74" i="1" s="1"/>
  <c r="AN72" i="9" l="1"/>
  <c r="AN74" i="9" s="1"/>
  <c r="U73" i="5"/>
  <c r="DM72" i="1" l="1"/>
  <c r="DM74" i="1" s="1"/>
  <c r="DN72" i="1"/>
  <c r="DN74" i="1" s="1"/>
  <c r="BH73" i="1" l="1"/>
  <c r="BI73" i="1"/>
  <c r="EW20" i="1" l="1"/>
  <c r="AZ20" i="5"/>
  <c r="AZ19" i="5"/>
  <c r="AT72" i="5"/>
  <c r="AT74" i="5" s="1"/>
  <c r="AU72" i="10"/>
  <c r="G17" i="8" l="1"/>
  <c r="BT20" i="5"/>
  <c r="H17" i="7"/>
  <c r="N17" i="7" s="1"/>
  <c r="C16" i="32" s="1"/>
  <c r="HE20" i="1"/>
  <c r="G16" i="8"/>
  <c r="AZ18" i="5"/>
  <c r="EW19" i="1"/>
  <c r="F16" i="32" l="1"/>
  <c r="H16" i="32"/>
  <c r="J16" i="32"/>
  <c r="L16" i="32"/>
  <c r="N16" i="32"/>
  <c r="P16" i="32"/>
  <c r="G16" i="32"/>
  <c r="I16" i="32"/>
  <c r="K16" i="32"/>
  <c r="M16" i="32"/>
  <c r="O16" i="32"/>
  <c r="E16" i="32"/>
  <c r="HF20" i="1"/>
  <c r="J17" i="16"/>
  <c r="O17" i="7"/>
  <c r="P17" i="7"/>
  <c r="J17" i="8"/>
  <c r="R17" i="8" s="1"/>
  <c r="O17" i="8"/>
  <c r="EW18" i="1"/>
  <c r="H16" i="7"/>
  <c r="EX19" i="1"/>
  <c r="G15" i="8"/>
  <c r="J16" i="8"/>
  <c r="Q16" i="32" l="1"/>
  <c r="R16" i="32" s="1"/>
  <c r="AQ17" i="16"/>
  <c r="AC17" i="16"/>
  <c r="EX18" i="1"/>
  <c r="H15" i="7"/>
  <c r="J15" i="8"/>
  <c r="EE72" i="1" l="1"/>
  <c r="EF72" i="1"/>
  <c r="H71" i="7"/>
  <c r="H74" i="7" s="1"/>
  <c r="AA72" i="9" l="1"/>
  <c r="AA74" i="9" s="1"/>
  <c r="AX73" i="10" l="1"/>
  <c r="AZ63" i="5"/>
  <c r="AW73" i="5"/>
  <c r="AW74" i="5" s="1"/>
  <c r="AU73" i="10"/>
  <c r="AU74" i="10" s="1"/>
  <c r="L72" i="9"/>
  <c r="L74" i="9" s="1"/>
  <c r="AP15" i="9"/>
  <c r="AA73" i="5"/>
  <c r="AP39" i="5"/>
  <c r="Y73" i="9"/>
  <c r="AP39" i="9"/>
  <c r="Y72" i="9"/>
  <c r="R72" i="5"/>
  <c r="R73" i="5"/>
  <c r="O73" i="5"/>
  <c r="AP36" i="5"/>
  <c r="Y74" i="9" l="1"/>
  <c r="R74" i="5"/>
  <c r="J57" i="5"/>
  <c r="G60" i="8"/>
  <c r="O60" i="8" s="1"/>
  <c r="BT63" i="5"/>
  <c r="AZ62" i="5"/>
  <c r="AT73" i="10"/>
  <c r="AT74" i="10" s="1"/>
  <c r="AZ63" i="10"/>
  <c r="L12" i="8"/>
  <c r="BT15" i="9"/>
  <c r="W72" i="9"/>
  <c r="W74" i="9" s="1"/>
  <c r="AP19" i="9"/>
  <c r="W72" i="5"/>
  <c r="W74" i="5" s="1"/>
  <c r="AP19" i="5"/>
  <c r="AP37" i="5"/>
  <c r="K36" i="8"/>
  <c r="O36" i="8" s="1"/>
  <c r="BT39" i="5"/>
  <c r="DS39" i="1"/>
  <c r="AP37" i="9"/>
  <c r="L36" i="8"/>
  <c r="BT39" i="9"/>
  <c r="BT37" i="9" s="1"/>
  <c r="BT28" i="9" s="1"/>
  <c r="BT52" i="9" s="1"/>
  <c r="BT27" i="9" s="1"/>
  <c r="BT73" i="9" s="1"/>
  <c r="BT36" i="5"/>
  <c r="K33" i="8"/>
  <c r="DS36" i="1"/>
  <c r="AZ10" i="10"/>
  <c r="AZ10" i="9"/>
  <c r="G59" i="8" l="1"/>
  <c r="O59" i="8" s="1"/>
  <c r="AZ61" i="5"/>
  <c r="BT62" i="5"/>
  <c r="AP57" i="5"/>
  <c r="J54" i="5"/>
  <c r="J53" i="5" s="1"/>
  <c r="EW63" i="1"/>
  <c r="J57" i="10"/>
  <c r="AA57" i="1" s="1"/>
  <c r="AA54" i="1" s="1"/>
  <c r="AA53" i="1" s="1"/>
  <c r="AA6" i="1" s="1"/>
  <c r="AB6" i="1" s="1"/>
  <c r="I60" i="8"/>
  <c r="AZ62" i="10"/>
  <c r="BT63" i="10"/>
  <c r="BT62" i="10" s="1"/>
  <c r="BT61" i="10" s="1"/>
  <c r="BT27" i="10" s="1"/>
  <c r="P12" i="8"/>
  <c r="BT19" i="9"/>
  <c r="L16" i="8"/>
  <c r="P16" i="8" s="1"/>
  <c r="K16" i="8"/>
  <c r="AP18" i="5"/>
  <c r="BT19" i="5"/>
  <c r="DS19" i="1"/>
  <c r="BT37" i="5"/>
  <c r="K34" i="8"/>
  <c r="O34" i="8" s="1"/>
  <c r="N36" i="8"/>
  <c r="R36" i="8" s="1"/>
  <c r="P36" i="8"/>
  <c r="DT39" i="1"/>
  <c r="K36" i="7"/>
  <c r="N36" i="7" s="1"/>
  <c r="C35" i="32" s="1"/>
  <c r="HE39" i="1"/>
  <c r="AP28" i="9"/>
  <c r="L34" i="8"/>
  <c r="DS37" i="1"/>
  <c r="K33" i="7"/>
  <c r="N33" i="7" s="1"/>
  <c r="C32" i="32" s="1"/>
  <c r="HE36" i="1"/>
  <c r="DT36" i="1"/>
  <c r="O33" i="8"/>
  <c r="N33" i="8"/>
  <c r="R33" i="8" s="1"/>
  <c r="BT10" i="10"/>
  <c r="I7" i="8"/>
  <c r="Q7" i="8" s="1"/>
  <c r="H7" i="8"/>
  <c r="F32" i="32" l="1"/>
  <c r="H32" i="32"/>
  <c r="J32" i="32"/>
  <c r="L32" i="32"/>
  <c r="N32" i="32"/>
  <c r="P32" i="32"/>
  <c r="G32" i="32"/>
  <c r="I32" i="32"/>
  <c r="K32" i="32"/>
  <c r="M32" i="32"/>
  <c r="O32" i="32"/>
  <c r="E32" i="32"/>
  <c r="G35" i="32"/>
  <c r="G33" i="32" s="1"/>
  <c r="I35" i="32"/>
  <c r="I33" i="32" s="1"/>
  <c r="K35" i="32"/>
  <c r="K33" i="32" s="1"/>
  <c r="M35" i="32"/>
  <c r="M33" i="32" s="1"/>
  <c r="O35" i="32"/>
  <c r="O33" i="32" s="1"/>
  <c r="E35" i="32"/>
  <c r="F35" i="32"/>
  <c r="F33" i="32" s="1"/>
  <c r="H35" i="32"/>
  <c r="H33" i="32" s="1"/>
  <c r="J35" i="32"/>
  <c r="J33" i="32" s="1"/>
  <c r="L35" i="32"/>
  <c r="L33" i="32" s="1"/>
  <c r="N35" i="32"/>
  <c r="N33" i="32" s="1"/>
  <c r="P35" i="32"/>
  <c r="P33" i="32" s="1"/>
  <c r="C33" i="32"/>
  <c r="HF36" i="1"/>
  <c r="J33" i="16"/>
  <c r="HF39" i="1"/>
  <c r="J36" i="16"/>
  <c r="EQ73" i="1"/>
  <c r="EN73" i="1"/>
  <c r="EN74" i="1" s="1"/>
  <c r="K54" i="8"/>
  <c r="O54" i="8" s="1"/>
  <c r="BT57" i="5"/>
  <c r="AR148" i="37" s="1"/>
  <c r="AP54" i="5"/>
  <c r="G58" i="8"/>
  <c r="O58" i="8" s="1"/>
  <c r="BT61" i="5"/>
  <c r="I59" i="8"/>
  <c r="AZ61" i="10"/>
  <c r="J54" i="10"/>
  <c r="J53" i="10" s="1"/>
  <c r="J6" i="10" s="1"/>
  <c r="J72" i="10" s="1"/>
  <c r="J74" i="10" s="1"/>
  <c r="AP57" i="10"/>
  <c r="EW62" i="1"/>
  <c r="J60" i="8"/>
  <c r="R60" i="8" s="1"/>
  <c r="Q60" i="8"/>
  <c r="HE63" i="1"/>
  <c r="H60" i="7"/>
  <c r="N60" i="7" s="1"/>
  <c r="EX63" i="1"/>
  <c r="AH72" i="1"/>
  <c r="AH74" i="1" s="1"/>
  <c r="AG72" i="1"/>
  <c r="AG74" i="1" s="1"/>
  <c r="DT19" i="1"/>
  <c r="K16" i="7"/>
  <c r="N16" i="7" s="1"/>
  <c r="C15" i="32" s="1"/>
  <c r="HE19" i="1"/>
  <c r="N16" i="8"/>
  <c r="R16" i="8" s="1"/>
  <c r="O16" i="8"/>
  <c r="K15" i="8"/>
  <c r="BT18" i="5"/>
  <c r="AP52" i="9"/>
  <c r="L25" i="8"/>
  <c r="P25" i="8" s="1"/>
  <c r="P36" i="7"/>
  <c r="O36" i="7"/>
  <c r="K34" i="7"/>
  <c r="N34" i="7" s="1"/>
  <c r="DT37" i="1"/>
  <c r="HE37" i="1"/>
  <c r="HF37" i="1" s="1"/>
  <c r="N34" i="8"/>
  <c r="R34" i="8" s="1"/>
  <c r="P34" i="8"/>
  <c r="P33" i="7"/>
  <c r="O33" i="7"/>
  <c r="EM148" i="37" l="1"/>
  <c r="AR150" i="37"/>
  <c r="AR151" i="37" s="1"/>
  <c r="AR243" i="37" s="1"/>
  <c r="M24" i="32"/>
  <c r="M48" i="32" s="1"/>
  <c r="M23" i="32" s="1"/>
  <c r="I24" i="32"/>
  <c r="I48" i="32" s="1"/>
  <c r="I23" i="32" s="1"/>
  <c r="P24" i="32"/>
  <c r="P48" i="32" s="1"/>
  <c r="P23" i="32" s="1"/>
  <c r="L24" i="32"/>
  <c r="L48" i="32" s="1"/>
  <c r="L23" i="32" s="1"/>
  <c r="H24" i="32"/>
  <c r="H48" i="32" s="1"/>
  <c r="H23" i="32" s="1"/>
  <c r="Q32" i="32"/>
  <c r="R32" i="32" s="1"/>
  <c r="Q35" i="32"/>
  <c r="R35" i="32" s="1"/>
  <c r="E33" i="32"/>
  <c r="Q33" i="32" s="1"/>
  <c r="R33" i="32" s="1"/>
  <c r="O24" i="32"/>
  <c r="O48" i="32" s="1"/>
  <c r="O23" i="32" s="1"/>
  <c r="K24" i="32"/>
  <c r="K48" i="32" s="1"/>
  <c r="K23" i="32" s="1"/>
  <c r="G24" i="32"/>
  <c r="G48" i="32" s="1"/>
  <c r="G23" i="32" s="1"/>
  <c r="N24" i="32"/>
  <c r="N48" i="32" s="1"/>
  <c r="N23" i="32" s="1"/>
  <c r="J24" i="32"/>
  <c r="J48" i="32" s="1"/>
  <c r="J23" i="32" s="1"/>
  <c r="F24" i="32"/>
  <c r="F48" i="32" s="1"/>
  <c r="F23" i="32" s="1"/>
  <c r="F15" i="32"/>
  <c r="H15" i="32"/>
  <c r="J15" i="32"/>
  <c r="L15" i="32"/>
  <c r="N15" i="32"/>
  <c r="P15" i="32"/>
  <c r="G15" i="32"/>
  <c r="I15" i="32"/>
  <c r="K15" i="32"/>
  <c r="M15" i="32"/>
  <c r="O15" i="32"/>
  <c r="E15" i="32"/>
  <c r="HF63" i="1"/>
  <c r="J60" i="16"/>
  <c r="J59" i="16" s="1"/>
  <c r="J58" i="16" s="1"/>
  <c r="AQ36" i="16"/>
  <c r="J34" i="16"/>
  <c r="AC36" i="16"/>
  <c r="AQ33" i="16"/>
  <c r="AC33" i="16"/>
  <c r="HF19" i="1"/>
  <c r="J16" i="16"/>
  <c r="K51" i="8"/>
  <c r="O51" i="8" s="1"/>
  <c r="AP53" i="5"/>
  <c r="BT54" i="5"/>
  <c r="EI73" i="1"/>
  <c r="EH73" i="1"/>
  <c r="O60" i="7"/>
  <c r="P60" i="7"/>
  <c r="N68" i="7"/>
  <c r="P68" i="7" s="1"/>
  <c r="EW61" i="1"/>
  <c r="I58" i="8"/>
  <c r="AZ27" i="10"/>
  <c r="H59" i="7"/>
  <c r="N59" i="7" s="1"/>
  <c r="EX62" i="1"/>
  <c r="HE62" i="1"/>
  <c r="HF62" i="1" s="1"/>
  <c r="M54" i="8"/>
  <c r="AP54" i="10"/>
  <c r="BT57" i="10"/>
  <c r="BT54" i="10" s="1"/>
  <c r="BT53" i="10" s="1"/>
  <c r="DS57" i="1"/>
  <c r="Q59" i="8"/>
  <c r="J59" i="8"/>
  <c r="R59" i="8" s="1"/>
  <c r="O15" i="8"/>
  <c r="O16" i="7"/>
  <c r="P16" i="7"/>
  <c r="P34" i="7"/>
  <c r="O34" i="7"/>
  <c r="L49" i="8"/>
  <c r="P49" i="8" s="1"/>
  <c r="AP27" i="9"/>
  <c r="AZ72" i="1"/>
  <c r="AY72" i="1"/>
  <c r="AZ73" i="1"/>
  <c r="AY73" i="1"/>
  <c r="AQ73" i="1"/>
  <c r="AP73" i="1"/>
  <c r="AR410" i="37" l="1"/>
  <c r="AR3" i="37"/>
  <c r="AR244" i="37" s="1"/>
  <c r="AR407" i="37"/>
  <c r="EP148" i="37"/>
  <c r="EM150" i="37"/>
  <c r="E24" i="32"/>
  <c r="E48" i="32" s="1"/>
  <c r="Q15" i="32"/>
  <c r="R15" i="32" s="1"/>
  <c r="AQ16" i="16"/>
  <c r="AC16" i="16"/>
  <c r="AQ34" i="16"/>
  <c r="AC34" i="16"/>
  <c r="AQ60" i="16"/>
  <c r="AC60" i="16"/>
  <c r="AZ74" i="1"/>
  <c r="AY74" i="1"/>
  <c r="BT53" i="5"/>
  <c r="K50" i="8"/>
  <c r="O50" i="8" s="1"/>
  <c r="HE57" i="1"/>
  <c r="K54" i="7"/>
  <c r="N54" i="7" s="1"/>
  <c r="DT57" i="1"/>
  <c r="M51" i="8"/>
  <c r="AP53" i="10"/>
  <c r="O59" i="7"/>
  <c r="P59" i="7"/>
  <c r="Q58" i="8"/>
  <c r="J58" i="8"/>
  <c r="R58" i="8" s="1"/>
  <c r="DS54" i="1"/>
  <c r="N54" i="8"/>
  <c r="R54" i="8" s="1"/>
  <c r="Q54" i="8"/>
  <c r="I24" i="8"/>
  <c r="AZ73" i="10"/>
  <c r="EF73" i="1"/>
  <c r="EF74" i="1" s="1"/>
  <c r="EE73" i="1"/>
  <c r="EE74" i="1" s="1"/>
  <c r="H58" i="7"/>
  <c r="N58" i="7" s="1"/>
  <c r="EX61" i="1"/>
  <c r="HE61" i="1"/>
  <c r="HF61" i="1" s="1"/>
  <c r="BN72" i="1"/>
  <c r="BN74" i="1" s="1"/>
  <c r="BO72" i="1"/>
  <c r="BO74" i="1" s="1"/>
  <c r="CA73" i="1"/>
  <c r="BZ73" i="1"/>
  <c r="L24" i="8"/>
  <c r="P24" i="8" s="1"/>
  <c r="AP73" i="9"/>
  <c r="BT73" i="1"/>
  <c r="BU73" i="1"/>
  <c r="BU72" i="1"/>
  <c r="BT72" i="1"/>
  <c r="EM151" i="37" l="1"/>
  <c r="EP150" i="37"/>
  <c r="Q24" i="32"/>
  <c r="AQ59" i="16"/>
  <c r="AC59" i="16"/>
  <c r="HF57" i="1"/>
  <c r="J54" i="16"/>
  <c r="O58" i="7"/>
  <c r="P58" i="7"/>
  <c r="DS53" i="1"/>
  <c r="N51" i="8"/>
  <c r="R51" i="8" s="1"/>
  <c r="Q51" i="8"/>
  <c r="O54" i="7"/>
  <c r="P54" i="7"/>
  <c r="Q24" i="8"/>
  <c r="HE54" i="1"/>
  <c r="DT54" i="1"/>
  <c r="K51" i="7"/>
  <c r="AP6" i="10"/>
  <c r="M50" i="8"/>
  <c r="BT74" i="1"/>
  <c r="BU74" i="1"/>
  <c r="EP151" i="37" l="1"/>
  <c r="EM243" i="37"/>
  <c r="E23" i="32"/>
  <c r="Q48" i="32"/>
  <c r="AQ58" i="16"/>
  <c r="AC58" i="16"/>
  <c r="AQ54" i="16"/>
  <c r="AC54" i="16"/>
  <c r="J51" i="16"/>
  <c r="AP72" i="10"/>
  <c r="AP74" i="10" s="1"/>
  <c r="M3" i="8"/>
  <c r="HE53" i="1"/>
  <c r="HF53" i="1" s="1"/>
  <c r="DT53" i="1"/>
  <c r="K50" i="7"/>
  <c r="N50" i="7" s="1"/>
  <c r="Q50" i="8"/>
  <c r="N50" i="8"/>
  <c r="R50" i="8" s="1"/>
  <c r="N51" i="7"/>
  <c r="HF54" i="1"/>
  <c r="EM3" i="37" l="1"/>
  <c r="EP3" i="37" s="1"/>
  <c r="EM407" i="37"/>
  <c r="EM244" i="37"/>
  <c r="EP244" i="37" s="1"/>
  <c r="EP243" i="37"/>
  <c r="EM410" i="37"/>
  <c r="Q23" i="32"/>
  <c r="AQ51" i="16"/>
  <c r="J50" i="16"/>
  <c r="AC51" i="16"/>
  <c r="P50" i="7"/>
  <c r="O50" i="7"/>
  <c r="P51" i="7"/>
  <c r="O51" i="7"/>
  <c r="EP407" i="37" l="1"/>
  <c r="EP410" i="37"/>
  <c r="AQ50" i="16"/>
  <c r="AC50" i="16"/>
  <c r="AU72" i="5" l="1"/>
  <c r="AU74" i="5" s="1"/>
  <c r="AZ10" i="5"/>
  <c r="AM72" i="9"/>
  <c r="AM74" i="9" s="1"/>
  <c r="AP35" i="5"/>
  <c r="I73" i="5"/>
  <c r="I74" i="5" s="1"/>
  <c r="G7" i="8" l="1"/>
  <c r="EW10" i="1"/>
  <c r="DS35" i="1"/>
  <c r="K32" i="8"/>
  <c r="AP28" i="5"/>
  <c r="EX10" i="1" l="1"/>
  <c r="H7" i="7"/>
  <c r="J7" i="8"/>
  <c r="K25" i="8"/>
  <c r="AP52" i="5"/>
  <c r="N32" i="8"/>
  <c r="DT35" i="1"/>
  <c r="K32" i="7"/>
  <c r="DS28" i="1"/>
  <c r="DT28" i="1" l="1"/>
  <c r="K25" i="7"/>
  <c r="DS52" i="1"/>
  <c r="AP27" i="5"/>
  <c r="K49" i="8"/>
  <c r="N25" i="8"/>
  <c r="EI72" i="1" l="1"/>
  <c r="EI74" i="1" s="1"/>
  <c r="EH72" i="1"/>
  <c r="EH74" i="1" s="1"/>
  <c r="N49" i="8"/>
  <c r="K24" i="8"/>
  <c r="AP73" i="5"/>
  <c r="X73" i="1"/>
  <c r="X74" i="1" s="1"/>
  <c r="Y73" i="1"/>
  <c r="Y74" i="1" s="1"/>
  <c r="DS27" i="1"/>
  <c r="DT52" i="1"/>
  <c r="K49" i="7"/>
  <c r="DS73" i="1" l="1"/>
  <c r="K24" i="7"/>
  <c r="DT27" i="1"/>
  <c r="DT73" i="1" s="1"/>
  <c r="N24" i="8"/>
  <c r="K69" i="7" l="1"/>
  <c r="J12" i="5" l="1"/>
  <c r="J7" i="5" s="1"/>
  <c r="J26" i="5" s="1"/>
  <c r="J6" i="5" s="1"/>
  <c r="J72" i="5" s="1"/>
  <c r="J74" i="5" s="1"/>
  <c r="AP13" i="5"/>
  <c r="DS13" i="1" l="1"/>
  <c r="K10" i="8"/>
  <c r="BT13" i="5"/>
  <c r="N10" i="8" l="1"/>
  <c r="R10" i="8" s="1"/>
  <c r="O10" i="8"/>
  <c r="K10" i="7"/>
  <c r="N10" i="7" s="1"/>
  <c r="C9" i="32" s="1"/>
  <c r="R9" i="32" s="1"/>
  <c r="HE13" i="1"/>
  <c r="J10" i="16" l="1"/>
  <c r="P10" i="7"/>
  <c r="O10" i="7"/>
  <c r="AQ10" i="16" l="1"/>
  <c r="AC10" i="16"/>
  <c r="AA72" i="1" l="1"/>
  <c r="AA74" i="1" s="1"/>
  <c r="AB72" i="1"/>
  <c r="AB74" i="1" s="1"/>
  <c r="AA72" i="5" l="1"/>
  <c r="AA74" i="5" s="1"/>
  <c r="C10" i="1"/>
  <c r="AY72" i="5"/>
  <c r="F72" i="9"/>
  <c r="F74" i="9" s="1"/>
  <c r="AK72" i="9"/>
  <c r="AK74" i="9" s="1"/>
  <c r="D10" i="1" l="1"/>
  <c r="Q72" i="5"/>
  <c r="Q74" i="5" s="1"/>
  <c r="AP15" i="5"/>
  <c r="AZ35" i="5"/>
  <c r="AY73" i="5"/>
  <c r="AY74" i="5" s="1"/>
  <c r="K12" i="8" l="1"/>
  <c r="BT15" i="5"/>
  <c r="DS15" i="1"/>
  <c r="G32" i="8"/>
  <c r="AZ28" i="5"/>
  <c r="BT35" i="5"/>
  <c r="EW35" i="1"/>
  <c r="HE15" i="1" l="1"/>
  <c r="DT15" i="1"/>
  <c r="K12" i="7"/>
  <c r="N12" i="7" s="1"/>
  <c r="C11" i="32" s="1"/>
  <c r="O12" i="8"/>
  <c r="N12" i="8"/>
  <c r="R12" i="8" s="1"/>
  <c r="H32" i="7"/>
  <c r="N32" i="7" s="1"/>
  <c r="C31" i="32" s="1"/>
  <c r="EX35" i="1"/>
  <c r="HE35" i="1"/>
  <c r="G25" i="8"/>
  <c r="AZ52" i="5"/>
  <c r="BT28" i="5"/>
  <c r="EW28" i="1"/>
  <c r="J32" i="8"/>
  <c r="R32" i="8" s="1"/>
  <c r="O32" i="8"/>
  <c r="R31" i="32" l="1"/>
  <c r="C24" i="32"/>
  <c r="F11" i="32"/>
  <c r="H11" i="32"/>
  <c r="J11" i="32"/>
  <c r="L11" i="32"/>
  <c r="N11" i="32"/>
  <c r="P11" i="32"/>
  <c r="G11" i="32"/>
  <c r="I11" i="32"/>
  <c r="K11" i="32"/>
  <c r="M11" i="32"/>
  <c r="O11" i="32"/>
  <c r="E11" i="32"/>
  <c r="HF35" i="1"/>
  <c r="J32" i="16"/>
  <c r="HF15" i="1"/>
  <c r="J12" i="16"/>
  <c r="O12" i="7"/>
  <c r="P12" i="7"/>
  <c r="EW52" i="1"/>
  <c r="J25" i="8"/>
  <c r="R25" i="8" s="1"/>
  <c r="O25" i="8"/>
  <c r="H25" i="7"/>
  <c r="EX28" i="1"/>
  <c r="HE28" i="1"/>
  <c r="G49" i="8"/>
  <c r="AZ27" i="5"/>
  <c r="BT52" i="5"/>
  <c r="O32" i="7"/>
  <c r="P32" i="7"/>
  <c r="Q11" i="32" l="1"/>
  <c r="R11" i="32" s="1"/>
  <c r="C48" i="32"/>
  <c r="C23" i="32" s="1"/>
  <c r="R24" i="32"/>
  <c r="AQ12" i="16"/>
  <c r="AC12" i="16"/>
  <c r="AQ32" i="16"/>
  <c r="AC32" i="16"/>
  <c r="J25" i="16"/>
  <c r="J49" i="16" s="1"/>
  <c r="J70" i="16" s="1"/>
  <c r="CA72" i="1"/>
  <c r="CA74" i="1" s="1"/>
  <c r="BZ72" i="1"/>
  <c r="BZ74" i="1" s="1"/>
  <c r="O72" i="1"/>
  <c r="O74" i="1" s="1"/>
  <c r="P72" i="1"/>
  <c r="P74" i="1" s="1"/>
  <c r="G24" i="8"/>
  <c r="AZ73" i="5"/>
  <c r="BT27" i="5"/>
  <c r="BT73" i="5" s="1"/>
  <c r="HF28" i="1"/>
  <c r="N25" i="7"/>
  <c r="J49" i="8"/>
  <c r="R49" i="8" s="1"/>
  <c r="O49" i="8"/>
  <c r="H49" i="7"/>
  <c r="N49" i="7" s="1"/>
  <c r="EX52" i="1"/>
  <c r="HE52" i="1"/>
  <c r="HF52" i="1" s="1"/>
  <c r="ET73" i="1"/>
  <c r="EU73" i="1"/>
  <c r="EW27" i="1"/>
  <c r="DD72" i="1"/>
  <c r="DD74" i="1" s="1"/>
  <c r="DE72" i="1"/>
  <c r="DE74" i="1" s="1"/>
  <c r="R23" i="32" l="1"/>
  <c r="R48" i="32"/>
  <c r="AQ25" i="16"/>
  <c r="AC25" i="16"/>
  <c r="AW72" i="1"/>
  <c r="AW74" i="1" s="1"/>
  <c r="AV72" i="1"/>
  <c r="AV74" i="1" s="1"/>
  <c r="P49" i="7"/>
  <c r="O49" i="7"/>
  <c r="EW73" i="1"/>
  <c r="H24" i="7"/>
  <c r="EX27" i="1"/>
  <c r="EX73" i="1" s="1"/>
  <c r="HE27" i="1"/>
  <c r="P25" i="7"/>
  <c r="O25" i="7"/>
  <c r="J24" i="8"/>
  <c r="R24" i="8" s="1"/>
  <c r="O24" i="8"/>
  <c r="AQ49" i="16" l="1"/>
  <c r="AC49" i="16"/>
  <c r="J24" i="16"/>
  <c r="HE73" i="1"/>
  <c r="HF27" i="1"/>
  <c r="HF73" i="1" s="1"/>
  <c r="H69" i="7"/>
  <c r="N24" i="7"/>
  <c r="AQ24" i="16" l="1"/>
  <c r="AC24" i="16"/>
  <c r="AQ70" i="16"/>
  <c r="AC70" i="16"/>
  <c r="O24" i="7"/>
  <c r="N69" i="7"/>
  <c r="P24" i="7"/>
  <c r="O69" i="7" l="1"/>
  <c r="P69" i="7"/>
  <c r="O72" i="5" l="1"/>
  <c r="O74" i="5" s="1"/>
  <c r="AQ72" i="1" l="1"/>
  <c r="AQ74" i="1" s="1"/>
  <c r="AP72" i="1"/>
  <c r="AP74" i="1" s="1"/>
  <c r="AX72" i="5" l="1"/>
  <c r="AX74" i="5" s="1"/>
  <c r="AZ9" i="9" l="1"/>
  <c r="H6" i="8" s="1"/>
  <c r="AY72" i="9"/>
  <c r="AY74" i="9" s="1"/>
  <c r="AZ9" i="10"/>
  <c r="AX72" i="9"/>
  <c r="AX74" i="9" s="1"/>
  <c r="AZ8" i="9"/>
  <c r="AZ8" i="10"/>
  <c r="AX72" i="10"/>
  <c r="AX74" i="10" s="1"/>
  <c r="AZ9" i="5"/>
  <c r="AV72" i="5"/>
  <c r="AV74" i="5" s="1"/>
  <c r="AZ8" i="5"/>
  <c r="U72" i="5"/>
  <c r="U74" i="5" s="1"/>
  <c r="AM72" i="5"/>
  <c r="AM74" i="5" s="1"/>
  <c r="AI72" i="9"/>
  <c r="AI74" i="9" s="1"/>
  <c r="BB72" i="1"/>
  <c r="BB74" i="1" s="1"/>
  <c r="S72" i="9"/>
  <c r="S74" i="9" s="1"/>
  <c r="M72" i="5"/>
  <c r="M74" i="5" s="1"/>
  <c r="AP10" i="5"/>
  <c r="AJ72" i="9"/>
  <c r="AJ74" i="9" s="1"/>
  <c r="AP10" i="9"/>
  <c r="B72" i="9"/>
  <c r="B74" i="9" s="1"/>
  <c r="C8" i="1"/>
  <c r="AP8" i="9"/>
  <c r="I6" i="8" l="1"/>
  <c r="Q6" i="8" s="1"/>
  <c r="BT9" i="10"/>
  <c r="AZ7" i="9"/>
  <c r="H5" i="8"/>
  <c r="BT8" i="10"/>
  <c r="I5" i="8"/>
  <c r="Q5" i="8" s="1"/>
  <c r="AZ7" i="10"/>
  <c r="G6" i="8"/>
  <c r="BT9" i="5"/>
  <c r="EW9" i="1"/>
  <c r="G5" i="8"/>
  <c r="BT8" i="5"/>
  <c r="AZ7" i="5"/>
  <c r="EW8" i="1"/>
  <c r="BT10" i="5"/>
  <c r="K7" i="8"/>
  <c r="O7" i="8" s="1"/>
  <c r="L7" i="8"/>
  <c r="BT10" i="9"/>
  <c r="DS10" i="1"/>
  <c r="C9" i="1"/>
  <c r="C7" i="1" s="1"/>
  <c r="AP9" i="9"/>
  <c r="D8" i="1"/>
  <c r="DS8" i="1"/>
  <c r="L5" i="8"/>
  <c r="BT8" i="9"/>
  <c r="BT7" i="10" l="1"/>
  <c r="BT26" i="10" s="1"/>
  <c r="BT6" i="10" s="1"/>
  <c r="H4" i="8"/>
  <c r="AZ26" i="9"/>
  <c r="AZ26" i="10"/>
  <c r="I4" i="8"/>
  <c r="Q4" i="8" s="1"/>
  <c r="H6" i="7"/>
  <c r="EX9" i="1"/>
  <c r="O6" i="8"/>
  <c r="J6" i="8"/>
  <c r="H5" i="7"/>
  <c r="EX8" i="1"/>
  <c r="EW7" i="1"/>
  <c r="AZ26" i="5"/>
  <c r="G4" i="8"/>
  <c r="O5" i="8"/>
  <c r="J5" i="8"/>
  <c r="DT10" i="1"/>
  <c r="HE10" i="1"/>
  <c r="K7" i="7"/>
  <c r="N7" i="7" s="1"/>
  <c r="C6" i="32" s="1"/>
  <c r="P7" i="8"/>
  <c r="N7" i="8"/>
  <c r="R7" i="8" s="1"/>
  <c r="L6" i="8"/>
  <c r="BT9" i="9"/>
  <c r="D9" i="1"/>
  <c r="DS9" i="1"/>
  <c r="K5" i="7"/>
  <c r="DT8" i="1"/>
  <c r="HE8" i="1"/>
  <c r="N5" i="8"/>
  <c r="P5" i="8"/>
  <c r="D7" i="1"/>
  <c r="C26" i="1"/>
  <c r="J4" i="8" l="1"/>
  <c r="F6" i="32"/>
  <c r="H6" i="32"/>
  <c r="J6" i="32"/>
  <c r="L6" i="32"/>
  <c r="N6" i="32"/>
  <c r="P6" i="32"/>
  <c r="G6" i="32"/>
  <c r="I6" i="32"/>
  <c r="K6" i="32"/>
  <c r="M6" i="32"/>
  <c r="O6" i="32"/>
  <c r="E6" i="32"/>
  <c r="HF8" i="1"/>
  <c r="J5" i="16"/>
  <c r="R5" i="8"/>
  <c r="HF10" i="1"/>
  <c r="J7" i="16"/>
  <c r="M7" i="16" s="1"/>
  <c r="N7" i="16" s="1"/>
  <c r="O7" i="16" s="1"/>
  <c r="N5" i="7"/>
  <c r="C4" i="32" s="1"/>
  <c r="AZ6" i="9"/>
  <c r="H23" i="8"/>
  <c r="AZ6" i="10"/>
  <c r="I23" i="8"/>
  <c r="Q23" i="8" s="1"/>
  <c r="G23" i="8"/>
  <c r="AZ6" i="5"/>
  <c r="EW26" i="1"/>
  <c r="H4" i="7"/>
  <c r="H70" i="7" s="1"/>
  <c r="EX7" i="1"/>
  <c r="P7" i="7"/>
  <c r="O7" i="7"/>
  <c r="N6" i="8"/>
  <c r="R6" i="8" s="1"/>
  <c r="P6" i="8"/>
  <c r="DT9" i="1"/>
  <c r="K6" i="7"/>
  <c r="N6" i="7" s="1"/>
  <c r="C5" i="32" s="1"/>
  <c r="HE9" i="1"/>
  <c r="D26" i="1"/>
  <c r="C6" i="1"/>
  <c r="O5" i="7" l="1"/>
  <c r="P5" i="7"/>
  <c r="J23" i="8"/>
  <c r="Q6" i="32"/>
  <c r="R6" i="32" s="1"/>
  <c r="HF9" i="1"/>
  <c r="J6" i="16"/>
  <c r="AQ5" i="16"/>
  <c r="AC5" i="16"/>
  <c r="AQ7" i="16"/>
  <c r="AC7" i="16"/>
  <c r="EU72" i="1"/>
  <c r="EU74" i="1" s="1"/>
  <c r="ET72" i="1"/>
  <c r="ET74" i="1" s="1"/>
  <c r="H3" i="8"/>
  <c r="AZ72" i="9"/>
  <c r="AZ74" i="9" s="1"/>
  <c r="EQ72" i="1"/>
  <c r="EQ74" i="1" s="1"/>
  <c r="ER72" i="1"/>
  <c r="ER74" i="1" s="1"/>
  <c r="AZ72" i="10"/>
  <c r="AZ74" i="10" s="1"/>
  <c r="I3" i="8"/>
  <c r="Q3" i="8" s="1"/>
  <c r="H73" i="7"/>
  <c r="H75" i="7" s="1"/>
  <c r="H72" i="7"/>
  <c r="EK72" i="1"/>
  <c r="EK74" i="1" s="1"/>
  <c r="EL72" i="1"/>
  <c r="EL74" i="1" s="1"/>
  <c r="EW6" i="1"/>
  <c r="G3" i="8"/>
  <c r="AZ72" i="5"/>
  <c r="AZ74" i="5" s="1"/>
  <c r="EX26" i="1"/>
  <c r="H23" i="7"/>
  <c r="BH72" i="1"/>
  <c r="BH74" i="1" s="1"/>
  <c r="BI72" i="1"/>
  <c r="BI74" i="1" s="1"/>
  <c r="DK72" i="1"/>
  <c r="DK74" i="1" s="1"/>
  <c r="DJ72" i="1"/>
  <c r="DJ74" i="1" s="1"/>
  <c r="CY72" i="1"/>
  <c r="CY74" i="1" s="1"/>
  <c r="CX72" i="1"/>
  <c r="CX74" i="1" s="1"/>
  <c r="AK72" i="1"/>
  <c r="AK74" i="1" s="1"/>
  <c r="AJ72" i="1"/>
  <c r="AJ74" i="1" s="1"/>
  <c r="DB72" i="1"/>
  <c r="DB74" i="1" s="1"/>
  <c r="DA72" i="1"/>
  <c r="DA74" i="1" s="1"/>
  <c r="O6" i="7"/>
  <c r="P6" i="7"/>
  <c r="D6" i="1"/>
  <c r="D72" i="1" s="1"/>
  <c r="D74" i="1" s="1"/>
  <c r="C72" i="1"/>
  <c r="C74" i="1" s="1"/>
  <c r="J3" i="8" l="1"/>
  <c r="Q5" i="32"/>
  <c r="R5" i="32" s="1"/>
  <c r="Q4" i="32"/>
  <c r="R4" i="32" s="1"/>
  <c r="AQ6" i="16"/>
  <c r="AC6" i="16"/>
  <c r="EX6" i="1"/>
  <c r="EX72" i="1" s="1"/>
  <c r="EX74" i="1" s="1"/>
  <c r="H3" i="7"/>
  <c r="EW72" i="1"/>
  <c r="EW74" i="1" s="1"/>
  <c r="AO72" i="5" l="1"/>
  <c r="AO74" i="5" s="1"/>
  <c r="AP16" i="5"/>
  <c r="AP24" i="9"/>
  <c r="BT16" i="5" l="1"/>
  <c r="K13" i="8"/>
  <c r="O13" i="8" s="1"/>
  <c r="AP12" i="5"/>
  <c r="AO72" i="9"/>
  <c r="AO74" i="9" s="1"/>
  <c r="AP16" i="9"/>
  <c r="L21" i="8"/>
  <c r="BT24" i="9"/>
  <c r="BT21" i="9" s="1"/>
  <c r="BT18" i="9" s="1"/>
  <c r="AP21" i="9"/>
  <c r="DS24" i="1"/>
  <c r="K9" i="8" l="1"/>
  <c r="O9" i="8" s="1"/>
  <c r="BT12" i="5"/>
  <c r="AP7" i="5"/>
  <c r="L13" i="8"/>
  <c r="BT16" i="9"/>
  <c r="BT12" i="9" s="1"/>
  <c r="BT7" i="9" s="1"/>
  <c r="BT26" i="9" s="1"/>
  <c r="BT6" i="9" s="1"/>
  <c r="BT72" i="9" s="1"/>
  <c r="BT74" i="9" s="1"/>
  <c r="AP12" i="9"/>
  <c r="DS16" i="1"/>
  <c r="DS21" i="1"/>
  <c r="HE24" i="1"/>
  <c r="DT24" i="1"/>
  <c r="K21" i="7"/>
  <c r="N21" i="7" s="1"/>
  <c r="O21" i="7" s="1"/>
  <c r="L18" i="8"/>
  <c r="AP18" i="9"/>
  <c r="P21" i="8"/>
  <c r="N21" i="8"/>
  <c r="R21" i="8" s="1"/>
  <c r="P21" i="7" l="1"/>
  <c r="C20" i="32"/>
  <c r="HF24" i="1"/>
  <c r="J21" i="16"/>
  <c r="BT7" i="5"/>
  <c r="K4" i="8"/>
  <c r="O4" i="8" s="1"/>
  <c r="AP26" i="5"/>
  <c r="DS12" i="1"/>
  <c r="L9" i="8"/>
  <c r="AP7" i="9"/>
  <c r="L4" i="8" s="1"/>
  <c r="N13" i="8"/>
  <c r="R13" i="8" s="1"/>
  <c r="P13" i="8"/>
  <c r="K13" i="7"/>
  <c r="N13" i="7" s="1"/>
  <c r="C12" i="32" s="1"/>
  <c r="DT16" i="1"/>
  <c r="HE16" i="1"/>
  <c r="P18" i="8"/>
  <c r="N18" i="8"/>
  <c r="R18" i="8" s="1"/>
  <c r="DT21" i="1"/>
  <c r="K18" i="7"/>
  <c r="N18" i="7" s="1"/>
  <c r="HE21" i="1"/>
  <c r="HF21" i="1" s="1"/>
  <c r="L15" i="8"/>
  <c r="DS18" i="1"/>
  <c r="P18" i="7" l="1"/>
  <c r="O18" i="7"/>
  <c r="F17" i="32"/>
  <c r="F14" i="32" s="1"/>
  <c r="H17" i="32"/>
  <c r="H14" i="32" s="1"/>
  <c r="J17" i="32"/>
  <c r="J14" i="32" s="1"/>
  <c r="L17" i="32"/>
  <c r="L14" i="32" s="1"/>
  <c r="N17" i="32"/>
  <c r="N14" i="32" s="1"/>
  <c r="P17" i="32"/>
  <c r="P14" i="32" s="1"/>
  <c r="G17" i="32"/>
  <c r="G14" i="32" s="1"/>
  <c r="I17" i="32"/>
  <c r="I14" i="32" s="1"/>
  <c r="K17" i="32"/>
  <c r="K14" i="32" s="1"/>
  <c r="M17" i="32"/>
  <c r="M14" i="32" s="1"/>
  <c r="O17" i="32"/>
  <c r="O14" i="32" s="1"/>
  <c r="C17" i="32"/>
  <c r="F12" i="32"/>
  <c r="F8" i="32" s="1"/>
  <c r="F3" i="32" s="1"/>
  <c r="H12" i="32"/>
  <c r="H8" i="32" s="1"/>
  <c r="H3" i="32" s="1"/>
  <c r="J12" i="32"/>
  <c r="J8" i="32" s="1"/>
  <c r="J3" i="32" s="1"/>
  <c r="L12" i="32"/>
  <c r="L8" i="32" s="1"/>
  <c r="L3" i="32" s="1"/>
  <c r="N12" i="32"/>
  <c r="N8" i="32" s="1"/>
  <c r="N3" i="32" s="1"/>
  <c r="P12" i="32"/>
  <c r="G12" i="32"/>
  <c r="G8" i="32" s="1"/>
  <c r="G3" i="32" s="1"/>
  <c r="I12" i="32"/>
  <c r="I8" i="32" s="1"/>
  <c r="I3" i="32" s="1"/>
  <c r="K12" i="32"/>
  <c r="K8" i="32" s="1"/>
  <c r="K3" i="32" s="1"/>
  <c r="M12" i="32"/>
  <c r="M8" i="32" s="1"/>
  <c r="M3" i="32" s="1"/>
  <c r="O12" i="32"/>
  <c r="O8" i="32" s="1"/>
  <c r="O3" i="32" s="1"/>
  <c r="E12" i="32"/>
  <c r="C8" i="32"/>
  <c r="AP26" i="9"/>
  <c r="AP6" i="9" s="1"/>
  <c r="HF16" i="1"/>
  <c r="J13" i="16"/>
  <c r="M13" i="16" s="1"/>
  <c r="N13" i="16" s="1"/>
  <c r="O13" i="16" s="1"/>
  <c r="AQ21" i="16"/>
  <c r="AC21" i="16"/>
  <c r="J18" i="16"/>
  <c r="AP6" i="5"/>
  <c r="K23" i="8"/>
  <c r="O23" i="8" s="1"/>
  <c r="BT26" i="5"/>
  <c r="N4" i="8"/>
  <c r="R4" i="8" s="1"/>
  <c r="P4" i="8"/>
  <c r="DS7" i="1"/>
  <c r="O13" i="7"/>
  <c r="P13" i="7"/>
  <c r="P9" i="8"/>
  <c r="N9" i="8"/>
  <c r="R9" i="8" s="1"/>
  <c r="DT12" i="1"/>
  <c r="K9" i="7"/>
  <c r="N9" i="7" s="1"/>
  <c r="HE12" i="1"/>
  <c r="HF12" i="1" s="1"/>
  <c r="DT18" i="1"/>
  <c r="K15" i="7"/>
  <c r="HE18" i="1"/>
  <c r="N15" i="8"/>
  <c r="R15" i="8" s="1"/>
  <c r="P15" i="8"/>
  <c r="DS26" i="1"/>
  <c r="P3" i="32" l="1"/>
  <c r="P22" i="32" s="1"/>
  <c r="P2" i="32" s="1"/>
  <c r="P8" i="32"/>
  <c r="L23" i="8"/>
  <c r="N23" i="8" s="1"/>
  <c r="R23" i="8" s="1"/>
  <c r="Q12" i="32"/>
  <c r="R12" i="32" s="1"/>
  <c r="E8" i="32"/>
  <c r="E17" i="32"/>
  <c r="Q20" i="32"/>
  <c r="R20" i="32" s="1"/>
  <c r="M22" i="32"/>
  <c r="M2" i="32" s="1"/>
  <c r="I22" i="32"/>
  <c r="I2" i="32" s="1"/>
  <c r="L22" i="32"/>
  <c r="L2" i="32" s="1"/>
  <c r="H22" i="32"/>
  <c r="H2" i="32" s="1"/>
  <c r="O9" i="16"/>
  <c r="O4" i="16" s="1"/>
  <c r="N9" i="16"/>
  <c r="N4" i="16" s="1"/>
  <c r="M9" i="16"/>
  <c r="M4" i="16" s="1"/>
  <c r="C3" i="32"/>
  <c r="C14" i="32"/>
  <c r="O22" i="32"/>
  <c r="O2" i="32" s="1"/>
  <c r="K22" i="32"/>
  <c r="K2" i="32" s="1"/>
  <c r="G22" i="32"/>
  <c r="G2" i="32" s="1"/>
  <c r="N22" i="32"/>
  <c r="N2" i="32" s="1"/>
  <c r="J22" i="32"/>
  <c r="J2" i="32" s="1"/>
  <c r="F22" i="32"/>
  <c r="F2" i="32" s="1"/>
  <c r="AQ13" i="16"/>
  <c r="AC13" i="16"/>
  <c r="J9" i="16"/>
  <c r="AQ18" i="16"/>
  <c r="AC18" i="16"/>
  <c r="J15" i="16"/>
  <c r="BT6" i="5"/>
  <c r="BT72" i="5" s="1"/>
  <c r="BT74" i="5" s="1"/>
  <c r="K3" i="8"/>
  <c r="O3" i="8" s="1"/>
  <c r="AP72" i="5"/>
  <c r="AP74" i="5" s="1"/>
  <c r="O9" i="7"/>
  <c r="P9" i="7"/>
  <c r="DT7" i="1"/>
  <c r="K4" i="7"/>
  <c r="HE7" i="1"/>
  <c r="DT26" i="1"/>
  <c r="HE26" i="1"/>
  <c r="HF26" i="1" s="1"/>
  <c r="K23" i="7"/>
  <c r="N23" i="7" s="1"/>
  <c r="DQ72" i="1"/>
  <c r="DQ74" i="1" s="1"/>
  <c r="DP72" i="1"/>
  <c r="DP74" i="1" s="1"/>
  <c r="DS6" i="1"/>
  <c r="N15" i="7"/>
  <c r="K71" i="7"/>
  <c r="L3" i="8"/>
  <c r="AP72" i="9"/>
  <c r="AP74" i="9" s="1"/>
  <c r="HE77" i="1"/>
  <c r="HF18" i="1"/>
  <c r="P23" i="8" l="1"/>
  <c r="C22" i="32"/>
  <c r="C2" i="32" s="1"/>
  <c r="C57" i="32" s="1"/>
  <c r="M73" i="16"/>
  <c r="M23" i="16"/>
  <c r="M3" i="16" s="1"/>
  <c r="O23" i="16"/>
  <c r="O3" i="16" s="1"/>
  <c r="O73" i="16"/>
  <c r="E3" i="32"/>
  <c r="Q8" i="32"/>
  <c r="R8" i="32" s="1"/>
  <c r="N73" i="16"/>
  <c r="N23" i="16"/>
  <c r="N3" i="16" s="1"/>
  <c r="Q17" i="32"/>
  <c r="R17" i="32" s="1"/>
  <c r="E14" i="32"/>
  <c r="Q14" i="32" s="1"/>
  <c r="R14" i="32" s="1"/>
  <c r="AQ15" i="16"/>
  <c r="J74" i="16"/>
  <c r="AC15" i="16"/>
  <c r="AQ9" i="16"/>
  <c r="AC9" i="16"/>
  <c r="J4" i="16"/>
  <c r="J73" i="16" s="1"/>
  <c r="N4" i="7"/>
  <c r="K70" i="7"/>
  <c r="K73" i="7" s="1"/>
  <c r="HF7" i="1"/>
  <c r="HE76" i="1"/>
  <c r="K74" i="7"/>
  <c r="K72" i="7"/>
  <c r="DT6" i="1"/>
  <c r="DT72" i="1" s="1"/>
  <c r="DT74" i="1" s="1"/>
  <c r="HE6" i="1"/>
  <c r="K3" i="7"/>
  <c r="N3" i="7" s="1"/>
  <c r="DS72" i="1"/>
  <c r="DS74" i="1" s="1"/>
  <c r="N3" i="8"/>
  <c r="R3" i="8" s="1"/>
  <c r="P3" i="8"/>
  <c r="N71" i="7"/>
  <c r="O15" i="7"/>
  <c r="P15" i="7"/>
  <c r="O23" i="7"/>
  <c r="P23" i="7"/>
  <c r="N69" i="16" l="1"/>
  <c r="N71" i="16" s="1"/>
  <c r="M69" i="16"/>
  <c r="M71" i="16" s="1"/>
  <c r="Q3" i="32"/>
  <c r="R3" i="32" s="1"/>
  <c r="E22" i="32"/>
  <c r="O69" i="16"/>
  <c r="O71" i="16" s="1"/>
  <c r="AQ4" i="16"/>
  <c r="AC4" i="16"/>
  <c r="J23" i="16"/>
  <c r="J69" i="16" s="1"/>
  <c r="AQ74" i="16"/>
  <c r="AC74" i="16"/>
  <c r="K75" i="7"/>
  <c r="N70" i="7"/>
  <c r="N72" i="7" s="1"/>
  <c r="O4" i="7"/>
  <c r="P4" i="7"/>
  <c r="HE72" i="1"/>
  <c r="HE74" i="1" s="1"/>
  <c r="HF6" i="1"/>
  <c r="HF72" i="1" s="1"/>
  <c r="HF74" i="1" s="1"/>
  <c r="P71" i="7"/>
  <c r="O71" i="7"/>
  <c r="N74" i="7"/>
  <c r="P74" i="7" s="1"/>
  <c r="P3" i="7"/>
  <c r="O3" i="7"/>
  <c r="Q22" i="32" l="1"/>
  <c r="R22" i="32" s="1"/>
  <c r="E2" i="32"/>
  <c r="E57" i="32" s="1"/>
  <c r="AQ23" i="16"/>
  <c r="J3" i="16"/>
  <c r="AC23" i="16"/>
  <c r="AC73" i="16"/>
  <c r="AQ73" i="16"/>
  <c r="N73" i="7"/>
  <c r="O70" i="7"/>
  <c r="P70" i="7"/>
  <c r="O72" i="7"/>
  <c r="P72" i="7"/>
  <c r="N82" i="7"/>
  <c r="O74" i="7"/>
  <c r="N75" i="7" l="1"/>
  <c r="P73" i="7"/>
  <c r="Q2" i="32"/>
  <c r="Q57" i="32" s="1"/>
  <c r="J71" i="16"/>
  <c r="AQ69" i="16"/>
  <c r="AC69" i="16"/>
  <c r="AC3" i="16"/>
  <c r="AQ3" i="16"/>
  <c r="N81" i="7"/>
  <c r="O73" i="7"/>
  <c r="O75" i="7" l="1"/>
  <c r="P75" i="7"/>
  <c r="F56" i="32"/>
  <c r="F57" i="32" s="1"/>
  <c r="R2" i="32"/>
  <c r="R57" i="32" s="1"/>
  <c r="AC71" i="16"/>
  <c r="AQ71" i="16"/>
  <c r="G56" i="32" l="1"/>
  <c r="G57" i="32" l="1"/>
  <c r="H56" i="32" s="1"/>
  <c r="H57" i="32" l="1"/>
  <c r="I56" i="32" s="1"/>
  <c r="I57" i="32" l="1"/>
  <c r="J56" i="32" s="1"/>
  <c r="J57" i="32" l="1"/>
  <c r="K56" i="32" s="1"/>
  <c r="K57" i="32" l="1"/>
  <c r="L56" i="32" s="1"/>
  <c r="L57" i="32" l="1"/>
  <c r="M56" i="32" s="1"/>
  <c r="M57" i="32" l="1"/>
  <c r="N56" i="32" s="1"/>
  <c r="N57" i="32" l="1"/>
  <c r="O56" i="32" s="1"/>
  <c r="O57" i="32" l="1"/>
  <c r="P56" i="32" s="1"/>
  <c r="P57" i="32" l="1"/>
  <c r="Q56" i="32" s="1"/>
  <c r="R56" i="32" s="1"/>
  <c r="F3" i="14"/>
</calcChain>
</file>

<file path=xl/comments1.xml><?xml version="1.0" encoding="utf-8"?>
<comments xmlns="http://schemas.openxmlformats.org/spreadsheetml/2006/main">
  <authors>
    <author>Erdosi-Sandor</author>
    <author>Horváth Dániel</author>
  </authors>
  <commentList>
    <comment ref="R70" authorId="0">
      <text>
        <r>
          <rPr>
            <sz val="9"/>
            <color indexed="81"/>
            <rFont val="Tahoma"/>
            <family val="2"/>
            <charset val="238"/>
          </rPr>
          <t>Ehhez még hozzájön a pályázatból 2018-ban az 50 milliós projektmenedzsment összeg.</t>
        </r>
      </text>
    </comment>
    <comment ref="R71" authorId="1">
      <text>
        <r>
          <rPr>
            <b/>
            <sz val="9"/>
            <color indexed="81"/>
            <rFont val="Segoe UI"/>
            <family val="2"/>
            <charset val="238"/>
          </rPr>
          <t>Horváth Dániel:</t>
        </r>
        <r>
          <rPr>
            <sz val="9"/>
            <color indexed="81"/>
            <rFont val="Segoe UI"/>
            <family val="2"/>
            <charset val="238"/>
          </rPr>
          <t xml:space="preserve">
kivitelezési költségek emelkedése miatt +20%</t>
        </r>
      </text>
    </comment>
  </commentList>
</comments>
</file>

<file path=xl/sharedStrings.xml><?xml version="1.0" encoding="utf-8"?>
<sst xmlns="http://schemas.openxmlformats.org/spreadsheetml/2006/main" count="6256" uniqueCount="2362">
  <si>
    <t>Címrend</t>
  </si>
  <si>
    <t>11107-01</t>
  </si>
  <si>
    <t>11107-02</t>
  </si>
  <si>
    <t>11108-01</t>
  </si>
  <si>
    <t>11108-02</t>
  </si>
  <si>
    <t>11108-04</t>
  </si>
  <si>
    <t>11404-01</t>
  </si>
  <si>
    <t>11404-02</t>
  </si>
  <si>
    <t>11601-01</t>
  </si>
  <si>
    <t>11601-02</t>
  </si>
  <si>
    <t>11601-03</t>
  </si>
  <si>
    <t>11601-04</t>
  </si>
  <si>
    <t>11706-01</t>
  </si>
  <si>
    <t>11706-02</t>
  </si>
  <si>
    <t>40102-01</t>
  </si>
  <si>
    <t>40102-02</t>
  </si>
  <si>
    <t>40102-03</t>
  </si>
  <si>
    <t>40104-01</t>
  </si>
  <si>
    <t>40104-02</t>
  </si>
  <si>
    <t>40100-02</t>
  </si>
  <si>
    <t>72100-17</t>
  </si>
  <si>
    <t>Sor-szám</t>
  </si>
  <si>
    <t>Előirányzat megnevezése</t>
  </si>
  <si>
    <t>Tisztségviselők, bizottságok</t>
  </si>
  <si>
    <t>Nemzetközi kapcsolatok</t>
  </si>
  <si>
    <t>PR tevékenység</t>
  </si>
  <si>
    <t>Kitüntetések, közmeghall-gatás</t>
  </si>
  <si>
    <t>Tagsági díjak és támogatások</t>
  </si>
  <si>
    <t>Működési cél- és általános tartalék</t>
  </si>
  <si>
    <t>Felhalmozási céltartalék</t>
  </si>
  <si>
    <t>Helyi és központi adók</t>
  </si>
  <si>
    <t>Költségvetési maradvány</t>
  </si>
  <si>
    <t>Oktatáshoz, neveléshez kapcsolódó feladatok</t>
  </si>
  <si>
    <t>Szociális feladatok</t>
  </si>
  <si>
    <t>Települési támogatások</t>
  </si>
  <si>
    <t>Parkolás-üzemeltetés</t>
  </si>
  <si>
    <t>Térfigyelő-kamerarend-szer működtetése</t>
  </si>
  <si>
    <t>Közterületi feladatok</t>
  </si>
  <si>
    <t>Közvilágítás</t>
  </si>
  <si>
    <t>Útkár miatti kártérítés</t>
  </si>
  <si>
    <t xml:space="preserve">Új  Teleki Téri piac, őstermelői piacok </t>
  </si>
  <si>
    <t>Vagyon-     gazdálkodás</t>
  </si>
  <si>
    <t>Törzsvagyon karbantartása, fejlesztése</t>
  </si>
  <si>
    <t xml:space="preserve">Oktatási, nevelési intézményekkel kapcsolatos feladatok </t>
  </si>
  <si>
    <t>üres</t>
  </si>
  <si>
    <t>Településüze-meltetés, út-park karban-tartás, növény-védelem, köztisztaság</t>
  </si>
  <si>
    <t>Józsefvárosi Gazdálkodási Központ Zrt. üzleti vagyon-nal kapcsolatos feladatai</t>
  </si>
  <si>
    <t>Corvin Sétány Projekt</t>
  </si>
  <si>
    <t xml:space="preserve">Magdolna Negyed Projekt </t>
  </si>
  <si>
    <t>Rehabilitációk, fejlesztési projektek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</si>
  <si>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</si>
  <si>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</si>
  <si>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</si>
  <si>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</si>
  <si>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</si>
  <si>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</si>
  <si>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</si>
  <si>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Építés-    igazgatási feladatok</t>
  </si>
  <si>
    <t>Igazgatási tevékenységek</t>
  </si>
  <si>
    <t>Anyakönyvi feladatok</t>
  </si>
  <si>
    <t>Hivatal működtetése</t>
  </si>
  <si>
    <t>Hivatal informatikai feladatai</t>
  </si>
  <si>
    <t>Hivatal egyéb feladatai</t>
  </si>
  <si>
    <t>Nemzetiségi Önkormány-zatok működtetése</t>
  </si>
  <si>
    <t>Hivatali alkalmazottak foglalkoztatá-sával összefüggő kiadások</t>
  </si>
  <si>
    <t>Közterület- felügyelet</t>
  </si>
  <si>
    <t>Polgármesteri Hivatal összesen</t>
  </si>
  <si>
    <t>LÉLEKHÁZ, LÉLEK PROGRAM</t>
  </si>
  <si>
    <t>Gazdasági szervezet és Központi irányítás</t>
  </si>
  <si>
    <t>Család és Gyermekjóléti Központ</t>
  </si>
  <si>
    <t>Család és Gyermekjóléti Szolgálat</t>
  </si>
  <si>
    <t>Szociális étkeztetés</t>
  </si>
  <si>
    <t xml:space="preserve">Házi Segítségnyúj- tás </t>
  </si>
  <si>
    <t>Nappali Ellátás</t>
  </si>
  <si>
    <t>Idősek Átmeneti Otthona / Gondozóház</t>
  </si>
  <si>
    <t>Jelzőrendsze-res házi segítségnyúj- tás</t>
  </si>
  <si>
    <t>Gyermekek Átmeneti Otthona</t>
  </si>
  <si>
    <t>Oktatási - nevelési intézmények- ben étkeztetés biztosítása</t>
  </si>
  <si>
    <t>Józsefvárosi Szociális Szolgáltató és Gyermekjóléti Központ összesen</t>
  </si>
  <si>
    <t xml:space="preserve">Józsefvárosi Egyesített Bölcsődék </t>
  </si>
  <si>
    <t xml:space="preserve">Józsefvárosi Szent Kozma Egészségügyi Központ </t>
  </si>
  <si>
    <t>KÖLTSÉG-     VETÉSI SZERVEK MIND ÖSSZESEN</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</si>
  <si>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</si>
  <si>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</si>
  <si>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</si>
  <si>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</si>
  <si>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</si>
  <si>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</si>
  <si>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</si>
  <si>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</si>
  <si>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</si>
  <si>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</si>
  <si>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</si>
  <si>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</si>
  <si>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</si>
  <si>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</si>
  <si>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</si>
  <si>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</si>
  <si>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</si>
  <si>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</si>
  <si>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</si>
  <si>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</si>
  <si>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</si>
  <si>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</si>
  <si>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</si>
  <si>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</si>
  <si>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</si>
  <si>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</si>
  <si>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</si>
  <si>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</si>
  <si>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</si>
  <si>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</si>
  <si>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</si>
  <si>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</si>
  <si>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</si>
  <si>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</si>
  <si>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</si>
  <si>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</si>
  <si>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</si>
  <si>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</si>
  <si>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</si>
  <si>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</si>
  <si>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</si>
  <si>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</si>
  <si>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</si>
  <si>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</si>
  <si>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</si>
  <si>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</si>
  <si>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</si>
  <si>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</si>
  <si>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</si>
  <si>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</si>
  <si>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</si>
  <si>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</si>
  <si>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</si>
  <si>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</si>
  <si>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</si>
  <si>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36</t>
  </si>
  <si>
    <t>Felhalmozási célú önkormányzati támogatások</t>
  </si>
  <si>
    <t>37</t>
  </si>
  <si>
    <t>Felhalmozási célú visszatér. támog., kölcs. visszatér. áht-on belülről</t>
  </si>
  <si>
    <t>Felhal. c. visszatér. támog., kölcs. igénybevétele áht-on belülről</t>
  </si>
  <si>
    <t>39</t>
  </si>
  <si>
    <t>Egyéb felhalmozási c. támogatások bevételei áht-on belülről</t>
  </si>
  <si>
    <t>Ingatlanok értékesítése</t>
  </si>
  <si>
    <t>41</t>
  </si>
  <si>
    <t>Immateriális javak és egyéb tárgyi eszközök értékesítése</t>
  </si>
  <si>
    <t>Részesedések értékesítése és megszűnéséhez kapcsolódó bevételek</t>
  </si>
  <si>
    <t>43</t>
  </si>
  <si>
    <t>Felhalmozási célú visszatér. támog., kölcs. visszatér. áht-on kívülről</t>
  </si>
  <si>
    <t>Egyéb felhalmozási célú átvett pénzeszközök</t>
  </si>
  <si>
    <t>46</t>
  </si>
  <si>
    <t>KÖLTSÉGVETÉSI BEVÉTELEK ÖSSZESEN (23+35)</t>
  </si>
  <si>
    <t>Államháztartáson belüli megelőlegezések visszafizetése</t>
  </si>
  <si>
    <t>Forgatási célú belföldi értékpapírok vásárlása</t>
  </si>
  <si>
    <t>Központi, irányító szervi támogatás folyósítása</t>
  </si>
  <si>
    <t>Központi, irányítószervi támogatás folyósítása</t>
  </si>
  <si>
    <t>Hosszúlejáratú hitelek, váltó törlesztése</t>
  </si>
  <si>
    <t>Központi, irányítószervi támogatás</t>
  </si>
  <si>
    <t xml:space="preserve">Államháztartáson belüli megelőlegezések </t>
  </si>
  <si>
    <t>Forgatási célú belföldi értékpapírok beváltása, értékesítése</t>
  </si>
  <si>
    <t>Maradvány igénybevétele</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</si>
  <si>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</si>
  <si>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</si>
  <si>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</si>
  <si>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</si>
  <si>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</si>
  <si>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</si>
  <si>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</si>
  <si>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</si>
  <si>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</si>
  <si>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</si>
  <si>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</si>
  <si>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</si>
  <si>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</si>
  <si>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</si>
  <si>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</si>
  <si>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</si>
  <si>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</si>
  <si>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</si>
  <si>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</si>
  <si>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</si>
  <si>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Óvodai nevelés</t>
  </si>
  <si>
    <t>Józsefvárosi Szent Kozma Egészségügyi Központ</t>
  </si>
  <si>
    <t xml:space="preserve">Egészségügyi Intézmények </t>
  </si>
  <si>
    <t>kisgyermekek                 napközbeni ellátása</t>
  </si>
  <si>
    <t>Józsefvárosi Egyesített Bölcsődék</t>
  </si>
  <si>
    <t>Oktatási-nevelési intézményekben étkeztetés biztosítása</t>
  </si>
  <si>
    <t xml:space="preserve"> Gyermekek Átmeneti Otthona</t>
  </si>
  <si>
    <t>Jelzőrendszeres házi segítségnyújtás</t>
  </si>
  <si>
    <t>időskorúak, szenvedélybetegek,      fogyatékos személyek, pszichiátriai betegek nappali ellátása</t>
  </si>
  <si>
    <t>házi segítségnyújtás</t>
  </si>
  <si>
    <t>Házi Segítségnyújtás</t>
  </si>
  <si>
    <t>étkeztetés, népkonyha</t>
  </si>
  <si>
    <t xml:space="preserve"> Gazdasági szervezet és Központi irányítás </t>
  </si>
  <si>
    <t>Józsefvárosi Szociális Szolgáltató és Gyermekjóléti Központ</t>
  </si>
  <si>
    <t xml:space="preserve">Szociális és Gyermekjóléti Intézmények </t>
  </si>
  <si>
    <t>felügyeleti feladatok, kerékbilincselés, roncsautó elszállítás</t>
  </si>
  <si>
    <t>Közterület-felügyeleti Ügyosztály, Személyügyi Iroda, Belső Ellátási Iroda, Gazdasági szervezet vezetője</t>
  </si>
  <si>
    <t>Közterület-felügyelet</t>
  </si>
  <si>
    <t>Jegyzői Kabinet                        Személyügyi Iroda</t>
  </si>
  <si>
    <t>Hivatali alkalmazottak foglalkoztatásával összefüggő kiadások</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</si>
  <si>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</si>
  <si>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</si>
  <si>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</si>
  <si>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</si>
  <si>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</si>
  <si>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</si>
  <si>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</si>
  <si>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</si>
  <si>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</si>
  <si>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</si>
  <si>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</si>
  <si>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</si>
  <si>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</si>
  <si>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</si>
  <si>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</si>
  <si>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</si>
  <si>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</si>
  <si>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</si>
  <si>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</si>
  <si>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</si>
  <si>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</si>
  <si>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</si>
  <si>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</si>
  <si>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</si>
  <si>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</si>
  <si>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</si>
  <si>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Gazdálkodási  Ügyosztály, Gazdasági szervezet vezetője</t>
  </si>
  <si>
    <t>Humánszolgáltatási Ügyosztály Humánkapcsolati Iroda</t>
  </si>
  <si>
    <t>Főépítész, Városépítészeti Iroda</t>
  </si>
  <si>
    <t>Főépítészi feladatok</t>
  </si>
  <si>
    <t>Polgármesteri Kabinet</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</si>
  <si>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</si>
  <si>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</si>
  <si>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</si>
  <si>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</si>
  <si>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</si>
  <si>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Józsefvárosi Gazdálkodási Köpont Zrt., Vagyongazdálkodási Ügyosztály, Gazdasági szervezet vezetője</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</si>
  <si>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</si>
  <si>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</si>
  <si>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</si>
  <si>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</si>
  <si>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</si>
  <si>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vagyonnal kapcsolatos nyilvántartások, eljárási díjak</t>
  </si>
  <si>
    <t>Vagyongazdálkodás</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</si>
  <si>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</si>
  <si>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</si>
  <si>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</si>
  <si>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</si>
  <si>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</si>
  <si>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</si>
  <si>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</si>
  <si>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</si>
  <si>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</si>
  <si>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Térfigyelő-kamerarendszer működtetése</t>
  </si>
  <si>
    <t>Vagyonkezelési , városfejlesztési feladatok</t>
  </si>
  <si>
    <t>Polgármesteri és Jegyzői Kabinet,             Humánszolgáltatási Ügyosztály Humánkapcsolati Iroda</t>
  </si>
  <si>
    <t xml:space="preserve">Szociális feladatok </t>
  </si>
  <si>
    <t>Szociális feladatellátás</t>
  </si>
  <si>
    <t xml:space="preserve">Humánszolgáltatási Ügyosztály, Humánkapcsolati Iroda </t>
  </si>
  <si>
    <t xml:space="preserve"> Költségvetési maradvány</t>
  </si>
  <si>
    <t>11108-03</t>
  </si>
  <si>
    <t>Gazdasági szervezet vezetője, Pénzügyi Ügyosztály,               Adóügyi Iroda</t>
  </si>
  <si>
    <t>Egyéb feladatok ( helyi adók, támogatások, pénzmaradvány, stb.)</t>
  </si>
  <si>
    <t>Tartalékok</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</si>
  <si>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</si>
  <si>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</si>
  <si>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</si>
  <si>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</si>
  <si>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</si>
  <si>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</si>
  <si>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</si>
  <si>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</si>
  <si>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</si>
  <si>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</si>
  <si>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</si>
  <si>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</si>
  <si>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</si>
  <si>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</si>
  <si>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</si>
  <si>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</si>
  <si>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</si>
  <si>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online közvetítés</t>
  </si>
  <si>
    <t xml:space="preserve">gépjárműadó, iparűzési adó, telekadó, idegenforgalmi adó, építményadó, kommunális adó, talajterhelési díj, adóbírságok, </t>
  </si>
  <si>
    <t>Új Teleki téri piac, őstermelői piacok</t>
  </si>
  <si>
    <t>Oktatási, nevelési intézményekkel kapcsolatos feladatok</t>
  </si>
  <si>
    <t>Józsefvárosi Gazdálkodási Központ Zrt. üzleti vagyonnal kapcsolatos feladatai</t>
  </si>
  <si>
    <t>Társasházak  felújítási támogatása, kölcsöne</t>
  </si>
  <si>
    <t>peres ügyek, bankköltség, közbeszerzési díjak, végrehajtási díjak, közfoglalkoztatás, választás</t>
  </si>
  <si>
    <t>ipari és kereskedelmi tevékenységgel kapcsolatos hatósági feladatok , hatósági ellenőrzések, állatvédelem</t>
  </si>
  <si>
    <t>katasztrófa esetén védekezéssel összefüggő feladatok</t>
  </si>
  <si>
    <t>Költségvetési szervek összesen</t>
  </si>
  <si>
    <t xml:space="preserve"> Napraforgó Egyesített Óvoda </t>
  </si>
  <si>
    <t xml:space="preserve"> Napraforgó Egyesített Óvoda</t>
  </si>
  <si>
    <t>KÖLTSÉGVETÉSI SZERVEK MIND ÖSSZESEN</t>
  </si>
  <si>
    <t>Tisztségviselők  bizottságok</t>
  </si>
  <si>
    <t>Tisztségviselők   bizottságok</t>
  </si>
  <si>
    <t>38</t>
  </si>
  <si>
    <t>40</t>
  </si>
  <si>
    <t>42</t>
  </si>
  <si>
    <t>44</t>
  </si>
  <si>
    <t>47</t>
  </si>
  <si>
    <t>50</t>
  </si>
  <si>
    <t>52</t>
  </si>
  <si>
    <t>54</t>
  </si>
  <si>
    <t>58</t>
  </si>
  <si>
    <t>60</t>
  </si>
  <si>
    <t>63</t>
  </si>
  <si>
    <t>eredeti terv</t>
  </si>
  <si>
    <t>előirányzat</t>
  </si>
  <si>
    <t>Index</t>
  </si>
  <si>
    <t>4</t>
  </si>
  <si>
    <t>5</t>
  </si>
  <si>
    <t>6</t>
  </si>
  <si>
    <t>7</t>
  </si>
  <si>
    <t>8</t>
  </si>
  <si>
    <t>9</t>
  </si>
  <si>
    <t>10</t>
  </si>
  <si>
    <t>12</t>
  </si>
  <si>
    <t>14</t>
  </si>
  <si>
    <t>16</t>
  </si>
  <si>
    <t>19</t>
  </si>
  <si>
    <t>22</t>
  </si>
  <si>
    <t>24</t>
  </si>
  <si>
    <t>26</t>
  </si>
  <si>
    <t>30</t>
  </si>
  <si>
    <t>32</t>
  </si>
  <si>
    <t>33</t>
  </si>
  <si>
    <t>34</t>
  </si>
  <si>
    <t>35</t>
  </si>
  <si>
    <t>48</t>
  </si>
  <si>
    <t>64</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</si>
  <si>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</si>
  <si>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</si>
  <si>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</si>
  <si>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</si>
  <si>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</si>
  <si>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</si>
  <si>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</si>
  <si>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</si>
  <si>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</si>
  <si>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</si>
  <si>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</si>
  <si>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</si>
  <si>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</si>
  <si>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</si>
  <si>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</si>
  <si>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</si>
  <si>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</si>
  <si>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</si>
  <si>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</si>
  <si>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</si>
  <si>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</si>
  <si>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</si>
  <si>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</si>
  <si>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</si>
  <si>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</si>
  <si>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</si>
  <si>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</si>
  <si>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</si>
  <si>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</si>
  <si>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</si>
  <si>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</si>
  <si>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</si>
  <si>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</si>
  <si>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</si>
  <si>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</si>
  <si>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</si>
  <si>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</si>
  <si>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</si>
  <si>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</si>
  <si>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</si>
  <si>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</si>
  <si>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</si>
  <si>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</si>
  <si>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</si>
  <si>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</si>
  <si>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</si>
  <si>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</si>
  <si>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</si>
  <si>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</si>
  <si>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</si>
  <si>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</si>
  <si>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</si>
  <si>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</si>
  <si>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</si>
  <si>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</si>
  <si>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</si>
  <si>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</si>
  <si>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</si>
  <si>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</si>
  <si>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</si>
  <si>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</si>
  <si>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</si>
  <si>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  64 Maradvány igénybevétele</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</si>
  <si>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</si>
  <si>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</si>
  <si>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</si>
  <si>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</si>
  <si>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</si>
  <si>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</si>
  <si>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</si>
  <si>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</si>
  <si>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</si>
  <si>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</si>
  <si>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</si>
  <si>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</si>
  <si>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</si>
  <si>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</si>
  <si>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</si>
  <si>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</si>
  <si>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</si>
  <si>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</si>
  <si>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</si>
  <si>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</si>
  <si>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</si>
  <si>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</si>
  <si>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</si>
  <si>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</si>
  <si>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</si>
  <si>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</si>
  <si>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</si>
  <si>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</si>
  <si>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</si>
  <si>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</si>
  <si>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</si>
  <si>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</si>
  <si>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</si>
  <si>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</si>
  <si>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</si>
  <si>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</si>
  <si>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</si>
  <si>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</si>
  <si>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</si>
  <si>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</si>
  <si>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</si>
  <si>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</si>
  <si>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</si>
  <si>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</si>
  <si>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</si>
  <si>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</si>
  <si>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</si>
  <si>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</si>
  <si>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</si>
  <si>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</si>
  <si>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</si>
  <si>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</si>
  <si>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</si>
  <si>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</si>
  <si>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</si>
  <si>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</si>
  <si>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</si>
  <si>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</si>
  <si>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</si>
  <si>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</si>
  <si>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</si>
  <si>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</si>
  <si>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</si>
  <si>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</si>
  <si>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</si>
  <si>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</si>
  <si>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</si>
  <si>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</si>
  <si>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</si>
  <si>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</si>
  <si>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</si>
  <si>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</si>
  <si>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</si>
  <si>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</si>
  <si>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</si>
  <si>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</si>
  <si>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</si>
  <si>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</si>
  <si>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</si>
  <si>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</si>
  <si>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</si>
  <si>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</si>
  <si>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</si>
  <si>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</si>
  <si>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</si>
  <si>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</si>
  <si>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</si>
  <si>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 xml:space="preserve">Házi Segítségnyújtás </t>
  </si>
  <si>
    <t>Oktatási - nevelési intézményekben étkeztetés biztosítása</t>
  </si>
  <si>
    <t>Családok Átmeneti Otthona</t>
  </si>
  <si>
    <t>206</t>
  </si>
  <si>
    <t>207</t>
  </si>
  <si>
    <t>208</t>
  </si>
  <si>
    <t>22 BEVÉTELEK (47+56)</t>
  </si>
  <si>
    <t>Köz-         tisztviselői, ügykezelői</t>
  </si>
  <si>
    <t>Köz-     tisztviselői, ügykezelői</t>
  </si>
  <si>
    <t>KÖTELEZŐ FELADAT</t>
  </si>
  <si>
    <t>ÖNKÉNT VÁLLALT FELADAT</t>
  </si>
  <si>
    <t>ÖSSZESEN</t>
  </si>
  <si>
    <t>Közfoglalkoztatásban alkalmazottak</t>
  </si>
  <si>
    <t>Engedélyezett álláshelyek összesen</t>
  </si>
  <si>
    <t>Megnevezés</t>
  </si>
  <si>
    <t>megjegyzés</t>
  </si>
  <si>
    <t xml:space="preserve">Költségvetési támogatások </t>
  </si>
  <si>
    <t>A HELYI ÖNKORMÁNYZATOK ÁLTALÁNOS MŰKÖDÉSÉNEK ÉS ÁGAZATI FELADATAINAK TÁMOGATÁSA</t>
  </si>
  <si>
    <t>Önkormányzati hivatal működési támogatása</t>
  </si>
  <si>
    <t>Településüzemeltetés támogatása</t>
  </si>
  <si>
    <t xml:space="preserve"> - zöldfelület</t>
  </si>
  <si>
    <t xml:space="preserve"> - közvilágítás</t>
  </si>
  <si>
    <t xml:space="preserve"> - közutak fenntartása</t>
  </si>
  <si>
    <t>Üdölőhelyi feladatok támogatása</t>
  </si>
  <si>
    <t>Óvodapedagógusok és az óvodapedagógosuk nevelő munkáját közvetlenül segítők bértámogatása</t>
  </si>
  <si>
    <t xml:space="preserve"> - kiegészítő támogatás minősítésből adódó többletkiadásokhoz</t>
  </si>
  <si>
    <t>Óvodai működtetési támogatás</t>
  </si>
  <si>
    <t xml:space="preserve"> - gyermekek teljes idejű óvodai nevelése gyermeklétszám                              </t>
  </si>
  <si>
    <t xml:space="preserve"> - működési támogatás                  </t>
  </si>
  <si>
    <t>Egyes szociális és gyermekjóléti feladatok támogatása</t>
  </si>
  <si>
    <t xml:space="preserve"> - család és gyermekjóléti szolgálat</t>
  </si>
  <si>
    <t xml:space="preserve"> - család és gyermekjóléti központ</t>
  </si>
  <si>
    <t>ebből elismert dolgozók bértámogatása</t>
  </si>
  <si>
    <t xml:space="preserve"> - szociális étkeztetés</t>
  </si>
  <si>
    <t xml:space="preserve"> - házi segítségnyújtás, ezen belül</t>
  </si>
  <si>
    <t xml:space="preserve"> - időskorúak nappali ellátása</t>
  </si>
  <si>
    <t xml:space="preserve"> - fogyatékos személyek nappali ellátása</t>
  </si>
  <si>
    <t xml:space="preserve"> - gyermekek átmeneti otthona </t>
  </si>
  <si>
    <t>IV.TELEPÜLÉSI ÖNKORMÁNYZATOK KULTURÁLIS FELADATAINAK TÁMOGATÁSA</t>
  </si>
  <si>
    <t xml:space="preserve">Könyvtári közművelődési és múzeumi feladatok támogatása </t>
  </si>
  <si>
    <t>ADÓBEVÉTELEK</t>
  </si>
  <si>
    <t xml:space="preserve"> - iparűzési adó</t>
  </si>
  <si>
    <t xml:space="preserve"> - építményadó </t>
  </si>
  <si>
    <t xml:space="preserve"> - telekadó</t>
  </si>
  <si>
    <t xml:space="preserve"> - idegenforgalmi adó</t>
  </si>
  <si>
    <t xml:space="preserve"> - kommunális adó</t>
  </si>
  <si>
    <t xml:space="preserve"> - gépjárműadó</t>
  </si>
  <si>
    <t>éves tervezett bevétel 40%-a önkormányzat forrása</t>
  </si>
  <si>
    <t xml:space="preserve"> - késedelmi pótlékok, mulasztási bírságok</t>
  </si>
  <si>
    <t xml:space="preserve">Mutatószám </t>
  </si>
  <si>
    <t>Összeg Ft-ban</t>
  </si>
  <si>
    <t>Összeg e Ft-ban</t>
  </si>
  <si>
    <t xml:space="preserve">         személyi gondozás</t>
  </si>
  <si>
    <t xml:space="preserve">         szociális segítés</t>
  </si>
  <si>
    <t xml:space="preserve"> - családok átmeneti otthona</t>
  </si>
  <si>
    <t>Bölcsőde, mini bölcsőde támogatása</t>
  </si>
  <si>
    <t>III. TELEPÜLÉSI ÖNKORMÁNYZATOK SZOCIÁLIS, GYERMEKJÓLÉTI ÉS GYERMEKÉTKEZTETÉSI FELADATAINAK TÁMOGATÁSA</t>
  </si>
  <si>
    <t>Települési önkormányzatok szociális feladatainak egyéb támogatása</t>
  </si>
  <si>
    <t xml:space="preserve"> - pszichiátriai és szenvedélybetegek nappali ellátása</t>
  </si>
  <si>
    <t>Települési önkormányzatok által biztosított egyes szociális szakosított ellátások, valamint a gyermekek átmeneti gondozásával kapcsolatos feladatok támogatása</t>
  </si>
  <si>
    <t xml:space="preserve"> - időskorúak átmeneti otthona </t>
  </si>
  <si>
    <t xml:space="preserve">        elismert szakmai dolgozók bértámogatása</t>
  </si>
  <si>
    <t xml:space="preserve">        intézményi üzemeltetési támogatás</t>
  </si>
  <si>
    <t>Intézményi gyermekétkeztetés támogatása</t>
  </si>
  <si>
    <t xml:space="preserve">         üzemeltetési támogatása</t>
  </si>
  <si>
    <t>Rászoruló gyermekek intézményen kívüli szünidei étkeztetésének támogatása</t>
  </si>
  <si>
    <t xml:space="preserve"> - elismert felsőfokú szakmai dolgozók bértámogatása</t>
  </si>
  <si>
    <t xml:space="preserve"> - elismert középfokú szakmai dolgozók bértámogatása</t>
  </si>
  <si>
    <t xml:space="preserve"> - bölcsődei üzemeltetési támogatás</t>
  </si>
  <si>
    <t xml:space="preserve">       alapfokozatú végzettségű </t>
  </si>
  <si>
    <t xml:space="preserve">       mesterfokozatú végzettségű </t>
  </si>
  <si>
    <t>II. TELEPÜLÉSI ÖNKORMÁNYZATOK EGYES KÖZNEVELÉSI FELADATAINAK TÁMOGATÁSA</t>
  </si>
  <si>
    <t xml:space="preserve"> - nevelő munkát segítők elisnert létszáma és bértámogatása                              </t>
  </si>
  <si>
    <t xml:space="preserve"> -  óvodapedagógusok elismert létszáma és bértámogatása</t>
  </si>
  <si>
    <t>Szolidaritási hozzájárulás befizetendő összege</t>
  </si>
  <si>
    <t>I. HELYI ÖNKORMÁNYZATOK MŰKÖDÉSÉNEK ÁLTALÁNOS TÁMOGATÁSA</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</si>
  <si>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</si>
  <si>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családsegítés- és gyermekjóléti szolgáltatások</t>
  </si>
  <si>
    <t>lehetőség megteremtése a család egyben tartására, minimális intervenciós szolgáltatás nyújtása, az átmenetileg krízishelyzetbe került, lakhatási gondokkal küzdő családok részére,</t>
  </si>
  <si>
    <t xml:space="preserve">Orczy Negyed Projekt </t>
  </si>
  <si>
    <t>Feladat megnevezése/                    intézmény neve</t>
  </si>
  <si>
    <t>50100 cím                                                                                                                                                                         Józsefvárosi Szent Kozma Egészségügyi Központ</t>
  </si>
  <si>
    <t>40101 cím                                                                                                                       LÉLEKHÁZ LÉLEK PROGRAM</t>
  </si>
  <si>
    <t>40102-01 cím                                                                                                                            Gazdasági szervezet és Központi irányítás</t>
  </si>
  <si>
    <t>40102-02 cím                                                                                                                       Család és gyermekjóléti Központ</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</si>
  <si>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</si>
  <si>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</si>
  <si>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</si>
  <si>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</si>
  <si>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</si>
  <si>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</si>
  <si>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40109 cím                                                                                                                                                                              Oktatási-nevelési intézményekben étkeztetés biztosítása</t>
  </si>
  <si>
    <t>összesen</t>
  </si>
  <si>
    <t>mutatószám: adagszám</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</si>
  <si>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</si>
  <si>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</si>
  <si>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</si>
  <si>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</si>
  <si>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</si>
  <si>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</si>
  <si>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</si>
  <si>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</si>
  <si>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alpolgármester javaslatára  polgármester</t>
  </si>
  <si>
    <t>Civil szervezetek, alapítványok támogatása</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</si>
  <si>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</si>
  <si>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</si>
  <si>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</si>
  <si>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</si>
  <si>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</si>
  <si>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</si>
  <si>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</si>
  <si>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</si>
  <si>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</si>
  <si>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Parkolás megváltás</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</si>
  <si>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</si>
  <si>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</si>
  <si>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</si>
  <si>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</si>
  <si>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</si>
  <si>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</si>
  <si>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Önkormányzati feladatok</t>
  </si>
  <si>
    <t>kötelező feladat</t>
  </si>
  <si>
    <t>önként váll. feladat</t>
  </si>
  <si>
    <t>Önkormányzati feladatok összesen</t>
  </si>
  <si>
    <t>Költségvetési szervek</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</si>
  <si>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</si>
  <si>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</si>
  <si>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</si>
  <si>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</si>
  <si>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</si>
  <si>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</si>
  <si>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</si>
  <si>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</si>
  <si>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</si>
  <si>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</si>
  <si>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</si>
  <si>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Önként vállalt feladatok összesen</t>
  </si>
  <si>
    <t>Bevételek összesen</t>
  </si>
  <si>
    <t>Működési kiadások összesen</t>
  </si>
  <si>
    <t>Felhalmozási kiadások összesen</t>
  </si>
  <si>
    <t>KIADÁSOK   ÖSSZESEN</t>
  </si>
  <si>
    <t>Práter iskolaépület továbbszámlázás</t>
  </si>
  <si>
    <t>Előző években intézményi épületeken megvalósított energetikai felújításokra épületenergetikai szakértő igénybevétele</t>
  </si>
  <si>
    <t>Intézményi épületekben életveszélyelhárítás, gázhálózatcsere</t>
  </si>
  <si>
    <t>Kötelező feladatok összesen</t>
  </si>
  <si>
    <t>Intézményi fejlesztések</t>
  </si>
  <si>
    <t xml:space="preserve"> -Tervezés, kivitelezés, tervezői művezetés, műszaki ellenőr</t>
  </si>
  <si>
    <t xml:space="preserve"> - Egyéb költségek</t>
  </si>
  <si>
    <t xml:space="preserve"> - Bútorok beszerzése</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</si>
  <si>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</si>
  <si>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</si>
  <si>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</si>
  <si>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</si>
  <si>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</si>
  <si>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</si>
  <si>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</si>
  <si>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</si>
  <si>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</si>
  <si>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</si>
  <si>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</si>
  <si>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</si>
  <si>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</si>
  <si>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</si>
  <si>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</si>
  <si>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</si>
  <si>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</si>
  <si>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</si>
  <si>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</si>
  <si>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</si>
  <si>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</si>
  <si>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</si>
  <si>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</si>
  <si>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</si>
  <si>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</si>
  <si>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</si>
  <si>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helyiségértékesítés részletfizetés áfa</t>
  </si>
  <si>
    <t>szerződéskötésből kötbér</t>
  </si>
  <si>
    <t>továbbszámlázott közüzemi díjak</t>
  </si>
  <si>
    <t>Fővárosi Önkormányzatnak részletfizetés szerződés alapján</t>
  </si>
  <si>
    <t>társasházi közös ktg.és felújítási alap</t>
  </si>
  <si>
    <t>gyorsszolgálat, karbantartás</t>
  </si>
  <si>
    <t>lakások esetében bérbeszámítás</t>
  </si>
  <si>
    <t xml:space="preserve">helyiségek esetében bérbeszámítás </t>
  </si>
  <si>
    <t>egyéb üzemeltetés</t>
  </si>
  <si>
    <t>víz- csatornadíj</t>
  </si>
  <si>
    <t>szemétszállítási díj</t>
  </si>
  <si>
    <t>fűtésszolgáltatási díj</t>
  </si>
  <si>
    <t>áramszolgáltatási díj</t>
  </si>
  <si>
    <t>lakásbérleti jogviszony megváltása</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</si>
  <si>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</si>
  <si>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</si>
  <si>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</si>
  <si>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</si>
  <si>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</si>
  <si>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tiszta önk. tulajdonú épületekben kamerarendszerek üzemeltetése, karbantartása</t>
  </si>
  <si>
    <t>Önrész terhére</t>
  </si>
  <si>
    <t>projektmenedzsment</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</si>
  <si>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</si>
  <si>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</si>
  <si>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</si>
  <si>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</si>
  <si>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</si>
  <si>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</si>
  <si>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</si>
  <si>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</si>
  <si>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</si>
  <si>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</si>
  <si>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</si>
  <si>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</si>
  <si>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</si>
  <si>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</si>
  <si>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</si>
  <si>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</si>
  <si>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 xml:space="preserve">Működési maradvány </t>
  </si>
  <si>
    <t>Felhalmozási maradvány</t>
  </si>
  <si>
    <t>Felhalmozási többlet</t>
  </si>
  <si>
    <t xml:space="preserve">Józsefvárosi Nemzetiségi Önkormányzatok programjaihoz támogatás </t>
  </si>
  <si>
    <t>Rendkívüli események (tűz, vihar, lakosságvédelmi intézkedés) költségeire</t>
  </si>
  <si>
    <t>Práter u. I. (Futó u. - Szigony u. között)</t>
  </si>
  <si>
    <t>Leonardo u. (Práter u. - Üllői út között)</t>
  </si>
  <si>
    <t>Tömő u. I. (Leonardo u. - Szigony u. között)</t>
  </si>
  <si>
    <t>Közbeszerzés lebonyolítás</t>
  </si>
  <si>
    <t>Kommunikáció</t>
  </si>
  <si>
    <t>Páyázati támogatás terhére</t>
  </si>
  <si>
    <t>Tisztviselőtelep -Bláthy O. u. közterület megújítása és funkcióváltása</t>
  </si>
  <si>
    <t>Műszaki ellenőrzés</t>
  </si>
  <si>
    <t>Tervezői művezetés</t>
  </si>
  <si>
    <t>Közösségi tervezés</t>
  </si>
  <si>
    <t>Egyéb működési célú támogatások államháztartáson belülről</t>
  </si>
  <si>
    <t>Általános iskolák</t>
  </si>
  <si>
    <t>Óvodák</t>
  </si>
  <si>
    <t>Bölcsődék</t>
  </si>
  <si>
    <t>Bevételek összesen:</t>
  </si>
  <si>
    <t>2020. év</t>
  </si>
  <si>
    <t>%-os aránya</t>
  </si>
  <si>
    <t xml:space="preserve"> - helyi adóbevételek fizetésre kötelezettek számának emelkedéséből, valamint a fizetési hajlandóság javulása</t>
  </si>
  <si>
    <t xml:space="preserve"> - iparűzési adóbevételek alakulása</t>
  </si>
  <si>
    <t xml:space="preserve"> - bérleti díjbevételek beszedettségének alakulása</t>
  </si>
  <si>
    <t xml:space="preserve"> - elidegenítés fellendülése</t>
  </si>
  <si>
    <t>2018. év eredeti terv</t>
  </si>
  <si>
    <t>2021. év</t>
  </si>
  <si>
    <t>Sorszám</t>
  </si>
  <si>
    <t>Bevételi jogcím</t>
  </si>
  <si>
    <t>kötelező            feladat</t>
  </si>
  <si>
    <t>önként vállalt feladat</t>
  </si>
  <si>
    <t>Ellátottak térítési díjának elengedése</t>
  </si>
  <si>
    <t>Ellátottak méltányossági alapon történő elengedése</t>
  </si>
  <si>
    <t>Késedelmi pótlékból és bírságokból biztosított mestesség ( adók)</t>
  </si>
  <si>
    <t>Lakosság részére lakásépítéshez nyújtott kölcsön elengedése</t>
  </si>
  <si>
    <t>Lakosság részére lakásfelújításhoz nyújtott kölcsön elengedése</t>
  </si>
  <si>
    <t xml:space="preserve"> ………….-ból biztosított kedvezmény mentesség *</t>
  </si>
  <si>
    <t>Gépjármű adóból biztosított kedvezmény</t>
  </si>
  <si>
    <t>Gépjármű adóból biztosított mentesség</t>
  </si>
  <si>
    <t>Helyiségek hasznosítása után kedvezmény mentesség</t>
  </si>
  <si>
    <t>Eszközök hasznosítása után kedvezmény mentesség</t>
  </si>
  <si>
    <t>Egyéb kedvezmény ( közterületfoglalás, parkolás elengedés)</t>
  </si>
  <si>
    <t>Egyéb kölcsön elengedése</t>
  </si>
  <si>
    <t>Gondnoki lakás lakbér kedvezménye</t>
  </si>
  <si>
    <t>Társadalmi szociálpolitikai juttatás visszafizetés elengedése</t>
  </si>
  <si>
    <t>Lakásbérleti díjkedvezmény</t>
  </si>
  <si>
    <t>Helyiségbérleti díjkedvezmény</t>
  </si>
  <si>
    <t>Elidegenítéssel kapcsolatos kedvezmény</t>
  </si>
  <si>
    <t xml:space="preserve">önként vállalt </t>
  </si>
  <si>
    <t>X.</t>
  </si>
  <si>
    <t>XI.</t>
  </si>
  <si>
    <t>XII.</t>
  </si>
  <si>
    <t>Ingyenes szolgáltatás, eszköz biztosítás</t>
  </si>
  <si>
    <t xml:space="preserve"> Építmény adóból biztosított kedvezmény mentesség *</t>
  </si>
  <si>
    <t>Szabad működési maradvány</t>
  </si>
  <si>
    <t>Európai Uniós támogatás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</si>
  <si>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</si>
  <si>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</si>
  <si>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</si>
  <si>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</si>
  <si>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</si>
  <si>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</si>
  <si>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</si>
  <si>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Intézmény megnevezése </t>
  </si>
  <si>
    <t>Köz-         alkalmazotti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</si>
  <si>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</si>
  <si>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</si>
  <si>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</si>
  <si>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</si>
  <si>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</si>
  <si>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</si>
  <si>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</si>
  <si>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</si>
  <si>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</si>
  <si>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</si>
  <si>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Háziorvosi pályázati támogatás </t>
  </si>
  <si>
    <t>Magdolna-Orczy Negyed Projekt</t>
  </si>
  <si>
    <t>Szociális intézmények</t>
  </si>
  <si>
    <t>Útfelújítások</t>
  </si>
  <si>
    <t>Parkok, játszóterek</t>
  </si>
  <si>
    <t>Polgármester/Képviselő-testület</t>
  </si>
  <si>
    <t>Helyi adóból származó bevétel</t>
  </si>
  <si>
    <t>Önkormányzati vagyon és önkormányzatot megillető vagyoni értékű jog értékesítéséből és hasznosításából származó bevétel</t>
  </si>
  <si>
    <t>Osztalék, koncessziós díj és hozambevétel</t>
  </si>
  <si>
    <t>Tárgyi eszköz és immateriális javak, részvény, részesedés, vállalat értékesítéséből, vagy privatizációjából származó bevétel</t>
  </si>
  <si>
    <t>Bírság, pótlék és díjbevételek</t>
  </si>
  <si>
    <t>Kezességvállalással kapcsolatos megtérülések</t>
  </si>
  <si>
    <t xml:space="preserve">Bevételek </t>
  </si>
  <si>
    <t>Kiadások</t>
  </si>
  <si>
    <t>Hitel, kölcsön</t>
  </si>
  <si>
    <t>Hitelviszonyt megtestesítő értékpapír forgalomba hozatala</t>
  </si>
  <si>
    <t>Váltó</t>
  </si>
  <si>
    <t>Pénzügyi lízing</t>
  </si>
  <si>
    <t>Visszavásárlási kötelezettséggel megkötött adásvételi szerződés</t>
  </si>
  <si>
    <t>Legalább 365 napra kapott halasztott fizetés</t>
  </si>
  <si>
    <t>Önkormányzati garanciákból, kezességekből fennálló kötelezettségek</t>
  </si>
  <si>
    <t xml:space="preserve"> ezer forintban</t>
  </si>
  <si>
    <t>helyi településrendezési tervek,     kerületfejlesztési koncepció,           tervtanács</t>
  </si>
  <si>
    <t xml:space="preserve">Magdolna-Orczy Negyed Projekt </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</si>
  <si>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</si>
  <si>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</si>
  <si>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</si>
  <si>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</si>
  <si>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</si>
  <si>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</si>
  <si>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</si>
  <si>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</si>
  <si>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</si>
  <si>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</si>
  <si>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Eredeti előirányzat</t>
  </si>
  <si>
    <t>feladat besorolása</t>
  </si>
  <si>
    <t>2020.év</t>
  </si>
  <si>
    <t>kötelező</t>
  </si>
  <si>
    <t>önként vállalt</t>
  </si>
  <si>
    <t xml:space="preserve">Hőszolgáltatási szerződés önkormányzati fenntartású gázfűtéses intézményeknél </t>
  </si>
  <si>
    <t>Józsefvárosi Kártya</t>
  </si>
  <si>
    <t>kötelező feladat         önként vállalt</t>
  </si>
  <si>
    <t>önként vállat feladat</t>
  </si>
  <si>
    <t xml:space="preserve">kötelező feladat                             </t>
  </si>
  <si>
    <t xml:space="preserve">államigazgatási feladat </t>
  </si>
  <si>
    <t>Kiemelt előirányzat megnevezése</t>
  </si>
  <si>
    <t>Kiemelt előirányzat</t>
  </si>
  <si>
    <t xml:space="preserve">2021. év </t>
  </si>
  <si>
    <t>működési cél és általános tartalék</t>
  </si>
  <si>
    <t>felhalmozási céltartalék</t>
  </si>
  <si>
    <t>Működési célú átvett pénzeszközök</t>
  </si>
  <si>
    <t>Egyéb tárgyi eszközök értékesítése</t>
  </si>
  <si>
    <t>Részesedések értékesítése és megszűntetéséhez kapcsolódó bevételek</t>
  </si>
  <si>
    <t>Felhalmozási célú átvett pénzeszközök</t>
  </si>
  <si>
    <t xml:space="preserve">  57 Finanszírozási működési bevételek (61)</t>
  </si>
  <si>
    <t xml:space="preserve">  62 Finanszírozási felhalmozási bevételek (64)</t>
  </si>
  <si>
    <t>Előző havi pénzállomány</t>
  </si>
  <si>
    <t>Feladattal terhelt költségvetési maradvány igénybevétele</t>
  </si>
  <si>
    <t>2018. évi maradvány</t>
  </si>
  <si>
    <t>TSZ aktualizált 2017.12.03.</t>
  </si>
  <si>
    <t>Költség megnevezése</t>
  </si>
  <si>
    <t>2018 (eFt)</t>
  </si>
  <si>
    <t>2019 (eFt)</t>
  </si>
  <si>
    <t>2020 (eFt)</t>
  </si>
  <si>
    <t>2021 (eFt)</t>
  </si>
  <si>
    <t>2022 (eFt)</t>
  </si>
  <si>
    <t>Összesen (eFt)</t>
  </si>
  <si>
    <t>beruházás (Kövessi)</t>
  </si>
  <si>
    <t>képzési, foglalkoztatási programok üzemeltetési ktg. (Kövessi)</t>
  </si>
  <si>
    <t>önk. telkek átmeneti hasznosításának és projektiroda üzemeltetési ktg.</t>
  </si>
  <si>
    <t>szabadidős hálózat üzemeltetési ktg.</t>
  </si>
  <si>
    <t>nem elszám szoft (pl.: ösztöndíj)</t>
  </si>
  <si>
    <t>Projektiroda felújítás (pl. Diószegi 14. volt kifőzde v. Kőris 15.)</t>
  </si>
  <si>
    <t>dologi</t>
  </si>
  <si>
    <t>beruházás</t>
  </si>
  <si>
    <t>saját</t>
  </si>
  <si>
    <t xml:space="preserve">I. </t>
  </si>
  <si>
    <t xml:space="preserve">II. </t>
  </si>
  <si>
    <t xml:space="preserve">III. </t>
  </si>
  <si>
    <t xml:space="preserve">IV. </t>
  </si>
  <si>
    <t xml:space="preserve">V. </t>
  </si>
  <si>
    <t xml:space="preserve">VI. </t>
  </si>
  <si>
    <t xml:space="preserve">VII. </t>
  </si>
  <si>
    <t xml:space="preserve">VIII. </t>
  </si>
  <si>
    <t xml:space="preserve">IX. </t>
  </si>
  <si>
    <t>KIADÁSOK (21+48)</t>
  </si>
  <si>
    <t>Cafeteria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</si>
  <si>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</si>
  <si>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</si>
  <si>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</si>
  <si>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</si>
  <si>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</si>
  <si>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</si>
  <si>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</si>
  <si>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</si>
  <si>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Biztos Kezdet Gyerekház</t>
  </si>
  <si>
    <t>Iskolai szünidei gyermekétkeztetés</t>
  </si>
  <si>
    <t>BKK bérlet</t>
  </si>
  <si>
    <t xml:space="preserve">A választott tisztségviselők korlátlan gépjárműhasználata a tisztség ellátásával összefüggésben, havonta 80.000 Ft/gépkocsi üzemanyagkeretet </t>
  </si>
  <si>
    <t xml:space="preserve">A jegyzői hatáskörbe sorolt állatvédelmi hatósági feladatok ellátása(pl.: szakállatorvosi közreműködés, állattartással kapcsolatos állatorvosi véleményezés, állattartással kapcsolatos helyszíni vizsgálatok) hatósági állatorvosi közreműködési feladatok ellátása, évente 1.500,0 e Ft </t>
  </si>
  <si>
    <t>A Karácsony Sándor Közalapítvány a Józsefvárosért közalapítvány támogatása 3-3 fős kuratóriumi és Felügyelő Bizottság tagok díjazása címen 50 eFt/fő/hó+járulék, határozatlan időre 2017-től  évente 4.572,0 e Ft.</t>
  </si>
  <si>
    <t xml:space="preserve">A JKN Zrt.-vel kötött 2016. évi közszolgáltatási szerződés módosítása, a kompenzáció összege 2.508,0 e Ft, a rendszeres gyermekvédelmi támogatásban részesülők részére nyári szünidei étkeztetés igénybevételére </t>
  </si>
  <si>
    <t>A JGK Zrt.-nek  az Új Teleki téri Piaccal kapcsolatos feladatok  2016. június 2-től történő átvétele,tartós működési kötelezettség, évente 6.421,6 e Ft összegben (1fő létszám bővítés miatt JGK közszolg.szerz.)</t>
  </si>
  <si>
    <t xml:space="preserve">Az Önkormányzat fenntartásában lévő JSZSZGYK Nappali Ellátás szakmai egysége útján a Józsefvárosban élő demens személyek részére térítésmentesen adathordozó 1.000, e- Ft összegben 2017. évtől határozatlan időre </t>
  </si>
  <si>
    <t xml:space="preserve">A Szomszédsági Házfelügyelői tevékenység ellátása 2017. április 1-től  JGK Zrt. Közszolgáltatási szerződés keretében </t>
  </si>
  <si>
    <t xml:space="preserve">A Petőfi Sándort ábrázoló szobor környezetének megújítására együttműködési megállapodást köt a Budapest VIII. kerület, Delej u. 51. szám alatti Társasházzal , 1.606,3 e Ft-ot biztosít a 2018. évi költségvetés terhére </t>
  </si>
  <si>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</si>
  <si>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</si>
  <si>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</si>
  <si>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</si>
  <si>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</si>
  <si>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</si>
  <si>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Kiadás</t>
  </si>
  <si>
    <t>2019. évre tervezett</t>
  </si>
  <si>
    <t>2021. évre tervezett</t>
  </si>
  <si>
    <t>2020. évre tervezett</t>
  </si>
  <si>
    <t>Önkormányzati kiegészítés saját forrásból</t>
  </si>
  <si>
    <t xml:space="preserve">Működési hiány </t>
  </si>
  <si>
    <t>2022. év</t>
  </si>
  <si>
    <t>2019. évi</t>
  </si>
  <si>
    <t>Energiamegtakarítási intézkedési terv</t>
  </si>
  <si>
    <t>Térfigyelő adatátviteli hálózat felújítása</t>
  </si>
  <si>
    <t>Részletezve külön mellékletben</t>
  </si>
  <si>
    <t>Orczy Negyed Projekt</t>
  </si>
  <si>
    <t>Értékvédelmi emléktáblák</t>
  </si>
  <si>
    <t>Társasházak felújítására kölcsön és vissza nem térítendő támogatás nyújtás</t>
  </si>
  <si>
    <t>Bútor beszerzés</t>
  </si>
  <si>
    <t xml:space="preserve">Éven túl elhasználódó eszközök beszerzése </t>
  </si>
  <si>
    <t xml:space="preserve">PDA bírságoló készülék beszerzés  </t>
  </si>
  <si>
    <t>Józsefvárosi  Egyesített Bölcsődék</t>
  </si>
  <si>
    <t>Napraforgó Egyesített Óvoda</t>
  </si>
  <si>
    <t>Mindösszesen</t>
  </si>
  <si>
    <t>Lakatos Menyhért Általános Iskola és Gimnázium tornatermének felújítása TAO pályázat 70%</t>
  </si>
  <si>
    <t>Németh László Általános Iskola tornatermének felújítása TAO pályázat 70%</t>
  </si>
  <si>
    <t>egyéb bevételek díjbevétel bank kamatok és késedelmi kamatok</t>
  </si>
  <si>
    <t>közszolgálati lakások felújítása bérbeszámítással</t>
  </si>
  <si>
    <t>Bérleti díj közös ktg.</t>
  </si>
  <si>
    <t xml:space="preserve">otthon-felújítási támogatás </t>
  </si>
  <si>
    <t>perköltség, egyéb szakértői díjak</t>
  </si>
  <si>
    <t>bankköltség</t>
  </si>
  <si>
    <t>önként vállalt,                                  kötelező feladat</t>
  </si>
  <si>
    <t>Közüzemi díjak (víz, villany, gáz, távhő)</t>
  </si>
  <si>
    <t>Élelmiszer beszerzés NE</t>
  </si>
  <si>
    <t>megtérült perköltség</t>
  </si>
  <si>
    <t>Márványtáblák kiegészítése</t>
  </si>
  <si>
    <t>Víg u. irattár felújítása</t>
  </si>
  <si>
    <t>Storage bővítése</t>
  </si>
  <si>
    <t>Storage licenc</t>
  </si>
  <si>
    <t>EUB III. TÉR_KÖZ "B" 2016</t>
  </si>
  <si>
    <t>DériM projekt TÉR_KÖZ 2018</t>
  </si>
  <si>
    <t>EUB III. TÉR_KÖZ "A" 2016</t>
  </si>
  <si>
    <t>3 db térfigyelő kamera telepítés</t>
  </si>
  <si>
    <t>Közösségi és kulturális rendezvények</t>
  </si>
  <si>
    <t>Hatósági díjak</t>
  </si>
  <si>
    <t>CSP projekt utak felújítása</t>
  </si>
  <si>
    <t>ÖNKORMÁNYZAT MINDÖSSZESEN</t>
  </si>
  <si>
    <t>KÖLTSÉG-     VETÉSI SZERVEK MINDÖSSZESEN</t>
  </si>
  <si>
    <t>Szabadidős hálózat üzemeltetési kts.</t>
  </si>
  <si>
    <t>Nem elszámolható szoft (pl.: ösztöndíj)</t>
  </si>
  <si>
    <t>Önkormányzati lakóépületek komplex közösségi megújítása (LP 1)</t>
  </si>
  <si>
    <t>Műszakilag szükséges épületek bontása(LP 2)</t>
  </si>
  <si>
    <t>Magdolna-Orczy Negyed Projekt önkormányzati önrész</t>
  </si>
  <si>
    <t>Óvodai és iskolai szociális segítő tevékenység támogatása</t>
  </si>
  <si>
    <t>Egyéb mérnöki szakdíjak (LP1)</t>
  </si>
  <si>
    <t>Műszaki dokumentáció (engedélyezési, kiviteli és tendertervek, szakági tervekkel) (LP1)</t>
  </si>
  <si>
    <t>Egyéb, a megvalósításhoz szükséges szolgáltatási költségek (LP1)</t>
  </si>
  <si>
    <t>Építéshez kapcsolódó költségek (LP1)</t>
  </si>
  <si>
    <t>Műszaki ellenőri szolgáltatások költsége (LP1)</t>
  </si>
  <si>
    <t>Műszaki dokumentáció (engedélyezési, kiviteli és tendertervek, szakági tervekkel) (LP2)</t>
  </si>
  <si>
    <t>Műszaki ellenőri szolgáltatások költsége (LP2)</t>
  </si>
  <si>
    <t>Egyéb, a megvalósításhoz szükséges szolgáltatási költségek (LP2)</t>
  </si>
  <si>
    <t>Egyéb mérnöki szakértői díjak (LP2)</t>
  </si>
  <si>
    <t>Építéshez kapcsolódó költségek (LP2)</t>
  </si>
  <si>
    <t>Műszaki ellenőri szolgáltatások költsége (LP3)</t>
  </si>
  <si>
    <t>Műszaki dokumentáció (engedélyezési, kiviteli és tendertervek, szakági tervekkel) (LP3)</t>
  </si>
  <si>
    <t>Építéshez kapcsolódó költségek (LP3)</t>
  </si>
  <si>
    <t>Egyéb, a megvalósításhoz szükséges szolgáltatási költségek (LP3)</t>
  </si>
  <si>
    <t>Építéshez kapcsolódó költségek (LP4)</t>
  </si>
  <si>
    <t>Egyéb szükséges háttértanulmányok, szakvélemények költsége (LP4)</t>
  </si>
  <si>
    <t>Egyéb mérnöki szakértői díjak (LP4)</t>
  </si>
  <si>
    <t>Műszaki ellenőri szolgáltatások költsége (LP4)</t>
  </si>
  <si>
    <t>Egyéb, a megvalósításhoz szükséges szolgáltatási költségek (LP6)</t>
  </si>
  <si>
    <t>Műszaki ellenőri szolgáltatások költsége (LP7)</t>
  </si>
  <si>
    <t>Építéshez kapcsolódó költségek (LP7)</t>
  </si>
  <si>
    <t>Egyéb, a megvalósításhoz szükséges szolgáltatási költségek (LP7)</t>
  </si>
  <si>
    <t>Műszaki dokumentáció (engedélyezési, kiviteli és tendertervek, szakági tervekkel) (LP7)</t>
  </si>
  <si>
    <t>Műszaki jellegű szolgáltatások költségei (LP7)</t>
  </si>
  <si>
    <t>Műszaki jellegű szolgáltatások költségei (LP3)</t>
  </si>
  <si>
    <t>Műszaki ellenőri szolgáltatások költsége (FP5)</t>
  </si>
  <si>
    <t>Építéshez kapcsolódó költségek (FP5)</t>
  </si>
  <si>
    <t>Műszaki jellegű szolgáltatások költségei (FP5)</t>
  </si>
  <si>
    <t>Eszközbeszerzés (FP5)</t>
  </si>
  <si>
    <t>Szolgáltatás (KP3)</t>
  </si>
  <si>
    <t>Eszközbeszerzés (KP3)</t>
  </si>
  <si>
    <t>Előkészítés (KP3)</t>
  </si>
  <si>
    <t>Bérjárulékok (KP3)</t>
  </si>
  <si>
    <t>Bérköltségek (KP3)</t>
  </si>
  <si>
    <t>Szolgáltatás (KP4)</t>
  </si>
  <si>
    <t>Szolgáltatás (KP5)</t>
  </si>
  <si>
    <t>Kivitelezési költségek (KP6)</t>
  </si>
  <si>
    <t>Eszközbeszerzés (KP6)</t>
  </si>
  <si>
    <t>Projektmenedzsment (Ált. ktg.)</t>
  </si>
  <si>
    <t>Könyvvizsgálat (Ált. ktg.)</t>
  </si>
  <si>
    <t>Közbeszerzési szaktanácsadás (Ált. ktg.)</t>
  </si>
  <si>
    <t>Közbeszerzési eljárás díjazása (Ált. ktg.)</t>
  </si>
  <si>
    <t>JSZSZGYK Egyéb szociális szolgáltatás (MORCZY)</t>
  </si>
  <si>
    <t>Képzések motivációs csomag (FP2)</t>
  </si>
  <si>
    <t xml:space="preserve">Intézményi költségvetésben kimutatott maradvány </t>
  </si>
  <si>
    <t>Vállalkozók számára motivációs csomag JKN)</t>
  </si>
  <si>
    <t>JSZSZGYK iroda berendezés, eszközbeszerzés</t>
  </si>
  <si>
    <t>Kálvária tér továbbfejlesztése</t>
  </si>
  <si>
    <t xml:space="preserve">  Egyéb működési célú támogatások államháztartáson kívülre</t>
  </si>
  <si>
    <t>Műszaki dokumentáció (engedélyezési, kiviteli és tendertervek, szakági tervekkel) Kálvária tér továbbfejlesztése (KP6)</t>
  </si>
  <si>
    <t>Pályázati támogatás terhére</t>
  </si>
  <si>
    <t>Támogatás viszafizetése konzorciumi partner változás miatt</t>
  </si>
  <si>
    <t xml:space="preserve"> - önkormányzati hivatal működésének támogatása-beszámítás után</t>
  </si>
  <si>
    <t>2021.év</t>
  </si>
  <si>
    <t>TÉR_KÖZ pályázat és egyéb fejlesztési projektek</t>
  </si>
  <si>
    <t>Szerver operációs rendszer csere 2008-ról 2016-ra</t>
  </si>
  <si>
    <t>Windows operációs rendszer frissítések a jelenleg futó rendszereknél</t>
  </si>
  <si>
    <t>Azon házaspárok részére, akik Józsefvárosban kötötték meg házasságukat és legalább az egyik fél VIII. kerületi lakóhellyel rendelkezik, házassági évfordulójuk alkalmából ajándékcsomagok 4.000,- Ft/pár,200,0 e Ft összegben 2017. évtől határozatlan időre</t>
  </si>
  <si>
    <t>Hangos térfigyelő kamerák üzemeltetése  határozatlan időre  Közterület-felügyelet által</t>
  </si>
  <si>
    <t>határozat szám/  megjegyzés</t>
  </si>
  <si>
    <t>549/2009.(12.16.)                                                                            174/2010.(V.19.)</t>
  </si>
  <si>
    <t xml:space="preserve">39/2015.(02.19.) </t>
  </si>
  <si>
    <t xml:space="preserve">175/2010.(V.19.)                                                   203/2011.(IV.21.) </t>
  </si>
  <si>
    <t xml:space="preserve"> 267/2011.(VI.16.) </t>
  </si>
  <si>
    <t xml:space="preserve"> 491/2011.(XII.15.)                   177/2013.(V.08.)                                             481/2013.(XII.18.)</t>
  </si>
  <si>
    <t>251/2011.(06.02.)                                                    430/2013.(XII.04.)</t>
  </si>
  <si>
    <t>294/2013.(VII.17.)</t>
  </si>
  <si>
    <t xml:space="preserve">211/2015.(IX.17.)                                               181/2016.(IX.08.)                                                      175/2017. (IX.07.)                                      75/2018. (X.04.) </t>
  </si>
  <si>
    <t xml:space="preserve"> 366/2010. (IX. 22.)                                                                                        151/2013.(V.08.) </t>
  </si>
  <si>
    <t xml:space="preserve">430/2013.(XII.04.)                               234/2014.(XII.04.)                                                                         172/2016. (IX.08.) </t>
  </si>
  <si>
    <t>438/2013.(XII.04.)</t>
  </si>
  <si>
    <t>121/2014.(VI.11.)</t>
  </si>
  <si>
    <t xml:space="preserve">142/2015.(VI.04.)                                                         25/2016.(II.04.)                                                                222/2016. (XI.10.)                                                  a 25/2016.(II.04.) </t>
  </si>
  <si>
    <t>236/2014.(XII.04.)</t>
  </si>
  <si>
    <t>248/2014.(XII.04.)                                                               206/2017. (IV.03.) sz.VPB. határozat</t>
  </si>
  <si>
    <t xml:space="preserve">255/2014.(XII.04.)                                                                                   229/2015.(X.22.)                                                                122/2017. (V.11.) </t>
  </si>
  <si>
    <t xml:space="preserve">155/2015.(VI.25.) </t>
  </si>
  <si>
    <t xml:space="preserve">220/2015. (X.22.)                                                           172/2016.(IX.08.)                                                                                      66/2018. (X.04.) </t>
  </si>
  <si>
    <t xml:space="preserve">220/2015. (X.22.) </t>
  </si>
  <si>
    <t xml:space="preserve">248/2015. (XII.03.) </t>
  </si>
  <si>
    <t xml:space="preserve">277/2015. (XII.03.) </t>
  </si>
  <si>
    <t xml:space="preserve">68/2016.(IV.07.) </t>
  </si>
  <si>
    <t xml:space="preserve">109/2016.(V.05.) </t>
  </si>
  <si>
    <t xml:space="preserve">113/2016.(V.05.) </t>
  </si>
  <si>
    <t xml:space="preserve">127/2016.(VI.02.) </t>
  </si>
  <si>
    <t xml:space="preserve">150/2016.(VI.02.) </t>
  </si>
  <si>
    <t xml:space="preserve">159/2016.(VIII.25.) </t>
  </si>
  <si>
    <t xml:space="preserve">191/2016.(IX.15.) </t>
  </si>
  <si>
    <t>203/2016. (X.06.)</t>
  </si>
  <si>
    <t xml:space="preserve">219/2016.(XI.10.) </t>
  </si>
  <si>
    <t>230/2016.(XII.1.)</t>
  </si>
  <si>
    <t xml:space="preserve">247/2016.(XII.1.) </t>
  </si>
  <si>
    <t xml:space="preserve">248/2016.(XII.1.) </t>
  </si>
  <si>
    <t xml:space="preserve">251/2016.(XII.1.) </t>
  </si>
  <si>
    <t xml:space="preserve">54/2017. (III.09.) </t>
  </si>
  <si>
    <t xml:space="preserve">74/2017. (III.09.) </t>
  </si>
  <si>
    <t xml:space="preserve">89/2017. (IV.13.) </t>
  </si>
  <si>
    <t xml:space="preserve">100/2017. (IV.13.) </t>
  </si>
  <si>
    <t>117/2017. (V.11.)</t>
  </si>
  <si>
    <t>175/2017. (IX.07.)</t>
  </si>
  <si>
    <t xml:space="preserve">212/2017. (X.19.) </t>
  </si>
  <si>
    <t xml:space="preserve">213/2017. (X.19.) </t>
  </si>
  <si>
    <t xml:space="preserve">214/2017. (X.19.) </t>
  </si>
  <si>
    <t xml:space="preserve">221/2017. (X.19.) </t>
  </si>
  <si>
    <t xml:space="preserve">235/2017. (XII.19.) </t>
  </si>
  <si>
    <t>29/2018. (V.03.)</t>
  </si>
  <si>
    <t>52/2018. (VII.16.)</t>
  </si>
  <si>
    <t>54/2018. (VII.16.)</t>
  </si>
  <si>
    <t>59/2018. (VII.16.)</t>
  </si>
  <si>
    <t>89/2018. (XI.29.)</t>
  </si>
  <si>
    <t>Egyéb projektek</t>
  </si>
  <si>
    <t>Járdaszakaszok felújítása</t>
  </si>
  <si>
    <t>Térfigyelő szoftver beszerzés</t>
  </si>
  <si>
    <t>JSZSZGYK Nappali ellátás</t>
  </si>
  <si>
    <t>JSZSZGYK Idősek átmeneti otthona/gondozóház</t>
  </si>
  <si>
    <t>JSZSZGYK telephelyének tervezése</t>
  </si>
  <si>
    <t>Szerdahelyi u. 9. sz. alatti üres telek értékesítés</t>
  </si>
  <si>
    <t>Intézményi költségvetésben kimutatott maradvány össesen</t>
  </si>
  <si>
    <t>Kerület összesen</t>
  </si>
  <si>
    <t>Segélyhívó rendszer (KP4)</t>
  </si>
  <si>
    <t>TÉR_KÖZ 2016 Bláthy Ottó utcai közterület megújítása és funkcióváltása c. projekttel kapcsolatos park fenntartási költségei</t>
  </si>
  <si>
    <t>TÉR_KÖZ 2016 Bláthy Ottó utcai közterület megújítása és funkcióváltása c. projekttel kapcsolatos 3 db térfigyelő kamera fenntartási költsége</t>
  </si>
  <si>
    <t>kötelező  feladat</t>
  </si>
  <si>
    <t>Települési támogatások emelése 2019-től határozatlan időre</t>
  </si>
  <si>
    <t xml:space="preserve">192/2017. (IX.07.) </t>
  </si>
  <si>
    <t>110/2017. (V.11.)                          252/2017. (XII.19.)                                             92/2018. (XI.29.)</t>
  </si>
  <si>
    <t>110/2017. (V.11.)                            252/2017. (XII.19.)                                             92/2018. (XI.29.</t>
  </si>
  <si>
    <t xml:space="preserve">2022. év </t>
  </si>
  <si>
    <t>Karácsony S. u. 29. sz. alatti üres telek értékesítés</t>
  </si>
  <si>
    <t>a 2019. évi magasabb bevételek indoklása:</t>
  </si>
  <si>
    <t>A Polgármesteri Hivatalban az elektronikus ügyintézés biztosítása érdekében  évenként bruttó 2.500,0 e Ft-ra előzetes kötelezettséget vállal</t>
  </si>
  <si>
    <t>A Fővárosi Önkormányzat Központi Stomatológiai Intézettel felnőtt és ifjúsági fogorvosi ellátásra  2007. évben kötött megbízási szerződése,  annak 2009. december 22. napján kelt módosítása alapján évente 18.000 e Ft , határozatlan időtart.</t>
  </si>
  <si>
    <t>Szemünk fénye program (2006-2021)</t>
  </si>
  <si>
    <t>324/2006.(07.06.)  15 év</t>
  </si>
  <si>
    <t>2007.09.03-tól 15.év + felmondás hiányában 7,5év mindenkori inflációval emelt összegben, lejáratkor nettó 83.877 e Ft -ért visszavásárlás</t>
  </si>
  <si>
    <t>Közalkalmazottak foglalkozásegészségügyi ellátása megbízási szerződés Józsefvárosi Szent Kozma EgészségügyiKözpont határozatlan időtart.</t>
  </si>
  <si>
    <t>A  Heim Pál Gyermekkórházzal gyermekorvosi ügyeleti ellátás tárgyában, 2007. január 1. napjától határozatlan időre kötött feladatátadási szerződés</t>
  </si>
  <si>
    <t xml:space="preserve">Fővárosi Önkormányzattal szembeni tartozás törlesztése 2012-2020. </t>
  </si>
  <si>
    <t xml:space="preserve">LÉLEK Program lakásainak felújítására támogatási szerződés az Emberi Erőforrások Minisztériumával egyidejűleg a támogatási szerződésben foglaltak fenntartása a támogatási időszak lejáratát követően 8 évre, a lakóházműködtetés keretén belül. </t>
  </si>
  <si>
    <t xml:space="preserve">A Bursa Hungarica Felsőoktatási Önkormányzati Ösztöndíjpályázat 2019. évi fordulójához az önkormányzati támogatás keretösszege 3.500.000,- Ft,a 2021. évi költségvetés helyi adóbevételeinek terhére  3 millió forint,2022. évi költségvetés helyi adóbevételeinek terhére 3.500.000,- forint </t>
  </si>
  <si>
    <t xml:space="preserve">Az MNP II. keretében kialakított,  lakóépületekbe kiépített kamerarendszerhez tartozó riasztórendszer távfelügyeleti rendszerbe történő integrálása és a  Közterület-felügyelet által történő üzemeltetése 10 éves időtartamra </t>
  </si>
  <si>
    <t xml:space="preserve">A  Baross u. 111., Baross u. 103., Losonci tér 3., és Losonci tér 4. szám alatti lakóépületek energia-megtakarítást eredményező korszerűsítésének, felújításának bekerülési költségeinek finanszírozása 10 éves futamidő, lakásonként 500.000 Ft vissza nem térítendő támogatás,2015-2022. években évente 12.200,0 e Ft, 2023. évre 3.660,0 e Ft </t>
  </si>
  <si>
    <t>Lakóépületek energiatakarékos felújítása korszerűsítése 2015-2023.; évente 3100 eft, összesen 29.450,0 e Ft,2024.évben 1.550 e Ft.</t>
  </si>
  <si>
    <t>A Társasházi Pályázatokat Elbíráló Munkacsoport tagjainak díjazása  2017. évtől határozatlan időre évenként elnök 200 e Ft, tagok 4fő 150 e Ft, + kifizetői járulék, évente 26.670,0 e Ft (Társasházi Pályázatokat Elbíráló Ideiglenes Bizottság, Smart City Ideiglenes Bizottság)</t>
  </si>
  <si>
    <t xml:space="preserve">234/2014.(XII.04.)                                    235/2017.(XII.19.) </t>
  </si>
  <si>
    <t>A Polgármesteri Hivatal közterület-felügyeleti, kerékbilincselési feladatok ellátásához egyenruha és formaruha  évente, 12.700,0 e Ft, veszélyességi pótlék évente 17.236,0 e Ft  2017.május 1-től 2019. szeptember 1-ig a keretösszeg 17.780 e Ft (Palcsák Egyenruházati Kft)</t>
  </si>
  <si>
    <t>A nevelési-oktatási, a szociális, a gyermekjóléti és gyermekvédelmi ellátást biztosító intézmények közétkeztetési szolgáltatására vonatkozó közbeszerzési eljárás kiírása 4 éves időszakra 3.316.281,6 eFt-ot határoz meg,  a 4 éves időszakra tervezett összegen felül bruttó 1.111.000 e Ft ,2018. évtől határozatlan ideig bruttó 45.411,3 e Ft étkeztetési többlet költség</t>
  </si>
  <si>
    <t>A Turay Ida Színház Közhasznú Nonprofit Kft-vel közszolgáltatási szerződés alapján 2018. március 1.-től 2021. február 28.-ig</t>
  </si>
  <si>
    <t>KEOP 2015-5.7.0 Középületek kiemelt jelentőségű épületenergetikai fejlesztése pályázat, nyertes pályázatok esetén a projektek befejezésének napját követő naptól számított 5 évig a pályázatokban szereplő épületekre  évente 1.016,0 Ft</t>
  </si>
  <si>
    <t xml:space="preserve">Az Önkormányzat vagyon- és felelősségbiztosítása  2016-2017-2018. évre vagyonbiztosítása összesen 90.000,0 e Ft, 2019-2021.évre évente 38.000 e Ft) </t>
  </si>
  <si>
    <t xml:space="preserve">Az Új Teleki téri Piac karbantartása, kártevőirtása valamint tűzoltó készülékek és berendezések felülvizsgálata  2016-tól 2020-ig, évenként bruttó 3.647,4 e Ft </t>
  </si>
  <si>
    <t>A Polgármesteri Hivatal közterület-felügyeleti feladatainak ellátásához szükséges gépjárművek elszállításra vonatkozó  5 éves időtartamú közbeszerzési eljárás megindítása évenként bruttó 5.175,0 e Ft, 5 évre 25.875,0 e Ft</t>
  </si>
  <si>
    <t xml:space="preserve">Az Önkormányzat elfogadja a Hajléktalanokért Közalapítvány  1 db Suzuki SX4 1.6 GLX típusú személygépkocsi határozatlan idejű ingyenes használatra vonatkozó felajánlását, a JSZSZGYK-nak a LÉLEK-Programmal kapcsolatos feladatainak ellátására, 2016. évre 920,0 e Ft , 2017. évtől évente 630,0 e Ft  </t>
  </si>
  <si>
    <t>Az önkormányzati városrehabilitációs és városfejlesztési feladatokat 2016. január 1-jétől a Rév8 Zrt. útján látja el.Az Önkormányzat költségvetésének terhére tartós kötelezettséget vállal 2016. évre 108.142,1 e Ft összegben, 2017-től 2020-ig évente 119.642,2 e Ft összegben.</t>
  </si>
  <si>
    <t>A RÉV8 Zrt.-vel kötött 2016. évi közszolgáltatási szerződésben meghatározott kompenzáció összegét 2017. évtől évi bruttó 10.400,0 e Ft-ra emeli.</t>
  </si>
  <si>
    <t xml:space="preserve">A JSZSZGYK, Óvodák alkalmazottjainak  2016. május 1. napjától határozatlan ideig szóló kereset-kiegészítése 98.517,0 e Ft összegben </t>
  </si>
  <si>
    <t xml:space="preserve">A Bauer S. u. 4. fszt. 2.  szám alatti helyiségben körzeti megbízotti iroda közüzemi költségei   határozatlan időre évente 168,0 e Ft összegben </t>
  </si>
  <si>
    <t xml:space="preserve">A Polgármesteri Hivatal foglalkoztatottai részére megállapított üdülési támogatás  2017. évtől tartós, évente 40.084,0 e Ft  </t>
  </si>
  <si>
    <t xml:space="preserve">A háziorvosi rendelők karbantartása és rezsiköltség térítése  2017. évtől 2026. december 31. napjáig évente bruttó 25.000,0 e Ft </t>
  </si>
  <si>
    <t>Eredményes pályázat esetén a projekt befejezésének napjától számított 5 évig vállalja, hogy épületenergetikai szakértő igénybe vételével, 5 évre 2.540 e Ft-ra, azaz 2018-tól évente  508 e Ft-ra előzetes kötelezettséget vállal</t>
  </si>
  <si>
    <t>VEKOP-6.2.1-15 pályázat "Magdolna-Orczy Negyed szociális városrehabilitációs program” saját forrás az Önkormányzat saját működési és felhalmozási bevételeinek terhére a 2017. évi kv-ben 67.500,0 e Ft összegben, a 2018. évi kv-ben 85.000,. e Ft összegben, a 2019. évi kv-ben 90.000,0 e Ft összegben, a 2020. évi kv-ben 87.500,0 e Ft összegben, a 2021. évi kv-ben 20.000,0 e Ft összegben.</t>
  </si>
  <si>
    <t>161-166/2016.(VIII.25.)  7. pontját módosítja az 53/2018. (VII.16.)</t>
  </si>
  <si>
    <t>A Józsefvárosban adományozható kitüntetésekről szóló önkormányzati rendelet módosítása miatt, határozatlan időre évente 4.000 e Ft biztosítása</t>
  </si>
  <si>
    <t>Az önkormányzat 2017. évtől tartós működési előzetes kötelezettséget vállal a parkolás bővítés miatt várhatóan bruttó 76.000,0 e Ft díjbevételre, 7.776,0 e Ft visszaigényelt áfa bevételre, 52.733,1 e Ft költségre, melyből a közszolgáltatási díj összege 36.575,6 e Ft, az áfa befizetés összege 16.157,5e Ft.(JGK. közszolg.szerz.)</t>
  </si>
  <si>
    <t xml:space="preserve">ÉLETMENTŐ PONT” Józsefvárosi Gazdálkodási Központ Zrt. által történő üzemeltetése 2017. évtől  évente 5.000,0 e Ft összegben </t>
  </si>
  <si>
    <t xml:space="preserve">  A Belső-Pesti Tankerületi Központ  2017. évtől évente 12.775 e Ft összegű támogatása határozatlan időre, a Józsefvárosi Gazdálkodási Központ Zrt. által a működtetés területén alkalmazott munkavállalóknak a Belső-Pesti Tankerületi Központ további foglalkoztatása esetén a cafetéria juttatás biztosítása,  ameddig a Belső-Pesti Tankerület egyéb költségvetési forrásból fedezetet biztosít rá.</t>
  </si>
  <si>
    <t xml:space="preserve">A Fővárosi Katasztrófavédelmi Igazgatósággal 2013. július 25. napján kötött Használatba adási szerződés alapján 2016. december 01. napjától (Bezerédi u.3.Bezerédi u.5.)közműdíjak, közös ktg. kölltsége, 2017-től határozatlan időre évente 1.092,0 e Ft összegben </t>
  </si>
  <si>
    <t>Hátralékkiegyenlítő támogatás 2018. évtől határozatlan időre évente 15.000,0 e Ft összegben</t>
  </si>
  <si>
    <t xml:space="preserve">A Polgármesteri Hivatalban a megaportál kiváltására évente bruttó 700,0 e Ft, a Shear point dokumentumok párhuzamos szerkesztését segítő szoftverbeszerzésre évente bruttó 500,0 e Ft  határozatlan ideig </t>
  </si>
  <si>
    <t xml:space="preserve">A Gutenberg tér 3.   szám alatti helyiségben körzeti megbízotti iroda közüzemi költségei határozatlan idő, évente 360,0 e Ft összegben </t>
  </si>
  <si>
    <t xml:space="preserve">Az Önkormányzat fenntartásában lévő, vagy 2016. december 31-ig általa működtetett oktatási-nevelési intézménybe járó gyermek, vagy az Önkormányzat fenntartásában lévő gyermekjóléti intézmény ellátottja, vagy az Önkormányzat fenntartásában működtetett Biztos Kezdet Gyerekházat igénybe vevő gyermek, a gyermekkel együtt táborozó közeli hozzátartozói és gyámja számára -  természetbeni juttatás formájában - ingyenesen biztosítja a magyarkúti intézményi táboroztatást a 2018. évi költségvetés és az azt követő évek költségvetésének terhére  </t>
  </si>
  <si>
    <t xml:space="preserve">Térfigyelő kamerák működtetése határozatlan időre 2018-tól évente 1.200,0 e Ft összegben </t>
  </si>
  <si>
    <t xml:space="preserve">154/2017. (VI.08.)                                            235/2017.(XII.19.) </t>
  </si>
  <si>
    <t xml:space="preserve">A Hungária krt. 16. fsz.3.4.  szám alatti helyiségekben körzeti megbízotti iroda közüzemi költségei  2018. évtől határozatlan időre évente 181,0 e Ft összegben </t>
  </si>
  <si>
    <t>A JSZSZGYK engedélyezett álláshelyeinek számát  2 álláshellyel (1 álláshely családgondozó, 1 álláshely műszaki ellenőr, koordinátor) megemeli 2018. január 1-től, a 2018. évi költségvetés és az azt követő évek költségvetésének terhére 2018. évre 7.823,2 e Ft, 2019-től évente 8.502,6 e Ft összegben</t>
  </si>
  <si>
    <t xml:space="preserve">A nevelő-oktató munkát közvetlenül segítő munkakörökben foglalkoztatottak hűségjutalma 2018. évtől bruttó 254.400 Ft, </t>
  </si>
  <si>
    <t>Az Önkormányzat a Polgármesteri Hivatal foglalkoztatottai részére gyermekfelügyeleti támogatást biztosít határozatlan időre  2017-ben 160,0 e Ft,  2018. évtől  évente 3.360,0 e Ft-összegben</t>
  </si>
  <si>
    <t>A lakosság szabad internet hozzáférésének biztosítása határozatlan időre</t>
  </si>
  <si>
    <t xml:space="preserve">A Józsefvárosi Egyesített Bölcsődék engedélyezett létszáma 2018. június 1-jétől – önként vállalt feladat – 1 fő gyógypedagógus álláshely, valamint – kötelező feladat – 9 fő dajka álláshely határozatlan időre évente önként vállalt feladatként 7.582 e Ft összegben, valamint kötelező feladatként 23.294 e Ft összegben </t>
  </si>
  <si>
    <t>A Napraforgó Egyesített Óvoda engedélyezett létszámának 2 fővel történő emelése határozatlan időre</t>
  </si>
  <si>
    <t xml:space="preserve">A Polgármesteri Hivatalban foglalkoztatott köztisztviselők illetményalap emelése határozatlan időre </t>
  </si>
  <si>
    <t xml:space="preserve">A Józsefvárosi Gazdálkodási Központ Zrt. dolgozóinak bérfejlesztése határozatlan időre </t>
  </si>
  <si>
    <t>30 fő házfelügyelő foglalkoztatására tartós kötelezettséget vállal határozatlan időre kötelező feladatként évente 3.175 e Ft összegben</t>
  </si>
  <si>
    <t xml:space="preserve">A Polgármesteri Hivatal minőségirányítási audit folytatása  a 2019-2020. évekre évenként bruttó 254,0 e Ft </t>
  </si>
  <si>
    <t>Közterületek komplex megújítására és közösségi célú városrehabilitációs programok megvalósítására vonatkozó TÉR_KÖZ 2018 pályázat „B” programjára benyújtott Józsefvárosi Közösségi Egészségmegőrző Program (JóKözEg Program) című pályázati cél megvalósítása, nyertes pályázat esetén  21.179.983,- Ft önrész, működtetésére évente 2.000.000,- Ft a projekt lezárását követő 5 évig</t>
  </si>
  <si>
    <t>Vezetői megbízás Koscsóné Kolkopf Judit részére a Józsefvárosi Egyesített Bölcsődékben 2019-től határozatlan időre 2.521,0 e Ft</t>
  </si>
  <si>
    <t>Pénzügyi Integrált Rendszer karbantartására vonatkozó szerződés megkötése (2019-2020) Önkormányzat</t>
  </si>
  <si>
    <t>MINDÖSSZESEN</t>
  </si>
  <si>
    <t>Parkoló automatákba alaplapok, modemek cseréje</t>
  </si>
  <si>
    <t xml:space="preserve">  64 Forgatási célú belföldi értékpapírok beváltása, értékesítése</t>
  </si>
  <si>
    <t xml:space="preserve">  65 Maradvány igénybevétele</t>
  </si>
  <si>
    <t>Finanszírozási felhalmozási bevételek (63+65)</t>
  </si>
  <si>
    <t>BEVÉTELEK (47+56)</t>
  </si>
  <si>
    <t xml:space="preserve">  62 Finanszírozási felhalmozási bevételek (63+65)</t>
  </si>
  <si>
    <t>Felhalmozási célú támogatások áht-on belülről (36+……+40)</t>
  </si>
  <si>
    <t>FELHALMOZÁSI BEVÉTELEK (36+41+42+43)</t>
  </si>
  <si>
    <t xml:space="preserve"> 48 FINANSZÍROZÁSI BEVÉTELEK (57+62)</t>
  </si>
  <si>
    <t xml:space="preserve">  49 Finanszírozási működési bevételek (58+…+61)</t>
  </si>
  <si>
    <t xml:space="preserve">  51 Maradvány igénybevétele</t>
  </si>
  <si>
    <t xml:space="preserve">  52 Finanszírozási felhalmozási bevételek (63+64)</t>
  </si>
  <si>
    <t xml:space="preserve">  54 Maradvány igénybevétele</t>
  </si>
  <si>
    <t xml:space="preserve">  50 Forgatási célú belföldi értékpapírok beváltása, értékesítése</t>
  </si>
  <si>
    <t xml:space="preserve">  53 Forgatási célú belföldi értékpapírok beváltása, értékesítése</t>
  </si>
  <si>
    <t>2020. évi</t>
  </si>
  <si>
    <t>2020/2019</t>
  </si>
  <si>
    <t>képviselők, bizottsági tagok, egyéb Kt.által meghatározott feladatra létrehozott munkacsoportok tiszteletdíja, költségtérítése, reprezentáció, cafeteria, tisztségviselők saját keretei, promóciós ajándékok, jegyescsomag, jubiláló házaspárok ajándékozása</t>
  </si>
  <si>
    <t>Kitüntetések</t>
  </si>
  <si>
    <t>Polgármesteri Kabinet, Városvezetési Ügyosztály, Humánszolgáltatási Ügyosztály</t>
  </si>
  <si>
    <t>helyi rendelet alapján kitüntetésekhez járó jutalom  (ágazati ünnepségek, Józsefváros Lakosságának Szolgálatában kitüntetés), munkáltatói kölcsönhöz kapcsolódó bankköltség törlési díjak. Hűségjutalom a Közalkalmazotti Juttatási Szabályzat szerint (iskolai dolgozók)</t>
  </si>
  <si>
    <t xml:space="preserve">Polgármesteri Kabinet, Városvezetési Ügyosztály, Humánszolgáltatási Ügyosztály, Humánkapcsolati Iroda </t>
  </si>
  <si>
    <t>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Térzene, pedagógusok bérének kiegészítése (erdei iskola - kísérő tanárok díja), egyéb béren kívüli juttatás (iskolai technikai dolgozók)</t>
  </si>
  <si>
    <t>Költségvetési támogatások, intézményfinanszírozás</t>
  </si>
  <si>
    <t>Pénzügyi Ügyosztály  Pénzügyi, Számviteli és Költségvetési Iroda</t>
  </si>
  <si>
    <t xml:space="preserve">költségvetési szervek irányítószervi támogatása, önkormányzat központi költségvetésből származó támogatásai </t>
  </si>
  <si>
    <t xml:space="preserve">Gazdasági szervezet vezetője, Pénzügyi Ügyosztály Pénzügyi, Számviteli és Költségvetési Iroda           </t>
  </si>
  <si>
    <t xml:space="preserve">költségvetési   maradvány elszámolás </t>
  </si>
  <si>
    <t xml:space="preserve">költségvetési maradvány elszámolás </t>
  </si>
  <si>
    <t>Köznevelési feladatok</t>
  </si>
  <si>
    <t>óvodai neveléshez kapcsolódó tevékenységek (óvodák testnevelési foglalkozásához helyiségbérlet)</t>
  </si>
  <si>
    <t>ösztöndíj, tanévnyitó szervezési költségei</t>
  </si>
  <si>
    <t xml:space="preserve"> pszichiátriai betegek nappali ellátása szolgáltatással történő kiváltással, más kerületi önkormányzatokkal kötött ellátási szerződés (ÉNO, GYÁO)</t>
  </si>
  <si>
    <r>
      <t>Józsefvárosi kártya,</t>
    </r>
    <r>
      <rPr>
        <b/>
        <sz val="11"/>
        <rFont val="Times New Roman"/>
        <family val="1"/>
        <charset val="238"/>
      </rPr>
      <t xml:space="preserve"> </t>
    </r>
    <r>
      <rPr>
        <sz val="11"/>
        <rFont val="Times New Roman"/>
        <family val="1"/>
        <charset val="238"/>
      </rPr>
      <t>Idősügyi Tanács működtetése, Józsefvárosi Kábítószerügyi Egyeztető Fórum,          EU-s adományok</t>
    </r>
  </si>
  <si>
    <t>Humánszolgáltatási Ügyosztály Családtámogatási Iroda,             Hatósági Ügyosztály    Anyakönyvi Iroda</t>
  </si>
  <si>
    <t>rendkívüli települési támogatások (eseti, lakhatási, temetési, rendkivüli), köztemetés</t>
  </si>
  <si>
    <t xml:space="preserve">önkormányzati rendelet szerinti támogatások (első osztályosok iskolakezdése, téli fűtés, lakhatási kiadásokhoz kapcsolódó hátralékosok, táboroztatási, születési, oltási, étkezési támogatás igénybevétele, szénmonoxid mérők) </t>
  </si>
  <si>
    <t>önkormányzati tulajdonú parkolóhelyek üzemeltetése, fenntartása, működtetése, gyalogos átkelők kialakítása, útburkolati jelek felfestése, táblák kihelyezése, okos parkolók fenntartása, forgalomtechnikai tervek készítése közszolgáltatási szerződés keretében</t>
  </si>
  <si>
    <r>
      <rPr>
        <sz val="11"/>
        <rFont val="Times New Roman"/>
        <family val="1"/>
        <charset val="238"/>
      </rPr>
      <t xml:space="preserve">fővárosi tulajdonú parkolóhelyek üzemeltetése              </t>
    </r>
    <r>
      <rPr>
        <u/>
        <sz val="11"/>
        <rFont val="Times New Roman"/>
        <family val="1"/>
        <charset val="238"/>
      </rPr>
      <t xml:space="preserve">       </t>
    </r>
  </si>
  <si>
    <r>
      <t>Közterület-felügyeleti Ügyosztály,</t>
    </r>
    <r>
      <rPr>
        <sz val="11"/>
        <rFont val="Times New Roman"/>
        <family val="1"/>
        <charset val="238"/>
      </rPr>
      <t xml:space="preserve"> Gazdasági szervezet vezetője,</t>
    </r>
  </si>
  <si>
    <t>cafeteria, jutalom, hírdetési felületek hasznosítása, fenntartása, piachoz tartozó ingatlanokon parkóló üzemeltetés</t>
  </si>
  <si>
    <t>Vagyon-és lakásgazdálkodás</t>
  </si>
  <si>
    <t>Lakásvásárlási támogatás törlesztés</t>
  </si>
  <si>
    <t>helyi lakásvásárlási támogatás törlesztés</t>
  </si>
  <si>
    <t>tájékoztató táblák</t>
  </si>
  <si>
    <t xml:space="preserve">törzsvagyon bérbeadása, karbantartása </t>
  </si>
  <si>
    <t xml:space="preserve"> sportsátor, uszoda, iskolabusz, ballonos víz, iskola igazgatók mobiltelefon költsége (előfizetési díj)</t>
  </si>
  <si>
    <t>közszolgáltatási szerződés keretében településüzemeltetés, közterületek takarítása, útak - járdák-parkok fenntartása és karbantartása, közterületi játszóeszközök, utcabútorok, műtárgyak karbantartása.</t>
  </si>
  <si>
    <t>felújítások, beruházások, cafeteria, jutalom, közösségi kertek fenntartása, kerületgondnok, kerületőrség működtetése, illegálisan lerakott  szemé szállítása, főváris területen takarítás, egynyári virágok osztása, virágtartók, planténerek kihelyezése,  életmentő pont, behajtásgátlók üzemeltetése</t>
  </si>
  <si>
    <t>közszolgáltatási szerződés keretében vagyonbérbeadás, karbantartás, épületek üzemeltetése, kiköltöztetése, üres telkek kezelése, lomtalanítás, társasházi tulajdonosi képviselet</t>
  </si>
  <si>
    <t>vagyonértékesítés, felújítások, cafeteria, jutalom, bérlővédelmi program, ügyfélszolgálat biztosítása, kamera rendszerek üzemeltetése,</t>
  </si>
  <si>
    <t>egyéb tervek, koncepciók, térinformatikai rendszer működtetése</t>
  </si>
  <si>
    <r>
      <t xml:space="preserve">fogászati ellátás kiváltása, privatizált háziorvosok helyiség biztosítása, </t>
    </r>
    <r>
      <rPr>
        <sz val="11"/>
        <rFont val="Times New Roman"/>
        <family val="1"/>
        <charset val="238"/>
      </rPr>
      <t xml:space="preserve">gyermek egészségügyi ügyeleti ellátás, </t>
    </r>
  </si>
  <si>
    <t xml:space="preserve">privatizált háziorvosok rezsiköltségeinek átvállalása, valamint a rendelők karbantartása. Szájharmónia kampány, defibrillátorok karbantartása, NKE uszoda használata </t>
  </si>
  <si>
    <t>Társasházak vissza és vissza nem térítendő felújítási támogatásai, tűzfalfestés, világos kapualjak, társaházak részére kamerák biztosítása</t>
  </si>
  <si>
    <t>közbeszerzési díjak, peres ügyek, végrehajtási és közzétételi díjak, bankköltség, foglalkozás-egészségügy</t>
  </si>
  <si>
    <t>közszolgáltatási szerződés keretében Galéria, közművelődési tevékenység, foglalkoztatási programok, honlap működtetése, sporttal és szabadidős rendezvényekkel kapcsolatos feladatokhoz helyszín biztosítása, szünidei étkeztetés, gyermekek napközbeni ellátása (nyári napközis tábor)</t>
  </si>
  <si>
    <t>közszolgáltatási szerződés keretében, valamennyi pályázattal vállalt feladat, rendezvényszervezés (helyi kitüntetések átadása, megemlékezések, egyéb rendezvények), Józsefvárosi Újság, PR tevékenység, kommunikáció, üdültetés, egyéb szociális, felzárkóztatási programok, H13,  közösségi színtér,  színházi tevékenység, adományok gyűjtése és fogadása, osztása, Zászlógyűjtemény működtetése, cafeteria, jutalom,  tanodai program, Fókusz Női Közösségi Központ, Játszótársak (II. János Pál pápa téri játszótér - Játszótársak Egyesület  - működtetése</t>
  </si>
  <si>
    <t>Józsefvárosi Polgármesteri Hivatal</t>
  </si>
  <si>
    <t>20201-01</t>
  </si>
  <si>
    <t>reprezentáció, üzleti ajándék</t>
  </si>
  <si>
    <t>20201-02</t>
  </si>
  <si>
    <t>20201-03</t>
  </si>
  <si>
    <t>20201-04</t>
  </si>
  <si>
    <t>nemzetiségi önkormányzatok működési feltételeinek biztosítása</t>
  </si>
  <si>
    <t>hivatal foglalkoztatottainak törvény szerinti illetménye, munkabére, egyéb munkavégzéshez kapcsolódó juttatásai, jubileumi jutalom</t>
  </si>
  <si>
    <t>cafeteria, hűségjutalom, jutalom, szakmai továbbépzés, konferencia, szakértői, tanácsadói, egyéb külső megbízási díjak,  rekreációs hozzájárulás, kegyeleti támogatás, tanulmányi szerződés, katasztrófa készenléti díj, nyugdíjasok támogatása, gyakornoki program,  vezetői tréning, gyermekfelügyeleti támogatás</t>
  </si>
  <si>
    <t xml:space="preserve">cafateria, hűségjutalom, jutalom, rekreációs hozzájárulás </t>
  </si>
  <si>
    <t>lakhatás biztosítása: a Lélek-Ház és a Családos Közösségi Szállás, Lélek-Fészek lakások, utógondozás-utánkövetés</t>
  </si>
  <si>
    <t>központi irányítás,  pénzügyi - gazdasági feladatok, a Napraforgó Egyesített Óvoda, valamint a Józsefvárosi Egyesített Bölcsődék pénzügyi-gazdasági feladatainak ellátása</t>
  </si>
  <si>
    <t>A Közalkalmazotti Juttatási Szabályzat szerinti juttatások (cafeteria, hűségjutalom), jutalom</t>
  </si>
  <si>
    <t>Szolgáltatások</t>
  </si>
  <si>
    <t>speciális szolgáltatások (utcai, kórházi szociális munka), mentálhigiénés, pszichológiai és fejlesztő pedagógiai szolgáltatás, jogi tájékoztatás nyújtás, családkonzultáció, mediáció, gyermekvédelmi jelzőrendszeri készenléti szolgálat</t>
  </si>
  <si>
    <t xml:space="preserve">hátralékkezelési szolgáltatás, intenzív családmegtartó szolgáltatás,  mosodai szolgáltatás, fiatalok mentorálása, iskolai megkereső munka, utcai megkereső munka(FiDo Ifjúsági Központ), Kálvária tér InfoPont és játszótér közösségi-szociális program, diákmunka mentorálás, személyszállítás biztosítása idősek részére, a Közalkalmazotti Juttatási Szabályzat szerinti juttatások (cafeteria, hűségjutalom), jutalom, drogprevenciós tevékenység, adományközvetítő szolgáltatás
</t>
  </si>
  <si>
    <t>40102-04</t>
  </si>
  <si>
    <t>Óvodai  és iskolai szociális segítő tevékenység</t>
  </si>
  <si>
    <t xml:space="preserve"> iskolai-óvodai szociális munka,</t>
  </si>
  <si>
    <t>hétvégi étkeztetés, a Közalkalmazotti Juttatási Szabályzat szerinti juttatások (cafeteria, hűségjutalom), jutalom</t>
  </si>
  <si>
    <t>fodrász, pedikürös, gyógymasszőr, gyógytornász biztosítása, a Közalkalmazotti Juttatási Szabályzat szerinti juttatások (cafeteria, hűségjutalom), jutalom</t>
  </si>
  <si>
    <t>fodrász, pedikürös, gyógymasszőr, gyógytornász biztosítása, értelmi fogyatékosok részére reggeli biztosítása, a Közalkalmazotti Juttatási Szabályzat szerinti juttatások (cafeteria, hűségjutalom), jutalom</t>
  </si>
  <si>
    <t>idősek átmeneti elhelyezése</t>
  </si>
  <si>
    <t>fodrász, pedikürös, gyógymasszőr, gyógytornász biztosítása, bioptron lámpa szolgáltatás, "Józsefváros a demensekért" szolgáltatás működtetése, a Közalkalmazotti Juttatási Szabályzat szerinti juttatások (cafeteria, hűségjutalom), jutalom</t>
  </si>
  <si>
    <t>jelzőrendszeres házi segítségnyújtás működtetése, a Közalkalmazotti Juttatási Szabályzat szerinti juttatások (cafeteria, hűségjutalom), jutalom</t>
  </si>
  <si>
    <t>40108-01</t>
  </si>
  <si>
    <t>gyermekek átmeneti otthont nyújtó ellátása</t>
  </si>
  <si>
    <t>40108-02</t>
  </si>
  <si>
    <t>köznevelési intézményekben gyermekétkeztetés, szünidei étkeztetés, munkahelyi étkeztetés</t>
  </si>
  <si>
    <t>A Közalkalmazotti Juttatási Szabályzat szerinti juttatások (cafeteria, hűségjutalom), jutalom, Biztos Kezdet Gyerekház működtetése, időszakos gyermekfelügyelet, otthoni gyermekgondozás, hétvégi játszóház, gyógypedagógiai és korai fejlesztés, prevenciós fejlesztő programok, pszichológus tanácsadás, integrált konzultáció, tanácsadás biztosítása, fejlesztő eszközök kölcsönzése, Józsefvárosi Áldozetsegítő Szakmai Együttműködési Rendszer működtetése, gyakorlati hely biztosítása kisgyermeknevelő hallgatóknak (duális képzés)</t>
  </si>
  <si>
    <t xml:space="preserve">egészségügyi alapellátás,                       szakrendelés, felnőtt háziorvosi ügyelet </t>
  </si>
  <si>
    <t>A Közalkalmazotti Juttatási Szabályzat szerinti juttatások (cafeteria, hűségjutalom), jutalom, foglalkozás- egészségügy biztosítása, szűrőszombat szervezése, háziorvosok rezsiköltségének támogatása</t>
  </si>
  <si>
    <t>óvodai nevelés</t>
  </si>
  <si>
    <t>A Közalkalmazotti Juttatási Szabályzat szerinti juttatások (cafeteria, hűségjutalom), jutalom a nem magyar anyanyelvű gyermekek fejlesztése, iskolára való felkészítése, úszásoktatás biztosítása a nagycsoportos gyermekek részére, gyakorlati hely biztosítása óvodapedagógus hallgatóknak</t>
  </si>
  <si>
    <t>20000                                                               Polgármesteri Hivatal összesen</t>
  </si>
  <si>
    <t xml:space="preserve">11000                                                                         Önkormányzati feladatok összesen </t>
  </si>
  <si>
    <t>2020. évi tervezett ei.</t>
  </si>
  <si>
    <t>2019. évi várható teljesítés</t>
  </si>
  <si>
    <t>2018. évi teljesítés</t>
  </si>
  <si>
    <t>Index % 2020.terv /2019.évi várható teljesítés</t>
  </si>
  <si>
    <t>Index % 2020. terv/2018. évi teljesítés</t>
  </si>
  <si>
    <t xml:space="preserve">11000                  Önkormány-  zati feladatok összesen </t>
  </si>
  <si>
    <t>20000                      Polgármesteri Hivatal összesen</t>
  </si>
  <si>
    <t>Óvodai és iskolai szociális segítő tevékenység</t>
  </si>
  <si>
    <t>209</t>
  </si>
  <si>
    <t>210</t>
  </si>
  <si>
    <t>211</t>
  </si>
  <si>
    <t xml:space="preserve">11101                                             Tisztségviselő és bizottságok                                                </t>
  </si>
  <si>
    <t>11102                                                       Nemzetközi kapcsolatok</t>
  </si>
  <si>
    <t>11103                                               PR tevékenységek és Józsefvárosi Újság</t>
  </si>
  <si>
    <t>11104                                             Kitüntetések</t>
  </si>
  <si>
    <t xml:space="preserve">11105                                            Tagsági díjak és támogatások                                             </t>
  </si>
  <si>
    <t>11201                                                       Oktatáshoz, neveléshez kapcsolódó feladatok</t>
  </si>
  <si>
    <t>11301                                         Szociális feladatok</t>
  </si>
  <si>
    <t>11704                                         Egészségügyi feladatok ellátása, fogászati ellátás kivásárlása, privatizált háziorvosok átvállalt költségei, gyermekorvosi ügyelet díjazása</t>
  </si>
  <si>
    <t xml:space="preserve">11107-01                                             Működési általános- és céltartalék                                                </t>
  </si>
  <si>
    <t>11107-02                                                      Felhalmozási tartalék</t>
  </si>
  <si>
    <t>11108-01                                          Helyi és központi adók   Adóügyi Iroda</t>
  </si>
  <si>
    <t>11108-02                                            Támogatások</t>
  </si>
  <si>
    <t>11108-04                    Pénzmaradvány</t>
  </si>
  <si>
    <t xml:space="preserve">11303                                               Szociális és Gyermekvédelmi segélyek                                                            </t>
  </si>
  <si>
    <t>11401                                             Parkolás-üzemeltetés</t>
  </si>
  <si>
    <t>11404 -02                                        Közterületi feladatok</t>
  </si>
  <si>
    <t>11405                                         Közvilágítás</t>
  </si>
  <si>
    <t>11406                                                                Útkár miatti kártérítés</t>
  </si>
  <si>
    <t>11407                                       Teleki téri piac működtetése (személyi jellegű kiadásokon felüli)</t>
  </si>
  <si>
    <t>11402                                                    Környezetvédelem</t>
  </si>
  <si>
    <t>11501                                                    Lakásvásárlási támogatás  (helyi)</t>
  </si>
  <si>
    <t>11502                                                     Vagyongazdálkodás, elidegenítés, vagyonnyilvántartás</t>
  </si>
  <si>
    <t xml:space="preserve">11404-01                                          Térfigyelő-kamerarendszer működtetése                                                       </t>
  </si>
  <si>
    <t>11601                                                                Kisfalu Kft által végzett intézményi karbantartások, felújítások, beruházások, út és közterületek felújítása, beruházása</t>
  </si>
  <si>
    <t>11601-01                                         Önk. tulajd. JGK Zrt által oktatási intézmények ingatlanjainak üzemeltetése, fenntartása, karbantartása</t>
  </si>
  <si>
    <t>11601-03                                  Településüzemeltetés, út-park karbantartás, növényvédelem, köztisztaság</t>
  </si>
  <si>
    <t>11602                                                                 JGK Zrt. által közszolgáltatási szerződés keretében végzett vagyonbérbeadás,karbantartás, épületek működtetése</t>
  </si>
  <si>
    <t>11705                                         Társasházak felújításának támogatása, kölcsönök nyújtása</t>
  </si>
  <si>
    <t>11706-01                                     Önkormányzati tulajdonhoz kapcsolódó feladatok (Szemünk fénye (Commenius), hőszolgáltatás, (RFV)</t>
  </si>
  <si>
    <t>11604                                                                                Orczy Negyed  Projekt</t>
  </si>
  <si>
    <t>11605                                                          Rehabilitációk, fejlesztési projektek</t>
  </si>
  <si>
    <t>11703                                                                                         Főépítészi feladatok</t>
  </si>
  <si>
    <t>11706-02                                             Önkormányzati feladatokhoz kapcsolódó kártérítések, ügyvédi díjak, peres ügyek, könyvvizsgálat, bankköltség, adófizetések stb.</t>
  </si>
  <si>
    <t>11702                                        Védelmi feladatok</t>
  </si>
  <si>
    <t>11803                                                     RÉV8 Zrt</t>
  </si>
  <si>
    <t>11805                                         Józsefvárosi Közösségeiért Nonprofit Zrt</t>
  </si>
  <si>
    <t>Önkormányzat</t>
  </si>
  <si>
    <t>önként</t>
  </si>
  <si>
    <t>államig.</t>
  </si>
  <si>
    <t xml:space="preserve">kötelező </t>
  </si>
  <si>
    <t xml:space="preserve">önként </t>
  </si>
  <si>
    <t xml:space="preserve"> KIADÁSI ELŐIRÁNYZAT</t>
  </si>
  <si>
    <t>K121</t>
  </si>
  <si>
    <t>Tanévnyitó reprezentáció (K123)</t>
  </si>
  <si>
    <t>K1101</t>
  </si>
  <si>
    <r>
      <t>(K123)</t>
    </r>
    <r>
      <rPr>
        <sz val="10"/>
        <rFont val="Times New Roman"/>
        <family val="1"/>
        <charset val="238"/>
      </rPr>
      <t>Tervtanács díjazása</t>
    </r>
  </si>
  <si>
    <t>( K123) Megbízási díj (szerződéssel le nem kötött)</t>
  </si>
  <si>
    <t>Polgármester illetménye</t>
  </si>
  <si>
    <t>(K123) Kerületi Egyeztető Fórum, megb.díj, repi,</t>
  </si>
  <si>
    <t>62 fő köztisztviselő törvényi illetménye</t>
  </si>
  <si>
    <t>K123) Főépítész Irodának megbízási díj (szerződéssel le nem kötött)</t>
  </si>
  <si>
    <t>Polgármester nyelvpótlék</t>
  </si>
  <si>
    <t>18 fő köztisztviselő automatizmus</t>
  </si>
  <si>
    <t>Polgármester költségtérítése</t>
  </si>
  <si>
    <t>Szentes Tamás megbízási díj</t>
  </si>
  <si>
    <t>1 fő köztisztviselő szakvizsga miatti előrelépés</t>
  </si>
  <si>
    <t>6 fő köztisztviselő garantált bérminimum emelés különb.</t>
  </si>
  <si>
    <t>Vezetői pótlék</t>
  </si>
  <si>
    <t>15 fő nyelvpótlék</t>
  </si>
  <si>
    <t>2 fő nyugdíjazás miatt felmentési időre járó illetménye</t>
  </si>
  <si>
    <t>2 fő kttv. nyudíjazás miatti szabadságmegváltás</t>
  </si>
  <si>
    <t>2016. december havi bérkompenzáció</t>
  </si>
  <si>
    <r>
      <rPr>
        <b/>
        <sz val="10"/>
        <rFont val="Times New Roman"/>
        <family val="1"/>
        <charset val="238"/>
      </rPr>
      <t xml:space="preserve">(K1106) </t>
    </r>
    <r>
      <rPr>
        <sz val="10"/>
        <rFont val="Times New Roman"/>
        <family val="1"/>
        <charset val="238"/>
      </rPr>
      <t>1 fő kttv. törzsgárda jutalom</t>
    </r>
  </si>
  <si>
    <r>
      <t xml:space="preserve">(K1106) </t>
    </r>
    <r>
      <rPr>
        <sz val="10"/>
        <rFont val="Times New Roman"/>
        <family val="1"/>
        <charset val="238"/>
      </rPr>
      <t>2 fő kttv.jubileumi jutalom</t>
    </r>
  </si>
  <si>
    <t>7 fő mt. Hatálya alá tartozók törvényi illetménye</t>
  </si>
  <si>
    <r>
      <t xml:space="preserve">(K1107) </t>
    </r>
    <r>
      <rPr>
        <sz val="10"/>
        <rFont val="Times New Roman"/>
        <family val="1"/>
        <charset val="238"/>
      </rPr>
      <t>69 fő cafetéria</t>
    </r>
  </si>
  <si>
    <r>
      <t xml:space="preserve">(K1103) </t>
    </r>
    <r>
      <rPr>
        <sz val="10"/>
        <rFont val="Times New Roman"/>
        <family val="1"/>
        <charset val="238"/>
      </rPr>
      <t>célfeladat</t>
    </r>
  </si>
  <si>
    <t>(K123) Egyéb, repi, prómoció,üzleti ajándék</t>
  </si>
  <si>
    <r>
      <t xml:space="preserve">(K1103) </t>
    </r>
    <r>
      <rPr>
        <sz val="10"/>
        <rFont val="Times New Roman"/>
        <family val="1"/>
        <charset val="238"/>
      </rPr>
      <t>célprémium</t>
    </r>
  </si>
  <si>
    <t>(K123) Tisztségviselők repi kerete 70eft/hó</t>
  </si>
  <si>
    <r>
      <t xml:space="preserve">(K1104) </t>
    </r>
    <r>
      <rPr>
        <sz val="10"/>
        <rFont val="Times New Roman"/>
        <family val="1"/>
        <charset val="238"/>
      </rPr>
      <t>szabadidőmegváltás, túlóra</t>
    </r>
  </si>
  <si>
    <r>
      <t xml:space="preserve">(K1101) </t>
    </r>
    <r>
      <rPr>
        <sz val="10"/>
        <rFont val="Times New Roman"/>
        <family val="1"/>
        <charset val="238"/>
      </rPr>
      <t>33 fő veszélyességi pótlék</t>
    </r>
  </si>
  <si>
    <r>
      <t xml:space="preserve">(K1101) </t>
    </r>
    <r>
      <rPr>
        <sz val="10"/>
        <rFont val="Times New Roman"/>
        <family val="1"/>
        <charset val="238"/>
      </rPr>
      <t>33 fő gépjárművezetői pótlék</t>
    </r>
  </si>
  <si>
    <r>
      <t xml:space="preserve">(K1101) </t>
    </r>
    <r>
      <rPr>
        <sz val="10"/>
        <rFont val="Times New Roman"/>
        <family val="1"/>
        <charset val="238"/>
      </rPr>
      <t>33 fő éjszakai pótlék</t>
    </r>
  </si>
  <si>
    <r>
      <t>Testvérvárosi kapcsolatok, vendéglátás</t>
    </r>
    <r>
      <rPr>
        <b/>
        <sz val="10"/>
        <rFont val="Times New Roman"/>
        <family val="1"/>
        <charset val="238"/>
      </rPr>
      <t>(K123)</t>
    </r>
  </si>
  <si>
    <r>
      <t xml:space="preserve">(K1101) </t>
    </r>
    <r>
      <rPr>
        <sz val="10"/>
        <rFont val="Times New Roman"/>
        <family val="1"/>
        <charset val="238"/>
      </rPr>
      <t>munkaalap és személyü.ill.különbözet</t>
    </r>
  </si>
  <si>
    <r>
      <t>Kitüntetésekre jutalom</t>
    </r>
    <r>
      <rPr>
        <b/>
        <sz val="10"/>
        <rFont val="Times New Roman"/>
        <family val="1"/>
        <charset val="238"/>
      </rPr>
      <t>(K123)</t>
    </r>
  </si>
  <si>
    <r>
      <t xml:space="preserve">(K1109) </t>
    </r>
    <r>
      <rPr>
        <sz val="10"/>
        <rFont val="Times New Roman"/>
        <family val="1"/>
        <charset val="238"/>
      </rPr>
      <t>közlekedési költségtérítés</t>
    </r>
  </si>
  <si>
    <r>
      <t>Helyi egyéb adható kitüntetés jutalma</t>
    </r>
    <r>
      <rPr>
        <b/>
        <sz val="10"/>
        <rFont val="Times New Roman"/>
        <family val="1"/>
        <charset val="238"/>
      </rPr>
      <t>(K123)</t>
    </r>
  </si>
  <si>
    <r>
      <t xml:space="preserve">(K1107) </t>
    </r>
    <r>
      <rPr>
        <sz val="10"/>
        <rFont val="Times New Roman"/>
        <family val="1"/>
        <charset val="238"/>
      </rPr>
      <t>rekreációs üdülési támogatás (adóköteles)</t>
    </r>
  </si>
  <si>
    <r>
      <t xml:space="preserve">(K123) </t>
    </r>
    <r>
      <rPr>
        <sz val="10"/>
        <rFont val="Times New Roman"/>
        <family val="1"/>
        <charset val="238"/>
      </rPr>
      <t>tréning</t>
    </r>
  </si>
  <si>
    <t>Módosított személyi juttatás</t>
  </si>
  <si>
    <t>Munkaadót terhelő járulékok és szoc.hozzájár.adó</t>
  </si>
  <si>
    <t xml:space="preserve"> (K2)Járulékok</t>
  </si>
  <si>
    <t>1 űrlap</t>
  </si>
  <si>
    <r>
      <rPr>
        <b/>
        <sz val="10"/>
        <rFont val="Times New Roman"/>
        <family val="1"/>
        <charset val="238"/>
      </rPr>
      <t xml:space="preserve">(K2) </t>
    </r>
    <r>
      <rPr>
        <sz val="10"/>
        <rFont val="Times New Roman"/>
        <family val="1"/>
        <charset val="238"/>
      </rPr>
      <t>Járulék</t>
    </r>
  </si>
  <si>
    <r>
      <t xml:space="preserve">(K2) </t>
    </r>
    <r>
      <rPr>
        <sz val="10"/>
        <rFont val="Times New Roman"/>
        <family val="1"/>
        <charset val="238"/>
      </rPr>
      <t>Járulék</t>
    </r>
  </si>
  <si>
    <t>20 sor (K2) Járulék</t>
  </si>
  <si>
    <t>Mód. munkaadót terh. járulékok és szoc.hozzájár.adó</t>
  </si>
  <si>
    <t xml:space="preserve">Dologi kiadások </t>
  </si>
  <si>
    <t xml:space="preserve">(K321)Képviselők, tisztségviselők internetdíj </t>
  </si>
  <si>
    <t xml:space="preserve"> Bösz tagdíj (K355)</t>
  </si>
  <si>
    <t>01 űrlap</t>
  </si>
  <si>
    <r>
      <t xml:space="preserve">(K336) </t>
    </r>
    <r>
      <rPr>
        <sz val="10"/>
        <rFont val="Times New Roman"/>
        <family val="1"/>
        <charset val="238"/>
      </rPr>
      <t xml:space="preserve">JGK közszolgáltatás díjazása </t>
    </r>
  </si>
  <si>
    <t>(K335) Práter iskolaépület továbbszámlázás</t>
  </si>
  <si>
    <t>(K337) Projekt lakossági elégedettségi vizsgálata</t>
  </si>
  <si>
    <r>
      <t xml:space="preserve">(K336) </t>
    </r>
    <r>
      <rPr>
        <sz val="10"/>
        <rFont val="Times New Roman"/>
        <family val="1"/>
        <charset val="238"/>
      </rPr>
      <t>Tervtanács díjazása (áfa-s)</t>
    </r>
  </si>
  <si>
    <r>
      <t xml:space="preserve">(K336) </t>
    </r>
    <r>
      <rPr>
        <sz val="10"/>
        <rFont val="Times New Roman"/>
        <family val="1"/>
        <charset val="238"/>
      </rPr>
      <t>Áfa tanácsadó éves díja (áfa-s)</t>
    </r>
  </si>
  <si>
    <t>Közszolgáltatási szerződés szerinti díj</t>
  </si>
  <si>
    <t xml:space="preserve">(K322)Képviselők, tisztségviselők telefon </t>
  </si>
  <si>
    <r>
      <t>Óvodák testneveléséhez helyiségbérl.d.</t>
    </r>
    <r>
      <rPr>
        <b/>
        <sz val="10"/>
        <rFont val="Times New Roman"/>
        <family val="1"/>
        <charset val="238"/>
      </rPr>
      <t>(K333)</t>
    </r>
    <r>
      <rPr>
        <sz val="10"/>
        <rFont val="Times New Roman"/>
        <family val="1"/>
        <charset val="238"/>
      </rPr>
      <t xml:space="preserve"> mentes</t>
    </r>
  </si>
  <si>
    <t>(K337) Posta ktg (mentes)</t>
  </si>
  <si>
    <t>(K351) Áfa</t>
  </si>
  <si>
    <t>K337 gépjármű elszállítás</t>
  </si>
  <si>
    <t>(K337) Előző években int.épületeken megv.energetikai felújításokra energ. szakértő igénybevétele</t>
  </si>
  <si>
    <t>(K337) Értékvédelem(település védelme új tv.-ben előírt fel.)</t>
  </si>
  <si>
    <r>
      <t xml:space="preserve">(352) </t>
    </r>
    <r>
      <rPr>
        <sz val="10"/>
        <rFont val="Times New Roman"/>
        <family val="1"/>
        <charset val="238"/>
      </rPr>
      <t>Áfa befizetés elhúzódó továbbszámlázás miatt</t>
    </r>
  </si>
  <si>
    <t xml:space="preserve"> (K312)Üdvözlőlapok beszerzése</t>
  </si>
  <si>
    <r>
      <t xml:space="preserve">Tanévnyitó repi, virág, oklevél </t>
    </r>
    <r>
      <rPr>
        <b/>
        <sz val="10"/>
        <rFont val="Times New Roman"/>
        <family val="1"/>
        <charset val="238"/>
      </rPr>
      <t>(K312)</t>
    </r>
  </si>
  <si>
    <t>(337) Erzsébet utalv.kapcs.ktg</t>
  </si>
  <si>
    <t>(K352) Áfa befizetés a bevétel és a kompenzáció után</t>
  </si>
  <si>
    <t>K312 Karbantartási anyagok beszerzése</t>
  </si>
  <si>
    <t>(K355) Pitypang Óvoda bővítés hatósági díjak(mentes)</t>
  </si>
  <si>
    <r>
      <t>(K334)</t>
    </r>
    <r>
      <rPr>
        <b/>
        <sz val="10"/>
        <rFont val="Times New Roman"/>
        <family val="1"/>
        <charset val="238"/>
      </rPr>
      <t xml:space="preserve"> EUB I.</t>
    </r>
    <r>
      <rPr>
        <sz val="10"/>
        <rFont val="Times New Roman"/>
        <family val="1"/>
        <charset val="238"/>
      </rPr>
      <t xml:space="preserve"> Palotanegyedben 5 db társasház díszkivilágításának karbantartása</t>
    </r>
  </si>
  <si>
    <t>ITS felülvizsgálat, aktualizálás</t>
  </si>
  <si>
    <t>(K336) Dr. Bérdi honlap felülvizsgálatok gazd.társ.havi 320e+áfa</t>
  </si>
  <si>
    <r>
      <t>Egyéb rep.,prom., üzl. aj.</t>
    </r>
    <r>
      <rPr>
        <b/>
        <sz val="10"/>
        <rFont val="Times New Roman"/>
        <family val="1"/>
        <charset val="238"/>
      </rPr>
      <t>(K311)   áfa-s</t>
    </r>
  </si>
  <si>
    <t>(351) Áfa</t>
  </si>
  <si>
    <r>
      <rPr>
        <b/>
        <sz val="10"/>
        <rFont val="Times New Roman"/>
        <family val="1"/>
        <charset val="238"/>
      </rPr>
      <t xml:space="preserve">(K337) </t>
    </r>
    <r>
      <rPr>
        <sz val="10"/>
        <rFont val="Times New Roman"/>
        <family val="1"/>
        <charset val="238"/>
      </rPr>
      <t>Utcanévtáblák cseréje (áfa-s)</t>
    </r>
  </si>
  <si>
    <t>K321 Informatikai szolgáltatási díj</t>
  </si>
  <si>
    <t>(K334) Int.épületek életeszély elhárítás,gázhálózat csere</t>
  </si>
  <si>
    <t>(K336) Új építési szabályzat</t>
  </si>
  <si>
    <t>(K337) Netlog digitális aláírás díja (áfa-s)</t>
  </si>
  <si>
    <r>
      <t>Egyéb rep.,prom., üzl. aj.</t>
    </r>
    <r>
      <rPr>
        <b/>
        <sz val="10"/>
        <rFont val="Times New Roman"/>
        <family val="1"/>
        <charset val="238"/>
      </rPr>
      <t>(K312)  áfa-s</t>
    </r>
  </si>
  <si>
    <r>
      <rPr>
        <b/>
        <sz val="10"/>
        <rFont val="Times New Roman"/>
        <family val="1"/>
        <charset val="238"/>
      </rPr>
      <t>(K352)</t>
    </r>
    <r>
      <rPr>
        <sz val="10"/>
        <rFont val="Times New Roman"/>
        <family val="1"/>
        <charset val="238"/>
      </rPr>
      <t xml:space="preserve"> Áfa befizetés közterületi díj bevétel után</t>
    </r>
  </si>
  <si>
    <t>K322 Kommunikáció, telefon,</t>
  </si>
  <si>
    <t>(K337) Tolnai u.7-9 óvoda játszóudvar alatti terület ultrahangos vizsg.feltárása, tömedékelése, bony. díjjal</t>
  </si>
  <si>
    <t>EUB III. Tér_Köz "A"Fővárosi pályázat önrész</t>
  </si>
  <si>
    <t>Hungária körúti új orvosi rendelők tervezéséhez tanácsadó</t>
  </si>
  <si>
    <t>(K311) Gyógyszerbeszerzés (áfa-s)</t>
  </si>
  <si>
    <r>
      <t>Egyéb rep.,prom., üzl. aj.</t>
    </r>
    <r>
      <rPr>
        <b/>
        <sz val="10"/>
        <rFont val="Times New Roman"/>
        <family val="1"/>
        <charset val="238"/>
      </rPr>
      <t>(K342) áfa-s</t>
    </r>
  </si>
  <si>
    <t>39 sor (K351) Áfa</t>
  </si>
  <si>
    <t>K334 Jármű karbantartás</t>
  </si>
  <si>
    <t>- (K355)Közterületek megújításához kapcs.közbesz. ktg.</t>
  </si>
  <si>
    <t>(K355) Eljárási, hatósági díjak</t>
  </si>
  <si>
    <r>
      <t>Egyéb rep.,prom., üzl. aj.</t>
    </r>
    <r>
      <rPr>
        <b/>
        <sz val="10"/>
        <rFont val="Times New Roman"/>
        <family val="1"/>
        <charset val="238"/>
      </rPr>
      <t>(K355) áfa-s</t>
    </r>
  </si>
  <si>
    <t>(K336) Moravcsik Alapítvány pszich.ellátás( mentes)</t>
  </si>
  <si>
    <r>
      <t xml:space="preserve">(337) </t>
    </r>
    <r>
      <rPr>
        <sz val="10"/>
        <rFont val="Times New Roman"/>
        <family val="1"/>
        <charset val="238"/>
      </rPr>
      <t>Karácsonyi díszkivilágítás</t>
    </r>
  </si>
  <si>
    <t>K334 Gépek, berendezések karbantartása</t>
  </si>
  <si>
    <t>Kálvária u.18.háziorvosi rendelő kialakítása</t>
  </si>
  <si>
    <t>- (K337) "Mi büszke Bródy S. utcaiak) program (áfa-s)</t>
  </si>
  <si>
    <t>Térinformatika</t>
  </si>
  <si>
    <t>(K336) Dr Galambos munkaügyi tanácsadás díja (áfa-s)</t>
  </si>
  <si>
    <r>
      <t>Egyéb rep.,prom., üzl. aj.</t>
    </r>
    <r>
      <rPr>
        <b/>
        <sz val="10"/>
        <rFont val="Times New Roman"/>
        <family val="1"/>
        <charset val="238"/>
      </rPr>
      <t>(K337) áfa-s</t>
    </r>
  </si>
  <si>
    <t>K(336) Szigony utitárs pszich.ellátás(mentes)</t>
  </si>
  <si>
    <t>K312 Hajtóanyag beszerzés</t>
  </si>
  <si>
    <t>(K355) Egyéb költségek (hatósági díjak)(mentes)</t>
  </si>
  <si>
    <t>- (K337) "Megélt történelem" program (áfa-s)</t>
  </si>
  <si>
    <t>(K337) Bankköltség, tranzakciós illeték (mentes)</t>
  </si>
  <si>
    <r>
      <t xml:space="preserve">Tisztségviselők,képviselők, névjegykártya </t>
    </r>
    <r>
      <rPr>
        <b/>
        <sz val="10"/>
        <rFont val="Times New Roman"/>
        <family val="1"/>
        <charset val="238"/>
      </rPr>
      <t>(K337)</t>
    </r>
  </si>
  <si>
    <r>
      <t xml:space="preserve">(K355) </t>
    </r>
    <r>
      <rPr>
        <sz val="10"/>
        <rFont val="Times New Roman"/>
        <family val="1"/>
        <charset val="238"/>
      </rPr>
      <t>Kártérítés útkár</t>
    </r>
  </si>
  <si>
    <t>K334 Épület karbantartás</t>
  </si>
  <si>
    <t>(K337) Egyéb költségek (áfa-s)</t>
  </si>
  <si>
    <t>-(K337)  Civil rendezvények (áfa-s)</t>
  </si>
  <si>
    <t>(K337) végrehajtások díja (áfa-s)</t>
  </si>
  <si>
    <r>
      <t xml:space="preserve">Autópálya matricák, parkolási díjak </t>
    </r>
    <r>
      <rPr>
        <b/>
        <sz val="10"/>
        <rFont val="Times New Roman"/>
        <family val="1"/>
        <charset val="238"/>
      </rPr>
      <t>(K355)</t>
    </r>
  </si>
  <si>
    <t>Emberbarát A. alkohol, drog KEF része(K336)(mentes)</t>
  </si>
  <si>
    <t>(K336) JGK közszolg. szerződés ktg.térítés (áfa-s)</t>
  </si>
  <si>
    <t>K337 Rovarírtás, takarítás</t>
  </si>
  <si>
    <t>(K312) Bútorok beszerzése (áfa-s)</t>
  </si>
  <si>
    <t>-(K337) Kommunikáció (áfa-s)</t>
  </si>
  <si>
    <t>K355 Közbeszerzési díjak (mentes)</t>
  </si>
  <si>
    <r>
      <t xml:space="preserve">Autómosás </t>
    </r>
    <r>
      <rPr>
        <b/>
        <sz val="10"/>
        <rFont val="Times New Roman"/>
        <family val="1"/>
        <charset val="238"/>
      </rPr>
      <t>(K337)</t>
    </r>
  </si>
  <si>
    <t>KEF (K336) Áfa-s</t>
  </si>
  <si>
    <t>(K337) Zöldhulladék és komm. szemétszáll. (áfa-s)</t>
  </si>
  <si>
    <t>K331 közüzemi díjak</t>
  </si>
  <si>
    <t>K336 Dr Szalai ügyv. Behajtással kapcs költségek (áfa-s)</t>
  </si>
  <si>
    <r>
      <t>Tisztségv.2 fő üzemanyagktg. 80 eFt/hó/fő</t>
    </r>
    <r>
      <rPr>
        <b/>
        <sz val="10"/>
        <rFont val="Times New Roman"/>
        <family val="1"/>
        <charset val="238"/>
      </rPr>
      <t>(K312)</t>
    </r>
  </si>
  <si>
    <t>(K337) Rovarírtás (áfa-s)</t>
  </si>
  <si>
    <t>K337 szemétszállítás</t>
  </si>
  <si>
    <t>Kálvária tér 13. addiktológiai rendelő kialakítása</t>
  </si>
  <si>
    <t>Orczy Negyed projekt</t>
  </si>
  <si>
    <t>(K336) Hivatali peres ügyek (áfa-s)</t>
  </si>
  <si>
    <t>(K312) Jegyescsomag áfa-s</t>
  </si>
  <si>
    <t>KEF (312) Áfa-s</t>
  </si>
  <si>
    <t>(K334)  Karbantartások (áfa-s)</t>
  </si>
  <si>
    <t>K312 Formaruha</t>
  </si>
  <si>
    <t>- (K312)Képzési, fogl. programok üzemelt.ktg.(áfa-s)</t>
  </si>
  <si>
    <t>K336 Bálint ügyvéd havi 500e+áfa díja</t>
  </si>
  <si>
    <t>(K312) Jubiláló házaspárok megajándékozása áfa-s</t>
  </si>
  <si>
    <t>KEF (337) Áfa-s</t>
  </si>
  <si>
    <t>(K321) Internetdíj (áfa-s) (18%11hó, 27% 1hó)</t>
  </si>
  <si>
    <t>K355 cégautóadó (mentes)</t>
  </si>
  <si>
    <t>- (K337)Képzési, fogl. programok üzemelt.ktg.(áfa-s)</t>
  </si>
  <si>
    <t>K337 minőségirányítás, audit (áfa-s)</t>
  </si>
  <si>
    <t>(K333) Gépjárműbérlet áfa-s</t>
  </si>
  <si>
    <t>Szoc.int. szakmai programj.szakértői díj (K337)(mentes)</t>
  </si>
  <si>
    <t>(K331) Közüzemi díjak (áfa-s)</t>
  </si>
  <si>
    <t>K312 Irodaszer, nyomtatvány</t>
  </si>
  <si>
    <t>(K337) Szerződéssel le nem kötött  díjak (áfa-s)</t>
  </si>
  <si>
    <t>(K334) Gépjárművek karbantartása</t>
  </si>
  <si>
    <t>Józsefvárosi kártya (K337) (áfa-s)</t>
  </si>
  <si>
    <t>(K335) Közvetített, továbbsz.t közüzemi díjak (áfa-s)</t>
  </si>
  <si>
    <t>K355 egyéd díjak, befizetések (mentes)</t>
  </si>
  <si>
    <r>
      <t xml:space="preserve">Áfa </t>
    </r>
    <r>
      <rPr>
        <b/>
        <sz val="10"/>
        <rFont val="Times New Roman"/>
        <family val="1"/>
        <charset val="238"/>
      </rPr>
      <t>(K351)</t>
    </r>
  </si>
  <si>
    <t>(K337) Őrzés (áfa-s)</t>
  </si>
  <si>
    <t>K311 Gyógyszer beszerzés</t>
  </si>
  <si>
    <t>(K335) továbbszámlázás</t>
  </si>
  <si>
    <r>
      <t xml:space="preserve">(K312) </t>
    </r>
    <r>
      <rPr>
        <sz val="10"/>
        <rFont val="Times New Roman"/>
        <family val="1"/>
        <charset val="238"/>
      </rPr>
      <t>Üzemeltetési anyagok beszerzése</t>
    </r>
  </si>
  <si>
    <r>
      <t>Testvérvárosi kapcsolatok, vendéglátás</t>
    </r>
    <r>
      <rPr>
        <b/>
        <sz val="10"/>
        <rFont val="Times New Roman"/>
        <family val="1"/>
        <charset val="238"/>
      </rPr>
      <t>(K336)</t>
    </r>
  </si>
  <si>
    <t>(K337) Tűzoltókészülékek, berendezések felülv.(áfa-s)</t>
  </si>
  <si>
    <t>K333 sim kártya, másológépek bérleti díja</t>
  </si>
  <si>
    <t>(K337) Társasházi közös ktg. és felújítási alap</t>
  </si>
  <si>
    <r>
      <t xml:space="preserve">(K333) </t>
    </r>
    <r>
      <rPr>
        <sz val="10"/>
        <rFont val="Times New Roman"/>
        <family val="1"/>
        <charset val="238"/>
      </rPr>
      <t>Bérleti díjak</t>
    </r>
  </si>
  <si>
    <r>
      <t>Testvérvárosi kapcsolatok, vendéglátás</t>
    </r>
    <r>
      <rPr>
        <b/>
        <sz val="10"/>
        <rFont val="Times New Roman"/>
        <family val="1"/>
        <charset val="238"/>
      </rPr>
      <t>(K337)</t>
    </r>
  </si>
  <si>
    <t>(K336) Fogászati ellátás mentes</t>
  </si>
  <si>
    <t>(K312) Üzemeltetési anyagok beszerzése (áfa-s)</t>
  </si>
  <si>
    <t>K312 Védőital</t>
  </si>
  <si>
    <t>(K334) Gyorsszolgálati hibaelhárítás(csak lakóh.műk.)</t>
  </si>
  <si>
    <t>Tanácsadó díjak</t>
  </si>
  <si>
    <r>
      <t>Testvérvárosi kapcsolatok, vendéglátás</t>
    </r>
    <r>
      <rPr>
        <b/>
        <sz val="10"/>
        <rFont val="Times New Roman"/>
        <family val="1"/>
        <charset val="238"/>
      </rPr>
      <t>(K341)</t>
    </r>
  </si>
  <si>
    <t>(K336) Gyermekorvosi ügyelet mentes</t>
  </si>
  <si>
    <t>(K337) Egyéb szolgáltatások (kéményseprés, stb)</t>
  </si>
  <si>
    <t>K336 Közjegyzői és ügyvédi díjak (Szalai ügyvéd)</t>
  </si>
  <si>
    <t>(K334) Lakások bérbeszámítása</t>
  </si>
  <si>
    <r>
      <t xml:space="preserve">(337) </t>
    </r>
    <r>
      <rPr>
        <sz val="10"/>
        <rFont val="Times New Roman"/>
        <family val="1"/>
        <charset val="238"/>
      </rPr>
      <t>Egyéb szolgáltatások</t>
    </r>
  </si>
  <si>
    <r>
      <t>Testvérvárosi kapcsolatok, vendéglátás</t>
    </r>
    <r>
      <rPr>
        <b/>
        <sz val="10"/>
        <rFont val="Times New Roman"/>
        <family val="1"/>
        <charset val="238"/>
      </rPr>
      <t>(K355)</t>
    </r>
  </si>
  <si>
    <t>(K331) Privatizált orvosok rezsiköltsége (áfa-s)</t>
  </si>
  <si>
    <t>(K355) Egyéb kiadások (áfa-s)</t>
  </si>
  <si>
    <t>K337 Továbbképzés díja 62 fő</t>
  </si>
  <si>
    <t>(K334) Karbantart.+rendk.karbantart.kártér.-ből karbant</t>
  </si>
  <si>
    <t>Cégautóadó</t>
  </si>
  <si>
    <t>(K334) Privatizált orvosok rezsi. karbantartás (áfa-s)</t>
  </si>
  <si>
    <t>Lift távfelügíelet</t>
  </si>
  <si>
    <t>K337 közterületfelügy.és segédfelügyelői vizsga</t>
  </si>
  <si>
    <t>(K334) Kémény karbantartás+kiváltás</t>
  </si>
  <si>
    <t>(K355) Peres ügyek, perköltségek, kártérítések mentes</t>
  </si>
  <si>
    <r>
      <t>Online közvetítés éves díja honlapon</t>
    </r>
    <r>
      <rPr>
        <b/>
        <sz val="10"/>
        <rFont val="Times New Roman"/>
        <family val="1"/>
        <charset val="238"/>
      </rPr>
      <t>(K321)</t>
    </r>
  </si>
  <si>
    <t>(K334) privatizált háziorv.rendelők karbantart.JGK kérte</t>
  </si>
  <si>
    <t>K336 orvosi vizsgálat</t>
  </si>
  <si>
    <t>(K334) Helyiség bérbeszám.miatti karbt.(Turay Szính.e)</t>
  </si>
  <si>
    <t>(K336) Ügyvédi díj Dr Kovácsics László (áfa-s)</t>
  </si>
  <si>
    <t xml:space="preserve">(K337) Telekátalakítás elj.díjak,  </t>
  </si>
  <si>
    <t xml:space="preserve">K312 jelvény </t>
  </si>
  <si>
    <t>(K337) egyéb üzemeltetés</t>
  </si>
  <si>
    <t>(K336) Gazdasági tanácsadó (áfa-s)</t>
  </si>
  <si>
    <r>
      <t xml:space="preserve">Munk. kölcs. miatti banktg, törlési díjak </t>
    </r>
    <r>
      <rPr>
        <b/>
        <sz val="10"/>
        <rFont val="Times New Roman"/>
        <family val="1"/>
        <charset val="238"/>
      </rPr>
      <t>(K337)</t>
    </r>
  </si>
  <si>
    <t>K351 Áfa</t>
  </si>
  <si>
    <t>(K355) egyéb üzemeltetés</t>
  </si>
  <si>
    <t>(K336) Intézmények foglalkozás-eü. ellátása (mentes)</t>
  </si>
  <si>
    <t>Polgármesteri keret</t>
  </si>
  <si>
    <t>Defibrillátorok karbantrtása</t>
  </si>
  <si>
    <t>(K321) Kataszteri program karbantartása</t>
  </si>
  <si>
    <t>(K334) MNP II. tsash. felsz.kamerák karb.tart.(áfa-s)</t>
  </si>
  <si>
    <t>(K312) Villanyrezsó beszerzése</t>
  </si>
  <si>
    <t>(K321) PIR követési díj (áfa-s)</t>
  </si>
  <si>
    <t>úszás oktatás</t>
  </si>
  <si>
    <t>Pénzszállítás</t>
  </si>
  <si>
    <t>(K321) Internet Vígh ucában (1hó27%-os,11hó18%-os)</t>
  </si>
  <si>
    <t>(K331) Víz-és cstornadíj</t>
  </si>
  <si>
    <t>(K336) Dr Szalai T. ált.ügyv.i tev., behajtások felm.költségei(áfa-s)</t>
  </si>
  <si>
    <t>(K333) Optikai kábel hálózati bérleti díja (áfa-s)</t>
  </si>
  <si>
    <t>(K337)Szemétszállítási díj</t>
  </si>
  <si>
    <t>(K336) Közbeszerzési tanácsadói díj ÉSZKER (áfa-s)</t>
  </si>
  <si>
    <t>(K333) MNV bérleti díj (áfa-s)</t>
  </si>
  <si>
    <t>(K331) Fűtés szolgáltatási díj</t>
  </si>
  <si>
    <t>(K337) Könyvvizsgálat (áfa-s)</t>
  </si>
  <si>
    <t>Fakateszter (fapótlási alapból)</t>
  </si>
  <si>
    <t>(K331) Elmű közüzemi díjak (áfa-s)</t>
  </si>
  <si>
    <t>(K331) Áramszolgáltatási díj</t>
  </si>
  <si>
    <t xml:space="preserve">(K355) Végrehajtási költségek, bírósági, </t>
  </si>
  <si>
    <t>Strand építéshez szakvélemény (önként vállalt feladat)</t>
  </si>
  <si>
    <t>(K334) karbantartások, térfigyelő és központ (áfa-s)</t>
  </si>
  <si>
    <t>(K355Í) Lakás és helyiségbérbeadás követelés elengedés után fizetendő járulék (mentes)</t>
  </si>
  <si>
    <t>(K355) közzétételi díjak, pályázati kiírások hírdetése (mentes)</t>
  </si>
  <si>
    <t>(K334) Behatolásj. karbant.forgtechn.karbant.(áfa-s)</t>
  </si>
  <si>
    <t>(K352) Áfa befizetés becsült</t>
  </si>
  <si>
    <t>(K337) Szerződéssel le nem kötött szakértői díjak (áfa-s)</t>
  </si>
  <si>
    <t>Fővárosi Önkormányzatnak fizetendő díj alap</t>
  </si>
  <si>
    <t>(K337) Behatolásj. karbant.forgtechn.karbant.(áfa-s)</t>
  </si>
  <si>
    <t>(K352) Lakbér áfa mentessé tétele miatti áfa befizetés</t>
  </si>
  <si>
    <t>Fővárosi Önkormányzatnak fizetendő díj áfa</t>
  </si>
  <si>
    <t>(K334) Süllyedő bólyák karbantartása (áfa-s)</t>
  </si>
  <si>
    <t>(K337) Lakóházak közműórák,mérőhelyek szabványosít</t>
  </si>
  <si>
    <r>
      <t xml:space="preserve">(351) </t>
    </r>
    <r>
      <rPr>
        <sz val="10"/>
        <rFont val="Times New Roman"/>
        <family val="1"/>
        <charset val="238"/>
      </rPr>
      <t>Áfa</t>
    </r>
  </si>
  <si>
    <t>Kamera helyek bérleti díja</t>
  </si>
  <si>
    <t>(K337) Lakóépületek érintésvédelmi vizsgálata</t>
  </si>
  <si>
    <t>Jogsegélyszolgálat díja</t>
  </si>
  <si>
    <t>Szakmai tevékenységet segítő szolgáltatások (Termion, BM, Asystant, NMHH</t>
  </si>
  <si>
    <t>(K336) JGK Zrt Lakóházműködtetés díjazása közszolgáltatási szerződés keretében</t>
  </si>
  <si>
    <t>Hangos kamerák, forgalomtechnikai kamerák karbantartása</t>
  </si>
  <si>
    <t>Egyéb kiadások</t>
  </si>
  <si>
    <t>(K336)JGK Zrt elid. tev. Díjazása közszolg.szerz.keret.</t>
  </si>
  <si>
    <t>Riasztók rádió díja</t>
  </si>
  <si>
    <t>(K336)JGK Zrt lakóh.műk.díjazása közszolg.szerz.keret.</t>
  </si>
  <si>
    <t>Térfigyelő kamerák karbantartása a 25 kamera bővítés miatt</t>
  </si>
  <si>
    <t>(K337) Épületek vagyonvédelmét szolgáló kamerák kiépítése,működt.</t>
  </si>
  <si>
    <t>(K334) Épületek közösségi elektr.hálózat átalakítás</t>
  </si>
  <si>
    <t>(K337) Önk.épületek társasházzá alapítása</t>
  </si>
  <si>
    <t>(K334) Talajvizesedés megszüntetése</t>
  </si>
  <si>
    <t xml:space="preserve">(K331)Önk.bérlők ált.felhalm.el nem évült fűtési díj </t>
  </si>
  <si>
    <t>(K352) Telekértékesítés áfa befizetés</t>
  </si>
  <si>
    <t>(K352) Elidegenítés érd.felúj.épületek  áfa befizetés</t>
  </si>
  <si>
    <t>(K355) cégautóadó mentes</t>
  </si>
  <si>
    <t>(337) vagyonbiztosítás mentes</t>
  </si>
  <si>
    <t>(K337) RFV (3%-os infl.számolva) áfa-s</t>
  </si>
  <si>
    <t>(333) Comenius (3%-os inflációval számolva(áfa-s)</t>
  </si>
  <si>
    <t>Casco és kötelező bizt.</t>
  </si>
  <si>
    <t xml:space="preserve">Módosított dologi kiadások </t>
  </si>
  <si>
    <t>Ellátottak pénzbeli juttatásai</t>
  </si>
  <si>
    <t>Bursa Hungarica  ösztöndíj (K47)</t>
  </si>
  <si>
    <t>Táboroztatás  természetbeni juttatás (K48)</t>
  </si>
  <si>
    <t>Rendkívüli települsi támogatás élelm.(K48)</t>
  </si>
  <si>
    <t>Rendkívüli települsi támogatás eseti.(K48)</t>
  </si>
  <si>
    <t>Rendkívüli települsi támogatás temetés(K48)</t>
  </si>
  <si>
    <t>Rendkívüli települsi támogatás rendkívüli (K48)</t>
  </si>
  <si>
    <t>Rendkívüli települsi támogatás lakhatási (K48)</t>
  </si>
  <si>
    <t>Fűtési kompenzáció(K46)</t>
  </si>
  <si>
    <t>Fűtési díj hozzájárulás téli (K46)</t>
  </si>
  <si>
    <t>Gyógyszertámogatás (K48)</t>
  </si>
  <si>
    <t>Lakhatási kiadásokhoz kapcsolódó hátr. tám.(K46)</t>
  </si>
  <si>
    <t>Hátralék kiegyenlítő tám.(K46)</t>
  </si>
  <si>
    <t>Önkorm. segély term. forma elsősök utalványa(K48)</t>
  </si>
  <si>
    <t>Természetbeni születési támogatás (K48)+babacsomag</t>
  </si>
  <si>
    <t>Köztemetés (K48)</t>
  </si>
  <si>
    <t xml:space="preserve">Módosított ellátottak pénzbeli juttatásai </t>
  </si>
  <si>
    <t>Módosított elvonások befizetések</t>
  </si>
  <si>
    <t>Működési célú támogatások államházt. belülre</t>
  </si>
  <si>
    <t>(K506) Tankerület cafetéria támogatás</t>
  </si>
  <si>
    <t>Iparüzési adó költség megtérítés</t>
  </si>
  <si>
    <t>Köztemetés</t>
  </si>
  <si>
    <t>Rendőrkapitányságnak túlszolgálat (K506)</t>
  </si>
  <si>
    <t>Tankerület erdei tábor pedagógusok bérének kieg.</t>
  </si>
  <si>
    <t>Rendőrség térfigyelő üzemeltetésére( K506)</t>
  </si>
  <si>
    <t>(K506) Roma Önkormányzat tám.(Térzene)</t>
  </si>
  <si>
    <t>Mód működési célú támogatások államházt. belülre</t>
  </si>
  <si>
    <t>Működési célú támogatások államházt. kívülre</t>
  </si>
  <si>
    <r>
      <t xml:space="preserve">Turay Ida Színház támogatása </t>
    </r>
    <r>
      <rPr>
        <b/>
        <sz val="10"/>
        <rFont val="Times New Roman"/>
        <family val="1"/>
        <charset val="238"/>
      </rPr>
      <t>(K512)</t>
    </r>
  </si>
  <si>
    <t>(K512)JGK kompenzációs támogatása</t>
  </si>
  <si>
    <t>(K512) JGK Zrt-nek végkielégítésekre</t>
  </si>
  <si>
    <t>(K512)</t>
  </si>
  <si>
    <t>Józsefváros Közbizt. Közalapítvány támogat.(K512)</t>
  </si>
  <si>
    <t>(K512) JGK Zrt. Közszolgáltatási szerződés</t>
  </si>
  <si>
    <t>69 sor (K512) Józsefv.Közösségeiért Nonpr.Kft.tám.</t>
  </si>
  <si>
    <t>Karácsony S.A.tám.(kuratóriumi t.felügy.díjaz.(K512)</t>
  </si>
  <si>
    <t>69 sor (K512) Rév 8 Zrt támogatása</t>
  </si>
  <si>
    <t>Háziorvosok támogatása lift és recepciós</t>
  </si>
  <si>
    <t>JKN közszerz. Káptalanfüred őrzés</t>
  </si>
  <si>
    <t>JKN közszerz. Káptalanfüred sátor bérlés</t>
  </si>
  <si>
    <t>Máv Szimfónikus Zenekar támogatása (K512)</t>
  </si>
  <si>
    <t>JKN közszerz. Káptalanfüred ideiglenes kerítés</t>
  </si>
  <si>
    <t xml:space="preserve">Bárka Színház támogtása </t>
  </si>
  <si>
    <t>KEF</t>
  </si>
  <si>
    <t>Mód működési célú támogatások államházt. kívülre</t>
  </si>
  <si>
    <t>Működési célú kölcsön nyújtása</t>
  </si>
  <si>
    <t>Módosított működési célú kölcsön nyújtása</t>
  </si>
  <si>
    <t>Működési cél és általános tartalékok</t>
  </si>
  <si>
    <t xml:space="preserve"> (K513) műk.tartalék részl.rendelet 5.sz.melléklete</t>
  </si>
  <si>
    <t>Nemzetiségi önkormányzatok</t>
  </si>
  <si>
    <t>Civil szervezetek</t>
  </si>
  <si>
    <t>Sport</t>
  </si>
  <si>
    <t>Egyházak</t>
  </si>
  <si>
    <t>Mód. működési cél és általános tartalékok</t>
  </si>
  <si>
    <t>MÓDOSÍTOTT MŰKÖDÉSI KIADÁSOK ÖSSZESEN:</t>
  </si>
  <si>
    <t>Államháztartáson belüli megelőlegezések visszafiz.</t>
  </si>
  <si>
    <t>Mód.áh. belüli megelőlegezések viasszafizatése</t>
  </si>
  <si>
    <t>Irányítószervi támogatásként folyósított támogatás</t>
  </si>
  <si>
    <t>3 űrlap</t>
  </si>
  <si>
    <t>(K915) Irányítószervi támogatás folyósítása</t>
  </si>
  <si>
    <t>Mód.irányító szervi tám.folyósított támogatás</t>
  </si>
  <si>
    <t>MÓDOSÍTOTT FINANSZÍROZÁSI MŰKÖDÉSI KIADÁS</t>
  </si>
  <si>
    <t>Gyerekfogászat részére eszközbeszerzés</t>
  </si>
  <si>
    <t>(K64) Bútorok pótlása (áfa-s)</t>
  </si>
  <si>
    <t>(K64) Pitypang óvoda bővítés,új berendezési tárgyak, bútorok, felszerelések beszerzése</t>
  </si>
  <si>
    <r>
      <t xml:space="preserve">(K64) </t>
    </r>
    <r>
      <rPr>
        <sz val="10"/>
        <rFont val="Times New Roman"/>
        <family val="1"/>
        <charset val="238"/>
      </rPr>
      <t>Mindszenty szobor (áfa-s)</t>
    </r>
  </si>
  <si>
    <t>Autó beszerzés közterület felügyelet részére</t>
  </si>
  <si>
    <t>defibrillátorok</t>
  </si>
  <si>
    <t>(K67) Áfa</t>
  </si>
  <si>
    <t>(K63) Nyomtató beszerzés  (áfa-s)</t>
  </si>
  <si>
    <t>(K62) Pitypang ó.bővítés, kivitelezés-műszaki ell.díj</t>
  </si>
  <si>
    <t>(K62) (Kövessy) beruházás</t>
  </si>
  <si>
    <t>(K64) 56-os golyónyomok megőrzése tábla elhelyezés(áfa-s)</t>
  </si>
  <si>
    <t xml:space="preserve">hasi ultrahang készülék </t>
  </si>
  <si>
    <t>Takarítógép vásárlás</t>
  </si>
  <si>
    <t>(K64) 2 db kézi kamera beszerzés  (áfa-s)</t>
  </si>
  <si>
    <t>K67 Áfa</t>
  </si>
  <si>
    <t>(K64) értékvédelmi táblák (áfa-s)</t>
  </si>
  <si>
    <t>RÉV üzletrész kivás.</t>
  </si>
  <si>
    <t>(K64) PDA bírságoló készülék beszerzés  (áfa-s)</t>
  </si>
  <si>
    <t>(K64) Önkorm.vagy önk.támogatással megvalósuló beruházáshoz, társasházak felújításához kapcs. Közterület használat esetében időjárásálló öntött molinók beszerzése 100 db</t>
  </si>
  <si>
    <t>Tanösvény mintaprojekt</t>
  </si>
  <si>
    <t>botlatókövek</t>
  </si>
  <si>
    <t>Parkolás rendszer fejlesztés</t>
  </si>
  <si>
    <t>(K64) 2 db gépjármű beszerzés  (áfa-s)</t>
  </si>
  <si>
    <t>(K61) Tervek készítése</t>
  </si>
  <si>
    <t>Parkolás fizetést segítő információs táblák telepítése</t>
  </si>
  <si>
    <t>(K63) Térfigyelő központ szerver bővítés (áfa-s)</t>
  </si>
  <si>
    <t>(K62) Kivitelezés, tervezői művezetés, műszaki ellenőr</t>
  </si>
  <si>
    <t>Zebra mobil blokk nyomtató + tartozékok (10db)</t>
  </si>
  <si>
    <t>Zebra pótakkumulátor</t>
  </si>
  <si>
    <t>Hőpapír</t>
  </si>
  <si>
    <t>(K64)6 db óvodaépületbe riasztórendszer korszerűsítés</t>
  </si>
  <si>
    <t>(K64) JEB konyha épület riasztórendszer korszerűsítés</t>
  </si>
  <si>
    <t>PDA pótakkumulátor (30db)</t>
  </si>
  <si>
    <t>(K64) JEB központi egység riaszórendszer korszerűsít.</t>
  </si>
  <si>
    <t>Térfigyelő szünetmentes csere (kritikus)</t>
  </si>
  <si>
    <t>(K64) Fecsegő-Tipegő Bölcs.ép.riasztórendsz.korsz.</t>
  </si>
  <si>
    <t>Térfigyelő kamerarendszer kezelő joystick (10db)</t>
  </si>
  <si>
    <t>(K64) Fido tér ép.csapadékvíz elvezetéséhez átemelő szivattyú beszerzése, beszerelése</t>
  </si>
  <si>
    <t>hordozható és egyéb nyomtató kellékek</t>
  </si>
  <si>
    <t>felügyelő nyomtató eszközök</t>
  </si>
  <si>
    <t>(K64) Épületek vagyonvédelmét szolgáló kamerák kiépítése</t>
  </si>
  <si>
    <t>Térfigyelő szerverhelyiség klíma csere</t>
  </si>
  <si>
    <t>(K64) Kaputelefon kiépítése</t>
  </si>
  <si>
    <t>Gépjármű matricázás</t>
  </si>
  <si>
    <t>1db térfigyelő kamera telepítés</t>
  </si>
  <si>
    <t>Módosított beruházások</t>
  </si>
  <si>
    <t>Térfigyelő szerver felújítása</t>
  </si>
  <si>
    <r>
      <t xml:space="preserve">Utak-járdaszakaszok-szegélyek felújítása </t>
    </r>
    <r>
      <rPr>
        <b/>
        <u/>
        <sz val="10"/>
        <rFont val="Times New Roman"/>
        <family val="1"/>
        <charset val="238"/>
      </rPr>
      <t>(K71)</t>
    </r>
  </si>
  <si>
    <t>- Asztalos S.u.-Kerepesi út-Salgótarjáni útsz.tervezés</t>
  </si>
  <si>
    <t>- (K71) Közterületek megújítása</t>
  </si>
  <si>
    <t>- Dobozi u.-Népszínház u.-Magdolna u útsz.tervez.</t>
  </si>
  <si>
    <t>-(K71) Közterületek megújításához kapcs. műszaki ell.d.</t>
  </si>
  <si>
    <t>- Dobozi u.-Népszínház u.-Fiumei út-Remiz mellett a Baross utcáig felújítás tervezés</t>
  </si>
  <si>
    <t>- (K71)Közter.hez kapcs.ingatl.(13épület) megújítása</t>
  </si>
  <si>
    <t>- Salgótarjáni út. MÁV telep zsákutca tervezés</t>
  </si>
  <si>
    <t>- (K71)Közter.hez kapcs.ingatl.(13épület) megújít.terv.</t>
  </si>
  <si>
    <t>- Futó u. 39-41. közötti szakasz</t>
  </si>
  <si>
    <t>(K74) Áfa</t>
  </si>
  <si>
    <t>- Szentkirályi u. 49-51 közötti szakasz</t>
  </si>
  <si>
    <t>Tér_Köz "B" "Tisztviselőtelep-Bláthy Ottó utcai közterület megújítása és funkcióváltása" Fővárosi pályázat önrész kivitelezés</t>
  </si>
  <si>
    <t>- Salgótarjáni út-Asztalos S u.-Hungária krt.közötti szakasz felújítás tervezés</t>
  </si>
  <si>
    <t>- Járdaszakaszok, szegélyek felújításának folytatása</t>
  </si>
  <si>
    <t>(K73) Dankó u.telephely kamera és riasztórendsz.felúj.</t>
  </si>
  <si>
    <t>(K73) JEB 4 telephelyen elektr. Kapcsolótáblák korsz.</t>
  </si>
  <si>
    <t>(K71) Lakóházak életveszély elhárít.,gázhálózat csere</t>
  </si>
  <si>
    <t>(K71) Lakóépületek kazán felújítása</t>
  </si>
  <si>
    <t>Módosított felújítások</t>
  </si>
  <si>
    <t>Felhalmozási célú kölcsön nyújtása, törlesztése</t>
  </si>
  <si>
    <t>(K86) Iparosított techn.tsasházaknak kölcsön nyújt.</t>
  </si>
  <si>
    <t>(K86) Társasaházak felújítási kölcsönei</t>
  </si>
  <si>
    <t>Mód. Felhalmozási célú kölcsön nyújtása, törlesztése</t>
  </si>
  <si>
    <t>Felhalmozási célú támogatások államházt. belülre</t>
  </si>
  <si>
    <t>(K84) Főv.Önkormányzatnak részletfizet.szerz.alapján</t>
  </si>
  <si>
    <t>Mód felhalmozási célú támogatások államházt. belülre</t>
  </si>
  <si>
    <t>Felhalmozási célú támogatások államházt. kívülre</t>
  </si>
  <si>
    <r>
      <t xml:space="preserve">Jv. Közbiztonságáért Közalapítvány tám. </t>
    </r>
    <r>
      <rPr>
        <b/>
        <sz val="10"/>
        <rFont val="Times New Roman"/>
        <family val="1"/>
        <charset val="238"/>
      </rPr>
      <t>(K89)</t>
    </r>
  </si>
  <si>
    <t>Közerületi bevételből társasházak részére visszautalás</t>
  </si>
  <si>
    <t>(K89) Józsefv.Közösségeiért Nonpr.Kft.tám.</t>
  </si>
  <si>
    <r>
      <t>Karácsony S..Alapítv. Tám.</t>
    </r>
    <r>
      <rPr>
        <b/>
        <sz val="10"/>
        <rFont val="Times New Roman"/>
        <family val="1"/>
        <charset val="238"/>
      </rPr>
      <t>(K89)</t>
    </r>
  </si>
  <si>
    <t>(K89) Rév 8 Zrt támogatása</t>
  </si>
  <si>
    <t>(K89) Lakásbérleti jogviszony megváltása</t>
  </si>
  <si>
    <t>(K89) Lakás forgalmiérték különbözet</t>
  </si>
  <si>
    <t>(K89) Társasházaknak vissza nem térítendő tám.</t>
  </si>
  <si>
    <t>(K89) Szigony társh.(Baross 111,103,Losonci3-4)előrev.</t>
  </si>
  <si>
    <t>(K89) Házfalak szigetelés, tűzfalfestés</t>
  </si>
  <si>
    <t>(K89) Világos kapualjak</t>
  </si>
  <si>
    <t>Köztisztasági jelzőrendzser aplikáció, hűtőszekrény</t>
  </si>
  <si>
    <t>Mód felhalmozási célú támogatások államházt. kívülre</t>
  </si>
  <si>
    <t>Felhalmozási tartalékok</t>
  </si>
  <si>
    <t>(K513) felh..tartalék részl.rendelet 5.sz.melléklete</t>
  </si>
  <si>
    <t>Módosított felhalmozási tartalékok</t>
  </si>
  <si>
    <t>MÓDOSÍTOTT  FELHALMOZÁSI,  FELÚJÍTÁSI KIADÁSOK ÖSSZESEN:</t>
  </si>
  <si>
    <t>Irányító szervi támogatásként folyósított támogatás</t>
  </si>
  <si>
    <t>12 sor (K915) Irányítószervi támogatás folyósítása</t>
  </si>
  <si>
    <t>Hosszú lejáratú hitelek, váltó törlesztése</t>
  </si>
  <si>
    <t>Mód.hosszú lejáratú hitelek,váltó törlesztése</t>
  </si>
  <si>
    <t>MÓD.FINANSZÍROZÁSI FELHALM.KIADÁSOK</t>
  </si>
  <si>
    <t>MÓD. KIADÁSI  ELŐIRÁNYZAT ÖSSZESEN:</t>
  </si>
  <si>
    <t>VÁLTOZÁS ÖSSZESEN (Össz.MÓD - Össz.ELŐZŐ)</t>
  </si>
  <si>
    <t xml:space="preserve"> BEVÉTELI ELŐIRÁNYZAT</t>
  </si>
  <si>
    <t>Helyi önkormányzatok általános működéséhez és ágazati feladataihoz kapcsolódó állami támogatások</t>
  </si>
  <si>
    <r>
      <t xml:space="preserve">Helyi önkorm. műk. általános támogatása </t>
    </r>
    <r>
      <rPr>
        <b/>
        <sz val="10"/>
        <color indexed="8"/>
        <rFont val="Times New Roman"/>
        <family val="1"/>
        <charset val="238"/>
      </rPr>
      <t>(B311)</t>
    </r>
  </si>
  <si>
    <r>
      <t>Tel.iönkorm. egyes köznev.felad. Tám.</t>
    </r>
    <r>
      <rPr>
        <b/>
        <sz val="10"/>
        <color indexed="8"/>
        <rFont val="Times New Roman"/>
        <family val="1"/>
        <charset val="238"/>
      </rPr>
      <t>(B112)</t>
    </r>
  </si>
  <si>
    <r>
      <t>Települési önkormányzatok szociális gyermekjóléti és gyermekétkeztetési feladatainak támogatása</t>
    </r>
    <r>
      <rPr>
        <b/>
        <sz val="10"/>
        <color indexed="8"/>
        <rFont val="Times New Roman"/>
        <family val="1"/>
        <charset val="238"/>
      </rPr>
      <t>(B113)</t>
    </r>
  </si>
  <si>
    <r>
      <t>Tel.önkorm.kulturális feladatainak tám.</t>
    </r>
    <r>
      <rPr>
        <b/>
        <sz val="10"/>
        <rFont val="Times New Roman"/>
        <family val="1"/>
        <charset val="238"/>
      </rPr>
      <t>(B114)</t>
    </r>
  </si>
  <si>
    <t>Mód. helyi önkorm. általános működéséhez és ágazati feladataihoz kapcsolódó állami támogatások</t>
  </si>
  <si>
    <t>Elvonások és befizetések</t>
  </si>
  <si>
    <t>Módosított elvonások és befizetések</t>
  </si>
  <si>
    <t>Működési célú tám.bevételei államházt.belülről</t>
  </si>
  <si>
    <r>
      <t xml:space="preserve">Biztos kezdet Gyermekházak támogatása </t>
    </r>
    <r>
      <rPr>
        <b/>
        <sz val="10"/>
        <rFont val="Times New Roman"/>
        <family val="1"/>
        <charset val="238"/>
      </rPr>
      <t>(B16)</t>
    </r>
  </si>
  <si>
    <t xml:space="preserve"> (B402) Jelzőrendszeres tám.szolg.szerződés</t>
  </si>
  <si>
    <t>Mód.működési célú tám.bevételei államházt.belülről</t>
  </si>
  <si>
    <t>2 űrlap</t>
  </si>
  <si>
    <t>(B36) Bírságok</t>
  </si>
  <si>
    <t xml:space="preserve"> (B351) Iparűzési adó</t>
  </si>
  <si>
    <t>(B36) Kerékbilincs</t>
  </si>
  <si>
    <t xml:space="preserve"> (B34) Építményadó</t>
  </si>
  <si>
    <t xml:space="preserve"> (B34) Telekadó</t>
  </si>
  <si>
    <t xml:space="preserve"> (B354) Gépjárműadó</t>
  </si>
  <si>
    <t xml:space="preserve"> (B36) Adók után fiz.késedelmi ptl.,bírságok</t>
  </si>
  <si>
    <t xml:space="preserve"> (B355) Idegenforgalmi adó bevételek</t>
  </si>
  <si>
    <t xml:space="preserve"> (B34) Kommunális adó</t>
  </si>
  <si>
    <t>Módosított közhatalmi bevételek</t>
  </si>
  <si>
    <t>35 sor (B402)ÉNO ellátási szerződés</t>
  </si>
  <si>
    <t xml:space="preserve">Parkolási díjbevétel kerület alap </t>
  </si>
  <si>
    <t>(B402) Riasztás</t>
  </si>
  <si>
    <t>(B402) Práter iskolaépület bérleti díja</t>
  </si>
  <si>
    <r>
      <t xml:space="preserve">(B4092) </t>
    </r>
    <r>
      <rPr>
        <sz val="10"/>
        <rFont val="Times New Roman"/>
        <family val="1"/>
        <charset val="238"/>
      </rPr>
      <t>Átmenetileg szabad pénzeszköz lekötés kamatbevétel</t>
    </r>
  </si>
  <si>
    <t>35 sor (B402)GYÁO ellátási szerződés</t>
  </si>
  <si>
    <t>Parkolási díjbevétel kerület áfa</t>
  </si>
  <si>
    <t>(B406) Áfa</t>
  </si>
  <si>
    <t>(B402) Dugonics u.iskolaépület bérleti díja</t>
  </si>
  <si>
    <t>(B402) Intézm.műk.hez orvosok szerz.szerinti átalánydíj</t>
  </si>
  <si>
    <t>(B402) Közterületfoglalás díjbevétel</t>
  </si>
  <si>
    <t>(B403) Práter közvetített szolgáltatás</t>
  </si>
  <si>
    <t>(B403) Továbbszámlázás ból eredő bevétel</t>
  </si>
  <si>
    <t>(B402) Lakásbérleti és használati díj (mentes)</t>
  </si>
  <si>
    <t xml:space="preserve"> (B406) Áfa</t>
  </si>
  <si>
    <t>(B402) Lakásb.díj bérbesz.(közszolg.+házmest)mentes</t>
  </si>
  <si>
    <t>(B402) Asztalok díja,parkolás Wc használat, stb.,</t>
  </si>
  <si>
    <t>(B4081)Helyiség bérbeadás részletfiz.kamata (mentes)</t>
  </si>
  <si>
    <t>(B411) Végrehajtási, közjegyzői megtérülések(mentes)</t>
  </si>
  <si>
    <t>(B402) Bérleti díjak</t>
  </si>
  <si>
    <t>(B411) 2016.évi lakásgazd.közszolg.szerz.biztosított kompenzáció visszafizetési kötelezetts.(mentes)</t>
  </si>
  <si>
    <t>(B411) Ajánlati biztosíték(mentes)</t>
  </si>
  <si>
    <t>(B410) Biztosítói kártérítés (mentes)</t>
  </si>
  <si>
    <t>Parkolási díjbevétel Főváros alap</t>
  </si>
  <si>
    <t>(B402) Víz-és csatornadíj</t>
  </si>
  <si>
    <t>Parkolási díjbevétel Főváros áfa</t>
  </si>
  <si>
    <t>(B402) Szemétszállítási dí</t>
  </si>
  <si>
    <t>(B402) Fűtésszolgáltatási díj</t>
  </si>
  <si>
    <t>(B402)Helyiségbérleti és használati díj</t>
  </si>
  <si>
    <t>(B402) Telek és egyéb dologbérbeadás</t>
  </si>
  <si>
    <t>Helyiségek</t>
  </si>
  <si>
    <t>(B402) Szerződéskötési díj</t>
  </si>
  <si>
    <t>(B402) Helyiség bérl.díj bérbeszám.(Turay Szính.együtt</t>
  </si>
  <si>
    <t>(B411) egyéb bevételek</t>
  </si>
  <si>
    <t>(B403) Továbbszámlázás, közvetített szolgáltatás</t>
  </si>
  <si>
    <t>(B4081)Lakásértékesítés törlesztés kamata(mentes)</t>
  </si>
  <si>
    <t>(B4081)Helyiségértékesítés törlesztés kamata(mentes)</t>
  </si>
  <si>
    <t>(B411) Szerződéskötésből kötbér (mentes)</t>
  </si>
  <si>
    <t>(B406) Áfa Vajdahunyad u.9. telekértékesítés</t>
  </si>
  <si>
    <t>(B406) Áfa Tolnai L.u.26. telekértékesítés</t>
  </si>
  <si>
    <t>(B406) Áfa Futó u.5-7-9 telekértékesítés</t>
  </si>
  <si>
    <t>(B406) Áfa József u. 25-27 telekértékesítés</t>
  </si>
  <si>
    <t>(B406) Áfa Tömő u.16.értékesítés</t>
  </si>
  <si>
    <t>(B406) Áfa Vígh u.39. telekértékesítés</t>
  </si>
  <si>
    <t>(B406) Áfa Bérkocsis u.32. telekértékesítés</t>
  </si>
  <si>
    <t>Tankerület térítése</t>
  </si>
  <si>
    <t>Módosított működési bevételek</t>
  </si>
  <si>
    <t>Működési célú pénzeszköz átvétel</t>
  </si>
  <si>
    <t>Működési célú átvett pénzeszköz</t>
  </si>
  <si>
    <t>(B65) JGK Zrt.előző év elsz.ból eredő visszafizetés</t>
  </si>
  <si>
    <t>(B65) Elszámolás visszafizetés</t>
  </si>
  <si>
    <t>Módosított működési célú pénzeszköz átvétel</t>
  </si>
  <si>
    <t>MÓD. MŰKÖDÉSI  BEVÉTELEK  ÖSSZESEN:</t>
  </si>
  <si>
    <t>Irányítószervi támogatásként folyósított tám.jóváírás</t>
  </si>
  <si>
    <r>
      <t>(B816)</t>
    </r>
    <r>
      <rPr>
        <sz val="10"/>
        <rFont val="Times New Roman"/>
        <family val="1"/>
        <charset val="238"/>
      </rPr>
      <t xml:space="preserve"> Irányítószervi támogatás</t>
    </r>
  </si>
  <si>
    <t>04 űrlap</t>
  </si>
  <si>
    <t>15 sor  (K816)Irányítószervi támogatás</t>
  </si>
  <si>
    <t>Mód.irányítószervi tám.folyósított tám.jóváírás</t>
  </si>
  <si>
    <t>Szabad pénzmaradvány igénybevétele</t>
  </si>
  <si>
    <t>4 űrlap</t>
  </si>
  <si>
    <t>(B8131) Előző év szabad pénzm. igénybevét.</t>
  </si>
  <si>
    <t>Mód.szabad pénzmaradvány igénybevétele</t>
  </si>
  <si>
    <t>Feladattal terhelt pénzmaradvány igénybevétele</t>
  </si>
  <si>
    <t>(B8131) Előző év feladattal t. pénzm. igénybevét.</t>
  </si>
  <si>
    <t>Mód.feladattal pénzmaradvány igénybevétele</t>
  </si>
  <si>
    <t>MÓD. FINANSZÍROZÁSI MŰKÖDÉSI BEVÉTELEK</t>
  </si>
  <si>
    <t>Felhalmozási célú támogatások államházt.belülről</t>
  </si>
  <si>
    <t>Mód.felhalm.célú támogatások államházt.belülről</t>
  </si>
  <si>
    <t>(B52) Lakásértékesítés</t>
  </si>
  <si>
    <t>(B52) Lakásértékesítés részletfizetés</t>
  </si>
  <si>
    <t>(B52) Lakásértékesítés árveréssel</t>
  </si>
  <si>
    <t>(B52) Helyiségértékesítés</t>
  </si>
  <si>
    <t>(B52) Helyiségértékesítés részletfizetés</t>
  </si>
  <si>
    <t>(B52) Helyiségek értékesítése árveréssel</t>
  </si>
  <si>
    <t>(B52) Helyiségértékesítés részletfizetés áfa</t>
  </si>
  <si>
    <t>(B52) Áfa Vajdahunyad u.9. telekértékesítés</t>
  </si>
  <si>
    <t>(B52) Áfa Tolnai L.u.26. telekértékesítés</t>
  </si>
  <si>
    <t>(B52) Áfa Futó u.5-7-9 telekértékesítés</t>
  </si>
  <si>
    <t>(B52) Áfa József u. 25-27 telekértékesítés</t>
  </si>
  <si>
    <t>(B52) Tömő u.58.ép.értékesítés (mentes)</t>
  </si>
  <si>
    <t>(B52) Üllői út 16/B és18.ép.értékesítés (mentes)</t>
  </si>
  <si>
    <t>(B52)Dobozi u.45. értékesítés (mentes)</t>
  </si>
  <si>
    <t>(B52) Áfa Tömő u.16.értékesítés</t>
  </si>
  <si>
    <t>(B52) Áfa Vígh u.39. telekértékesítés</t>
  </si>
  <si>
    <t>(B52) Áfa Bérkocsis u.32. telekértékesítés</t>
  </si>
  <si>
    <t>(B52) Máv telep értékesítése</t>
  </si>
  <si>
    <t>Módosított ingatlanok értékesítése</t>
  </si>
  <si>
    <t>Módosított egyéb tárgyi eszközök értékesítése</t>
  </si>
  <si>
    <t>Részesed. értékesít. és megszüntet. kapcs bevételek</t>
  </si>
  <si>
    <t>Mód.részesed. értékesít. és megszüntet. kapcs bev.</t>
  </si>
  <si>
    <t>Felhalm. célú visszatér. tám.,köcsönök visszatér.</t>
  </si>
  <si>
    <t>Felhalm. célú kölcsönök visszatérülése áh.kívülről</t>
  </si>
  <si>
    <t>(B74) Fiatal házasok helyi támogatás visszatérülése</t>
  </si>
  <si>
    <t>(B74) Társasházak visszatérítendő kölcsön</t>
  </si>
  <si>
    <t>Mód.felhalm. célú visszatér. tám.,köcsönök visszatér.</t>
  </si>
  <si>
    <t>Mód.felhalm. célú kölcs. visszatérülése áh.kívülről</t>
  </si>
  <si>
    <t>Felhalmozási célra átvett pénzeszköz</t>
  </si>
  <si>
    <r>
      <t>Munkáltatói kölcsön megtérülés</t>
    </r>
    <r>
      <rPr>
        <b/>
        <sz val="10"/>
        <rFont val="Times New Roman"/>
        <family val="1"/>
        <charset val="238"/>
      </rPr>
      <t>(B74)</t>
    </r>
  </si>
  <si>
    <t>Mód.felhalmozási célra átvett pénzeszköz</t>
  </si>
  <si>
    <t>MÓD. FELHALMOZÁSI FELÚJÍTÁSI BEVÉTEL ÖSSZESEN</t>
  </si>
  <si>
    <t>Mód.irányítószervi tám.folyósított támogatás</t>
  </si>
  <si>
    <t>Mód. Feladattal terhelt pénzmaradvány igénybevétele</t>
  </si>
  <si>
    <t>MÓD. FINANSZÍROZÁSI FELHALMOZÁSI BEVÉTELEK</t>
  </si>
  <si>
    <t>MÓDOSÍTOTT BEVÉTELI  ELŐIRÁNYZAT ÖSSZESEN</t>
  </si>
  <si>
    <t xml:space="preserve">12102 Építésigazgatási feladatok                                                              </t>
  </si>
  <si>
    <t xml:space="preserve">12103 Igazgatási, hatósági tevékenységek állategészségügyi feladatok                                                              </t>
  </si>
  <si>
    <t xml:space="preserve">12104 Anyakönyvi feladatok                                                              </t>
  </si>
  <si>
    <t xml:space="preserve">12201-01                                             Hivatal működtetése                                                </t>
  </si>
  <si>
    <t>12201-02                                                      Hivatal informatikai feladatai</t>
  </si>
  <si>
    <t>12201-04                                         Nemzetiségi Önkormányzatok működtetése</t>
  </si>
  <si>
    <t>12201-03                                                               Hivatal munkáját segítő szakértői, ügyvédi díjak, ISO, vagyonértékelés, belső ellenőrzés, foglalkozás Eü. Feladatok, bankköltség, stb</t>
  </si>
  <si>
    <t>12202                                                                             Hivatal alkalmazottainak személyi juttatásai, továbbképzése, vezetők reprezentációja stb.</t>
  </si>
  <si>
    <t xml:space="preserve">12203                                            Közterület-felügyelet                                                         </t>
  </si>
  <si>
    <t>Hivatal</t>
  </si>
  <si>
    <r>
      <t xml:space="preserve">(K123) </t>
    </r>
    <r>
      <rPr>
        <sz val="10"/>
        <rFont val="Times New Roman"/>
        <family val="1"/>
        <charset val="238"/>
      </rPr>
      <t>megbízási díjak (állattartással kapcs.feladatok)</t>
    </r>
  </si>
  <si>
    <t xml:space="preserve"> (K123) Vezetői reprezentáció</t>
  </si>
  <si>
    <t>(K123) Egyéb repi(ásványvíz, szalonc.kávé)</t>
  </si>
  <si>
    <t>2 fő szakvizsga miatt bérkülönbözet</t>
  </si>
  <si>
    <t>(K123) Informatikai biztonság</t>
  </si>
  <si>
    <t>Önkorm. Választ.</t>
  </si>
  <si>
    <t>(K122) Megbízási díjak éves, 5 fő</t>
  </si>
  <si>
    <t>Ogyv. Takarítás, ügyelet, egyéb</t>
  </si>
  <si>
    <t>11 fő automatizmus miatti bérkülönbözet</t>
  </si>
  <si>
    <t xml:space="preserve"> Ogyv. Élelmezés</t>
  </si>
  <si>
    <t>5 fő képzettségi pótlék</t>
  </si>
  <si>
    <t xml:space="preserve"> Közfoglalkoztatás </t>
  </si>
  <si>
    <t>4 fő vezetői pótlék</t>
  </si>
  <si>
    <t>Nyugdíjazás miatti felmentés</t>
  </si>
  <si>
    <t>EP válsztás takarítás, ügyelet</t>
  </si>
  <si>
    <t>2 fő kttv.nyugdíjazás miatti felmentés+szabadságmegv.</t>
  </si>
  <si>
    <t xml:space="preserve"> nyudíjazás miatti szabadságmegváltás</t>
  </si>
  <si>
    <t>Önkorm. Választ. Takarítás, ügyelet</t>
  </si>
  <si>
    <t>EP válsztás élelmezés</t>
  </si>
  <si>
    <t>Önkorm. Választ. Élelmezés</t>
  </si>
  <si>
    <t>(K1106) 2 fő törzsgárda jutalom</t>
  </si>
  <si>
    <t>(K1106) 1 fő jubileumi jutalom</t>
  </si>
  <si>
    <t>(K1104) Házasságk.,hatósági ell.szabadidőmegváltás</t>
  </si>
  <si>
    <r>
      <t xml:space="preserve">(K1103) </t>
    </r>
    <r>
      <rPr>
        <sz val="10"/>
        <rFont val="Times New Roman"/>
        <family val="1"/>
        <charset val="238"/>
      </rPr>
      <t>éjszakai ellenőrzés, célfeladat</t>
    </r>
  </si>
  <si>
    <t>(K1103) Prémium, céljutalom</t>
  </si>
  <si>
    <t>(K1109) Munkábajárás utazási költségtérítés</t>
  </si>
  <si>
    <t>(K1107) Üdültetés rekreációs keret</t>
  </si>
  <si>
    <t>4 fő Mt. Nyugdíjazás miatt felmentés, szabadságmegv.</t>
  </si>
  <si>
    <t>4 fő Mt. Minimálbérre történő emelés miatti különbözet</t>
  </si>
  <si>
    <t>Kösztisztviselők automatizmus miatt</t>
  </si>
  <si>
    <t>Kötelező továbbképzés</t>
  </si>
  <si>
    <t>7 fő kttv.minimálbérre történő emelés</t>
  </si>
  <si>
    <t>Egyéb kötelező vizsgák</t>
  </si>
  <si>
    <t>11 fő létszám emelés bére</t>
  </si>
  <si>
    <t>Nyelvpótlék</t>
  </si>
  <si>
    <t>11 fő létszámemelés cafetéria</t>
  </si>
  <si>
    <t>3 fő megbízási díja</t>
  </si>
  <si>
    <t>Képzettségi pótlékok</t>
  </si>
  <si>
    <t>MT. Nyugd. Miatti felm. És szab. Megv.</t>
  </si>
  <si>
    <t xml:space="preserve"> kttv.nyugd. miatti felment.+szabadságmegv.</t>
  </si>
  <si>
    <t>(K1106) 12 fő Törzsgárda jutalom</t>
  </si>
  <si>
    <t>(K1106) 3 fő jubileumi jutalom</t>
  </si>
  <si>
    <t>(K1104) Szabadidő megváltás,túlóra, helyettesítés</t>
  </si>
  <si>
    <t>(K1107) létszámbővítés üdültetés,rekreációs keret</t>
  </si>
  <si>
    <t>(K1110) Képernyő előtti munkavégzéshez ktg.tér.</t>
  </si>
  <si>
    <t>Kegyeleti támogatás</t>
  </si>
  <si>
    <t>(K1110) Tanulmányi szerződés adóköteles</t>
  </si>
  <si>
    <t>(K1103) Katasztrófa készenléti díj</t>
  </si>
  <si>
    <t>(K123) Nyugdíjasok támogatása</t>
  </si>
  <si>
    <t>(K123) Gyakornoki program</t>
  </si>
  <si>
    <t>(K123) vezetői tréning (repi)</t>
  </si>
  <si>
    <t>gyermekfelügyeleti támogatás+jegyző költségtérítése</t>
  </si>
  <si>
    <r>
      <t xml:space="preserve">(K2) </t>
    </r>
    <r>
      <rPr>
        <sz val="10"/>
        <rFont val="Times New Roman"/>
        <family val="1"/>
        <charset val="238"/>
      </rPr>
      <t>megbízási díjak (állattartással kapcs.feladatok)</t>
    </r>
  </si>
  <si>
    <t>Önkor. Járulék</t>
  </si>
  <si>
    <t>(K2) Járulékok</t>
  </si>
  <si>
    <t>Önkorm. Élelmezés</t>
  </si>
  <si>
    <t>(K2) Rehabilitációs hozzájárulás</t>
  </si>
  <si>
    <t>Eho</t>
  </si>
  <si>
    <t>EP Járulék</t>
  </si>
  <si>
    <t>Járulék</t>
  </si>
  <si>
    <t>Szja</t>
  </si>
  <si>
    <t>EP. Élelmezés</t>
  </si>
  <si>
    <t>Közfoglalkoztatás</t>
  </si>
  <si>
    <r>
      <t xml:space="preserve">(K336) </t>
    </r>
    <r>
      <rPr>
        <sz val="10"/>
        <rFont val="Times New Roman"/>
        <family val="1"/>
        <charset val="238"/>
      </rPr>
      <t>Hatósági zajmérés (áfa-s)</t>
    </r>
  </si>
  <si>
    <r>
      <t xml:space="preserve">(K312) </t>
    </r>
    <r>
      <rPr>
        <sz val="10"/>
        <rFont val="Times New Roman"/>
        <family val="1"/>
        <charset val="238"/>
      </rPr>
      <t>Anyakönyvek, kivonatok, nyomtatv.(áfa-s)</t>
    </r>
  </si>
  <si>
    <r>
      <t xml:space="preserve">(K337) </t>
    </r>
    <r>
      <rPr>
        <sz val="10"/>
        <rFont val="Times New Roman"/>
        <family val="1"/>
        <charset val="238"/>
      </rPr>
      <t xml:space="preserve">BKK bérlet munkavégzéshez </t>
    </r>
  </si>
  <si>
    <t>(K334) Társash. kötelezés hatósági végrehajtás</t>
  </si>
  <si>
    <t>(K337) Saját tul.ingatlanról hatósági szemétsz.(áfa-s)</t>
  </si>
  <si>
    <t>(K312) Állampolgársági eskü, virágok</t>
  </si>
  <si>
    <t xml:space="preserve"> (K351) Áfa</t>
  </si>
  <si>
    <t>(K336) Tolmács (áfa-s)</t>
  </si>
  <si>
    <t>jegyes csomag</t>
  </si>
  <si>
    <t>(K337) kötelező továbbképzés( NKN+szakvizsga)</t>
  </si>
  <si>
    <t>(K336) Szakértői díjak</t>
  </si>
  <si>
    <t>(K337) Helyszíni ellenőrzés során felm.ktg.-ek</t>
  </si>
  <si>
    <t>jubiláló házaspárok</t>
  </si>
  <si>
    <t>(K337) Takarítás (JGK) szolgáltatási szerződéssel</t>
  </si>
  <si>
    <t>K321 Informatikai szolgáltatási díj Termion Kft</t>
  </si>
  <si>
    <t>(K332) Helyszíni ellenőrzés során felm. ktg.-ek</t>
  </si>
  <si>
    <t>ujszülött emléklapok és mappa</t>
  </si>
  <si>
    <t>(K312) munkaruha fizikai állománynak</t>
  </si>
  <si>
    <t xml:space="preserve"> (K355) Hivatalból történő eljárási díj (mentes)</t>
  </si>
  <si>
    <t>(K337) Hatósági parlagfűírtás</t>
  </si>
  <si>
    <t>köztemetés keretszerződés</t>
  </si>
  <si>
    <t>(K337) Tűzvédelem, érintésvédelem</t>
  </si>
  <si>
    <t>(K337) Saját halottnak kegyeleti tám.</t>
  </si>
  <si>
    <t>termbérleti díjak miatt áfa befizetés</t>
  </si>
  <si>
    <t>egyéb dologi kiadás (gyertya, virág)</t>
  </si>
  <si>
    <t>K321 Informatikai szolgáltatási díj Asystant</t>
  </si>
  <si>
    <t>(K311) Gyógyszer, újság előfiz.+könyv</t>
  </si>
  <si>
    <t>K321 Informatikai szolgáltatási díj Sessionbase</t>
  </si>
  <si>
    <t>(331) Közüzemi díjak</t>
  </si>
  <si>
    <t>(K337) Továbbképzés, szakmai konferencia</t>
  </si>
  <si>
    <t>Formaruha hivatali őrzés miatt</t>
  </si>
  <si>
    <t xml:space="preserve">K312 Formaruha előzets. Köt. Váll. </t>
  </si>
  <si>
    <t>(K312) Irodaszerek, nyomtatv.</t>
  </si>
  <si>
    <t>Belső auditori továbbképzés</t>
  </si>
  <si>
    <t>(K337) Szemétszállítás, kéményyseprés</t>
  </si>
  <si>
    <t>K355 egyéd díjak, befizetések (biztosítás stb.)</t>
  </si>
  <si>
    <t>(K336) Bérdi</t>
  </si>
  <si>
    <t>(337) Postaköltség (mentes)</t>
  </si>
  <si>
    <t>K333 sim kártya, optikai kábel bérleti díja</t>
  </si>
  <si>
    <t>(337) Postaköltség (Áfa-s)</t>
  </si>
  <si>
    <t>EP választ.</t>
  </si>
  <si>
    <t>(K337) Szolgáltatások (T-System)</t>
  </si>
  <si>
    <t>(K337) Szállítási szolgáltatás</t>
  </si>
  <si>
    <t>NMHH Frekvencia használati díj</t>
  </si>
  <si>
    <t>BM adatlekérések díja</t>
  </si>
  <si>
    <t>(K333) Bérleti díj (szőnyeg, nyomtató, lapdíj)</t>
  </si>
  <si>
    <t>Tréning</t>
  </si>
  <si>
    <t>CPR - újraélesztő elsősegély tanfolyam (10 fő) + Hivatal 10 fő</t>
  </si>
  <si>
    <t>(K335) mobil internet telefon továbbszámlázás</t>
  </si>
  <si>
    <t>(K355) Végrehajtási költségek, bírósági, adó, mentes</t>
  </si>
  <si>
    <t>(K321) Internetdíj</t>
  </si>
  <si>
    <t>Optikai kábel bérlés</t>
  </si>
  <si>
    <t>hővédő fóliázás</t>
  </si>
  <si>
    <t>áfa</t>
  </si>
  <si>
    <t>szakmai kisértékű anyagok, alkatrészek beszerzése</t>
  </si>
  <si>
    <t>(K351) Áfa internet</t>
  </si>
  <si>
    <t>(K322) Egyéb kommunikációsszolgáltatás díja (telefon+telefonos internet)</t>
  </si>
  <si>
    <t>(K337) Rovarírtás</t>
  </si>
  <si>
    <t>KGF biztosítás</t>
  </si>
  <si>
    <t>(K312) Egyéb beszerzések, éven belüli eszközök</t>
  </si>
  <si>
    <t>Ogyv. Szállítás</t>
  </si>
  <si>
    <t>Ogyv. Bérleti díj</t>
  </si>
  <si>
    <t>SOTE kamerahelyek bérleti díja</t>
  </si>
  <si>
    <t>(K312) Üzemanyag költség (jegyző 80eFt/hó)</t>
  </si>
  <si>
    <t>Ogyv. Egyéb dologi kiadás</t>
  </si>
  <si>
    <t xml:space="preserve"> Adók, egyéb befizetések (cégautó adó,  aláírási címpéldány)</t>
  </si>
  <si>
    <t>(K355) Egyéb kiad., matrica, parkolás, kés.kam.(mentes)</t>
  </si>
  <si>
    <t>(K321) üzlet, teleph., szállnyilvánt.köv. prg.(áfa-s)</t>
  </si>
  <si>
    <t>védőital</t>
  </si>
  <si>
    <t>levéltári átadás</t>
  </si>
  <si>
    <t>Anyakönyvi könyvkötés</t>
  </si>
  <si>
    <t>fóliázás</t>
  </si>
  <si>
    <t>energetikai megbízás</t>
  </si>
  <si>
    <t>Szállásnyilvántartó</t>
  </si>
  <si>
    <t>Wintiszt</t>
  </si>
  <si>
    <t>GDPR szabályzat elkészítése (jogszabályi kötelezettség, általános adatvédelmi rendelet)</t>
  </si>
  <si>
    <t>(K321) Tűzfal licens áfa-s</t>
  </si>
  <si>
    <t>(K321) Internetszolgáltatás díja áfa-s</t>
  </si>
  <si>
    <t>(K312) Kelékanyagok áfa-s</t>
  </si>
  <si>
    <t>(K321) Gépek és klíma karbantartás áfa-s</t>
  </si>
  <si>
    <t>(K321) Digitális térkép áfa-s</t>
  </si>
  <si>
    <t>(K321)) Cégtár szolg.,partnerfigyelő rendsz.áfa-s</t>
  </si>
  <si>
    <t>(K321) Vizuál regiszter használati díja áfa-s</t>
  </si>
  <si>
    <t>K321 PIR program áfa-s</t>
  </si>
  <si>
    <t>K321 Mentőegység licens áfa-s</t>
  </si>
  <si>
    <t>K321 Takarnet áfa-s</t>
  </si>
  <si>
    <t>K321 Emelt szintű mérnök informatika áfa-s</t>
  </si>
  <si>
    <t>K321 Gispán követés áfa-s</t>
  </si>
  <si>
    <t>K321 víruskereső áfa-s</t>
  </si>
  <si>
    <t>K321 borítékológép áfa-s</t>
  </si>
  <si>
    <t>K321 segély wint programok áfa-s</t>
  </si>
  <si>
    <t>K321 Complex jogtár áfa-s</t>
  </si>
  <si>
    <t>K321 szünetmentes tápegység karbant.akkum. áfa-s</t>
  </si>
  <si>
    <t>Elektronikus ügyintézés előzetes köt. Váll.</t>
  </si>
  <si>
    <t>IBF szerződés</t>
  </si>
  <si>
    <t>K312 Üzemeltetési anyagok, irodaszerek, nyomtatv.</t>
  </si>
  <si>
    <t>K321 Internetdíj (dec.27%; 11 hó 18% áfa-s)</t>
  </si>
  <si>
    <t>K322 Telefondíj áfa-s</t>
  </si>
  <si>
    <t>K331 Közüzemi díjak áfa-s</t>
  </si>
  <si>
    <t>K312 Üzemeltetési anyagok áfa-s</t>
  </si>
  <si>
    <t>K334 Karbantartások áfa-s</t>
  </si>
  <si>
    <t>K337 Tűz-és érintésvédelem áfa-s</t>
  </si>
  <si>
    <t>K337 Szemétszállítás, egyéb szolgáltatás áfa-s</t>
  </si>
  <si>
    <t>K355 Egyéb kiadások (mentes)</t>
  </si>
  <si>
    <t>K351) Áfa</t>
  </si>
  <si>
    <t>Elektronikus ügyintézés külön igény</t>
  </si>
  <si>
    <t>Módosított dologi kiadások</t>
  </si>
  <si>
    <t>Működési célú támogatások államházt. kivülre</t>
  </si>
  <si>
    <t>Mód működési célú támogatások államházt. kivülre</t>
  </si>
  <si>
    <t>Irányítószervi tám. folyósított támogatás kiutalása</t>
  </si>
  <si>
    <t>Mód.irányító szervi tám.foly. Támogatás kiutalása</t>
  </si>
  <si>
    <t>Paraván vásárlás</t>
  </si>
  <si>
    <t>Salgópolc és saválló irattári dobozok beszerzés</t>
  </si>
  <si>
    <t>(K64) Bútorok beszerzése</t>
  </si>
  <si>
    <t>Windows 10 beszerzése 18 db</t>
  </si>
  <si>
    <t>Veam mentőszoftver beszerzése</t>
  </si>
  <si>
    <t>Szerver oprendszer csere 2008-ról 2016-ra</t>
  </si>
  <si>
    <t>Zebra mobil blokk nyomtató + tartozékok (10db) közt.f.</t>
  </si>
  <si>
    <t xml:space="preserve">Virtualizációt megvalósító Wmvare szoftver </t>
  </si>
  <si>
    <t>Testre szerelhető akciókamera (40 db) közt.f.</t>
  </si>
  <si>
    <t>Windows oprendszer frissítések a jelenleg futó rendszereknél</t>
  </si>
  <si>
    <t>Térfigyelő kamerarendszer kezelő joystick (10db) közt.f.</t>
  </si>
  <si>
    <t>hordozható és egyéb nyomtató kellékek; közt.f.</t>
  </si>
  <si>
    <t>Elavult sztali számítógép  + 22' monitor csere</t>
  </si>
  <si>
    <t>Win 10 oprendszer</t>
  </si>
  <si>
    <t>Zebra nyomtatók beszerzése</t>
  </si>
  <si>
    <t>Információbiztonsági törvénynek megfeleltetés 
( szerverszoba kialakítása)</t>
  </si>
  <si>
    <t>300-s terem felújítása</t>
  </si>
  <si>
    <t>Klimarendszer 1 db blokkjának cseréje</t>
  </si>
  <si>
    <t>Közbiztonsági Köza. Helyiség felúj. (karbantartáson tervezve</t>
  </si>
  <si>
    <t>Irányító szervi tám. folyósított támogatás kiutalása</t>
  </si>
  <si>
    <t>Mód.irányító szervi tám.folyósított tám.kiutalása</t>
  </si>
  <si>
    <t>02 űrlap</t>
  </si>
  <si>
    <r>
      <t xml:space="preserve">(B36) </t>
    </r>
    <r>
      <rPr>
        <sz val="10"/>
        <rFont val="Times New Roman"/>
        <family val="1"/>
        <charset val="238"/>
      </rPr>
      <t>parlagfűírtás megtér.és hulladék(mentes)</t>
    </r>
  </si>
  <si>
    <t xml:space="preserve"> (B36) Végrehajtási eljárási bírság (mentes)</t>
  </si>
  <si>
    <t>(B36) igazgatás szolg.eljárási bírság (mentes)</t>
  </si>
  <si>
    <r>
      <t>(B402)többlet</t>
    </r>
    <r>
      <rPr>
        <sz val="10"/>
        <rFont val="Times New Roman"/>
        <family val="1"/>
        <charset val="238"/>
      </rPr>
      <t>szolg. díj+házasságkötés bérleti díja</t>
    </r>
  </si>
  <si>
    <t>(B403) Közvetített szolgáltatások ellenértéke</t>
  </si>
  <si>
    <t>(B402) Takarnet lekérdezés díja (mentes)</t>
  </si>
  <si>
    <t>Módosított működési célú átvett pénzeszközök</t>
  </si>
  <si>
    <t>(K816)Irányítószervi támogatás</t>
  </si>
  <si>
    <t xml:space="preserve">20102 Építésigazgatási feladatok                                                              </t>
  </si>
  <si>
    <t xml:space="preserve">20103                     Igazgatási, hatósági tevékenységek állategészségügyi feladatok                                                              </t>
  </si>
  <si>
    <t xml:space="preserve">20104                         Anyakönyvi feladatok                                                              </t>
  </si>
  <si>
    <t xml:space="preserve">20201-01                                             Hivatal működtetése                                                </t>
  </si>
  <si>
    <t>Költségvetési támogatások,  intézményfinanszírozás</t>
  </si>
  <si>
    <t>20201-02                                                      Hivatal informatikai feladatai</t>
  </si>
  <si>
    <t>20201-04                                         Nemzetiségi Önkormányzatok működtetése</t>
  </si>
  <si>
    <t>EP választás</t>
  </si>
  <si>
    <t>20201-03                                                               Hivatal munkáját segítő szakértői, ügyvédi díjak, ISO, vagyonértékelés, belső ellenőrzés, foglalkozás Eü. Feladatok, bankköltség, stb</t>
  </si>
  <si>
    <t>20202                                                                             Hivatal alkalmazottainak személyi juttatásai, továbbképzése, vezetők reprezentációja stb.</t>
  </si>
  <si>
    <t xml:space="preserve">20203                                            Közterület-felügyelet                                                         </t>
  </si>
  <si>
    <t xml:space="preserve"> (K123)  statikus</t>
  </si>
  <si>
    <t xml:space="preserve"> (K2)  statikus </t>
  </si>
  <si>
    <t xml:space="preserve">11303                                              Szociális és Gyermekvédelmi segélyek                                                            </t>
  </si>
  <si>
    <t>11401                                            Parkolás-üzemeltetés</t>
  </si>
  <si>
    <t>11501                                                    Lakásvásárlási támogatás  (helyi) törlesztés</t>
  </si>
  <si>
    <t>11705                                       Társasházak felújításának támogatása, kölcsönök nyújtása</t>
  </si>
  <si>
    <t>11803                                                    RÉV8 Zrt</t>
  </si>
  <si>
    <t xml:space="preserve">Bursa Hungarica  ösztöndíj </t>
  </si>
  <si>
    <t>adóerőképesség …………. Ft/fő összeggel kalkulálva</t>
  </si>
  <si>
    <t>adóerőképesség ………. Ft/fő összeggel kalkulálva</t>
  </si>
  <si>
    <t>adóerőképesség ……….. Ft/fő összeggel kalkulálva</t>
  </si>
  <si>
    <t>2019.évi adat, a gyereklétszám csökkent 150 fővel</t>
  </si>
  <si>
    <t>az ellátotti létszám korrekciója miatti csökkentés</t>
  </si>
  <si>
    <t xml:space="preserve"> Rádai Dániel alpolgármester kerete </t>
  </si>
  <si>
    <t>Szili-Darók Ildikó alpolgármester kerete</t>
  </si>
  <si>
    <t>Práter utcai iskolaépület bérbeszámítás</t>
  </si>
  <si>
    <t>Jázmin (Szigony) utcai óvoda épület bérleti díj</t>
  </si>
  <si>
    <t>Jázmin (Szigony) utcai óvoda épület bérbeszámítás</t>
  </si>
  <si>
    <t>Losonci téri Általános Iskola sportudvar felújítása</t>
  </si>
  <si>
    <t>Józsefvárosi Egységes Gyógypedagógiai Módszertani Intézmény és Általános Iskola sportudvarának felújítása</t>
  </si>
  <si>
    <t>Práter iskolaépület bérbeszámítás</t>
  </si>
  <si>
    <t>2019. évi kompenzáció visszafizetés</t>
  </si>
  <si>
    <t>Munkaadót terhelő járulékok és szocális hozzájárulási adó</t>
  </si>
  <si>
    <t>társasházi közös költségen belül fűtési díjak</t>
  </si>
  <si>
    <t>önkormányzati épületek életveszély elhárítása, gázhálózat csere</t>
  </si>
  <si>
    <t>2019. évi kompenzáció visszafiz. miatti áfa befizetés</t>
  </si>
  <si>
    <t>Tömő u. 23/a. és 23/b. ingatlanok kiűrítése</t>
  </si>
  <si>
    <t>Problémaorientált közösségi rendészet kialakítása -catering (KP3)</t>
  </si>
  <si>
    <t>Problémaorientált közösségi rendészet kialakítása - közösségi rendészek képzése (KP3)</t>
  </si>
  <si>
    <t>EUB III. TÉR_KÖZ "A" 2016.</t>
  </si>
  <si>
    <t>Bródy S. u. (Vas u. - Pollack M. tér)</t>
  </si>
  <si>
    <t>Szentkirályi u. (Bródy S.u. - Mikszáth K. tér)</t>
  </si>
  <si>
    <t>Rökk Sz. u. (Gutenberg t. - Krúdy Gy. u.)</t>
  </si>
  <si>
    <t>Tartalék közterületek felújításra</t>
  </si>
  <si>
    <t>Közterület felújítás tervezés</t>
  </si>
  <si>
    <t>Társasházak felújításának támogatása</t>
  </si>
  <si>
    <t>Társasházak felújításának tervezéséhez támogatás</t>
  </si>
  <si>
    <t>CAPE programok</t>
  </si>
  <si>
    <t>Közterület fejlesztés program</t>
  </si>
  <si>
    <t>Társasházi Program</t>
  </si>
  <si>
    <t>Nem beruházási jellegű (közösségfejlesztő) tevékenység</t>
  </si>
  <si>
    <t>Előkészítés (közterület koncepcióterv)</t>
  </si>
  <si>
    <t>Előkészítés (közterület kiviteli terv)</t>
  </si>
  <si>
    <t>Előkészítés (társasház tervezés)</t>
  </si>
  <si>
    <t>Blaha Lujza tér felújítása projekt keretében a Somogyi Béla u. elektromos hálózatának átalakítása és a lámpatestek lecserélése</t>
  </si>
  <si>
    <t>41 fő kttv.törvényi illetménye</t>
  </si>
  <si>
    <t>61 fő köztisztviselő törvényi illetménye</t>
  </si>
  <si>
    <t xml:space="preserve"> minimálbérre és garantált bér emelés különbözete</t>
  </si>
  <si>
    <t>nyelvpótlék</t>
  </si>
  <si>
    <t>4 fő Mt. törvényi illetménye</t>
  </si>
  <si>
    <t>(K1107) 43 fő kttv.1 fő Mt. Cafetéria</t>
  </si>
  <si>
    <t>24 fő Mt.Pm.Hiv.törvényi illetménye</t>
  </si>
  <si>
    <t>Tanulmányi szerződés</t>
  </si>
  <si>
    <t>144 fő kttv.alapilletm.+illetménykiegészítés</t>
  </si>
  <si>
    <t>(K1107) 144 fő kttv.24 fő Mt.cafetéria</t>
  </si>
  <si>
    <t xml:space="preserve">(K337) Saldo tagsági díj </t>
  </si>
  <si>
    <t>(K312) Üzemanyag költség közterület</t>
  </si>
  <si>
    <t>Céautó adó</t>
  </si>
  <si>
    <t>Hőrich</t>
  </si>
  <si>
    <t>(K334) Karbantartások Klima, gépk. Épület),</t>
  </si>
  <si>
    <t>Munkaruha</t>
  </si>
  <si>
    <t>dr. Erős Gábor alpolgármester illetménye</t>
  </si>
  <si>
    <t>dr. Erős Gábor alpolgármester költségtérítése</t>
  </si>
  <si>
    <t>Szili- Darók Ildikó alpolgármester illetménye</t>
  </si>
  <si>
    <t>Szili-Darók Ildikó.alpolgármester költségtérítése</t>
  </si>
  <si>
    <t>Rádai Dániel alpolgármester illetménye, nyelvpótl. társ.megb</t>
  </si>
  <si>
    <t>Rádai Dániel alpolgármester költségtérítése</t>
  </si>
  <si>
    <t xml:space="preserve">4 fő cafetéria </t>
  </si>
  <si>
    <t xml:space="preserve">(K121) 15 képviselő tiszteletdíj 12hó </t>
  </si>
  <si>
    <t>(K123) 24 fő külső bizottsági tag díja 3hó(03.01.-ig)</t>
  </si>
  <si>
    <t>(K123) 24 fő külső bizottsági tag díja 12hó</t>
  </si>
  <si>
    <t>(K2) telefonadó + promóció</t>
  </si>
  <si>
    <t>(K336) Jogi tanácsadás Hőrich</t>
  </si>
  <si>
    <t>Építési tevékenység miatti bev. Visszafizetés</t>
  </si>
  <si>
    <t>Térinformatika rendszer felülvizsgálata, Légifotó készítés</t>
  </si>
  <si>
    <t>Telekátalakítás, hatósági díjak</t>
  </si>
  <si>
    <t>2019. évi kompenzáció viszafiz. Utáni áfa befizetés</t>
  </si>
  <si>
    <t>Ellátottak pénzbeli juttatásai (oltási támogatás)</t>
  </si>
  <si>
    <t>2019. évi kompenzáció visszafizetés alap+áfa</t>
  </si>
  <si>
    <t>11603                                                                                 Corvin Sétány Projekt</t>
  </si>
  <si>
    <t>11603                                                                                Corvin Sétány  Projekt</t>
  </si>
  <si>
    <t>Karácsony Sándor Közalapítvány támogatása</t>
  </si>
  <si>
    <t>Felhalmozási támogatás</t>
  </si>
  <si>
    <t xml:space="preserve"> Nemzetiségi Önkormányzatok működési tám.</t>
  </si>
  <si>
    <t>Szájharmónia kampány</t>
  </si>
  <si>
    <t>Közterületi bevételből társasházak részére visszautalás</t>
  </si>
  <si>
    <t>Tankerület hőszolgáltatás számlázásból bevétel.</t>
  </si>
  <si>
    <t xml:space="preserve"> - egyéb önkormányzati feladatok/2019. évi decemberi bérkompenzáció</t>
  </si>
  <si>
    <t>Szolidarítási hozzájárulási adó</t>
  </si>
  <si>
    <t>Orczy Negyed Projekt pályázati támogatás</t>
  </si>
  <si>
    <t>Auróra u.21. sz.alatti ingatlan vásárlás</t>
  </si>
  <si>
    <t>összeg</t>
  </si>
  <si>
    <t>mutató</t>
  </si>
  <si>
    <t>Hungária krt. 18. orvosi rendelő bérleti díja</t>
  </si>
  <si>
    <t>Polgárm. Keretre megbíz. Díj</t>
  </si>
  <si>
    <t>Tisztségviselői keretre megbiz. Díj.</t>
  </si>
  <si>
    <t xml:space="preserve">dr. Erőss Gábor alpolgármester kerete </t>
  </si>
  <si>
    <t>Üzemeltetési költségek (Kálvária tér 13., Dankó u. 40., Diószegi S. u. 13.) + Kálvária tér</t>
  </si>
  <si>
    <t>Beruházás (Kálvária tér 13.)</t>
  </si>
  <si>
    <t>Kulturális, Civil, Oktatási, Nemzetiségi, Sport és Esélyegyenlőségi Bizottság javaslatára Polgármester, kivéve az alapítványok</t>
  </si>
  <si>
    <t>2022.év</t>
  </si>
  <si>
    <t xml:space="preserve">96/2018. (XI.29.);                   101/2019. (VII.04.) 2. pont </t>
  </si>
  <si>
    <t>21/2019.(II.21.)</t>
  </si>
  <si>
    <t>27/2019.(II.21.) 8. pont</t>
  </si>
  <si>
    <t>27/2019.(II.21.) 9. pont</t>
  </si>
  <si>
    <t>27/2019.(II.21.) 11. pont</t>
  </si>
  <si>
    <t>38/2019.(II.21.) 3. pont</t>
  </si>
  <si>
    <t>58/2019. (IV.30) 1. pont</t>
  </si>
  <si>
    <t>69/2019. (IV.30.) 2. pont</t>
  </si>
  <si>
    <t>69/2019. (IV.30.) 3. pont /módosította a 124/2019. (VIII.22.) 4. d) pontja/</t>
  </si>
  <si>
    <t>69/2019. (IV.30.) 7. pont</t>
  </si>
  <si>
    <t>72/2019. (IV.30.) 1. pont</t>
  </si>
  <si>
    <t>74/2019. (IV.30.) 3. pont</t>
  </si>
  <si>
    <t>89/2019. (IV.30.) 4. pont</t>
  </si>
  <si>
    <t>94/2019. (VI.17.) 4. pont</t>
  </si>
  <si>
    <t>97/2019. (VII.04.) 2. pont</t>
  </si>
  <si>
    <t>99/2019. (VII.04.) 3. pont</t>
  </si>
  <si>
    <t>10362019. (VII.04.) 4. pont</t>
  </si>
  <si>
    <t>106/2019. (VII.04.) 3. pont</t>
  </si>
  <si>
    <t>100/2019. (VII.04.) 3. b) pont</t>
  </si>
  <si>
    <t>169/2019. (XI.28.) 3. pont</t>
  </si>
  <si>
    <t>Hungária körút 18. szám alatti orvosi rendelő helyiség bérleti szerződés (2019-2034) működési bevételek terhére</t>
  </si>
  <si>
    <t>A kerület parkjainak fenntartása, a közterületek tisztaságának biztosítása érdekében (2020-2021)</t>
  </si>
  <si>
    <t>A kerületi rossz műszaki állapotú járdák felújítása (2020-2021)</t>
  </si>
  <si>
    <t>Bankköltség Önkormányzat és költségvetési szervek, valamint a nemzetiségi önkormányzatok tekintetében a helyi adóbevételek terhére</t>
  </si>
  <si>
    <t>TÉR_KÖZ 2016 Palotanegyed, Európa Belvárosa Program III.</t>
  </si>
  <si>
    <t>Golgota téri 14 Stáció fenntartása 5 évig (2020-2025)</t>
  </si>
  <si>
    <t>Körzeti megbízotti iroda közüzemi költéségének fedezete (Práter u. 69.)</t>
  </si>
  <si>
    <t>JGK Zrt. - Közbeszerzési eljárás lefolytatása gyorsszolgálati feladatok ellátására /Önkormányzat tulajdonát képező lakó-és üzemi épületek és egyéb funkciójú helyiségek, háziorvosi rendelők, valamint a költségvetési szervek/ (2020-2022)</t>
  </si>
  <si>
    <t>Felnőtt háziorvosi ügyelet és sürgősségi feladatok ellátása a JEK székhelyén (2020-2023).</t>
  </si>
  <si>
    <t>Tömő u. 23/a és 23/b. ingatlanok kiürítése érdekében.</t>
  </si>
  <si>
    <t>Önkormányzati feladatellátást szolgáló fejlesztések támogatására kiírt pályázat- önrész biztosítása (Szeszgyár u.- Baross u.- Visi I. u. közötti szakasza útburkolatának felújítása</t>
  </si>
  <si>
    <t>Országzászló fentartása (Vajda Péter u.)</t>
  </si>
  <si>
    <t>Közétkeztetés biztosítása a nevelési-oktatási és a szociális intézményekben</t>
  </si>
  <si>
    <t>Józsefvárosi Egységes Gyógypedagógia Módszertani Intézmény és Általános Iskola, valamint a Losonci Téri Általános Iskola sportudvarának  felújítása</t>
  </si>
  <si>
    <t>Játszótér fenntartási költsége (Német utca 12.)</t>
  </si>
  <si>
    <t>Blaha Lujza tér felújítása projekt (Somogyi B. utcában elektromos hálózat átalákítása)</t>
  </si>
  <si>
    <t xml:space="preserve">Corvin Sétány projekt </t>
  </si>
  <si>
    <t>JKN Zrt. Tanodai program működtetésével kiegészül a közszolgáltatási szerződés</t>
  </si>
  <si>
    <t>Közbeszerzési tanácsadó megbízása</t>
  </si>
  <si>
    <t>A Józsefvárosi Alkalmazotti Juttatási Szabályzatban foglaltak  alapján a működtetett iskolákban a hűségjutalomra jogosultaknak  jutalom és járulékai 11104 címen.</t>
  </si>
  <si>
    <t xml:space="preserve">479/2013.(XII.18.)                                                        235/2014.(XII.04.)                     260/2017.(XII.19)             </t>
  </si>
  <si>
    <r>
      <t>Iskolai pedagógusok hűségjutalma</t>
    </r>
    <r>
      <rPr>
        <b/>
        <sz val="10"/>
        <rFont val="Times New Roman"/>
        <family val="1"/>
        <charset val="238"/>
      </rPr>
      <t>(K123)</t>
    </r>
  </si>
  <si>
    <t>133/2019.(XI.07.)          142/2019.(XI.07.)</t>
  </si>
  <si>
    <t xml:space="preserve">Polgármester és alpolgármesterek illetménye, tiszteletdíja, költségtérítése és járulékai </t>
  </si>
  <si>
    <t xml:space="preserve">A képviselők,  bizottsági tagok illetménye </t>
  </si>
  <si>
    <t>180/2019.(XII.19.)</t>
  </si>
  <si>
    <t xml:space="preserve">90/2016. (IV.21.)       108/2018. (XII.18.) </t>
  </si>
  <si>
    <t>A Józsefvárosi Egyesített Bölcsödék pedagógus életpályamodellbe nem tartozó, a közalkalmazotti bértábla A-E, F-H, fizetési osztályokba sorolt közalkalmazottak keresetkiegészítése határozatlan időre 2017. évtől évente, kifizetői járulékokkal együtt 33.860,2 e Ft.</t>
  </si>
  <si>
    <t xml:space="preserve">Az Új Teleki téri Piac őrzési feladatai  </t>
  </si>
  <si>
    <t xml:space="preserve">Az önkormányzat folytatja a „Szűrő Szombat” elnevezésű programot,2018. évtől előzetes kötelezettséget vállal  </t>
  </si>
  <si>
    <t xml:space="preserve">190/2017.(IX.07.)    </t>
  </si>
  <si>
    <t>Önkormányzati tulajdonú ingatlanok, lakások, helyiségek műszaki felmérése, bérlemény ellenőrzés</t>
  </si>
  <si>
    <t>Magdolna u. 33. addiktológiai rendelő kialakítása</t>
  </si>
  <si>
    <t>Káptalanfüredi gyermek- és utánpótlás tábor fejlesztése</t>
  </si>
  <si>
    <t>Golgota téri Stáció helyreállítása</t>
  </si>
  <si>
    <t>KEHOP-1.2.1.Pályázat "Helyi klímastratégia kidolgozása, klímatudatosságot erősítő szemléletformálás" Józsefvárosban</t>
  </si>
  <si>
    <t>Corvin Áruház műemléki homlokzatának felújítása</t>
  </si>
  <si>
    <t xml:space="preserve">Közvilágítás bruttó maradványérték </t>
  </si>
  <si>
    <t xml:space="preserve">Tartalék </t>
  </si>
  <si>
    <t>2018. évi áll. Tám felülv.</t>
  </si>
  <si>
    <t>dr. Erőss Gábor kerete</t>
  </si>
  <si>
    <t>Szili-Darók Ildikó kerete</t>
  </si>
  <si>
    <t>Rádai Dániel kerete</t>
  </si>
  <si>
    <t>Dísznövény</t>
  </si>
  <si>
    <t>145/2019.(XI.07.);                          167/2019. (XI.28.)</t>
  </si>
  <si>
    <t>Jogi tanácsadó megbízása (Önkormányzat)</t>
  </si>
  <si>
    <t>Jogi tanácsadó megbízása (Hivatal)</t>
  </si>
  <si>
    <t>179/2019. (XII.19.)</t>
  </si>
  <si>
    <t>Ingyenes jogi tanácsadás a kerületi lakosok részére</t>
  </si>
  <si>
    <t>180/2019. (XII.19.) 5. pont</t>
  </si>
  <si>
    <t>Józsefváros lakosságának Szolgálatában elismerés fedezete</t>
  </si>
  <si>
    <t>Palotanegyedi Idősklub, Bródy S. u. 14. – Puskin u. 24. szám alatti, műemlék épület tervezése</t>
  </si>
  <si>
    <t>Tömő u. 23/a. kiürítési költségek</t>
  </si>
  <si>
    <t>Tömő u. 23/b. kiürítési költségek</t>
  </si>
  <si>
    <t>társasházi információs táblák aktualizálása</t>
  </si>
  <si>
    <t>Gyermeküdültetés</t>
  </si>
  <si>
    <t>Kompenzáció</t>
  </si>
  <si>
    <t>Irányítási költség</t>
  </si>
  <si>
    <t xml:space="preserve">Józsefvárosi gyermekek részére  oktatás-nevelési intézmények nyári szünidei szabadidő foglalkozás, étkeztetéssel </t>
  </si>
  <si>
    <t>Szociális gondoskodás</t>
  </si>
  <si>
    <t>Kulturális, közművelődési és turizmussal kapcsolatos feladatok ellátása</t>
  </si>
  <si>
    <t>Kerületi közéletű lap és önkormányzati honlap működtetése</t>
  </si>
  <si>
    <t xml:space="preserve">Helyi vállalkozás fejlesztését segítő segítő feladatok </t>
  </si>
  <si>
    <t>Szabadidős és sportrendezvények</t>
  </si>
  <si>
    <t xml:space="preserve">    Honlap</t>
  </si>
  <si>
    <t xml:space="preserve">    Újság</t>
  </si>
  <si>
    <t xml:space="preserve">    PR tevékenység+WIFI</t>
  </si>
  <si>
    <t xml:space="preserve">Magdolna-Orczy Negyed Szociális Városrehabilitációs Program </t>
  </si>
  <si>
    <t>Egyéb (pályázatok, Játszótársak)</t>
  </si>
  <si>
    <t xml:space="preserve">továbbszámlázott közüzemi díjak </t>
  </si>
  <si>
    <t xml:space="preserve">áfa befizetés </t>
  </si>
  <si>
    <t>lakbér áfa mentessége miatti áfa befizetés</t>
  </si>
  <si>
    <t>Lakáskoncepció tanácsadói díj</t>
  </si>
  <si>
    <t>Szociális gondoskodás (közfoglalkoztatás)</t>
  </si>
  <si>
    <t>Felmentésre járó illetmény</t>
  </si>
  <si>
    <t>Végkielégítés</t>
  </si>
  <si>
    <t>Szabadságságmegváltás</t>
  </si>
  <si>
    <t>Környezet- és klímavédelem</t>
  </si>
  <si>
    <t>11402                                                  Környezet- és klímavédelem</t>
  </si>
  <si>
    <t>Szociális, Egészségügyi és Lakásügyi Bizottság javaslatára a polgármeser, kivéve az alapítványok</t>
  </si>
  <si>
    <t>2019. évi lakosságszám: 71.253 fő</t>
  </si>
  <si>
    <r>
      <t>ebből iparűzési 11</t>
    </r>
    <r>
      <rPr>
        <sz val="10"/>
        <rFont val="Times New Roman CE"/>
        <charset val="238"/>
      </rPr>
      <t>.390</t>
    </r>
    <r>
      <rPr>
        <sz val="10"/>
        <rFont val="Times New Roman CE"/>
        <family val="1"/>
        <charset val="238"/>
      </rPr>
      <t xml:space="preserve"> e Ft</t>
    </r>
  </si>
  <si>
    <t xml:space="preserve">Kiemelt minősítésű színházművészeti szervezetek támogatása </t>
  </si>
  <si>
    <t>Dobozi u. 13. sz. alatti üres telek értékesítése</t>
  </si>
  <si>
    <t xml:space="preserve">Önkormányzati tulajdonú helyiségek műszaki felmérése (csak a frekventált helyen lévő, hasznosítható helyiségek) </t>
  </si>
  <si>
    <t>városüzemeltetés karbantartó iroda gépjármű csere kompenzáció</t>
  </si>
  <si>
    <t>Automaták átprogramozása 100 Ft-os érmék miatt közsolg. Díj</t>
  </si>
  <si>
    <t>sorszám</t>
  </si>
  <si>
    <t>feladat megnevzése</t>
  </si>
  <si>
    <t>bruttó előirányzat összege</t>
  </si>
  <si>
    <t xml:space="preserve">cím </t>
  </si>
  <si>
    <t>I</t>
  </si>
  <si>
    <t>ÖNKORMÁNYZATI FELADATOK</t>
  </si>
  <si>
    <t>I/1</t>
  </si>
  <si>
    <t>ÖNKORMÁNYZATI FELADATOK ÖSSZESEN</t>
  </si>
  <si>
    <t>Cím-   rend</t>
  </si>
  <si>
    <t>Pedagógus álláshely</t>
  </si>
  <si>
    <t>Technikai álláshely</t>
  </si>
  <si>
    <t>Szak-  alkalma- zotti álláshely</t>
  </si>
  <si>
    <t>Egyéb álláshely</t>
  </si>
  <si>
    <t>Köz-  alkalma-   zotti álláshely</t>
  </si>
  <si>
    <t>Mt. Hatálya alá tartozók</t>
  </si>
  <si>
    <t>Évközi módosítások</t>
  </si>
  <si>
    <t>2020. január 1. engedélyezett álláshelyek</t>
  </si>
  <si>
    <t xml:space="preserve"> Maradvány igénybevétele</t>
  </si>
  <si>
    <t>Mód.maradvány igénybevétele</t>
  </si>
  <si>
    <t>Hűségjutalom bruttó</t>
  </si>
  <si>
    <t>Privatizált háziorvosok rezsiköltség hozzájárulása Szent Kozma Egészségügyi Központnál</t>
  </si>
  <si>
    <t>2020. évi módosított engedélyezett álláshely</t>
  </si>
  <si>
    <t>Megjegyzés</t>
  </si>
  <si>
    <t>2020.02.01-től + 22,5 Mt-s</t>
  </si>
  <si>
    <t>Szűrőszombat</t>
  </si>
  <si>
    <t>Karbantartás</t>
  </si>
  <si>
    <t>Kötelező eszköznorma</t>
  </si>
  <si>
    <t>40200 cím                                                                                                             Józsefvárosi Egyesített Bölcsődék</t>
  </si>
  <si>
    <t>40102-03                                                                                                                                     Szolgáltatások</t>
  </si>
  <si>
    <t>40102-04        Óvodai és iskolai szociális segítő tevékenység</t>
  </si>
  <si>
    <t>40108-01 cím                                                                                                                                  Gyermekek Átmeneti Otthona</t>
  </si>
  <si>
    <t xml:space="preserve">40108-02 cím           Családok Átmeneti Otthona                                                                                                                                                                  </t>
  </si>
  <si>
    <t>70100 cím                                                                                                                                              Napraforgó Egyesített  Óvoda</t>
  </si>
  <si>
    <t>(K64) Éven túl elhaszn. eszközök beszerzése)</t>
  </si>
  <si>
    <t>Ügyfélhívó rendszer beszerzés</t>
  </si>
  <si>
    <t>MikroDat rendszer bevezetése</t>
  </si>
  <si>
    <t>Informatikai eszközök beszerzése</t>
  </si>
  <si>
    <t>Parkolási stratégia készítés</t>
  </si>
  <si>
    <t>Térfigyelő szerver felújítás</t>
  </si>
  <si>
    <t>Rendőrök jutalmazása</t>
  </si>
  <si>
    <t>2 db nagy teljesítményű takarítógép + 2 db adapter besz.</t>
  </si>
  <si>
    <t>Étkeztetési támogatás/2020-ban Hálózat Alapítványhoz kapcsolódó segély</t>
  </si>
  <si>
    <t>Környezetvédelmi program/klimavédelem</t>
  </si>
  <si>
    <t xml:space="preserve">Kerékpár beszerzés </t>
  </si>
  <si>
    <t>Párakapuk létesítése</t>
  </si>
  <si>
    <t>Lakosság részére komposztládák beszerzése</t>
  </si>
  <si>
    <t>4 db közWC-hez (kevert rendszerű) beruházási ktg kompenzáció</t>
  </si>
  <si>
    <t>Részvételiséggel kapcsolatos kiadások</t>
  </si>
  <si>
    <t xml:space="preserve">     szakértői díjak</t>
  </si>
  <si>
    <t xml:space="preserve">      Digitális fejlesztés</t>
  </si>
  <si>
    <t xml:space="preserve">      Kutatások</t>
  </si>
  <si>
    <t xml:space="preserve">      Részvételi ktgvetés teszt ktge</t>
  </si>
  <si>
    <t xml:space="preserve">      Részvételi folyamatok egyéb ktge</t>
  </si>
  <si>
    <t>Antikorrupciós intézkedési program</t>
  </si>
  <si>
    <t>könyvvizsgálat, tanácsadás és egyéb szakértői díjak, intézmények integrált pénzügyi rendszerének működtetése</t>
  </si>
  <si>
    <t>Kerületi lakossági helyzetfelmérés</t>
  </si>
  <si>
    <t>Szociális rendelet módosításhoz szakértő</t>
  </si>
  <si>
    <t>Idősellátásban az alkalmazottak képzése</t>
  </si>
  <si>
    <t>Józsefváros helytörténeti alapozás</t>
  </si>
  <si>
    <t>Igazságos iskola program alapozás</t>
  </si>
  <si>
    <t>környezet- és klímavédelemmel kapcsolatos feladatok</t>
  </si>
  <si>
    <t>Áldozatsegítés (bűmegelőzési) programok</t>
  </si>
  <si>
    <t>Kerületi kutatás (viktimológia)</t>
  </si>
  <si>
    <t>Közösségi rendészeti programok, szakértői díjak</t>
  </si>
  <si>
    <t>Mediátorok képzése (Zuglóval)</t>
  </si>
  <si>
    <t>Önkormányzati költségvetésben összesen kimutatott maradvány</t>
  </si>
  <si>
    <t>Ingatlan előkészítés értékesítésre</t>
  </si>
  <si>
    <t>Hivatali létszám em. márc. 1-től</t>
  </si>
  <si>
    <t>Hivatali létszám em. márc. 1-től cafetéria</t>
  </si>
  <si>
    <t>Környezet-és klímavédelem</t>
  </si>
  <si>
    <t>Térfigyelő kamerarendszer működtetése</t>
  </si>
  <si>
    <t>2 db nagyteljesítményű takarítógép beszerzése</t>
  </si>
  <si>
    <t>56-os golyónyomok megőrzése emléktáblák elhelyezése</t>
  </si>
  <si>
    <t>Városüzemeltetés, karbantartó iroda gépjárműcsere kompenzáció</t>
  </si>
  <si>
    <t>4 db köz WC-hez (kevertrendszerű) beruházási ktg. Kompenzáció</t>
  </si>
  <si>
    <t xml:space="preserve">Informatikai eszközök beszerzése </t>
  </si>
  <si>
    <t>Éven túl elhasználódó eszközök beszerzése</t>
  </si>
  <si>
    <t>LÉLEKHÁZ, LÉLEKPROGRAM</t>
  </si>
  <si>
    <t>Gazdasági Szervezet és központi irányítás</t>
  </si>
  <si>
    <t>Család-és Gyermekjóléti Központ</t>
  </si>
  <si>
    <t>Család-és Gyermekjóléti Szolgálat</t>
  </si>
  <si>
    <t>Éven túl elhsználódó eszközök beszerzése</t>
  </si>
  <si>
    <t>Reménysugár Klub nyílászáró csere</t>
  </si>
  <si>
    <t>Idősek Átmeneti Otthona garázsok</t>
  </si>
  <si>
    <t>VEKOP tárgyi eszköz beszerzés</t>
  </si>
  <si>
    <t xml:space="preserve"> </t>
  </si>
  <si>
    <t>2020. 03. 01.-től -8 fő+4fő</t>
  </si>
  <si>
    <t>2020. évi önkormányzat összesen előirányzat</t>
  </si>
  <si>
    <t>2023. év</t>
  </si>
  <si>
    <t>Kimutatás a stabilitási törvény szerinti önkormányzati saját bevételekről és az önkormányzati adósságot keletkeztető ügyleteiből eredő fizetési kötelezettségeinek a 2020. évi és az azt követő 3 évre várható összegéről a 353/2011. (XII.30.) Korm. Rendelet 2. § (1) bekezdése alapján</t>
  </si>
  <si>
    <t>2020. év eredeti terv</t>
  </si>
  <si>
    <t xml:space="preserve">2023. év </t>
  </si>
  <si>
    <t xml:space="preserve">Bevétel </t>
  </si>
  <si>
    <t>Józsefvárosi Gazdálkodási Központ iktató rendszer cseréje</t>
  </si>
  <si>
    <t>Önkormányzati tulajdonú, vagy résztulajdonú gazdasági társaságok által végzett vagyongazdálkodási,vagyonkezelési, köztisztasági, településüzemeltetési, intézményműködtetési, közszolgáltatási feladatok</t>
  </si>
  <si>
    <t>Kerékpár beszerzés</t>
  </si>
  <si>
    <t>2020. év   tervezett</t>
  </si>
  <si>
    <t>Lakásfenntartási rendszer átalakítása miatti céltartalék</t>
  </si>
  <si>
    <t>2018. évi áll. tám felülv.</t>
  </si>
  <si>
    <t>2018. évi áll. tám felülvizsgálat kamat</t>
  </si>
  <si>
    <t>Önkormányzaati lakások felújítása</t>
  </si>
  <si>
    <t>Telek értékesítési bevételek teljesítéséig</t>
  </si>
  <si>
    <t>Önkormányzati lakások felújítása</t>
  </si>
  <si>
    <t>2019. évi maradvány</t>
  </si>
  <si>
    <t>Önkormányzati forrás</t>
  </si>
  <si>
    <t>Módosított előirányzat</t>
  </si>
  <si>
    <t>Előirányzat maradvány nélkül</t>
  </si>
  <si>
    <t>2018. évre tervezett</t>
  </si>
  <si>
    <t xml:space="preserve">        Önkormányzati forrás</t>
  </si>
  <si>
    <t xml:space="preserve"> Polgármesteri Hivatal fénymásoló berendezéseinek javítása, karbantartása,  a szükséges festékek, alkatrészek, kellékanyagok beszerzése  éves bruttó összegben 25.400 e Ft.</t>
  </si>
  <si>
    <t xml:space="preserve"> Polgármesteri Hivatal mobil távközlési és  internet szolgáltatás beszerzése - mely tartalmazza az Önkormányzatnak, a nemzetiségi önkormányzatoknak, a Polgármesteri Hivatalnak a szolgáltatást,  2018-2021.-ig  80.000 e Ft+Áfa/4 év , bruttó 20 000,0 e Ft/év</t>
  </si>
  <si>
    <t>Polgármester értékhatár nélkül</t>
  </si>
  <si>
    <t>Székelyföldiek támogatása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</si>
</sst>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F_t_-;\-* #,##0.00\ _F_t_-;_-* &quot;-&quot;??\ _F_t_-;_-@_-"/>
    <numFmt numFmtId="164" formatCode="#,##0.0"/>
    <numFmt numFmtId="165" formatCode="0.0"/>
    <numFmt numFmtId="166" formatCode="_(* #,##0.00_);_(* \(#,##0.00\);_(* &quot;-&quot;??_);_(@_)"/>
    <numFmt numFmtId="167" formatCode="#,##0_ ;[Red]\-#,##0\ "/>
    <numFmt numFmtId="168" formatCode="_-* #,##0\ _F_t_-;\-* #,##0\ _F_t_-;_-* &quot;-&quot;??\ _F_t_-;_-@_-"/>
    <numFmt numFmtId="169" formatCode="#,##0.0_ ;[Red]\-#,##0.0\ "/>
    <numFmt numFmtId="170" formatCode="_(&quot;$&quot;* #,##0.00_);_(&quot;$&quot;* \(#,##0.00\);_(&quot;$&quot;* &quot;-&quot;??_);_(@_)"/>
  </numFmts>
  <fonts count="50" x14ac:knownFonts="1">
    <font>
      <sz val="10"/>
      <name val="MS Sans Serif"/>
      <family val="2"/>
      <charset val="238"/>
    </font>
    <font>
      <sz val="11"/>
      <color theme="1"/>
      <name val="Calibri"/>
      <family val="2"/>
      <charset val="238"/>
      <scheme val="minor"/>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sz val="10"/>
      <name val="Times New Roman CE"/>
      <charset val="238"/>
    </font>
    <font>
      <sz val="10"/>
      <name val="Times New Roman CE"/>
      <charset val="238"/>
    </font>
    <font>
      <b/>
      <sz val="10"/>
      <name val="MS Sans Serif"/>
      <family val="2"/>
      <charset val="238"/>
    </font>
    <font>
      <b/>
      <i/>
      <sz val="10"/>
      <name val="Times New Roman"/>
      <family val="1"/>
      <charset val="238"/>
    </font>
    <font>
      <b/>
      <sz val="11"/>
      <name val="MS Sans Serif"/>
      <family val="2"/>
      <charset val="238"/>
    </font>
    <font>
      <sz val="16"/>
      <name val="Times New Roman"/>
      <family val="1"/>
      <charset val="238"/>
    </font>
    <font>
      <b/>
      <sz val="11"/>
      <color theme="1"/>
      <name val="Times New Roman"/>
      <family val="1"/>
      <charset val="238"/>
    </font>
    <font>
      <sz val="11"/>
      <color theme="1"/>
      <name val="Times New Roman"/>
      <family val="1"/>
      <charset val="238"/>
    </font>
    <font>
      <b/>
      <sz val="10"/>
      <color rgb="FF000000"/>
      <name val="Times New Roman"/>
      <family val="1"/>
      <charset val="238"/>
    </font>
    <font>
      <sz val="10"/>
      <color theme="1"/>
      <name val="Times New Roman"/>
      <family val="1"/>
      <charset val="238"/>
    </font>
    <font>
      <sz val="9"/>
      <color indexed="81"/>
      <name val="Tahoma"/>
      <family val="2"/>
      <charset val="238"/>
    </font>
    <font>
      <b/>
      <sz val="9"/>
      <color indexed="81"/>
      <name val="Segoe UI"/>
      <family val="2"/>
      <charset val="238"/>
    </font>
    <font>
      <sz val="9"/>
      <color indexed="81"/>
      <name val="Segoe UI"/>
      <family val="2"/>
      <charset val="238"/>
    </font>
    <font>
      <sz val="11"/>
      <color theme="1"/>
      <name val="Calibri"/>
      <family val="2"/>
      <scheme val="minor"/>
    </font>
    <font>
      <u/>
      <sz val="11"/>
      <name val="Times New Roman"/>
      <family val="1"/>
      <charset val="238"/>
    </font>
    <font>
      <u/>
      <sz val="11"/>
      <color rgb="FFFF0000"/>
      <name val="Times New Roman"/>
      <family val="1"/>
      <charset val="238"/>
    </font>
    <font>
      <b/>
      <u/>
      <sz val="10"/>
      <name val="Times New Roman"/>
      <family val="1"/>
      <charset val="238"/>
    </font>
    <font>
      <b/>
      <i/>
      <u/>
      <sz val="10"/>
      <name val="Times New Roman"/>
      <family val="1"/>
      <charset val="238"/>
    </font>
    <font>
      <sz val="10"/>
      <color rgb="FFFF0000"/>
      <name val="Times New Roman"/>
      <family val="1"/>
      <charset val="238"/>
    </font>
    <font>
      <sz val="12"/>
      <color theme="1"/>
      <name val="Times New Roman"/>
      <family val="1"/>
      <charset val="238"/>
    </font>
    <font>
      <b/>
      <sz val="10"/>
      <color indexed="8"/>
      <name val="Times New Roman"/>
      <family val="1"/>
      <charset val="238"/>
    </font>
    <font>
      <sz val="9"/>
      <color rgb="FFFF0000"/>
      <name val="Times New Roman"/>
      <family val="1"/>
      <charset val="238"/>
    </font>
    <font>
      <b/>
      <sz val="14"/>
      <name val="Times New Roman"/>
      <family val="1"/>
      <charset val="238"/>
    </font>
    <font>
      <sz val="12"/>
      <name val="Times New Roman"/>
      <family val="1"/>
      <charset val="238"/>
    </font>
    <font>
      <sz val="10"/>
      <color rgb="FF000000"/>
      <name val="Times New Roman"/>
      <family val="1"/>
    </font>
    <font>
      <sz val="11"/>
      <color rgb="FFFF0000"/>
      <name val="Times New Roman"/>
      <family val="1"/>
      <charset val="238"/>
    </font>
  </fonts>
  <fills count="16">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rgb="FFFFFFCC"/>
        <bgColor indexed="64"/>
      </patternFill>
    </fill>
    <fill>
      <patternFill patternType="solid">
        <fgColor theme="4" tint="0.59999389629810485"/>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CCFF99"/>
        <bgColor indexed="64"/>
      </patternFill>
    </fill>
  </fills>
  <borders count="179">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style="medium">
        <color indexed="64"/>
      </right>
      <top style="medium">
        <color indexed="64"/>
      </top>
      <bottom/>
      <diagonal/>
    </border>
    <border>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hair">
        <color indexed="64"/>
      </right>
      <top/>
      <bottom/>
      <diagonal/>
    </border>
    <border>
      <left style="hair">
        <color indexed="64"/>
      </left>
      <right/>
      <top/>
      <bottom/>
      <diagonal/>
    </border>
    <border>
      <left style="medium">
        <color indexed="64"/>
      </left>
      <right style="hair">
        <color indexed="64"/>
      </right>
      <top/>
      <bottom/>
      <diagonal/>
    </border>
    <border>
      <left style="hair">
        <color indexed="64"/>
      </left>
      <right style="medium">
        <color indexed="64"/>
      </right>
      <top/>
      <bottom/>
      <diagonal/>
    </border>
    <border>
      <left/>
      <right style="medium">
        <color indexed="64"/>
      </right>
      <top/>
      <bottom/>
      <diagonal/>
    </border>
    <border>
      <left style="hair">
        <color indexed="64"/>
      </left>
      <right style="hair">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thin">
        <color indexed="64"/>
      </left>
      <right style="thin">
        <color indexed="64"/>
      </right>
      <top style="hair">
        <color indexed="64"/>
      </top>
      <bottom/>
      <diagonal/>
    </border>
    <border>
      <left style="hair">
        <color indexed="64"/>
      </left>
      <right style="medium">
        <color indexed="64"/>
      </right>
      <top style="hair">
        <color indexed="64"/>
      </top>
      <bottom/>
      <diagonal/>
    </border>
    <border>
      <left style="thin">
        <color indexed="64"/>
      </left>
      <right style="hair">
        <color indexed="64"/>
      </right>
      <top style="hair">
        <color indexed="64"/>
      </top>
      <bottom/>
      <diagonal/>
    </border>
    <border>
      <left style="medium">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right style="medium">
        <color indexed="64"/>
      </right>
      <top/>
      <bottom style="hair">
        <color indexed="64"/>
      </bottom>
      <diagonal/>
    </border>
    <border>
      <left style="thin">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style="hair">
        <color indexed="64"/>
      </right>
      <top/>
      <bottom style="medium">
        <color indexed="64"/>
      </bottom>
      <diagonal/>
    </border>
    <border>
      <left/>
      <right style="hair">
        <color indexed="64"/>
      </right>
      <top/>
      <bottom style="medium">
        <color indexed="64"/>
      </bottom>
      <diagonal/>
    </border>
    <border>
      <left/>
      <right/>
      <top style="medium">
        <color indexed="64"/>
      </top>
      <bottom style="hair">
        <color indexed="64"/>
      </bottom>
      <diagonal/>
    </border>
    <border>
      <left style="thin">
        <color indexed="64"/>
      </left>
      <right style="hair">
        <color indexed="64"/>
      </right>
      <top/>
      <bottom/>
      <diagonal/>
    </border>
    <border>
      <left/>
      <right/>
      <top/>
      <bottom style="hair">
        <color indexed="64"/>
      </bottom>
      <diagonal/>
    </border>
    <border>
      <left/>
      <right/>
      <top style="hair">
        <color indexed="64"/>
      </top>
      <bottom style="medium">
        <color indexed="64"/>
      </bottom>
      <diagonal/>
    </border>
    <border>
      <left style="hair">
        <color indexed="64"/>
      </left>
      <right style="hair">
        <color indexed="64"/>
      </right>
      <top style="medium">
        <color indexed="64"/>
      </top>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right/>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s>
  <cellStyleXfs count="42">
    <xf numFmtId="0" fontId="0" fillId="0" borderId="0"/>
    <xf numFmtId="0" fontId="8" fillId="0" borderId="0"/>
    <xf numFmtId="0" fontId="1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0" fontId="13" fillId="0" borderId="0"/>
    <xf numFmtId="0" fontId="14" fillId="0" borderId="0"/>
    <xf numFmtId="0" fontId="3" fillId="0" borderId="0"/>
    <xf numFmtId="166" fontId="3" fillId="0" borderId="0" applyFont="0" applyFill="0" applyBorder="0" applyAlignment="0" applyProtection="0"/>
    <xf numFmtId="0" fontId="3" fillId="0" borderId="0"/>
    <xf numFmtId="43" fontId="13" fillId="0" borderId="0" applyFont="0" applyFill="0" applyBorder="0" applyAlignment="0" applyProtection="0"/>
    <xf numFmtId="0" fontId="1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166"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170" fontId="3" fillId="0" borderId="0" applyFont="0" applyFill="0" applyBorder="0" applyAlignment="0" applyProtection="0"/>
    <xf numFmtId="170" fontId="3" fillId="0" borderId="0" applyFont="0" applyFill="0" applyBorder="0" applyAlignment="0" applyProtection="0"/>
    <xf numFmtId="0" fontId="37" fillId="0" borderId="0"/>
    <xf numFmtId="166" fontId="37" fillId="0" borderId="0" applyFont="0" applyFill="0" applyBorder="0" applyAlignment="0" applyProtection="0"/>
    <xf numFmtId="9" fontId="3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718">
    <xf numFmtId="0" fontId="0" fillId="0" borderId="0" xfId="0"/>
    <xf numFmtId="1" fontId="4" fillId="0" borderId="0" xfId="0" applyNumberFormat="1" applyFont="1" applyBorder="1" applyAlignment="1">
      <alignment horizontal="center" vertical="center" wrapText="1"/>
    </xf>
    <xf numFmtId="0" fontId="7" fillId="0" borderId="0" xfId="0" applyFont="1" applyBorder="1" applyAlignment="1">
      <alignment vertical="center" wrapText="1"/>
    </xf>
    <xf numFmtId="0" fontId="4" fillId="0" borderId="0" xfId="0" applyFont="1" applyBorder="1" applyAlignment="1">
      <alignment vertical="center" wrapText="1"/>
    </xf>
    <xf numFmtId="3" fontId="4" fillId="0" borderId="3" xfId="0" applyNumberFormat="1" applyFont="1" applyBorder="1" applyAlignment="1">
      <alignment wrapText="1"/>
    </xf>
    <xf numFmtId="0" fontId="4" fillId="0" borderId="6" xfId="0" applyFont="1" applyBorder="1" applyAlignment="1">
      <alignment horizontal="left" vertical="center" wrapText="1"/>
    </xf>
    <xf numFmtId="3" fontId="4" fillId="0" borderId="6" xfId="0" applyNumberFormat="1" applyFont="1" applyBorder="1" applyAlignment="1"/>
    <xf numFmtId="3" fontId="7" fillId="0" borderId="6" xfId="0" applyNumberFormat="1" applyFont="1" applyBorder="1" applyAlignment="1"/>
    <xf numFmtId="3" fontId="7" fillId="0" borderId="6" xfId="0" applyNumberFormat="1" applyFont="1" applyFill="1" applyBorder="1" applyAlignment="1"/>
    <xf numFmtId="0" fontId="7" fillId="0" borderId="0" xfId="0" applyFont="1" applyBorder="1"/>
    <xf numFmtId="3" fontId="7" fillId="0" borderId="6" xfId="0" applyNumberFormat="1" applyFont="1" applyBorder="1" applyAlignment="1">
      <alignment horizontal="left" vertical="center" wrapText="1"/>
    </xf>
    <xf numFmtId="3" fontId="4" fillId="0" borderId="6" xfId="0" applyNumberFormat="1" applyFont="1" applyFill="1" applyBorder="1" applyAlignment="1"/>
    <xf numFmtId="3" fontId="4" fillId="0" borderId="6" xfId="0" applyNumberFormat="1" applyFont="1" applyBorder="1" applyAlignment="1">
      <alignment horizontal="left" vertical="center" wrapText="1"/>
    </xf>
    <xf numFmtId="0" fontId="4" fillId="0" borderId="0" xfId="0" applyFont="1" applyBorder="1"/>
    <xf numFmtId="0" fontId="4" fillId="0" borderId="5" xfId="0" applyFont="1" applyBorder="1" applyAlignment="1">
      <alignment horizontal="left"/>
    </xf>
    <xf numFmtId="0" fontId="5" fillId="0" borderId="6" xfId="0" applyFont="1" applyBorder="1" applyAlignment="1">
      <alignment horizontal="left" vertical="center" wrapText="1"/>
    </xf>
    <xf numFmtId="0" fontId="7" fillId="0" borderId="6" xfId="0" applyFont="1" applyBorder="1" applyAlignment="1">
      <alignment horizontal="left" vertical="center" wrapText="1"/>
    </xf>
    <xf numFmtId="3" fontId="7" fillId="0" borderId="0" xfId="0" applyNumberFormat="1" applyFont="1" applyBorder="1"/>
    <xf numFmtId="0" fontId="9" fillId="0" borderId="6" xfId="1" applyFont="1" applyFill="1" applyBorder="1" applyAlignment="1">
      <alignment horizontal="left" vertical="center" wrapText="1"/>
    </xf>
    <xf numFmtId="0" fontId="7" fillId="0" borderId="8" xfId="0" applyFont="1" applyBorder="1" applyAlignment="1">
      <alignment horizontal="left" vertical="center" wrapText="1"/>
    </xf>
    <xf numFmtId="0" fontId="7" fillId="0" borderId="0" xfId="0" applyFont="1" applyBorder="1" applyAlignment="1">
      <alignment horizontal="left" vertical="center" wrapText="1"/>
    </xf>
    <xf numFmtId="3" fontId="7" fillId="0" borderId="0" xfId="0" applyNumberFormat="1" applyFont="1" applyBorder="1" applyAlignment="1"/>
    <xf numFmtId="3" fontId="7" fillId="0" borderId="0" xfId="0" applyNumberFormat="1" applyFont="1" applyFill="1" applyBorder="1" applyAlignment="1"/>
    <xf numFmtId="0" fontId="10" fillId="0" borderId="0" xfId="0" applyFont="1" applyBorder="1"/>
    <xf numFmtId="0" fontId="10" fillId="0" borderId="0" xfId="0" applyFont="1" applyBorder="1" applyAlignment="1">
      <alignment horizontal="left" vertical="center" wrapText="1"/>
    </xf>
    <xf numFmtId="3" fontId="10" fillId="0" borderId="0" xfId="0" applyNumberFormat="1" applyFont="1" applyBorder="1" applyAlignment="1"/>
    <xf numFmtId="3" fontId="10" fillId="0" borderId="0" xfId="0" applyNumberFormat="1" applyFont="1" applyFill="1" applyBorder="1" applyAlignment="1"/>
    <xf numFmtId="3" fontId="4" fillId="0" borderId="0" xfId="0" applyNumberFormat="1" applyFont="1" applyBorder="1" applyAlignment="1"/>
    <xf numFmtId="0" fontId="7" fillId="0" borderId="6" xfId="0" applyFont="1" applyBorder="1"/>
    <xf numFmtId="3" fontId="7" fillId="0" borderId="6" xfId="0" applyNumberFormat="1" applyFont="1" applyBorder="1"/>
    <xf numFmtId="0" fontId="5" fillId="0" borderId="8"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left" vertical="center" wrapText="1"/>
    </xf>
    <xf numFmtId="0" fontId="5" fillId="0" borderId="13" xfId="0" applyFont="1" applyBorder="1" applyAlignment="1">
      <alignment horizontal="left" vertical="center" wrapText="1"/>
    </xf>
    <xf numFmtId="0" fontId="4" fillId="0" borderId="14" xfId="0" applyFont="1" applyBorder="1" applyAlignment="1">
      <alignment horizontal="left" vertical="center" wrapText="1"/>
    </xf>
    <xf numFmtId="3" fontId="4" fillId="0" borderId="3" xfId="0" applyNumberFormat="1" applyFont="1" applyBorder="1" applyAlignment="1"/>
    <xf numFmtId="3" fontId="4" fillId="0" borderId="14" xfId="0" applyNumberFormat="1" applyFont="1" applyBorder="1" applyAlignment="1"/>
    <xf numFmtId="3" fontId="4" fillId="0" borderId="13" xfId="0" applyNumberFormat="1" applyFont="1" applyBorder="1" applyAlignment="1"/>
    <xf numFmtId="3" fontId="4" fillId="0" borderId="6" xfId="0" applyNumberFormat="1" applyFont="1" applyBorder="1" applyAlignment="1">
      <alignment wrapText="1"/>
    </xf>
    <xf numFmtId="3" fontId="4" fillId="0" borderId="3" xfId="0" applyNumberFormat="1" applyFont="1" applyBorder="1" applyAlignment="1">
      <alignment vertical="center" wrapText="1"/>
    </xf>
    <xf numFmtId="0" fontId="15" fillId="0" borderId="0" xfId="0" applyFont="1"/>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6" fillId="0" borderId="0" xfId="0" applyFont="1"/>
    <xf numFmtId="0" fontId="6" fillId="0" borderId="0" xfId="0" applyFont="1" applyAlignment="1">
      <alignment horizontal="center" vertical="center" wrapText="1"/>
    </xf>
    <xf numFmtId="0" fontId="6" fillId="0" borderId="0"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7"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7" xfId="0" applyFont="1" applyBorder="1" applyAlignment="1">
      <alignment horizontal="center" vertical="center" wrapText="1"/>
    </xf>
    <xf numFmtId="0" fontId="16" fillId="0" borderId="0" xfId="0" applyFont="1"/>
    <xf numFmtId="0" fontId="16" fillId="3" borderId="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6" fillId="4" borderId="0" xfId="0" applyFont="1" applyFill="1"/>
    <xf numFmtId="0" fontId="6" fillId="4" borderId="6"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16" fillId="0" borderId="6" xfId="0" applyFont="1" applyBorder="1" applyAlignment="1">
      <alignment horizontal="center" vertical="center" wrapText="1"/>
    </xf>
    <xf numFmtId="0" fontId="16" fillId="0" borderId="1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6" fillId="2" borderId="6" xfId="0" applyFont="1" applyFill="1" applyBorder="1" applyAlignment="1">
      <alignment horizontal="center" vertical="center" wrapText="1"/>
    </xf>
    <xf numFmtId="1" fontId="15" fillId="0" borderId="6" xfId="0" applyNumberFormat="1" applyFont="1" applyBorder="1" applyAlignment="1">
      <alignment horizontal="center" vertical="center" wrapText="1"/>
    </xf>
    <xf numFmtId="0" fontId="15" fillId="0" borderId="17"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15" fillId="0" borderId="0" xfId="0" applyFont="1" applyBorder="1"/>
    <xf numFmtId="3" fontId="7" fillId="0" borderId="21" xfId="0" applyNumberFormat="1" applyFont="1" applyBorder="1" applyAlignment="1">
      <alignment horizontal="center" vertical="center" wrapText="1"/>
    </xf>
    <xf numFmtId="3" fontId="7" fillId="0" borderId="20" xfId="0" applyNumberFormat="1" applyFont="1" applyBorder="1" applyAlignment="1">
      <alignment horizontal="center" vertical="center" wrapText="1"/>
    </xf>
    <xf numFmtId="49" fontId="7" fillId="0" borderId="22" xfId="0" applyNumberFormat="1" applyFont="1" applyBorder="1" applyAlignment="1">
      <alignment horizontal="center" vertical="center" wrapText="1"/>
    </xf>
    <xf numFmtId="3" fontId="7" fillId="0" borderId="18" xfId="0" applyNumberFormat="1" applyFont="1" applyBorder="1" applyAlignment="1">
      <alignment horizontal="center" vertical="center" wrapText="1"/>
    </xf>
    <xf numFmtId="3" fontId="7" fillId="0" borderId="14" xfId="0" applyNumberFormat="1" applyFont="1" applyBorder="1" applyAlignment="1">
      <alignment horizontal="center" vertical="center" wrapText="1"/>
    </xf>
    <xf numFmtId="3" fontId="7" fillId="0" borderId="19" xfId="0" applyNumberFormat="1" applyFont="1" applyBorder="1" applyAlignment="1">
      <alignment horizontal="center" vertical="center" wrapText="1"/>
    </xf>
    <xf numFmtId="3" fontId="7" fillId="0" borderId="23" xfId="0" applyNumberFormat="1" applyFont="1" applyBorder="1" applyAlignment="1">
      <alignment horizontal="center" vertical="center" wrapText="1"/>
    </xf>
    <xf numFmtId="3" fontId="7" fillId="0" borderId="3" xfId="0" applyNumberFormat="1" applyFont="1" applyBorder="1" applyAlignment="1">
      <alignment horizontal="center" vertical="center" wrapText="1"/>
    </xf>
    <xf numFmtId="49" fontId="7" fillId="0" borderId="15" xfId="0" applyNumberFormat="1" applyFont="1" applyBorder="1" applyAlignment="1">
      <alignment horizontal="center" vertical="center" wrapText="1"/>
    </xf>
    <xf numFmtId="0" fontId="7" fillId="0" borderId="6" xfId="0" applyFont="1" applyBorder="1" applyAlignment="1">
      <alignment horizontal="center" vertical="center" wrapText="1"/>
    </xf>
    <xf numFmtId="3" fontId="4" fillId="0" borderId="13" xfId="0" applyNumberFormat="1" applyFont="1" applyBorder="1" applyAlignment="1">
      <alignment wrapText="1"/>
    </xf>
    <xf numFmtId="3" fontId="4" fillId="0" borderId="14" xfId="0" applyNumberFormat="1" applyFont="1" applyBorder="1" applyAlignment="1">
      <alignment wrapText="1"/>
    </xf>
    <xf numFmtId="164" fontId="4" fillId="0" borderId="6" xfId="0" applyNumberFormat="1" applyFont="1" applyBorder="1" applyAlignment="1">
      <alignment wrapText="1"/>
    </xf>
    <xf numFmtId="164" fontId="4" fillId="0" borderId="14" xfId="0" applyNumberFormat="1" applyFont="1" applyBorder="1" applyAlignment="1">
      <alignment wrapText="1"/>
    </xf>
    <xf numFmtId="164" fontId="4" fillId="0" borderId="3" xfId="0" applyNumberFormat="1" applyFont="1" applyBorder="1" applyAlignment="1">
      <alignment wrapText="1"/>
    </xf>
    <xf numFmtId="164" fontId="4" fillId="0" borderId="13" xfId="0" applyNumberFormat="1" applyFont="1" applyBorder="1" applyAlignment="1">
      <alignment wrapText="1"/>
    </xf>
    <xf numFmtId="164" fontId="4" fillId="0" borderId="11" xfId="0" applyNumberFormat="1" applyFont="1" applyBorder="1" applyAlignment="1">
      <alignment wrapText="1"/>
    </xf>
    <xf numFmtId="164" fontId="7" fillId="0" borderId="6" xfId="0" applyNumberFormat="1" applyFont="1" applyBorder="1" applyAlignment="1">
      <alignment wrapText="1"/>
    </xf>
    <xf numFmtId="164" fontId="7" fillId="0" borderId="3" xfId="0" applyNumberFormat="1" applyFont="1" applyBorder="1" applyAlignment="1">
      <alignment wrapText="1"/>
    </xf>
    <xf numFmtId="3" fontId="4" fillId="0" borderId="20" xfId="0" applyNumberFormat="1" applyFont="1" applyBorder="1" applyAlignment="1">
      <alignment horizontal="center" vertical="center" wrapText="1"/>
    </xf>
    <xf numFmtId="0" fontId="4" fillId="0" borderId="21" xfId="0" applyFont="1" applyBorder="1" applyAlignment="1">
      <alignment horizontal="center" vertical="center" wrapText="1"/>
    </xf>
    <xf numFmtId="3" fontId="4" fillId="0" borderId="21" xfId="0" applyNumberFormat="1" applyFont="1" applyFill="1" applyBorder="1" applyAlignment="1">
      <alignment horizontal="center" vertical="center" wrapText="1"/>
    </xf>
    <xf numFmtId="0" fontId="7" fillId="0" borderId="0" xfId="0" applyFont="1" applyAlignment="1">
      <alignment vertical="center" wrapText="1"/>
    </xf>
    <xf numFmtId="0" fontId="19" fillId="0" borderId="0" xfId="0" applyFont="1" applyAlignment="1">
      <alignment vertical="center" wrapText="1"/>
    </xf>
    <xf numFmtId="2" fontId="15" fillId="0" borderId="0" xfId="0" applyNumberFormat="1" applyFont="1"/>
    <xf numFmtId="0" fontId="17" fillId="0" borderId="0" xfId="0" applyFont="1"/>
    <xf numFmtId="0" fontId="15" fillId="0" borderId="0" xfId="0" applyFont="1" applyFill="1"/>
    <xf numFmtId="0" fontId="6" fillId="0" borderId="0" xfId="0" applyFont="1" applyFill="1"/>
    <xf numFmtId="2" fontId="15" fillId="0" borderId="0" xfId="0" applyNumberFormat="1" applyFont="1" applyFill="1"/>
    <xf numFmtId="0" fontId="15" fillId="0" borderId="0" xfId="0" applyFont="1" applyAlignment="1">
      <alignment vertical="center" wrapText="1"/>
    </xf>
    <xf numFmtId="164" fontId="15" fillId="0" borderId="0" xfId="0" applyNumberFormat="1" applyFont="1" applyFill="1"/>
    <xf numFmtId="2" fontId="15" fillId="2" borderId="0" xfId="0" applyNumberFormat="1" applyFont="1" applyFill="1"/>
    <xf numFmtId="2" fontId="4" fillId="0" borderId="11" xfId="0" applyNumberFormat="1" applyFont="1" applyFill="1" applyBorder="1" applyAlignment="1">
      <alignment horizontal="center" vertical="center" wrapText="1"/>
    </xf>
    <xf numFmtId="3" fontId="7" fillId="0" borderId="0" xfId="0" applyNumberFormat="1" applyFont="1"/>
    <xf numFmtId="0" fontId="3" fillId="0" borderId="0" xfId="0" applyFont="1"/>
    <xf numFmtId="165" fontId="22" fillId="4" borderId="6" xfId="0" applyNumberFormat="1" applyFont="1" applyFill="1" applyBorder="1" applyAlignment="1">
      <alignment vertical="center" wrapText="1"/>
    </xf>
    <xf numFmtId="3" fontId="22" fillId="4" borderId="6" xfId="0" applyNumberFormat="1" applyFont="1" applyFill="1" applyBorder="1" applyAlignment="1">
      <alignment vertical="center" wrapText="1"/>
    </xf>
    <xf numFmtId="3" fontId="4" fillId="0" borderId="0" xfId="0" applyNumberFormat="1" applyFont="1"/>
    <xf numFmtId="165" fontId="23" fillId="4" borderId="6" xfId="0" applyNumberFormat="1" applyFont="1" applyFill="1" applyBorder="1" applyAlignment="1">
      <alignment vertical="center" wrapText="1"/>
    </xf>
    <xf numFmtId="3" fontId="23" fillId="4" borderId="6" xfId="0" applyNumberFormat="1" applyFont="1" applyFill="1" applyBorder="1" applyAlignment="1">
      <alignment vertical="center" wrapText="1"/>
    </xf>
    <xf numFmtId="0" fontId="26" fillId="0" borderId="0" xfId="0" applyFont="1"/>
    <xf numFmtId="165" fontId="25" fillId="4" borderId="6" xfId="0" applyNumberFormat="1" applyFont="1" applyFill="1" applyBorder="1" applyAlignment="1">
      <alignment vertical="center" wrapText="1"/>
    </xf>
    <xf numFmtId="3" fontId="25" fillId="4" borderId="6" xfId="0" applyNumberFormat="1" applyFont="1" applyFill="1" applyBorder="1" applyAlignment="1">
      <alignment vertical="center" wrapText="1"/>
    </xf>
    <xf numFmtId="165" fontId="24" fillId="4" borderId="6" xfId="0" applyNumberFormat="1" applyFont="1" applyFill="1" applyBorder="1" applyAlignment="1">
      <alignment vertical="center" wrapText="1"/>
    </xf>
    <xf numFmtId="3" fontId="24" fillId="4" borderId="6" xfId="0" applyNumberFormat="1" applyFont="1" applyFill="1" applyBorder="1" applyAlignment="1">
      <alignment vertical="center" wrapText="1"/>
    </xf>
    <xf numFmtId="165" fontId="25" fillId="0" borderId="6" xfId="0" applyNumberFormat="1" applyFont="1" applyFill="1" applyBorder="1" applyAlignment="1">
      <alignment vertical="center" wrapText="1"/>
    </xf>
    <xf numFmtId="3" fontId="25" fillId="0" borderId="6" xfId="0" applyNumberFormat="1" applyFont="1" applyFill="1" applyBorder="1" applyAlignment="1">
      <alignment vertical="center" wrapText="1"/>
    </xf>
    <xf numFmtId="3" fontId="24" fillId="0" borderId="6" xfId="0" applyNumberFormat="1" applyFont="1" applyFill="1" applyBorder="1" applyAlignment="1">
      <alignment vertical="center" wrapText="1"/>
    </xf>
    <xf numFmtId="3" fontId="23" fillId="0" borderId="6" xfId="0" applyNumberFormat="1" applyFont="1" applyFill="1" applyBorder="1" applyAlignment="1">
      <alignment vertical="center" wrapText="1"/>
    </xf>
    <xf numFmtId="165" fontId="23" fillId="0" borderId="6" xfId="0" applyNumberFormat="1" applyFont="1" applyFill="1" applyBorder="1" applyAlignment="1">
      <alignment vertical="center" wrapText="1"/>
    </xf>
    <xf numFmtId="165" fontId="26" fillId="0" borderId="0" xfId="0" applyNumberFormat="1" applyFont="1" applyBorder="1"/>
    <xf numFmtId="3" fontId="26" fillId="0" borderId="0" xfId="0" applyNumberFormat="1" applyFont="1" applyBorder="1"/>
    <xf numFmtId="165" fontId="4" fillId="0" borderId="0" xfId="0" applyNumberFormat="1" applyFont="1" applyBorder="1"/>
    <xf numFmtId="3" fontId="4" fillId="0" borderId="0" xfId="0" applyNumberFormat="1" applyFont="1" applyBorder="1"/>
    <xf numFmtId="0" fontId="4" fillId="0" borderId="0" xfId="0" applyFont="1" applyFill="1" applyBorder="1"/>
    <xf numFmtId="165" fontId="4" fillId="0" borderId="0" xfId="0" applyNumberFormat="1" applyFont="1" applyFill="1" applyBorder="1"/>
    <xf numFmtId="3" fontId="4" fillId="0" borderId="0" xfId="0" applyNumberFormat="1" applyFont="1" applyFill="1" applyBorder="1"/>
    <xf numFmtId="0" fontId="7" fillId="0" borderId="0" xfId="0" applyFont="1"/>
    <xf numFmtId="0" fontId="4" fillId="0" borderId="0" xfId="0" applyFont="1"/>
    <xf numFmtId="165" fontId="26" fillId="0" borderId="0" xfId="0" applyNumberFormat="1" applyFont="1"/>
    <xf numFmtId="3" fontId="26" fillId="0" borderId="0" xfId="0" applyNumberFormat="1" applyFont="1"/>
    <xf numFmtId="3" fontId="3" fillId="0" borderId="0" xfId="0" applyNumberFormat="1" applyFont="1"/>
    <xf numFmtId="165" fontId="24" fillId="0" borderId="6" xfId="0" applyNumberFormat="1" applyFont="1" applyFill="1" applyBorder="1" applyAlignment="1">
      <alignment vertical="center" wrapText="1"/>
    </xf>
    <xf numFmtId="3" fontId="22" fillId="0" borderId="6" xfId="0" applyNumberFormat="1" applyFont="1" applyFill="1" applyBorder="1" applyAlignment="1">
      <alignment vertical="center" wrapText="1"/>
    </xf>
    <xf numFmtId="0" fontId="22" fillId="0" borderId="5" xfId="0" applyFont="1" applyFill="1" applyBorder="1" applyAlignment="1">
      <alignment vertical="center" wrapText="1"/>
    </xf>
    <xf numFmtId="0" fontId="23" fillId="4" borderId="24" xfId="0" applyFont="1" applyFill="1" applyBorder="1" applyAlignment="1">
      <alignment vertical="center" wrapText="1"/>
    </xf>
    <xf numFmtId="0" fontId="25" fillId="4" borderId="24" xfId="0" applyFont="1" applyFill="1" applyBorder="1" applyAlignment="1">
      <alignment vertical="center" wrapText="1"/>
    </xf>
    <xf numFmtId="0" fontId="23" fillId="4" borderId="5" xfId="0" applyFont="1" applyFill="1" applyBorder="1" applyAlignment="1">
      <alignment vertical="center" wrapText="1"/>
    </xf>
    <xf numFmtId="0" fontId="24" fillId="4" borderId="5" xfId="0" applyFont="1" applyFill="1" applyBorder="1" applyAlignment="1">
      <alignment vertical="center" wrapText="1"/>
    </xf>
    <xf numFmtId="0" fontId="24" fillId="4" borderId="24" xfId="0" applyFont="1" applyFill="1" applyBorder="1" applyAlignment="1">
      <alignment vertical="center" wrapText="1"/>
    </xf>
    <xf numFmtId="0" fontId="22" fillId="4" borderId="5" xfId="0" applyFont="1" applyFill="1" applyBorder="1" applyAlignment="1">
      <alignment vertical="center" wrapText="1"/>
    </xf>
    <xf numFmtId="0" fontId="22" fillId="4" borderId="24" xfId="0" applyFont="1" applyFill="1" applyBorder="1" applyAlignment="1">
      <alignment vertical="center" wrapText="1"/>
    </xf>
    <xf numFmtId="0" fontId="23" fillId="0" borderId="5" xfId="0" applyFont="1" applyFill="1" applyBorder="1" applyAlignment="1">
      <alignment vertical="center" wrapText="1"/>
    </xf>
    <xf numFmtId="0" fontId="25" fillId="4" borderId="5" xfId="0" applyFont="1" applyFill="1" applyBorder="1" applyAlignment="1">
      <alignment vertical="center" wrapText="1"/>
    </xf>
    <xf numFmtId="3" fontId="25" fillId="4" borderId="24" xfId="0" applyNumberFormat="1" applyFont="1" applyFill="1" applyBorder="1" applyAlignment="1">
      <alignment vertical="center" wrapText="1"/>
    </xf>
    <xf numFmtId="3" fontId="24" fillId="4" borderId="24" xfId="0" applyNumberFormat="1" applyFont="1" applyFill="1" applyBorder="1" applyAlignment="1">
      <alignment vertical="center" wrapText="1"/>
    </xf>
    <xf numFmtId="0" fontId="25" fillId="0" borderId="5" xfId="0" applyFont="1" applyFill="1" applyBorder="1" applyAlignment="1">
      <alignment vertical="center" wrapText="1"/>
    </xf>
    <xf numFmtId="3" fontId="23" fillId="4" borderId="24" xfId="0" applyNumberFormat="1" applyFont="1" applyFill="1" applyBorder="1" applyAlignment="1">
      <alignment vertical="center" wrapText="1"/>
    </xf>
    <xf numFmtId="0" fontId="23" fillId="0" borderId="24" xfId="0" applyFont="1" applyBorder="1" applyAlignment="1">
      <alignment vertical="center" wrapText="1"/>
    </xf>
    <xf numFmtId="0" fontId="23" fillId="0" borderId="24" xfId="0" applyFont="1" applyFill="1" applyBorder="1" applyAlignment="1">
      <alignment vertical="center" wrapText="1"/>
    </xf>
    <xf numFmtId="0" fontId="24" fillId="0" borderId="5" xfId="0" applyFont="1" applyFill="1" applyBorder="1" applyAlignment="1">
      <alignment vertical="center" wrapText="1"/>
    </xf>
    <xf numFmtId="0" fontId="24" fillId="0" borderId="5" xfId="0" quotePrefix="1" applyFont="1" applyFill="1" applyBorder="1" applyAlignment="1">
      <alignment vertical="center" wrapText="1"/>
    </xf>
    <xf numFmtId="3" fontId="24" fillId="0" borderId="24" xfId="0" applyNumberFormat="1" applyFont="1" applyFill="1" applyBorder="1" applyAlignment="1">
      <alignment vertical="center" wrapText="1"/>
    </xf>
    <xf numFmtId="0" fontId="23" fillId="4" borderId="27" xfId="0" applyFont="1" applyFill="1" applyBorder="1" applyAlignment="1">
      <alignment vertical="center" wrapText="1"/>
    </xf>
    <xf numFmtId="165" fontId="23" fillId="0" borderId="14" xfId="0" applyNumberFormat="1" applyFont="1" applyFill="1" applyBorder="1" applyAlignment="1">
      <alignment vertical="center" wrapText="1"/>
    </xf>
    <xf numFmtId="3" fontId="23" fillId="0" borderId="14" xfId="0" applyNumberFormat="1" applyFont="1" applyFill="1" applyBorder="1" applyAlignment="1">
      <alignment vertical="center" wrapText="1"/>
    </xf>
    <xf numFmtId="3" fontId="23" fillId="4" borderId="14" xfId="0" applyNumberFormat="1" applyFont="1" applyFill="1" applyBorder="1" applyAlignment="1">
      <alignment vertical="center" wrapText="1"/>
    </xf>
    <xf numFmtId="3" fontId="23" fillId="4" borderId="28" xfId="0" applyNumberFormat="1" applyFont="1" applyFill="1" applyBorder="1" applyAlignment="1">
      <alignment vertical="center" wrapText="1"/>
    </xf>
    <xf numFmtId="0" fontId="22" fillId="4" borderId="25" xfId="0" applyFont="1" applyFill="1" applyBorder="1" applyAlignment="1">
      <alignment vertical="center" wrapText="1"/>
    </xf>
    <xf numFmtId="165" fontId="23" fillId="0" borderId="13" xfId="0" applyNumberFormat="1" applyFont="1" applyFill="1" applyBorder="1" applyAlignment="1">
      <alignment vertical="center" wrapText="1"/>
    </xf>
    <xf numFmtId="3" fontId="22" fillId="4" borderId="13" xfId="0" applyNumberFormat="1" applyFont="1" applyFill="1" applyBorder="1" applyAlignment="1">
      <alignment vertical="center" wrapText="1"/>
    </xf>
    <xf numFmtId="3" fontId="22" fillId="4" borderId="26" xfId="8" applyNumberFormat="1" applyFont="1" applyFill="1" applyBorder="1" applyAlignment="1">
      <alignment horizontal="center" vertical="center" wrapText="1"/>
    </xf>
    <xf numFmtId="0" fontId="22" fillId="4" borderId="28" xfId="0" applyFont="1" applyFill="1" applyBorder="1" applyAlignment="1">
      <alignment vertical="center" wrapText="1"/>
    </xf>
    <xf numFmtId="0" fontId="23" fillId="0" borderId="2" xfId="0" applyFont="1" applyFill="1" applyBorder="1" applyAlignment="1">
      <alignment vertical="center" wrapText="1"/>
    </xf>
    <xf numFmtId="165" fontId="23" fillId="0" borderId="3" xfId="0" applyNumberFormat="1" applyFont="1" applyFill="1" applyBorder="1" applyAlignment="1">
      <alignment vertical="center" wrapText="1"/>
    </xf>
    <xf numFmtId="3" fontId="23" fillId="0" borderId="3" xfId="0" applyNumberFormat="1" applyFont="1" applyFill="1" applyBorder="1" applyAlignment="1">
      <alignment vertical="center" wrapText="1"/>
    </xf>
    <xf numFmtId="3" fontId="23" fillId="4" borderId="4" xfId="0" applyNumberFormat="1" applyFont="1" applyFill="1" applyBorder="1" applyAlignment="1">
      <alignment vertical="center" wrapText="1"/>
    </xf>
    <xf numFmtId="0" fontId="24" fillId="0" borderId="25" xfId="0" applyFont="1" applyFill="1" applyBorder="1" applyAlignment="1">
      <alignment vertical="center" wrapText="1"/>
    </xf>
    <xf numFmtId="165" fontId="24" fillId="0" borderId="13" xfId="0" applyNumberFormat="1" applyFont="1" applyFill="1" applyBorder="1" applyAlignment="1">
      <alignment vertical="center" wrapText="1"/>
    </xf>
    <xf numFmtId="3" fontId="24" fillId="0" borderId="13" xfId="0" applyNumberFormat="1" applyFont="1" applyFill="1" applyBorder="1" applyAlignment="1">
      <alignment vertical="center" wrapText="1"/>
    </xf>
    <xf numFmtId="0" fontId="24" fillId="4" borderId="26" xfId="0" applyFont="1" applyFill="1" applyBorder="1" applyAlignment="1">
      <alignment vertical="center" wrapText="1"/>
    </xf>
    <xf numFmtId="0" fontId="22" fillId="0" borderId="25" xfId="0" applyFont="1" applyFill="1" applyBorder="1" applyAlignment="1">
      <alignment vertical="center" wrapText="1"/>
    </xf>
    <xf numFmtId="165" fontId="22" fillId="0" borderId="13" xfId="0" applyNumberFormat="1" applyFont="1" applyFill="1" applyBorder="1" applyAlignment="1">
      <alignment vertical="center" wrapText="1"/>
    </xf>
    <xf numFmtId="3" fontId="22" fillId="0" borderId="13" xfId="0" applyNumberFormat="1" applyFont="1" applyFill="1" applyBorder="1" applyAlignment="1">
      <alignment vertical="center" wrapText="1"/>
    </xf>
    <xf numFmtId="0" fontId="23" fillId="4" borderId="26" xfId="0" applyFont="1" applyFill="1" applyBorder="1" applyAlignment="1">
      <alignment vertical="center" wrapText="1"/>
    </xf>
    <xf numFmtId="0" fontId="25" fillId="4" borderId="27" xfId="0" applyFont="1" applyFill="1" applyBorder="1" applyAlignment="1">
      <alignment vertical="center" wrapText="1"/>
    </xf>
    <xf numFmtId="165" fontId="25" fillId="4" borderId="14" xfId="0" applyNumberFormat="1" applyFont="1" applyFill="1" applyBorder="1" applyAlignment="1">
      <alignment vertical="center" wrapText="1"/>
    </xf>
    <xf numFmtId="0" fontId="22" fillId="0" borderId="29" xfId="0" applyFont="1" applyFill="1" applyBorder="1" applyAlignment="1">
      <alignment vertical="center" wrapText="1"/>
    </xf>
    <xf numFmtId="165" fontId="22" fillId="0" borderId="20" xfId="0" applyNumberFormat="1" applyFont="1" applyFill="1" applyBorder="1" applyAlignment="1">
      <alignment vertical="center" wrapText="1"/>
    </xf>
    <xf numFmtId="3" fontId="22" fillId="0" borderId="20" xfId="0" applyNumberFormat="1" applyFont="1" applyFill="1" applyBorder="1" applyAlignment="1">
      <alignment vertical="center" wrapText="1"/>
    </xf>
    <xf numFmtId="0" fontId="23" fillId="4" borderId="30" xfId="0" applyFont="1" applyFill="1" applyBorder="1" applyAlignment="1">
      <alignment vertical="center" wrapText="1"/>
    </xf>
    <xf numFmtId="0" fontId="22" fillId="0" borderId="25" xfId="0" applyFont="1" applyBorder="1" applyAlignment="1">
      <alignment horizontal="center" vertical="center" wrapText="1"/>
    </xf>
    <xf numFmtId="165" fontId="22" fillId="0" borderId="13" xfId="0" applyNumberFormat="1" applyFont="1" applyBorder="1" applyAlignment="1">
      <alignment horizontal="center" vertical="center" wrapText="1"/>
    </xf>
    <xf numFmtId="3" fontId="22" fillId="0" borderId="13" xfId="0" applyNumberFormat="1" applyFont="1" applyBorder="1" applyAlignment="1">
      <alignment horizontal="center" vertical="center" wrapText="1"/>
    </xf>
    <xf numFmtId="0" fontId="22" fillId="0" borderId="26" xfId="0" applyFont="1" applyBorder="1" applyAlignment="1">
      <alignment horizontal="center" vertical="center" wrapText="1"/>
    </xf>
    <xf numFmtId="0" fontId="20" fillId="0" borderId="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40" xfId="0" applyFont="1" applyBorder="1" applyAlignment="1">
      <alignment vertical="center" wrapText="1"/>
    </xf>
    <xf numFmtId="0" fontId="4" fillId="0" borderId="14" xfId="0" applyFont="1" applyBorder="1"/>
    <xf numFmtId="0" fontId="4" fillId="0" borderId="5" xfId="0" applyFont="1" applyBorder="1" applyAlignment="1">
      <alignment vertical="center" wrapText="1"/>
    </xf>
    <xf numFmtId="3" fontId="4" fillId="0" borderId="6" xfId="0" applyNumberFormat="1" applyFont="1" applyBorder="1"/>
    <xf numFmtId="3" fontId="4" fillId="0" borderId="13" xfId="0" applyNumberFormat="1" applyFont="1" applyBorder="1" applyAlignment="1">
      <alignment horizontal="center" vertical="center" wrapText="1"/>
    </xf>
    <xf numFmtId="0" fontId="4" fillId="0" borderId="36" xfId="0" applyFont="1" applyBorder="1" applyAlignment="1">
      <alignment horizontal="center" vertical="center" wrapText="1"/>
    </xf>
    <xf numFmtId="3" fontId="7" fillId="6" borderId="0" xfId="0" applyNumberFormat="1" applyFont="1" applyFill="1" applyBorder="1" applyAlignment="1"/>
    <xf numFmtId="3" fontId="4" fillId="6" borderId="13" xfId="0" applyNumberFormat="1" applyFont="1" applyFill="1" applyBorder="1" applyAlignment="1">
      <alignment wrapText="1"/>
    </xf>
    <xf numFmtId="3" fontId="4" fillId="6" borderId="3" xfId="0" applyNumberFormat="1" applyFont="1" applyFill="1" applyBorder="1" applyAlignment="1"/>
    <xf numFmtId="3" fontId="7" fillId="6" borderId="6" xfId="0" applyNumberFormat="1" applyFont="1" applyFill="1" applyBorder="1" applyAlignment="1"/>
    <xf numFmtId="3" fontId="4" fillId="6" borderId="6" xfId="0" applyNumberFormat="1" applyFont="1" applyFill="1" applyBorder="1" applyAlignment="1"/>
    <xf numFmtId="3" fontId="4" fillId="6" borderId="14" xfId="0" applyNumberFormat="1" applyFont="1" applyFill="1" applyBorder="1" applyAlignment="1"/>
    <xf numFmtId="3" fontId="4" fillId="6" borderId="13" xfId="0" applyNumberFormat="1" applyFont="1" applyFill="1" applyBorder="1" applyAlignment="1"/>
    <xf numFmtId="49" fontId="7" fillId="0" borderId="14" xfId="0" applyNumberFormat="1" applyFont="1" applyBorder="1" applyAlignment="1">
      <alignment horizontal="center" vertical="center" wrapText="1"/>
    </xf>
    <xf numFmtId="3" fontId="4" fillId="0" borderId="0" xfId="0" applyNumberFormat="1" applyFont="1" applyBorder="1" applyAlignment="1">
      <alignment horizontal="center" vertical="center" wrapText="1"/>
    </xf>
    <xf numFmtId="3" fontId="4" fillId="0" borderId="38" xfId="0" applyNumberFormat="1" applyFont="1" applyBorder="1" applyAlignment="1">
      <alignment wrapText="1"/>
    </xf>
    <xf numFmtId="3" fontId="4" fillId="0" borderId="43" xfId="0" applyNumberFormat="1" applyFont="1" applyBorder="1" applyAlignment="1">
      <alignment wrapText="1"/>
    </xf>
    <xf numFmtId="1" fontId="4" fillId="0" borderId="35" xfId="0" applyNumberFormat="1" applyFont="1" applyBorder="1" applyAlignment="1">
      <alignment horizontal="center" vertical="center" wrapText="1"/>
    </xf>
    <xf numFmtId="1" fontId="4" fillId="0" borderId="34" xfId="0" applyNumberFormat="1" applyFont="1" applyBorder="1" applyAlignment="1">
      <alignment horizontal="center" wrapText="1"/>
    </xf>
    <xf numFmtId="1" fontId="4" fillId="0" borderId="34" xfId="0" applyNumberFormat="1" applyFont="1" applyFill="1" applyBorder="1" applyAlignment="1">
      <alignment horizontal="center" wrapText="1"/>
    </xf>
    <xf numFmtId="0" fontId="5" fillId="0" borderId="25" xfId="0" applyFont="1" applyBorder="1" applyAlignment="1">
      <alignment horizontal="left" vertical="center" wrapText="1"/>
    </xf>
    <xf numFmtId="0" fontId="4" fillId="0" borderId="2" xfId="0" applyFont="1" applyBorder="1" applyAlignment="1">
      <alignment horizontal="left" vertical="center" wrapText="1"/>
    </xf>
    <xf numFmtId="3" fontId="4" fillId="0" borderId="4" xfId="0" applyNumberFormat="1" applyFont="1" applyBorder="1" applyAlignment="1"/>
    <xf numFmtId="3" fontId="7" fillId="0" borderId="5" xfId="0" applyNumberFormat="1" applyFont="1" applyBorder="1" applyAlignment="1">
      <alignment horizontal="left" vertical="center" wrapText="1"/>
    </xf>
    <xf numFmtId="3" fontId="4" fillId="0" borderId="24" xfId="0" applyNumberFormat="1" applyFont="1" applyFill="1" applyBorder="1" applyAlignment="1"/>
    <xf numFmtId="3" fontId="4" fillId="0" borderId="5" xfId="0" applyNumberFormat="1" applyFont="1" applyBorder="1" applyAlignment="1">
      <alignment horizontal="left" vertical="center" wrapText="1"/>
    </xf>
    <xf numFmtId="3" fontId="4" fillId="0" borderId="24" xfId="0" applyNumberFormat="1" applyFont="1" applyBorder="1" applyAlignment="1"/>
    <xf numFmtId="0" fontId="4" fillId="0" borderId="27" xfId="0" applyFont="1" applyBorder="1" applyAlignment="1">
      <alignment horizontal="left" vertical="center" wrapText="1"/>
    </xf>
    <xf numFmtId="3" fontId="4" fillId="0" borderId="28" xfId="0" applyNumberFormat="1" applyFont="1" applyBorder="1" applyAlignment="1"/>
    <xf numFmtId="3" fontId="4" fillId="0" borderId="26" xfId="0" applyNumberFormat="1" applyFont="1" applyBorder="1" applyAlignment="1"/>
    <xf numFmtId="0" fontId="21" fillId="0" borderId="5" xfId="0" applyFont="1" applyBorder="1" applyAlignment="1">
      <alignment horizontal="left" vertical="center" wrapText="1"/>
    </xf>
    <xf numFmtId="0" fontId="7" fillId="0" borderId="5" xfId="0" applyFont="1" applyBorder="1" applyAlignment="1">
      <alignment horizontal="left" vertical="center" wrapText="1"/>
    </xf>
    <xf numFmtId="0" fontId="4" fillId="0" borderId="5" xfId="0" applyFont="1" applyBorder="1" applyAlignment="1">
      <alignment horizontal="left" vertical="center" wrapText="1"/>
    </xf>
    <xf numFmtId="0" fontId="9" fillId="0" borderId="5" xfId="1" applyFont="1" applyFill="1" applyBorder="1" applyAlignment="1">
      <alignment horizontal="left" vertical="center" wrapText="1"/>
    </xf>
    <xf numFmtId="3" fontId="7" fillId="0" borderId="24" xfId="0" applyNumberFormat="1" applyFont="1" applyBorder="1" applyAlignment="1"/>
    <xf numFmtId="0" fontId="7" fillId="0" borderId="7" xfId="0" applyFont="1" applyBorder="1" applyAlignment="1">
      <alignment horizontal="left" vertical="center" wrapText="1"/>
    </xf>
    <xf numFmtId="3" fontId="7" fillId="0" borderId="8" xfId="0" applyNumberFormat="1" applyFont="1" applyBorder="1" applyAlignment="1"/>
    <xf numFmtId="3" fontId="7" fillId="6" borderId="8" xfId="0" applyNumberFormat="1" applyFont="1" applyFill="1" applyBorder="1" applyAlignment="1"/>
    <xf numFmtId="3" fontId="7" fillId="0" borderId="8" xfId="0" applyNumberFormat="1" applyFont="1" applyFill="1" applyBorder="1" applyAlignment="1"/>
    <xf numFmtId="3" fontId="4" fillId="0" borderId="8" xfId="0" applyNumberFormat="1" applyFont="1" applyFill="1" applyBorder="1" applyAlignment="1"/>
    <xf numFmtId="3" fontId="4" fillId="0" borderId="9" xfId="0" applyNumberFormat="1" applyFont="1" applyFill="1" applyBorder="1" applyAlignment="1"/>
    <xf numFmtId="3" fontId="4" fillId="0" borderId="26" xfId="0" applyNumberFormat="1" applyFont="1" applyBorder="1" applyAlignment="1">
      <alignment wrapText="1"/>
    </xf>
    <xf numFmtId="3" fontId="4" fillId="0" borderId="4" xfId="0" applyNumberFormat="1" applyFont="1" applyBorder="1" applyAlignment="1">
      <alignment wrapText="1"/>
    </xf>
    <xf numFmtId="3" fontId="4" fillId="0" borderId="24" xfId="0" applyNumberFormat="1" applyFont="1" applyBorder="1" applyAlignment="1">
      <alignment wrapText="1"/>
    </xf>
    <xf numFmtId="3" fontId="4" fillId="0" borderId="28" xfId="0" applyNumberFormat="1" applyFont="1" applyBorder="1" applyAlignment="1">
      <alignment wrapText="1"/>
    </xf>
    <xf numFmtId="3" fontId="4" fillId="0" borderId="9" xfId="0" applyNumberFormat="1" applyFont="1" applyBorder="1" applyAlignment="1">
      <alignment wrapText="1"/>
    </xf>
    <xf numFmtId="1" fontId="4" fillId="0" borderId="46"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7" fillId="0" borderId="27" xfId="0" applyFont="1" applyBorder="1" applyAlignment="1">
      <alignment horizontal="center" vertical="center" wrapText="1"/>
    </xf>
    <xf numFmtId="164" fontId="4" fillId="0" borderId="26" xfId="0" applyNumberFormat="1" applyFont="1" applyBorder="1" applyAlignment="1">
      <alignment wrapText="1"/>
    </xf>
    <xf numFmtId="164" fontId="4" fillId="0" borderId="4" xfId="0" applyNumberFormat="1" applyFont="1" applyBorder="1" applyAlignment="1">
      <alignment wrapText="1"/>
    </xf>
    <xf numFmtId="164" fontId="4" fillId="0" borderId="24" xfId="0" applyNumberFormat="1" applyFont="1" applyBorder="1" applyAlignment="1">
      <alignment wrapText="1"/>
    </xf>
    <xf numFmtId="164" fontId="4" fillId="0" borderId="28" xfId="0" applyNumberFormat="1" applyFont="1" applyBorder="1" applyAlignment="1">
      <alignment wrapText="1"/>
    </xf>
    <xf numFmtId="164" fontId="4" fillId="0" borderId="8" xfId="0" applyNumberFormat="1" applyFont="1" applyBorder="1" applyAlignment="1">
      <alignment wrapText="1"/>
    </xf>
    <xf numFmtId="3" fontId="4" fillId="0" borderId="8" xfId="0" applyNumberFormat="1" applyFont="1" applyBorder="1" applyAlignment="1">
      <alignment wrapText="1"/>
    </xf>
    <xf numFmtId="3" fontId="4" fillId="0" borderId="0" xfId="0" applyNumberFormat="1" applyFont="1" applyBorder="1" applyAlignment="1">
      <alignment vertical="center" wrapText="1"/>
    </xf>
    <xf numFmtId="164" fontId="4" fillId="0" borderId="37" xfId="0" applyNumberFormat="1" applyFont="1" applyBorder="1" applyAlignment="1">
      <alignment wrapText="1"/>
    </xf>
    <xf numFmtId="164" fontId="4" fillId="0" borderId="33" xfId="0" applyNumberFormat="1" applyFont="1" applyBorder="1" applyAlignment="1">
      <alignment wrapText="1"/>
    </xf>
    <xf numFmtId="3" fontId="4" fillId="0" borderId="13" xfId="0" applyNumberFormat="1" applyFont="1" applyBorder="1" applyAlignment="1">
      <alignment vertical="center" wrapText="1"/>
    </xf>
    <xf numFmtId="3" fontId="4" fillId="0" borderId="20" xfId="0" applyNumberFormat="1" applyFont="1" applyBorder="1" applyAlignment="1">
      <alignment vertical="center" wrapText="1"/>
    </xf>
    <xf numFmtId="0" fontId="24" fillId="0" borderId="0" xfId="0" applyFont="1" applyAlignment="1">
      <alignment horizontal="center"/>
    </xf>
    <xf numFmtId="3" fontId="24" fillId="0" borderId="13" xfId="0" applyNumberFormat="1" applyFont="1" applyFill="1" applyBorder="1" applyAlignment="1">
      <alignment horizontal="center" vertical="center" wrapText="1"/>
    </xf>
    <xf numFmtId="3" fontId="24" fillId="0" borderId="13" xfId="0" applyNumberFormat="1" applyFont="1" applyBorder="1" applyAlignment="1">
      <alignment horizontal="center" vertical="center" wrapText="1"/>
    </xf>
    <xf numFmtId="0" fontId="24" fillId="0" borderId="26" xfId="0" applyFont="1" applyBorder="1" applyAlignment="1">
      <alignment horizontal="center" vertical="center" wrapText="1"/>
    </xf>
    <xf numFmtId="3" fontId="25" fillId="0" borderId="6" xfId="0" applyNumberFormat="1" applyFont="1" applyBorder="1" applyAlignment="1">
      <alignment horizontal="right"/>
    </xf>
    <xf numFmtId="0" fontId="25" fillId="0" borderId="24" xfId="0" applyFont="1" applyBorder="1" applyAlignment="1">
      <alignment horizontal="center" vertical="center" wrapText="1"/>
    </xf>
    <xf numFmtId="0" fontId="25" fillId="0" borderId="0" xfId="0" applyFont="1"/>
    <xf numFmtId="0" fontId="24" fillId="0" borderId="0" xfId="0" applyFont="1" applyBorder="1"/>
    <xf numFmtId="0" fontId="24" fillId="0" borderId="0" xfId="0" applyFont="1" applyBorder="1" applyAlignment="1">
      <alignment vertical="center" wrapText="1"/>
    </xf>
    <xf numFmtId="3" fontId="24" fillId="0" borderId="0" xfId="0" applyNumberFormat="1" applyFont="1" applyBorder="1" applyAlignment="1">
      <alignment horizontal="right"/>
    </xf>
    <xf numFmtId="0" fontId="24" fillId="0" borderId="0" xfId="0" applyFont="1"/>
    <xf numFmtId="3" fontId="25" fillId="0" borderId="3" xfId="0" applyNumberFormat="1" applyFont="1" applyBorder="1" applyAlignment="1">
      <alignment horizontal="right"/>
    </xf>
    <xf numFmtId="0" fontId="25" fillId="0" borderId="4" xfId="0" applyFont="1" applyBorder="1" applyAlignment="1">
      <alignment horizontal="center" vertical="center" wrapText="1"/>
    </xf>
    <xf numFmtId="3" fontId="24" fillId="0" borderId="13" xfId="0" applyNumberFormat="1" applyFont="1" applyBorder="1" applyAlignment="1">
      <alignment horizontal="right"/>
    </xf>
    <xf numFmtId="0" fontId="24" fillId="0" borderId="26" xfId="0" applyFont="1" applyBorder="1" applyAlignment="1">
      <alignment vertical="center" wrapText="1"/>
    </xf>
    <xf numFmtId="0" fontId="23" fillId="0" borderId="0" xfId="0" applyFont="1" applyBorder="1" applyAlignment="1">
      <alignment vertical="center" wrapText="1"/>
    </xf>
    <xf numFmtId="3" fontId="25" fillId="0" borderId="0" xfId="0" applyNumberFormat="1" applyFont="1" applyAlignment="1">
      <alignment horizontal="right"/>
    </xf>
    <xf numFmtId="0" fontId="25" fillId="0" borderId="0" xfId="0" applyFont="1" applyAlignment="1">
      <alignment vertical="center" wrapText="1"/>
    </xf>
    <xf numFmtId="0" fontId="22" fillId="0" borderId="0" xfId="0" applyFont="1" applyBorder="1" applyAlignment="1">
      <alignment horizontal="center" vertical="center" wrapText="1"/>
    </xf>
    <xf numFmtId="0" fontId="25" fillId="0" borderId="0" xfId="0" applyFont="1" applyBorder="1" applyAlignment="1">
      <alignment vertical="center" wrapText="1"/>
    </xf>
    <xf numFmtId="3" fontId="25" fillId="0" borderId="0" xfId="0" applyNumberFormat="1" applyFont="1" applyAlignment="1">
      <alignment horizontal="right" vertical="center"/>
    </xf>
    <xf numFmtId="3" fontId="25" fillId="0" borderId="0" xfId="0" applyNumberFormat="1" applyFont="1" applyAlignment="1">
      <alignment horizontal="right" vertical="center" wrapText="1"/>
    </xf>
    <xf numFmtId="0" fontId="25" fillId="0" borderId="0" xfId="0" applyFont="1" applyAlignment="1">
      <alignment horizontal="center" vertical="center" wrapText="1"/>
    </xf>
    <xf numFmtId="0" fontId="4" fillId="0" borderId="25" xfId="0" applyFont="1" applyBorder="1" applyAlignment="1">
      <alignment horizontal="center" vertical="center" wrapText="1"/>
    </xf>
    <xf numFmtId="0" fontId="4" fillId="0" borderId="13" xfId="0" applyFont="1" applyBorder="1" applyAlignment="1">
      <alignment horizontal="center" vertical="center" wrapText="1"/>
    </xf>
    <xf numFmtId="3" fontId="4" fillId="0" borderId="0" xfId="0" applyNumberFormat="1" applyFont="1" applyAlignment="1">
      <alignment horizontal="center" vertical="center" wrapText="1"/>
    </xf>
    <xf numFmtId="3" fontId="6" fillId="0" borderId="0" xfId="0" applyNumberFormat="1" applyFont="1" applyAlignment="1">
      <alignment horizontal="right"/>
    </xf>
    <xf numFmtId="0" fontId="6" fillId="0" borderId="0" xfId="0" applyFont="1" applyAlignment="1">
      <alignment horizontal="right"/>
    </xf>
    <xf numFmtId="3" fontId="7" fillId="0" borderId="41" xfId="0" applyNumberFormat="1" applyFont="1" applyBorder="1" applyAlignment="1">
      <alignment horizontal="right"/>
    </xf>
    <xf numFmtId="3" fontId="7" fillId="0" borderId="6" xfId="0" applyNumberFormat="1" applyFont="1" applyBorder="1" applyAlignment="1">
      <alignment horizontal="right"/>
    </xf>
    <xf numFmtId="3" fontId="4" fillId="0" borderId="0" xfId="0" applyNumberFormat="1" applyFont="1" applyAlignment="1">
      <alignment horizontal="right"/>
    </xf>
    <xf numFmtId="0" fontId="4" fillId="0" borderId="0" xfId="0" applyFont="1" applyAlignment="1">
      <alignment horizontal="right"/>
    </xf>
    <xf numFmtId="0" fontId="6" fillId="0" borderId="25" xfId="0" applyFont="1" applyFill="1" applyBorder="1" applyAlignment="1">
      <alignment horizontal="left"/>
    </xf>
    <xf numFmtId="3" fontId="6" fillId="0" borderId="37" xfId="0" applyNumberFormat="1" applyFont="1" applyFill="1" applyBorder="1" applyAlignment="1">
      <alignment horizontal="right"/>
    </xf>
    <xf numFmtId="3" fontId="6" fillId="0" borderId="0" xfId="0" applyNumberFormat="1" applyFont="1" applyFill="1" applyAlignment="1">
      <alignment horizontal="right"/>
    </xf>
    <xf numFmtId="0" fontId="6" fillId="0" borderId="0" xfId="0" applyFont="1" applyFill="1" applyAlignment="1">
      <alignment horizontal="right"/>
    </xf>
    <xf numFmtId="0" fontId="6" fillId="0" borderId="2" xfId="0" applyFont="1" applyFill="1" applyBorder="1" applyAlignment="1">
      <alignment horizontal="left"/>
    </xf>
    <xf numFmtId="0" fontId="7" fillId="0" borderId="5" xfId="0" applyFont="1" applyFill="1" applyBorder="1" applyAlignment="1">
      <alignment horizontal="left"/>
    </xf>
    <xf numFmtId="3" fontId="7" fillId="0" borderId="6" xfId="0" applyNumberFormat="1" applyFont="1" applyFill="1" applyBorder="1" applyAlignment="1">
      <alignment horizontal="right"/>
    </xf>
    <xf numFmtId="3" fontId="7" fillId="0" borderId="0" xfId="0" applyNumberFormat="1" applyFont="1" applyFill="1" applyAlignment="1">
      <alignment horizontal="right"/>
    </xf>
    <xf numFmtId="0" fontId="7" fillId="0" borderId="0" xfId="0" applyFont="1" applyFill="1" applyAlignment="1">
      <alignment horizontal="right"/>
    </xf>
    <xf numFmtId="3" fontId="7" fillId="0" borderId="0" xfId="0" applyNumberFormat="1" applyFont="1" applyAlignment="1">
      <alignment horizontal="right"/>
    </xf>
    <xf numFmtId="0" fontId="7" fillId="0" borderId="0" xfId="0" applyFont="1" applyAlignment="1">
      <alignment horizontal="right"/>
    </xf>
    <xf numFmtId="3" fontId="7" fillId="0" borderId="0" xfId="0" applyNumberFormat="1" applyFont="1" applyAlignment="1">
      <alignment vertical="center"/>
    </xf>
    <xf numFmtId="0" fontId="7" fillId="0" borderId="0" xfId="0" applyFont="1" applyAlignment="1">
      <alignment vertical="center"/>
    </xf>
    <xf numFmtId="0" fontId="7" fillId="0" borderId="0" xfId="0" applyFont="1" applyBorder="1" applyAlignment="1">
      <alignment horizontal="right"/>
    </xf>
    <xf numFmtId="3" fontId="7" fillId="0" borderId="0" xfId="0" applyNumberFormat="1" applyFont="1" applyBorder="1" applyAlignment="1">
      <alignment horizontal="right" vertical="center"/>
    </xf>
    <xf numFmtId="3" fontId="4" fillId="0" borderId="0" xfId="0" applyNumberFormat="1" applyFont="1" applyBorder="1" applyAlignment="1">
      <alignment horizontal="right" vertical="center" wrapText="1"/>
    </xf>
    <xf numFmtId="3" fontId="7" fillId="0" borderId="0" xfId="0" applyNumberFormat="1" applyFont="1" applyBorder="1" applyAlignment="1">
      <alignment horizontal="right"/>
    </xf>
    <xf numFmtId="0" fontId="27" fillId="0" borderId="0" xfId="0" applyFont="1" applyBorder="1" applyAlignment="1">
      <alignment horizontal="left" vertical="center" wrapText="1"/>
    </xf>
    <xf numFmtId="3" fontId="4" fillId="0" borderId="0" xfId="0" applyNumberFormat="1" applyFont="1" applyBorder="1" applyAlignment="1">
      <alignment horizontal="right" vertical="center"/>
    </xf>
    <xf numFmtId="0" fontId="4" fillId="0" borderId="0" xfId="0" applyFont="1" applyBorder="1" applyAlignment="1">
      <alignment horizontal="left" vertical="center" wrapText="1"/>
    </xf>
    <xf numFmtId="0" fontId="4" fillId="0" borderId="43" xfId="0" applyFont="1" applyBorder="1" applyAlignment="1">
      <alignment horizontal="center" vertical="center" wrapText="1"/>
    </xf>
    <xf numFmtId="3" fontId="4" fillId="0" borderId="3" xfId="0" applyNumberFormat="1" applyFont="1" applyBorder="1" applyAlignment="1">
      <alignment horizontal="right" wrapText="1"/>
    </xf>
    <xf numFmtId="3" fontId="4" fillId="0" borderId="6" xfId="0" applyNumberFormat="1" applyFont="1" applyBorder="1" applyAlignment="1">
      <alignment horizontal="right" wrapText="1"/>
    </xf>
    <xf numFmtId="3" fontId="7" fillId="0" borderId="6" xfId="0" applyNumberFormat="1" applyFont="1" applyBorder="1" applyAlignment="1">
      <alignment horizontal="right" wrapText="1"/>
    </xf>
    <xf numFmtId="0" fontId="7" fillId="0" borderId="55" xfId="0" applyFont="1" applyBorder="1" applyAlignment="1">
      <alignment vertical="center" wrapText="1"/>
    </xf>
    <xf numFmtId="3" fontId="4" fillId="0" borderId="14" xfId="0" applyNumberFormat="1" applyFont="1" applyBorder="1" applyAlignment="1">
      <alignment horizontal="right" wrapText="1"/>
    </xf>
    <xf numFmtId="3" fontId="7" fillId="0" borderId="14" xfId="0" applyNumberFormat="1" applyFont="1" applyBorder="1" applyAlignment="1">
      <alignment horizontal="right" wrapText="1"/>
    </xf>
    <xf numFmtId="3" fontId="4" fillId="0" borderId="37" xfId="0" applyNumberFormat="1" applyFont="1" applyBorder="1" applyAlignment="1">
      <alignment horizontal="right" wrapText="1"/>
    </xf>
    <xf numFmtId="3" fontId="4" fillId="0" borderId="13" xfId="0" applyNumberFormat="1" applyFont="1" applyBorder="1" applyAlignment="1">
      <alignment horizontal="right" wrapText="1"/>
    </xf>
    <xf numFmtId="3" fontId="4" fillId="0" borderId="20" xfId="0" applyNumberFormat="1" applyFont="1" applyBorder="1" applyAlignment="1">
      <alignment horizontal="right" wrapText="1"/>
    </xf>
    <xf numFmtId="3" fontId="7" fillId="0" borderId="20" xfId="0" applyNumberFormat="1" applyFont="1" applyBorder="1" applyAlignment="1">
      <alignment horizontal="right" wrapText="1"/>
    </xf>
    <xf numFmtId="0" fontId="7" fillId="0" borderId="40" xfId="0" applyFont="1" applyFill="1" applyBorder="1" applyAlignment="1">
      <alignment vertical="center" wrapText="1"/>
    </xf>
    <xf numFmtId="3" fontId="7" fillId="0" borderId="41" xfId="0" applyNumberFormat="1" applyFont="1" applyBorder="1" applyAlignment="1">
      <alignment horizontal="right" wrapText="1"/>
    </xf>
    <xf numFmtId="0" fontId="7" fillId="0" borderId="52" xfId="0" applyFont="1" applyBorder="1" applyAlignment="1">
      <alignment vertical="center" wrapText="1"/>
    </xf>
    <xf numFmtId="3" fontId="7" fillId="0" borderId="42" xfId="0" applyNumberFormat="1" applyFont="1" applyBorder="1" applyAlignment="1">
      <alignment horizontal="right" wrapText="1"/>
    </xf>
    <xf numFmtId="3" fontId="7" fillId="0" borderId="8" xfId="0" applyNumberFormat="1" applyFont="1" applyBorder="1" applyAlignment="1">
      <alignment horizontal="right" wrapText="1"/>
    </xf>
    <xf numFmtId="3" fontId="7" fillId="0" borderId="0" xfId="0" applyNumberFormat="1" applyFont="1" applyBorder="1" applyAlignment="1">
      <alignment horizontal="center" vertical="center" wrapText="1"/>
    </xf>
    <xf numFmtId="3" fontId="0" fillId="0" borderId="0" xfId="0" applyNumberFormat="1" applyAlignment="1">
      <alignment vertical="center" wrapText="1"/>
    </xf>
    <xf numFmtId="0" fontId="7" fillId="0" borderId="0" xfId="0" applyFont="1" applyBorder="1" applyAlignment="1">
      <alignment horizontal="center" vertical="center" wrapText="1"/>
    </xf>
    <xf numFmtId="0" fontId="4"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7" fillId="0" borderId="15" xfId="0" applyNumberFormat="1" applyFont="1" applyBorder="1"/>
    <xf numFmtId="3" fontId="4" fillId="0" borderId="3" xfId="0" applyNumberFormat="1" applyFont="1" applyBorder="1"/>
    <xf numFmtId="3" fontId="7" fillId="0" borderId="3" xfId="0" applyNumberFormat="1" applyFont="1" applyBorder="1"/>
    <xf numFmtId="3" fontId="4" fillId="0" borderId="37" xfId="0" applyNumberFormat="1" applyFont="1" applyBorder="1"/>
    <xf numFmtId="3" fontId="4" fillId="0" borderId="13" xfId="0" applyNumberFormat="1" applyFont="1" applyBorder="1"/>
    <xf numFmtId="0" fontId="4" fillId="0" borderId="51" xfId="0" applyFont="1" applyFill="1" applyBorder="1" applyAlignment="1">
      <alignment vertical="center" wrapText="1"/>
    </xf>
    <xf numFmtId="3" fontId="7" fillId="0" borderId="41" xfId="0" applyNumberFormat="1" applyFont="1" applyBorder="1"/>
    <xf numFmtId="3" fontId="7" fillId="0" borderId="19" xfId="0" applyNumberFormat="1" applyFont="1" applyBorder="1"/>
    <xf numFmtId="3" fontId="7" fillId="0" borderId="14" xfId="0" applyNumberFormat="1" applyFont="1" applyBorder="1"/>
    <xf numFmtId="3" fontId="7" fillId="0" borderId="6" xfId="0" applyNumberFormat="1" applyFont="1" applyFill="1" applyBorder="1"/>
    <xf numFmtId="0" fontId="7" fillId="0" borderId="0" xfId="0" applyFont="1" applyFill="1"/>
    <xf numFmtId="3" fontId="4" fillId="0" borderId="42" xfId="0" applyNumberFormat="1" applyFont="1" applyBorder="1"/>
    <xf numFmtId="3" fontId="4" fillId="0" borderId="57" xfId="0" applyNumberFormat="1" applyFont="1" applyBorder="1"/>
    <xf numFmtId="3" fontId="7" fillId="0" borderId="3" xfId="0" applyNumberFormat="1" applyFont="1" applyBorder="1" applyAlignment="1">
      <alignment horizontal="right" wrapText="1"/>
    </xf>
    <xf numFmtId="3" fontId="7" fillId="0" borderId="19" xfId="0" applyNumberFormat="1" applyFont="1" applyBorder="1" applyAlignment="1">
      <alignment horizontal="right" wrapText="1"/>
    </xf>
    <xf numFmtId="3" fontId="28" fillId="0" borderId="0" xfId="0" applyNumberFormat="1" applyFont="1"/>
    <xf numFmtId="0" fontId="28" fillId="0" borderId="0" xfId="0" applyFont="1"/>
    <xf numFmtId="3" fontId="7" fillId="0" borderId="0" xfId="0" applyNumberFormat="1" applyFont="1" applyAlignment="1">
      <alignment horizontal="right" vertical="center" wrapText="1"/>
    </xf>
    <xf numFmtId="3" fontId="4" fillId="0" borderId="14" xfId="0" applyNumberFormat="1" applyFont="1" applyBorder="1"/>
    <xf numFmtId="3" fontId="4" fillId="0" borderId="13" xfId="0" applyNumberFormat="1" applyFont="1" applyFill="1" applyBorder="1" applyAlignment="1">
      <alignment horizontal="right" vertical="center" wrapText="1"/>
    </xf>
    <xf numFmtId="0" fontId="7" fillId="0" borderId="5" xfId="0" applyFont="1" applyBorder="1" applyAlignment="1">
      <alignment vertical="center" wrapText="1"/>
    </xf>
    <xf numFmtId="3" fontId="7" fillId="0" borderId="0" xfId="0" applyNumberFormat="1" applyFont="1" applyBorder="1" applyAlignment="1">
      <alignment horizontal="right" vertical="center" wrapText="1"/>
    </xf>
    <xf numFmtId="3" fontId="4" fillId="0" borderId="8" xfId="0" applyNumberFormat="1" applyFont="1" applyBorder="1"/>
    <xf numFmtId="3" fontId="4" fillId="0" borderId="1" xfId="0" applyNumberFormat="1" applyFont="1" applyBorder="1"/>
    <xf numFmtId="0" fontId="7" fillId="0" borderId="5" xfId="0" applyFont="1" applyFill="1" applyBorder="1" applyAlignment="1">
      <alignment vertical="center" wrapText="1"/>
    </xf>
    <xf numFmtId="0" fontId="4" fillId="0" borderId="11" xfId="0"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0" fontId="4" fillId="0" borderId="0" xfId="0" applyFont="1" applyAlignment="1">
      <alignment wrapText="1"/>
    </xf>
    <xf numFmtId="0" fontId="7" fillId="0" borderId="11" xfId="0" applyFont="1" applyBorder="1" applyAlignment="1">
      <alignment horizontal="left"/>
    </xf>
    <xf numFmtId="0" fontId="7" fillId="0" borderId="11" xfId="0" applyFont="1" applyBorder="1" applyAlignment="1">
      <alignment horizontal="left" wrapText="1"/>
    </xf>
    <xf numFmtId="3" fontId="7" fillId="0" borderId="11" xfId="0" applyNumberFormat="1" applyFont="1" applyBorder="1" applyAlignment="1">
      <alignment horizontal="right" vertical="center" wrapText="1"/>
    </xf>
    <xf numFmtId="0" fontId="7" fillId="0" borderId="3" xfId="0" applyFont="1" applyBorder="1" applyAlignment="1">
      <alignment horizontal="left" wrapText="1"/>
    </xf>
    <xf numFmtId="3" fontId="7" fillId="0" borderId="3" xfId="0" applyNumberFormat="1" applyFont="1" applyBorder="1" applyAlignment="1">
      <alignment horizontal="right" vertical="center" wrapText="1"/>
    </xf>
    <xf numFmtId="3" fontId="4" fillId="0" borderId="3" xfId="0" applyNumberFormat="1" applyFont="1" applyBorder="1" applyAlignment="1">
      <alignment horizontal="center" vertical="center" wrapText="1"/>
    </xf>
    <xf numFmtId="0" fontId="7" fillId="0" borderId="2" xfId="0" applyFont="1" applyBorder="1" applyAlignment="1"/>
    <xf numFmtId="0" fontId="7" fillId="0" borderId="3" xfId="0" applyFont="1" applyBorder="1" applyAlignment="1"/>
    <xf numFmtId="3" fontId="7" fillId="0" borderId="3" xfId="0" applyNumberFormat="1" applyFont="1" applyBorder="1" applyAlignment="1">
      <alignment horizontal="left" wrapText="1"/>
    </xf>
    <xf numFmtId="3" fontId="4" fillId="0" borderId="3" xfId="0" applyNumberFormat="1" applyFont="1" applyBorder="1" applyAlignment="1">
      <alignment horizontal="right"/>
    </xf>
    <xf numFmtId="3" fontId="7" fillId="0" borderId="3" xfId="0" applyNumberFormat="1" applyFont="1" applyBorder="1" applyAlignment="1">
      <alignment horizontal="right"/>
    </xf>
    <xf numFmtId="3" fontId="7" fillId="0" borderId="4" xfId="0" applyNumberFormat="1" applyFont="1" applyBorder="1" applyAlignment="1">
      <alignment horizontal="right" wrapText="1"/>
    </xf>
    <xf numFmtId="0" fontId="7" fillId="0" borderId="6" xfId="0" applyFont="1" applyBorder="1" applyAlignment="1"/>
    <xf numFmtId="3" fontId="7" fillId="0" borderId="6" xfId="0" applyNumberFormat="1" applyFont="1" applyBorder="1" applyAlignment="1">
      <alignment horizontal="left" wrapText="1"/>
    </xf>
    <xf numFmtId="3" fontId="7" fillId="0" borderId="24" xfId="0" applyNumberFormat="1" applyFont="1" applyBorder="1" applyAlignment="1">
      <alignment horizontal="right" wrapText="1"/>
    </xf>
    <xf numFmtId="0" fontId="7" fillId="0" borderId="6" xfId="0" applyFont="1" applyBorder="1" applyAlignment="1">
      <alignment wrapText="1"/>
    </xf>
    <xf numFmtId="0" fontId="7" fillId="0" borderId="5" xfId="0" applyFont="1" applyBorder="1" applyAlignment="1">
      <alignment wrapText="1"/>
    </xf>
    <xf numFmtId="3" fontId="4" fillId="0" borderId="0" xfId="0" applyNumberFormat="1" applyFont="1" applyFill="1"/>
    <xf numFmtId="0" fontId="4" fillId="0" borderId="0" xfId="0" applyFont="1" applyFill="1"/>
    <xf numFmtId="3" fontId="7" fillId="0" borderId="0" xfId="0" applyNumberFormat="1" applyFont="1" applyBorder="1" applyAlignment="1">
      <alignment vertical="center" wrapText="1"/>
    </xf>
    <xf numFmtId="3" fontId="7" fillId="0" borderId="0" xfId="0" applyNumberFormat="1" applyFont="1" applyBorder="1" applyAlignment="1">
      <alignment horizontal="center"/>
    </xf>
    <xf numFmtId="0" fontId="4" fillId="0" borderId="0" xfId="0" applyFont="1" applyAlignment="1">
      <alignment vertical="center" wrapText="1"/>
    </xf>
    <xf numFmtId="3" fontId="4" fillId="0" borderId="0" xfId="0" applyNumberFormat="1" applyFont="1" applyBorder="1" applyAlignment="1">
      <alignment horizontal="center"/>
    </xf>
    <xf numFmtId="3" fontId="10" fillId="0" borderId="0" xfId="0" applyNumberFormat="1" applyFont="1" applyAlignment="1">
      <alignment vertical="center" wrapText="1"/>
    </xf>
    <xf numFmtId="3" fontId="10" fillId="0" borderId="0" xfId="0" applyNumberFormat="1" applyFont="1" applyAlignment="1">
      <alignment horizontal="center"/>
    </xf>
    <xf numFmtId="3" fontId="7" fillId="0" borderId="0" xfId="0" applyNumberFormat="1" applyFont="1" applyAlignment="1">
      <alignment horizontal="center"/>
    </xf>
    <xf numFmtId="3" fontId="7" fillId="0" borderId="0" xfId="0" applyNumberFormat="1" applyFont="1" applyAlignment="1">
      <alignment horizontal="center" vertical="center" wrapText="1"/>
    </xf>
    <xf numFmtId="0" fontId="10" fillId="0" borderId="0" xfId="0" applyFont="1" applyAlignment="1">
      <alignment vertical="center" wrapText="1"/>
    </xf>
    <xf numFmtId="3" fontId="10" fillId="0" borderId="0" xfId="0" applyNumberFormat="1" applyFont="1"/>
    <xf numFmtId="3" fontId="10" fillId="0" borderId="0" xfId="0" applyNumberFormat="1" applyFont="1" applyAlignment="1">
      <alignment horizontal="center" vertical="center" wrapText="1"/>
    </xf>
    <xf numFmtId="0" fontId="10" fillId="0" borderId="0" xfId="0" applyFont="1"/>
    <xf numFmtId="3" fontId="7" fillId="0" borderId="0" xfId="0" applyNumberFormat="1" applyFont="1" applyAlignment="1">
      <alignment vertical="center" wrapText="1"/>
    </xf>
    <xf numFmtId="3" fontId="7" fillId="0" borderId="12" xfId="0" applyNumberFormat="1" applyFont="1" applyBorder="1" applyAlignment="1">
      <alignment horizontal="right" vertical="center" wrapText="1"/>
    </xf>
    <xf numFmtId="3" fontId="7" fillId="0" borderId="4" xfId="0" applyNumberFormat="1" applyFont="1" applyBorder="1" applyAlignment="1">
      <alignment horizontal="right" vertical="center" wrapText="1"/>
    </xf>
    <xf numFmtId="3" fontId="10" fillId="0" borderId="0" xfId="0" applyNumberFormat="1" applyFont="1" applyBorder="1"/>
    <xf numFmtId="4" fontId="25" fillId="4" borderId="6" xfId="0" applyNumberFormat="1" applyFont="1" applyFill="1" applyBorder="1" applyAlignment="1">
      <alignment vertical="center" wrapText="1"/>
    </xf>
    <xf numFmtId="3" fontId="7" fillId="0" borderId="6" xfId="0" applyNumberFormat="1" applyFont="1" applyBorder="1" applyAlignment="1">
      <alignment wrapText="1"/>
    </xf>
    <xf numFmtId="3" fontId="7" fillId="0" borderId="3" xfId="0" applyNumberFormat="1" applyFont="1" applyBorder="1" applyAlignment="1">
      <alignment wrapText="1"/>
    </xf>
    <xf numFmtId="3" fontId="7" fillId="0" borderId="8" xfId="0" applyNumberFormat="1" applyFont="1" applyBorder="1" applyAlignment="1">
      <alignment wrapText="1"/>
    </xf>
    <xf numFmtId="3" fontId="4" fillId="0" borderId="24" xfId="0" applyNumberFormat="1" applyFont="1" applyBorder="1" applyAlignment="1">
      <alignment horizontal="right" wrapText="1"/>
    </xf>
    <xf numFmtId="3" fontId="18" fillId="0" borderId="39" xfId="0" applyNumberFormat="1" applyFont="1" applyBorder="1" applyAlignment="1">
      <alignment horizontal="center" vertical="center" wrapText="1"/>
    </xf>
    <xf numFmtId="3" fontId="4" fillId="0" borderId="50" xfId="0" applyNumberFormat="1" applyFont="1" applyBorder="1" applyAlignment="1">
      <alignment horizontal="right" wrapText="1"/>
    </xf>
    <xf numFmtId="3" fontId="4" fillId="0" borderId="60" xfId="0" applyNumberFormat="1" applyFont="1" applyBorder="1" applyAlignment="1">
      <alignment horizontal="right" wrapText="1"/>
    </xf>
    <xf numFmtId="3" fontId="4" fillId="0" borderId="53" xfId="0" applyNumberFormat="1" applyFont="1" applyBorder="1" applyAlignment="1">
      <alignment horizontal="right" wrapText="1"/>
    </xf>
    <xf numFmtId="3" fontId="4" fillId="0" borderId="39" xfId="0" applyNumberFormat="1" applyFont="1" applyBorder="1" applyAlignment="1">
      <alignment horizontal="right" wrapText="1"/>
    </xf>
    <xf numFmtId="3" fontId="4" fillId="0" borderId="49" xfId="0" applyNumberFormat="1" applyFont="1" applyBorder="1" applyAlignment="1">
      <alignment horizontal="right" wrapText="1"/>
    </xf>
    <xf numFmtId="3" fontId="4" fillId="0" borderId="61" xfId="0" applyNumberFormat="1" applyFont="1" applyBorder="1" applyAlignment="1">
      <alignment horizontal="right" wrapText="1"/>
    </xf>
    <xf numFmtId="3" fontId="4" fillId="0" borderId="34" xfId="0" applyNumberFormat="1" applyFont="1" applyBorder="1" applyAlignment="1">
      <alignment horizontal="right" wrapText="1"/>
    </xf>
    <xf numFmtId="3" fontId="4" fillId="0" borderId="3" xfId="0" applyNumberFormat="1" applyFont="1" applyBorder="1" applyAlignment="1">
      <alignment horizontal="right" vertical="center" wrapText="1"/>
    </xf>
    <xf numFmtId="0" fontId="4" fillId="0" borderId="15" xfId="0" applyFont="1" applyBorder="1" applyAlignment="1">
      <alignment horizontal="right" vertical="center" wrapText="1"/>
    </xf>
    <xf numFmtId="3" fontId="4" fillId="0" borderId="33" xfId="0" applyNumberFormat="1" applyFont="1" applyBorder="1" applyAlignment="1">
      <alignment horizontal="right" vertical="center" wrapText="1"/>
    </xf>
    <xf numFmtId="0" fontId="4" fillId="0" borderId="40" xfId="0" applyFont="1" applyFill="1" applyBorder="1" applyAlignment="1">
      <alignment vertical="center" wrapText="1"/>
    </xf>
    <xf numFmtId="0" fontId="7" fillId="0" borderId="55" xfId="0" applyFont="1" applyFill="1" applyBorder="1" applyAlignment="1">
      <alignment vertical="center" wrapText="1"/>
    </xf>
    <xf numFmtId="3" fontId="4" fillId="0" borderId="37" xfId="0" applyNumberFormat="1" applyFont="1" applyFill="1" applyBorder="1"/>
    <xf numFmtId="3" fontId="4" fillId="0" borderId="13" xfId="0" applyNumberFormat="1" applyFont="1" applyFill="1" applyBorder="1"/>
    <xf numFmtId="0" fontId="5" fillId="0" borderId="43" xfId="0" applyFont="1" applyFill="1" applyBorder="1" applyAlignment="1">
      <alignment vertical="center" wrapText="1"/>
    </xf>
    <xf numFmtId="3" fontId="4" fillId="0" borderId="15" xfId="0" applyNumberFormat="1" applyFont="1" applyBorder="1"/>
    <xf numFmtId="0" fontId="4" fillId="0" borderId="43" xfId="0" applyFont="1" applyFill="1" applyBorder="1" applyAlignment="1">
      <alignment vertical="center" wrapText="1"/>
    </xf>
    <xf numFmtId="0" fontId="4" fillId="0" borderId="25" xfId="0" applyFont="1" applyFill="1" applyBorder="1" applyAlignment="1">
      <alignment horizontal="center" vertical="center" wrapText="1"/>
    </xf>
    <xf numFmtId="0" fontId="4" fillId="0" borderId="2" xfId="0" applyFont="1" applyFill="1" applyBorder="1" applyAlignment="1">
      <alignment vertical="center" wrapText="1"/>
    </xf>
    <xf numFmtId="0" fontId="4" fillId="0" borderId="5" xfId="0" applyFont="1" applyFill="1" applyBorder="1" applyAlignment="1">
      <alignment vertical="center" wrapText="1"/>
    </xf>
    <xf numFmtId="0" fontId="4" fillId="0" borderId="27" xfId="0" applyFont="1" applyFill="1" applyBorder="1" applyAlignment="1">
      <alignment vertical="center" wrapText="1"/>
    </xf>
    <xf numFmtId="0" fontId="4" fillId="0" borderId="25" xfId="0" applyFont="1" applyFill="1" applyBorder="1" applyAlignment="1">
      <alignment vertical="center" wrapText="1"/>
    </xf>
    <xf numFmtId="3" fontId="4" fillId="0" borderId="11" xfId="0" applyNumberFormat="1" applyFont="1" applyBorder="1" applyAlignment="1">
      <alignment horizontal="right" vertical="center" wrapText="1"/>
    </xf>
    <xf numFmtId="0" fontId="7" fillId="0" borderId="0" xfId="0" applyFont="1" applyAlignment="1">
      <alignment wrapText="1"/>
    </xf>
    <xf numFmtId="0" fontId="7" fillId="0" borderId="27" xfId="0" applyFont="1" applyBorder="1" applyAlignment="1">
      <alignment vertical="center" wrapText="1"/>
    </xf>
    <xf numFmtId="0" fontId="4" fillId="0" borderId="25" xfId="0" applyFont="1" applyBorder="1" applyAlignment="1">
      <alignment vertical="center" wrapText="1"/>
    </xf>
    <xf numFmtId="0" fontId="13" fillId="0" borderId="0" xfId="0" applyFont="1"/>
    <xf numFmtId="3" fontId="13" fillId="0" borderId="0" xfId="0" applyNumberFormat="1" applyFont="1"/>
    <xf numFmtId="0" fontId="13" fillId="0" borderId="0" xfId="0" applyFont="1" applyAlignment="1">
      <alignment vertical="center" wrapText="1"/>
    </xf>
    <xf numFmtId="0" fontId="3" fillId="0" borderId="0" xfId="0" applyFont="1" applyAlignment="1">
      <alignment vertical="center" wrapText="1"/>
    </xf>
    <xf numFmtId="0" fontId="13" fillId="0" borderId="0" xfId="0" applyFont="1" applyAlignment="1">
      <alignment wrapText="1"/>
    </xf>
    <xf numFmtId="0" fontId="3" fillId="0" borderId="0" xfId="0" applyFont="1" applyAlignment="1">
      <alignment wrapText="1"/>
    </xf>
    <xf numFmtId="0" fontId="7" fillId="0" borderId="6" xfId="0" applyFont="1" applyBorder="1" applyAlignment="1">
      <alignment vertical="center" wrapText="1"/>
    </xf>
    <xf numFmtId="0" fontId="7" fillId="0" borderId="5" xfId="0" applyFont="1" applyBorder="1" applyAlignment="1">
      <alignment horizontal="center"/>
    </xf>
    <xf numFmtId="3" fontId="7" fillId="0" borderId="24" xfId="0" applyNumberFormat="1" applyFont="1" applyBorder="1"/>
    <xf numFmtId="0" fontId="7" fillId="0" borderId="7" xfId="0" applyFont="1" applyBorder="1" applyAlignment="1">
      <alignment horizontal="center"/>
    </xf>
    <xf numFmtId="0" fontId="4" fillId="0" borderId="8" xfId="0" applyFont="1" applyBorder="1"/>
    <xf numFmtId="3" fontId="4" fillId="0" borderId="9" xfId="0" applyNumberFormat="1" applyFont="1" applyBorder="1"/>
    <xf numFmtId="0" fontId="7" fillId="0" borderId="2" xfId="0" applyFont="1" applyBorder="1" applyAlignment="1">
      <alignment horizontal="center"/>
    </xf>
    <xf numFmtId="0" fontId="7" fillId="0" borderId="3" xfId="0" applyFont="1" applyBorder="1"/>
    <xf numFmtId="3" fontId="7" fillId="0" borderId="4" xfId="0" applyNumberFormat="1" applyFont="1" applyBorder="1"/>
    <xf numFmtId="0" fontId="7" fillId="0" borderId="27" xfId="0" applyFont="1" applyBorder="1" applyAlignment="1">
      <alignment horizontal="center"/>
    </xf>
    <xf numFmtId="0" fontId="7" fillId="0" borderId="14" xfId="0" applyFont="1" applyBorder="1" applyAlignment="1">
      <alignment wrapText="1"/>
    </xf>
    <xf numFmtId="3" fontId="7" fillId="0" borderId="14" xfId="0" applyNumberFormat="1" applyFont="1" applyBorder="1" applyAlignment="1">
      <alignment wrapText="1"/>
    </xf>
    <xf numFmtId="3" fontId="7" fillId="0" borderId="28" xfId="0" applyNumberFormat="1" applyFont="1" applyBorder="1" applyAlignment="1">
      <alignment wrapText="1"/>
    </xf>
    <xf numFmtId="0" fontId="7" fillId="0" borderId="10" xfId="0" applyFont="1" applyBorder="1" applyAlignment="1">
      <alignment horizontal="center"/>
    </xf>
    <xf numFmtId="0" fontId="4" fillId="0" borderId="11" xfId="0" applyFont="1" applyBorder="1"/>
    <xf numFmtId="3" fontId="4" fillId="0" borderId="11" xfId="0" applyNumberFormat="1" applyFont="1" applyBorder="1"/>
    <xf numFmtId="3" fontId="4" fillId="0" borderId="12" xfId="0" applyNumberFormat="1" applyFont="1" applyBorder="1"/>
    <xf numFmtId="0" fontId="24" fillId="0" borderId="0" xfId="0" applyFont="1" applyAlignment="1">
      <alignment horizontal="center" vertical="center" wrapText="1"/>
    </xf>
    <xf numFmtId="0" fontId="7" fillId="0" borderId="14" xfId="0" applyFont="1" applyFill="1" applyBorder="1" applyAlignment="1">
      <alignment vertical="center" wrapText="1"/>
    </xf>
    <xf numFmtId="0" fontId="7" fillId="0" borderId="14" xfId="9" applyFont="1" applyBorder="1" applyAlignment="1">
      <alignment horizontal="left" vertical="center" wrapText="1"/>
    </xf>
    <xf numFmtId="0" fontId="4" fillId="0" borderId="0" xfId="0" applyFont="1" applyAlignment="1">
      <alignment horizontal="center" vertical="center" wrapText="1"/>
    </xf>
    <xf numFmtId="0" fontId="15" fillId="0" borderId="0" xfId="0" applyFont="1" applyAlignment="1">
      <alignment horizontal="left"/>
    </xf>
    <xf numFmtId="0" fontId="6" fillId="0" borderId="37" xfId="0" applyFont="1" applyFill="1" applyBorder="1" applyAlignment="1">
      <alignment horizontal="center" vertical="center" wrapText="1"/>
    </xf>
    <xf numFmtId="0" fontId="6" fillId="0" borderId="37" xfId="0" applyFont="1" applyBorder="1" applyAlignment="1">
      <alignment horizontal="center" vertical="center" wrapText="1"/>
    </xf>
    <xf numFmtId="0" fontId="15" fillId="0" borderId="15" xfId="0" applyFont="1" applyBorder="1" applyAlignment="1">
      <alignment vertical="center" wrapText="1"/>
    </xf>
    <xf numFmtId="0" fontId="15" fillId="0" borderId="41" xfId="0" applyFont="1" applyBorder="1" applyAlignment="1">
      <alignment vertical="center" wrapText="1"/>
    </xf>
    <xf numFmtId="0" fontId="15" fillId="0" borderId="19" xfId="0" applyFont="1" applyBorder="1" applyAlignment="1">
      <alignment vertical="center" wrapText="1"/>
    </xf>
    <xf numFmtId="0" fontId="6" fillId="0" borderId="37" xfId="0" applyFont="1" applyFill="1" applyBorder="1" applyAlignment="1">
      <alignment vertical="center" wrapText="1"/>
    </xf>
    <xf numFmtId="0" fontId="6" fillId="0" borderId="33" xfId="0" applyFont="1" applyFill="1" applyBorder="1" applyAlignment="1">
      <alignment vertical="center" wrapText="1"/>
    </xf>
    <xf numFmtId="0" fontId="6" fillId="0" borderId="42" xfId="0" applyFont="1" applyFill="1" applyBorder="1" applyAlignment="1">
      <alignment vertical="center" wrapText="1"/>
    </xf>
    <xf numFmtId="0" fontId="6" fillId="0" borderId="37" xfId="0" applyFont="1" applyBorder="1" applyAlignment="1">
      <alignment vertical="center" wrapText="1"/>
    </xf>
    <xf numFmtId="0" fontId="6" fillId="0" borderId="15" xfId="0" applyFont="1" applyBorder="1" applyAlignment="1">
      <alignment vertical="center" wrapText="1"/>
    </xf>
    <xf numFmtId="0" fontId="16" fillId="0" borderId="37" xfId="0" applyFont="1" applyBorder="1" applyAlignment="1">
      <alignment vertical="center" wrapText="1"/>
    </xf>
    <xf numFmtId="0" fontId="4" fillId="0" borderId="10" xfId="0" applyFont="1" applyBorder="1" applyAlignment="1">
      <alignment horizontal="left" vertical="center" wrapText="1"/>
    </xf>
    <xf numFmtId="0" fontId="25" fillId="0" borderId="26" xfId="0" applyFont="1" applyBorder="1" applyAlignment="1">
      <alignment horizontal="center" vertical="center" wrapText="1"/>
    </xf>
    <xf numFmtId="3" fontId="24" fillId="0" borderId="20" xfId="0" applyNumberFormat="1" applyFont="1" applyBorder="1" applyAlignment="1">
      <alignment horizontal="right"/>
    </xf>
    <xf numFmtId="0" fontId="25" fillId="0" borderId="30" xfId="0" applyFont="1" applyBorder="1" applyAlignment="1">
      <alignment horizontal="center" vertical="center" wrapText="1"/>
    </xf>
    <xf numFmtId="0" fontId="4" fillId="0" borderId="3" xfId="0" applyFont="1" applyFill="1" applyBorder="1" applyAlignment="1">
      <alignment vertical="center" wrapText="1"/>
    </xf>
    <xf numFmtId="0" fontId="7" fillId="0" borderId="6" xfId="9" applyFont="1" applyFill="1" applyBorder="1" applyAlignment="1">
      <alignment horizontal="left" vertical="center" wrapText="1"/>
    </xf>
    <xf numFmtId="0" fontId="4" fillId="0" borderId="3" xfId="0" applyFont="1" applyFill="1" applyBorder="1" applyAlignment="1">
      <alignment horizontal="left" vertical="center" wrapText="1"/>
    </xf>
    <xf numFmtId="3" fontId="4" fillId="0" borderId="13" xfId="0" applyNumberFormat="1" applyFont="1" applyBorder="1" applyAlignment="1">
      <alignment horizontal="center" wrapText="1"/>
    </xf>
    <xf numFmtId="3" fontId="4" fillId="0" borderId="26" xfId="0" applyNumberFormat="1" applyFont="1" applyBorder="1" applyAlignment="1">
      <alignment horizontal="center" wrapText="1"/>
    </xf>
    <xf numFmtId="3" fontId="7" fillId="0" borderId="28" xfId="0" applyNumberFormat="1" applyFont="1" applyBorder="1"/>
    <xf numFmtId="3" fontId="4" fillId="0" borderId="26" xfId="0" applyNumberFormat="1" applyFont="1" applyBorder="1"/>
    <xf numFmtId="3" fontId="4" fillId="0" borderId="4" xfId="0" applyNumberFormat="1" applyFont="1" applyBorder="1"/>
    <xf numFmtId="3" fontId="4" fillId="0" borderId="3" xfId="0" applyNumberFormat="1" applyFont="1" applyBorder="1" applyAlignment="1">
      <alignment horizontal="center" wrapText="1"/>
    </xf>
    <xf numFmtId="3" fontId="4" fillId="0" borderId="4" xfId="0" applyNumberFormat="1" applyFont="1" applyBorder="1" applyAlignment="1">
      <alignment horizontal="center" wrapText="1"/>
    </xf>
    <xf numFmtId="3" fontId="7" fillId="0" borderId="6" xfId="0" applyNumberFormat="1" applyFont="1" applyBorder="1" applyAlignment="1">
      <alignment horizontal="center"/>
    </xf>
    <xf numFmtId="3" fontId="7" fillId="0" borderId="24" xfId="0" applyNumberFormat="1" applyFont="1" applyBorder="1" applyAlignment="1">
      <alignment horizontal="center"/>
    </xf>
    <xf numFmtId="3" fontId="7" fillId="0" borderId="14" xfId="0" applyNumberFormat="1" applyFont="1" applyBorder="1" applyAlignment="1">
      <alignment horizontal="center"/>
    </xf>
    <xf numFmtId="3" fontId="7" fillId="0" borderId="28" xfId="0" applyNumberFormat="1" applyFont="1" applyBorder="1" applyAlignment="1">
      <alignment horizontal="center"/>
    </xf>
    <xf numFmtId="3" fontId="4" fillId="0" borderId="13" xfId="0" applyNumberFormat="1" applyFont="1" applyBorder="1" applyAlignment="1">
      <alignment horizontal="center"/>
    </xf>
    <xf numFmtId="3" fontId="4" fillId="0" borderId="26" xfId="0" applyNumberFormat="1" applyFont="1" applyBorder="1" applyAlignment="1">
      <alignment horizontal="center"/>
    </xf>
    <xf numFmtId="3" fontId="4" fillId="0" borderId="37"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0" fontId="4" fillId="0" borderId="6" xfId="0" applyFont="1" applyBorder="1" applyAlignment="1">
      <alignment horizontal="center" vertical="center" wrapText="1"/>
    </xf>
    <xf numFmtId="3" fontId="7" fillId="0" borderId="6" xfId="0" applyNumberFormat="1" applyFont="1" applyBorder="1" applyAlignment="1">
      <alignment vertical="center" wrapText="1"/>
    </xf>
    <xf numFmtId="3" fontId="4" fillId="0" borderId="6" xfId="0" applyNumberFormat="1" applyFont="1" applyBorder="1" applyAlignment="1">
      <alignment vertical="center" wrapText="1"/>
    </xf>
    <xf numFmtId="164" fontId="4" fillId="0" borderId="6" xfId="0" applyNumberFormat="1" applyFont="1" applyBorder="1" applyAlignment="1">
      <alignment vertical="center" wrapText="1"/>
    </xf>
    <xf numFmtId="49" fontId="4" fillId="0" borderId="6" xfId="0" applyNumberFormat="1" applyFont="1" applyBorder="1" applyAlignment="1">
      <alignment horizontal="center"/>
    </xf>
    <xf numFmtId="0" fontId="4" fillId="0" borderId="6" xfId="0" applyFont="1" applyBorder="1" applyAlignment="1">
      <alignment horizontal="center"/>
    </xf>
    <xf numFmtId="0" fontId="4" fillId="0" borderId="6" xfId="0" applyFont="1" applyBorder="1" applyAlignment="1">
      <alignment horizontal="center" vertical="center"/>
    </xf>
    <xf numFmtId="0" fontId="7" fillId="0" borderId="10" xfId="0" applyFont="1" applyBorder="1" applyAlignment="1">
      <alignment wrapText="1"/>
    </xf>
    <xf numFmtId="0" fontId="7" fillId="0" borderId="67" xfId="0" applyFont="1" applyBorder="1" applyAlignment="1">
      <alignment wrapText="1"/>
    </xf>
    <xf numFmtId="3" fontId="25" fillId="0" borderId="8" xfId="0" applyNumberFormat="1" applyFont="1" applyBorder="1" applyAlignment="1">
      <alignment horizontal="right"/>
    </xf>
    <xf numFmtId="0" fontId="25" fillId="0" borderId="9" xfId="0" applyFont="1" applyBorder="1" applyAlignment="1">
      <alignment horizontal="center" vertical="center" wrapText="1"/>
    </xf>
    <xf numFmtId="3" fontId="25" fillId="0" borderId="11" xfId="0" applyNumberFormat="1" applyFont="1" applyBorder="1" applyAlignment="1">
      <alignment horizontal="right"/>
    </xf>
    <xf numFmtId="0" fontId="25" fillId="0" borderId="12" xfId="0" applyFont="1" applyBorder="1" applyAlignment="1">
      <alignment horizontal="center" vertical="center" wrapText="1"/>
    </xf>
    <xf numFmtId="0" fontId="7" fillId="0" borderId="67" xfId="0" applyFont="1" applyBorder="1"/>
    <xf numFmtId="0" fontId="24" fillId="0" borderId="36" xfId="0" applyFont="1" applyBorder="1" applyAlignment="1">
      <alignment horizontal="center" vertical="center" wrapText="1"/>
    </xf>
    <xf numFmtId="0" fontId="24" fillId="0" borderId="67" xfId="0" applyFont="1" applyBorder="1" applyAlignment="1">
      <alignment horizontal="left" vertical="center" wrapText="1"/>
    </xf>
    <xf numFmtId="0" fontId="25" fillId="0" borderId="68" xfId="0" applyFont="1" applyBorder="1" applyAlignment="1">
      <alignment horizontal="left" vertical="center" wrapText="1"/>
    </xf>
    <xf numFmtId="0" fontId="25" fillId="0" borderId="68" xfId="0" applyFont="1" applyBorder="1" applyAlignment="1">
      <alignment vertical="center" wrapText="1"/>
    </xf>
    <xf numFmtId="0" fontId="7" fillId="0" borderId="68" xfId="0" applyFont="1" applyBorder="1" applyAlignment="1">
      <alignment vertical="center" wrapText="1"/>
    </xf>
    <xf numFmtId="0" fontId="25" fillId="0" borderId="69" xfId="0" applyFont="1" applyBorder="1" applyAlignment="1">
      <alignment vertical="center" wrapText="1"/>
    </xf>
    <xf numFmtId="0" fontId="24" fillId="0" borderId="36" xfId="0" applyFont="1" applyBorder="1" applyAlignment="1">
      <alignment vertical="center" wrapText="1"/>
    </xf>
    <xf numFmtId="0" fontId="24" fillId="0" borderId="70" xfId="0" applyFont="1" applyBorder="1" applyAlignment="1">
      <alignment vertical="center" wrapText="1"/>
    </xf>
    <xf numFmtId="0" fontId="23" fillId="0" borderId="65" xfId="0" applyFont="1" applyBorder="1" applyAlignment="1">
      <alignment vertical="center" wrapText="1"/>
    </xf>
    <xf numFmtId="3" fontId="7" fillId="0" borderId="8" xfId="0" applyNumberFormat="1" applyFont="1" applyBorder="1" applyAlignment="1">
      <alignment horizontal="right"/>
    </xf>
    <xf numFmtId="3" fontId="4" fillId="0" borderId="39" xfId="0" applyNumberFormat="1" applyFont="1" applyBorder="1" applyAlignment="1">
      <alignment horizontal="center" vertical="center" wrapText="1"/>
    </xf>
    <xf numFmtId="3" fontId="4" fillId="0" borderId="60" xfId="0" applyNumberFormat="1" applyFont="1" applyBorder="1" applyAlignment="1">
      <alignment horizontal="right"/>
    </xf>
    <xf numFmtId="3" fontId="4" fillId="0" borderId="60" xfId="0" applyNumberFormat="1" applyFont="1" applyFill="1" applyBorder="1" applyAlignment="1">
      <alignment horizontal="right"/>
    </xf>
    <xf numFmtId="3" fontId="4" fillId="0" borderId="61" xfId="0" applyNumberFormat="1" applyFont="1" applyBorder="1" applyAlignment="1">
      <alignment horizontal="right"/>
    </xf>
    <xf numFmtId="3" fontId="6" fillId="0" borderId="13" xfId="0" applyNumberFormat="1" applyFont="1" applyFill="1" applyBorder="1" applyAlignment="1">
      <alignment horizontal="right"/>
    </xf>
    <xf numFmtId="3" fontId="7" fillId="0" borderId="6" xfId="0" applyNumberFormat="1" applyFont="1" applyFill="1" applyBorder="1" applyAlignment="1">
      <alignment horizontal="right" wrapText="1"/>
    </xf>
    <xf numFmtId="0" fontId="4" fillId="0" borderId="71" xfId="4" applyFont="1" applyBorder="1" applyAlignment="1">
      <alignment vertical="center" wrapText="1"/>
    </xf>
    <xf numFmtId="0" fontId="7" fillId="0" borderId="71" xfId="9" applyFont="1" applyBorder="1" applyAlignment="1">
      <alignment horizontal="left" vertical="center" wrapText="1"/>
    </xf>
    <xf numFmtId="3" fontId="4" fillId="0" borderId="61" xfId="0" applyNumberFormat="1" applyFont="1" applyBorder="1"/>
    <xf numFmtId="3" fontId="4" fillId="0" borderId="66" xfId="0" applyNumberFormat="1" applyFont="1" applyBorder="1"/>
    <xf numFmtId="0" fontId="7" fillId="0" borderId="68" xfId="9" applyFont="1" applyBorder="1" applyAlignment="1">
      <alignment horizontal="left" vertical="center" wrapText="1"/>
    </xf>
    <xf numFmtId="0" fontId="4" fillId="0" borderId="67" xfId="0" applyFont="1" applyFill="1" applyBorder="1" applyAlignment="1">
      <alignment vertical="center" wrapText="1"/>
    </xf>
    <xf numFmtId="0" fontId="7" fillId="0" borderId="67" xfId="9" applyFont="1" applyBorder="1" applyAlignment="1">
      <alignment horizontal="left" vertical="center" wrapText="1"/>
    </xf>
    <xf numFmtId="0" fontId="4" fillId="0" borderId="68" xfId="9" applyFont="1" applyBorder="1" applyAlignment="1">
      <alignment horizontal="left" vertical="center" wrapText="1"/>
    </xf>
    <xf numFmtId="0" fontId="4" fillId="0" borderId="71" xfId="9" applyFont="1" applyBorder="1" applyAlignment="1">
      <alignment horizontal="left" vertical="center" wrapText="1"/>
    </xf>
    <xf numFmtId="3" fontId="4" fillId="0" borderId="50" xfId="0" applyNumberFormat="1" applyFont="1" applyBorder="1"/>
    <xf numFmtId="3" fontId="4" fillId="0" borderId="60" xfId="0" applyNumberFormat="1" applyFont="1" applyBorder="1"/>
    <xf numFmtId="3" fontId="4" fillId="0" borderId="39" xfId="0" applyNumberFormat="1" applyFont="1" applyBorder="1"/>
    <xf numFmtId="3" fontId="21" fillId="0" borderId="13" xfId="0" applyNumberFormat="1" applyFont="1" applyBorder="1" applyAlignment="1">
      <alignment horizontal="center" vertical="center" wrapText="1"/>
    </xf>
    <xf numFmtId="0" fontId="27" fillId="0" borderId="67" xfId="0" applyFont="1" applyFill="1" applyBorder="1" applyAlignment="1">
      <alignment vertical="center" wrapText="1"/>
    </xf>
    <xf numFmtId="0" fontId="7" fillId="0" borderId="71" xfId="0" applyFont="1" applyBorder="1" applyAlignment="1">
      <alignment vertical="center" wrapText="1"/>
    </xf>
    <xf numFmtId="0" fontId="27" fillId="0" borderId="36" xfId="0" applyFont="1" applyFill="1" applyBorder="1" applyAlignment="1">
      <alignment vertical="center" wrapText="1"/>
    </xf>
    <xf numFmtId="0" fontId="27" fillId="0" borderId="65" xfId="0" applyFont="1" applyFill="1" applyBorder="1" applyAlignment="1">
      <alignment vertical="center" wrapText="1"/>
    </xf>
    <xf numFmtId="0" fontId="16" fillId="0" borderId="36" xfId="0" applyFont="1" applyFill="1" applyBorder="1" applyAlignment="1">
      <alignment vertical="center" wrapText="1"/>
    </xf>
    <xf numFmtId="0" fontId="7" fillId="0" borderId="68" xfId="9" applyFont="1" applyFill="1" applyBorder="1" applyAlignment="1">
      <alignment horizontal="left" vertical="center" wrapText="1"/>
    </xf>
    <xf numFmtId="0" fontId="4" fillId="0" borderId="36" xfId="0" applyFont="1" applyFill="1" applyBorder="1" applyAlignment="1">
      <alignment vertical="center" wrapText="1"/>
    </xf>
    <xf numFmtId="0" fontId="7" fillId="0" borderId="68" xfId="0" applyFont="1" applyFill="1" applyBorder="1" applyAlignment="1">
      <alignment vertical="center" wrapText="1"/>
    </xf>
    <xf numFmtId="3" fontId="4" fillId="0" borderId="53" xfId="0" applyNumberFormat="1" applyFont="1" applyBorder="1"/>
    <xf numFmtId="3" fontId="4" fillId="0" borderId="39" xfId="0" applyNumberFormat="1" applyFont="1" applyFill="1" applyBorder="1" applyAlignment="1">
      <alignment horizontal="right" vertical="center" wrapText="1"/>
    </xf>
    <xf numFmtId="3" fontId="4" fillId="0" borderId="3" xfId="0" applyNumberFormat="1" applyFont="1" applyFill="1" applyBorder="1" applyAlignment="1">
      <alignment horizontal="right" vertical="center" wrapText="1"/>
    </xf>
    <xf numFmtId="3" fontId="7" fillId="0" borderId="6" xfId="0" applyNumberFormat="1" applyFont="1" applyBorder="1" applyAlignment="1">
      <alignment horizontal="right" vertical="center" wrapText="1"/>
    </xf>
    <xf numFmtId="3" fontId="7" fillId="0" borderId="6" xfId="9" applyNumberFormat="1" applyFont="1" applyBorder="1" applyAlignment="1">
      <alignment horizontal="right" wrapText="1"/>
    </xf>
    <xf numFmtId="3" fontId="7" fillId="0" borderId="6" xfId="9" applyNumberFormat="1" applyFont="1" applyFill="1" applyBorder="1" applyAlignment="1">
      <alignment horizontal="right" vertical="center" wrapText="1"/>
    </xf>
    <xf numFmtId="0" fontId="4" fillId="0" borderId="70" xfId="0" applyFont="1" applyFill="1" applyBorder="1" applyAlignment="1">
      <alignment vertical="center" wrapText="1"/>
    </xf>
    <xf numFmtId="3" fontId="4" fillId="0" borderId="11" xfId="0" applyNumberFormat="1" applyFont="1" applyBorder="1" applyAlignment="1">
      <alignment horizontal="right" wrapText="1"/>
    </xf>
    <xf numFmtId="0" fontId="4" fillId="0" borderId="23" xfId="0" applyFont="1" applyFill="1" applyBorder="1" applyAlignment="1">
      <alignment vertical="center" wrapText="1"/>
    </xf>
    <xf numFmtId="0" fontId="7" fillId="0" borderId="17" xfId="9" applyFont="1" applyFill="1" applyBorder="1" applyAlignment="1">
      <alignment horizontal="left" vertical="center" wrapText="1"/>
    </xf>
    <xf numFmtId="0" fontId="4" fillId="0" borderId="23" xfId="0" applyFont="1" applyFill="1" applyBorder="1" applyAlignment="1">
      <alignment horizontal="left" vertical="center" wrapText="1"/>
    </xf>
    <xf numFmtId="0" fontId="7" fillId="0" borderId="18" xfId="9" applyFont="1" applyBorder="1" applyAlignment="1">
      <alignment horizontal="left" vertical="center" wrapText="1"/>
    </xf>
    <xf numFmtId="0" fontId="7" fillId="0" borderId="18" xfId="0" applyFont="1" applyFill="1" applyBorder="1" applyAlignment="1">
      <alignment vertical="center" wrapText="1"/>
    </xf>
    <xf numFmtId="3" fontId="4" fillId="0" borderId="58" xfId="0" applyNumberFormat="1" applyFont="1" applyBorder="1" applyAlignment="1">
      <alignment horizontal="center" vertical="center" wrapText="1"/>
    </xf>
    <xf numFmtId="167" fontId="7" fillId="0" borderId="3" xfId="0" applyNumberFormat="1" applyFont="1" applyBorder="1" applyAlignment="1">
      <alignment wrapText="1"/>
    </xf>
    <xf numFmtId="167" fontId="7" fillId="0" borderId="6" xfId="0" applyNumberFormat="1" applyFont="1" applyBorder="1" applyAlignment="1">
      <alignment wrapText="1"/>
    </xf>
    <xf numFmtId="0" fontId="7" fillId="0" borderId="6" xfId="11" applyFont="1" applyBorder="1" applyAlignment="1">
      <alignment horizontal="center" vertical="center" wrapText="1"/>
    </xf>
    <xf numFmtId="164" fontId="7" fillId="0" borderId="6" xfId="11" applyNumberFormat="1" applyFont="1" applyBorder="1" applyAlignment="1">
      <alignment horizontal="right"/>
    </xf>
    <xf numFmtId="164" fontId="7" fillId="0" borderId="6" xfId="0" applyNumberFormat="1" applyFont="1" applyBorder="1" applyAlignment="1">
      <alignment horizontal="right"/>
    </xf>
    <xf numFmtId="0" fontId="7" fillId="0" borderId="6" xfId="0" applyFont="1" applyBorder="1" applyAlignment="1">
      <alignment horizontal="center" vertical="center"/>
    </xf>
    <xf numFmtId="0" fontId="29" fillId="0" borderId="0" xfId="0" applyFont="1" applyFill="1" applyAlignment="1">
      <alignment horizontal="center" vertical="center"/>
    </xf>
    <xf numFmtId="0" fontId="7" fillId="0" borderId="0" xfId="0" applyFont="1" applyFill="1" applyAlignment="1">
      <alignment wrapText="1"/>
    </xf>
    <xf numFmtId="3" fontId="4" fillId="0" borderId="0" xfId="0" applyNumberFormat="1" applyFont="1" applyBorder="1" applyAlignment="1">
      <alignment horizontal="center" vertical="center" wrapText="1"/>
    </xf>
    <xf numFmtId="3" fontId="4" fillId="0" borderId="11" xfId="0" applyNumberFormat="1" applyFont="1" applyBorder="1" applyAlignment="1">
      <alignment horizontal="center" vertical="center" wrapText="1"/>
    </xf>
    <xf numFmtId="9" fontId="7" fillId="0" borderId="0" xfId="13" applyFont="1"/>
    <xf numFmtId="3" fontId="4" fillId="0" borderId="0" xfId="0" applyNumberFormat="1" applyFont="1" applyFill="1" applyBorder="1" applyAlignment="1">
      <alignment vertical="center" wrapText="1"/>
    </xf>
    <xf numFmtId="0" fontId="4" fillId="0" borderId="20" xfId="0" applyFont="1" applyBorder="1" applyAlignment="1">
      <alignment horizontal="center" vertical="center" wrapText="1"/>
    </xf>
    <xf numFmtId="9" fontId="7" fillId="0" borderId="0" xfId="13" applyFont="1" applyAlignment="1">
      <alignment vertical="center" wrapText="1"/>
    </xf>
    <xf numFmtId="0" fontId="5" fillId="0" borderId="46" xfId="0" applyFont="1" applyBorder="1" applyAlignment="1">
      <alignment horizontal="left" vertical="center" wrapText="1"/>
    </xf>
    <xf numFmtId="3" fontId="0" fillId="0" borderId="0" xfId="0" applyNumberFormat="1"/>
    <xf numFmtId="3" fontId="4" fillId="0" borderId="23" xfId="0" applyNumberFormat="1" applyFont="1" applyBorder="1" applyAlignment="1">
      <alignment wrapText="1"/>
    </xf>
    <xf numFmtId="3" fontId="4" fillId="0" borderId="11" xfId="0" applyNumberFormat="1" applyFont="1" applyBorder="1" applyAlignment="1">
      <alignment wrapText="1"/>
    </xf>
    <xf numFmtId="3" fontId="4" fillId="0" borderId="12" xfId="0" applyNumberFormat="1" applyFont="1" applyBorder="1" applyAlignment="1">
      <alignment wrapText="1"/>
    </xf>
    <xf numFmtId="3" fontId="7" fillId="0" borderId="17" xfId="0" applyNumberFormat="1" applyFont="1" applyBorder="1" applyAlignment="1">
      <alignment wrapText="1"/>
    </xf>
    <xf numFmtId="3" fontId="4" fillId="0" borderId="17" xfId="0" applyNumberFormat="1" applyFont="1" applyBorder="1" applyAlignment="1">
      <alignment wrapText="1"/>
    </xf>
    <xf numFmtId="3" fontId="4" fillId="0" borderId="18" xfId="0" applyNumberFormat="1" applyFont="1" applyBorder="1" applyAlignment="1">
      <alignment wrapText="1"/>
    </xf>
    <xf numFmtId="0" fontId="4" fillId="0" borderId="7" xfId="0" applyFont="1" applyBorder="1" applyAlignment="1">
      <alignment horizontal="left" vertical="center" wrapText="1"/>
    </xf>
    <xf numFmtId="3" fontId="4" fillId="0" borderId="31" xfId="0" applyNumberFormat="1" applyFont="1" applyBorder="1" applyAlignment="1">
      <alignment wrapText="1"/>
    </xf>
    <xf numFmtId="3" fontId="7" fillId="0" borderId="58" xfId="0" applyNumberFormat="1" applyFont="1" applyBorder="1" applyAlignment="1">
      <alignment wrapText="1"/>
    </xf>
    <xf numFmtId="0" fontId="7" fillId="0" borderId="25" xfId="0" applyFont="1" applyFill="1" applyBorder="1" applyAlignment="1">
      <alignment horizontal="left" vertical="center" wrapText="1"/>
    </xf>
    <xf numFmtId="0" fontId="7" fillId="0" borderId="73" xfId="0" applyFont="1" applyBorder="1"/>
    <xf numFmtId="3" fontId="7" fillId="0" borderId="24" xfId="0" applyNumberFormat="1" applyFont="1" applyBorder="1" applyAlignment="1">
      <alignment wrapText="1"/>
    </xf>
    <xf numFmtId="3" fontId="7" fillId="0" borderId="8" xfId="0" applyNumberFormat="1" applyFont="1" applyBorder="1"/>
    <xf numFmtId="3" fontId="7" fillId="0" borderId="9" xfId="0" applyNumberFormat="1" applyFont="1" applyBorder="1"/>
    <xf numFmtId="0" fontId="7" fillId="0" borderId="29" xfId="0" applyFont="1" applyFill="1" applyBorder="1" applyAlignment="1">
      <alignment horizontal="left" vertical="center" wrapText="1"/>
    </xf>
    <xf numFmtId="0" fontId="30" fillId="0" borderId="0" xfId="0" applyFont="1"/>
    <xf numFmtId="0" fontId="31" fillId="0" borderId="0" xfId="0" applyFont="1"/>
    <xf numFmtId="0" fontId="32" fillId="0" borderId="74" xfId="0" applyFont="1" applyBorder="1" applyAlignment="1">
      <alignment horizontal="center" vertical="center" wrapText="1"/>
    </xf>
    <xf numFmtId="0" fontId="32" fillId="0" borderId="75" xfId="0" applyFont="1" applyBorder="1" applyAlignment="1">
      <alignment horizontal="center" vertical="center" wrapText="1"/>
    </xf>
    <xf numFmtId="0" fontId="33" fillId="0" borderId="76" xfId="0" applyFont="1" applyBorder="1" applyAlignment="1">
      <alignment vertical="center" wrapText="1"/>
    </xf>
    <xf numFmtId="3" fontId="33" fillId="6" borderId="66" xfId="0" applyNumberFormat="1" applyFont="1" applyFill="1" applyBorder="1" applyAlignment="1">
      <alignment horizontal="right" vertical="center" wrapText="1"/>
    </xf>
    <xf numFmtId="3" fontId="33" fillId="0" borderId="66" xfId="0" applyNumberFormat="1" applyFont="1" applyBorder="1" applyAlignment="1">
      <alignment horizontal="right" vertical="center" wrapText="1"/>
    </xf>
    <xf numFmtId="0" fontId="33" fillId="6" borderId="76" xfId="0" applyFont="1" applyFill="1" applyBorder="1" applyAlignment="1">
      <alignment vertical="center" wrapText="1"/>
    </xf>
    <xf numFmtId="0" fontId="32" fillId="0" borderId="76" xfId="0" applyFont="1" applyBorder="1" applyAlignment="1">
      <alignment vertical="center" wrapText="1"/>
    </xf>
    <xf numFmtId="3" fontId="32" fillId="0" borderId="66" xfId="0" applyNumberFormat="1" applyFont="1" applyBorder="1" applyAlignment="1">
      <alignment horizontal="right" vertical="center" wrapText="1"/>
    </xf>
    <xf numFmtId="2" fontId="7" fillId="0" borderId="0" xfId="13" applyNumberFormat="1" applyFont="1"/>
    <xf numFmtId="0" fontId="5" fillId="0" borderId="46" xfId="0" applyFont="1" applyBorder="1" applyAlignment="1">
      <alignment horizontal="center" vertical="center" wrapText="1"/>
    </xf>
    <xf numFmtId="3" fontId="22" fillId="0" borderId="46" xfId="0" applyNumberFormat="1" applyFont="1" applyBorder="1" applyAlignment="1">
      <alignment horizontal="center" vertical="center"/>
    </xf>
    <xf numFmtId="3" fontId="22" fillId="0" borderId="34" xfId="0" applyNumberFormat="1" applyFont="1" applyBorder="1" applyAlignment="1">
      <alignment horizontal="center" vertical="center"/>
    </xf>
    <xf numFmtId="3" fontId="22" fillId="0" borderId="45" xfId="0" applyNumberFormat="1" applyFont="1" applyBorder="1" applyAlignment="1">
      <alignment horizontal="center" vertical="center"/>
    </xf>
    <xf numFmtId="0" fontId="0" fillId="0" borderId="0" xfId="0" applyAlignment="1">
      <alignment vertical="center"/>
    </xf>
    <xf numFmtId="3" fontId="4" fillId="0" borderId="2" xfId="0" applyNumberFormat="1" applyFont="1" applyBorder="1" applyAlignment="1">
      <alignment wrapText="1"/>
    </xf>
    <xf numFmtId="164" fontId="7" fillId="0" borderId="24" xfId="0" applyNumberFormat="1" applyFont="1" applyBorder="1" applyAlignment="1">
      <alignment wrapText="1"/>
    </xf>
    <xf numFmtId="3" fontId="7" fillId="0" borderId="2" xfId="0" applyNumberFormat="1" applyFont="1" applyBorder="1" applyAlignment="1">
      <alignment wrapText="1"/>
    </xf>
    <xf numFmtId="3" fontId="23" fillId="0" borderId="24" xfId="0" applyNumberFormat="1" applyFont="1" applyBorder="1" applyAlignment="1">
      <alignment horizontal="right"/>
    </xf>
    <xf numFmtId="0" fontId="0" fillId="0" borderId="0" xfId="0" applyFont="1"/>
    <xf numFmtId="3" fontId="4" fillId="0" borderId="5" xfId="0" applyNumberFormat="1" applyFont="1" applyBorder="1" applyAlignment="1">
      <alignment wrapText="1"/>
    </xf>
    <xf numFmtId="3" fontId="4" fillId="0" borderId="27" xfId="0" applyNumberFormat="1" applyFont="1" applyBorder="1" applyAlignment="1">
      <alignment wrapText="1"/>
    </xf>
    <xf numFmtId="3" fontId="4" fillId="0" borderId="25" xfId="0" applyNumberFormat="1" applyFont="1" applyBorder="1" applyAlignment="1">
      <alignment wrapText="1"/>
    </xf>
    <xf numFmtId="3" fontId="4" fillId="0" borderId="50" xfId="0" applyNumberFormat="1" applyFont="1" applyBorder="1" applyAlignment="1">
      <alignment wrapText="1"/>
    </xf>
    <xf numFmtId="3" fontId="4" fillId="0" borderId="60" xfId="0" applyNumberFormat="1" applyFont="1" applyBorder="1" applyAlignment="1">
      <alignment wrapText="1"/>
    </xf>
    <xf numFmtId="164" fontId="7" fillId="0" borderId="60" xfId="0" applyNumberFormat="1" applyFont="1" applyBorder="1" applyAlignment="1">
      <alignment wrapText="1"/>
    </xf>
    <xf numFmtId="3" fontId="7" fillId="0" borderId="9" xfId="0" applyNumberFormat="1" applyFont="1" applyBorder="1" applyAlignment="1">
      <alignment wrapText="1"/>
    </xf>
    <xf numFmtId="164" fontId="7" fillId="0" borderId="61" xfId="0" applyNumberFormat="1" applyFont="1" applyBorder="1" applyAlignment="1">
      <alignment wrapText="1"/>
    </xf>
    <xf numFmtId="3" fontId="7" fillId="0" borderId="56" xfId="0" applyNumberFormat="1" applyFont="1" applyBorder="1" applyAlignment="1">
      <alignment wrapText="1"/>
    </xf>
    <xf numFmtId="3" fontId="7" fillId="0" borderId="1" xfId="0" applyNumberFormat="1" applyFont="1" applyBorder="1" applyAlignment="1">
      <alignment wrapText="1"/>
    </xf>
    <xf numFmtId="3" fontId="7" fillId="0" borderId="25" xfId="0" applyNumberFormat="1" applyFont="1" applyFill="1" applyBorder="1" applyAlignment="1">
      <alignment wrapText="1"/>
    </xf>
    <xf numFmtId="3" fontId="33" fillId="0" borderId="39" xfId="0" applyNumberFormat="1" applyFont="1" applyBorder="1"/>
    <xf numFmtId="0" fontId="33" fillId="0" borderId="0" xfId="0" applyFont="1"/>
    <xf numFmtId="168" fontId="4" fillId="0" borderId="6" xfId="12" applyNumberFormat="1" applyFont="1" applyBorder="1" applyAlignment="1">
      <alignment horizontal="center" vertical="center" wrapText="1"/>
    </xf>
    <xf numFmtId="168" fontId="7" fillId="0" borderId="0" xfId="12" applyNumberFormat="1" applyFont="1" applyBorder="1"/>
    <xf numFmtId="168" fontId="10" fillId="0" borderId="0" xfId="12" applyNumberFormat="1" applyFont="1" applyBorder="1"/>
    <xf numFmtId="3" fontId="4" fillId="0" borderId="6" xfId="0" applyNumberFormat="1" applyFont="1" applyBorder="1" applyAlignment="1">
      <alignment horizontal="right" vertical="center" wrapText="1"/>
    </xf>
    <xf numFmtId="164" fontId="4" fillId="0" borderId="6" xfId="0" applyNumberFormat="1" applyFont="1" applyBorder="1" applyAlignment="1">
      <alignment horizontal="right" vertical="center" wrapText="1"/>
    </xf>
    <xf numFmtId="0" fontId="4" fillId="0" borderId="0" xfId="0" applyFont="1" applyBorder="1" applyAlignment="1">
      <alignment horizontal="right" vertical="center"/>
    </xf>
    <xf numFmtId="0" fontId="4" fillId="0" borderId="6" xfId="0" applyFont="1" applyBorder="1" applyAlignment="1">
      <alignment horizontal="center" vertical="center" wrapText="1"/>
    </xf>
    <xf numFmtId="1" fontId="4" fillId="0" borderId="6" xfId="0" applyNumberFormat="1" applyFont="1" applyBorder="1" applyAlignment="1">
      <alignment horizontal="center" vertical="center" wrapText="1"/>
    </xf>
    <xf numFmtId="3" fontId="4" fillId="0" borderId="11"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6" xfId="0" applyNumberFormat="1" applyFont="1" applyBorder="1" applyAlignment="1">
      <alignment horizontal="center"/>
    </xf>
    <xf numFmtId="0" fontId="7" fillId="0" borderId="6" xfId="0" applyFont="1" applyBorder="1" applyAlignment="1">
      <alignment horizontal="center"/>
    </xf>
    <xf numFmtId="0" fontId="7" fillId="0" borderId="0" xfId="0" applyFont="1" applyBorder="1" applyAlignment="1">
      <alignment horizontal="center"/>
    </xf>
    <xf numFmtId="0" fontId="10" fillId="0" borderId="0" xfId="0" applyFont="1" applyBorder="1" applyAlignment="1">
      <alignment horizontal="center"/>
    </xf>
    <xf numFmtId="3" fontId="7" fillId="0" borderId="6" xfId="12" applyNumberFormat="1" applyFont="1" applyBorder="1"/>
    <xf numFmtId="165" fontId="6" fillId="0" borderId="13" xfId="0" applyNumberFormat="1" applyFont="1" applyFill="1" applyBorder="1"/>
    <xf numFmtId="165" fontId="6" fillId="0" borderId="38" xfId="0" applyNumberFormat="1" applyFont="1" applyFill="1" applyBorder="1"/>
    <xf numFmtId="165" fontId="6" fillId="0" borderId="25" xfId="0" applyNumberFormat="1" applyFont="1" applyFill="1" applyBorder="1"/>
    <xf numFmtId="165" fontId="6" fillId="0" borderId="26" xfId="0" applyNumberFormat="1" applyFont="1" applyFill="1" applyBorder="1"/>
    <xf numFmtId="165" fontId="6" fillId="0" borderId="13" xfId="0" applyNumberFormat="1" applyFont="1" applyBorder="1"/>
    <xf numFmtId="165" fontId="15" fillId="0" borderId="3" xfId="0" applyNumberFormat="1" applyFont="1" applyBorder="1"/>
    <xf numFmtId="165" fontId="15" fillId="0" borderId="3" xfId="0" applyNumberFormat="1" applyFont="1" applyFill="1" applyBorder="1"/>
    <xf numFmtId="165" fontId="15" fillId="0" borderId="34" xfId="0" applyNumberFormat="1" applyFont="1" applyFill="1" applyBorder="1"/>
    <xf numFmtId="165" fontId="6" fillId="0" borderId="2" xfId="0" applyNumberFormat="1" applyFont="1" applyFill="1" applyBorder="1"/>
    <xf numFmtId="165" fontId="6" fillId="0" borderId="3" xfId="0" applyNumberFormat="1" applyFont="1" applyFill="1" applyBorder="1"/>
    <xf numFmtId="165" fontId="6" fillId="0" borderId="4" xfId="0" applyNumberFormat="1" applyFont="1" applyFill="1" applyBorder="1"/>
    <xf numFmtId="165" fontId="15" fillId="0" borderId="6" xfId="0" applyNumberFormat="1" applyFont="1" applyBorder="1"/>
    <xf numFmtId="165" fontId="15" fillId="0" borderId="6" xfId="0" applyNumberFormat="1" applyFont="1" applyFill="1" applyBorder="1"/>
    <xf numFmtId="165" fontId="6" fillId="0" borderId="5" xfId="0" applyNumberFormat="1" applyFont="1" applyFill="1" applyBorder="1"/>
    <xf numFmtId="165" fontId="6" fillId="0" borderId="6" xfId="0" applyNumberFormat="1" applyFont="1" applyFill="1" applyBorder="1"/>
    <xf numFmtId="165" fontId="6" fillId="0" borderId="24" xfId="0" applyNumberFormat="1" applyFont="1" applyFill="1" applyBorder="1"/>
    <xf numFmtId="165" fontId="15" fillId="0" borderId="14" xfId="0" applyNumberFormat="1" applyFont="1" applyFill="1" applyBorder="1"/>
    <xf numFmtId="165" fontId="6" fillId="0" borderId="28" xfId="0" applyNumberFormat="1" applyFont="1" applyFill="1" applyBorder="1"/>
    <xf numFmtId="165" fontId="15" fillId="0" borderId="20" xfId="0" applyNumberFormat="1" applyFont="1" applyBorder="1"/>
    <xf numFmtId="165" fontId="15" fillId="0" borderId="20" xfId="0" applyNumberFormat="1" applyFont="1" applyFill="1" applyBorder="1"/>
    <xf numFmtId="165" fontId="15" fillId="0" borderId="8" xfId="0" applyNumberFormat="1" applyFont="1" applyBorder="1"/>
    <xf numFmtId="165" fontId="15" fillId="0" borderId="8" xfId="0" applyNumberFormat="1" applyFont="1" applyFill="1" applyBorder="1"/>
    <xf numFmtId="165" fontId="15" fillId="0" borderId="1" xfId="0" applyNumberFormat="1" applyFont="1" applyFill="1" applyBorder="1"/>
    <xf numFmtId="165" fontId="6" fillId="0" borderId="1" xfId="0" applyNumberFormat="1" applyFont="1" applyFill="1" applyBorder="1"/>
    <xf numFmtId="165" fontId="15" fillId="0" borderId="13" xfId="0" applyNumberFormat="1" applyFont="1" applyFill="1" applyBorder="1"/>
    <xf numFmtId="165" fontId="15" fillId="0" borderId="11" xfId="0" applyNumberFormat="1" applyFont="1" applyFill="1" applyBorder="1"/>
    <xf numFmtId="165" fontId="6" fillId="0" borderId="10" xfId="0" applyNumberFormat="1" applyFont="1" applyFill="1" applyBorder="1"/>
    <xf numFmtId="165" fontId="6" fillId="0" borderId="11" xfId="0" applyNumberFormat="1" applyFont="1" applyFill="1" applyBorder="1"/>
    <xf numFmtId="165" fontId="6" fillId="0" borderId="12" xfId="0" applyNumberFormat="1" applyFont="1" applyFill="1" applyBorder="1"/>
    <xf numFmtId="165" fontId="6" fillId="0" borderId="7" xfId="0" applyNumberFormat="1" applyFont="1" applyFill="1" applyBorder="1"/>
    <xf numFmtId="165" fontId="6" fillId="0" borderId="8" xfId="0" applyNumberFormat="1" applyFont="1" applyFill="1" applyBorder="1"/>
    <xf numFmtId="165" fontId="6" fillId="0" borderId="9" xfId="0" applyNumberFormat="1" applyFont="1" applyFill="1" applyBorder="1"/>
    <xf numFmtId="165" fontId="6" fillId="0" borderId="3" xfId="0" applyNumberFormat="1" applyFont="1" applyBorder="1"/>
    <xf numFmtId="165" fontId="15" fillId="0" borderId="2" xfId="0" applyNumberFormat="1" applyFont="1" applyFill="1" applyBorder="1"/>
    <xf numFmtId="165" fontId="15" fillId="0" borderId="4" xfId="0" applyNumberFormat="1" applyFont="1" applyFill="1" applyBorder="1"/>
    <xf numFmtId="165" fontId="15" fillId="0" borderId="5" xfId="0" applyNumberFormat="1" applyFont="1" applyFill="1" applyBorder="1"/>
    <xf numFmtId="165" fontId="16" fillId="0" borderId="13" xfId="0" applyNumberFormat="1" applyFont="1" applyBorder="1"/>
    <xf numFmtId="165" fontId="16" fillId="0" borderId="13" xfId="0" applyNumberFormat="1" applyFont="1" applyFill="1" applyBorder="1"/>
    <xf numFmtId="167" fontId="7" fillId="0" borderId="17" xfId="0" applyNumberFormat="1" applyFont="1" applyBorder="1" applyAlignment="1">
      <alignment wrapText="1"/>
    </xf>
    <xf numFmtId="3" fontId="5" fillId="0" borderId="77" xfId="0" applyNumberFormat="1" applyFont="1" applyBorder="1" applyAlignment="1">
      <alignment horizontal="center" vertical="center" wrapText="1"/>
    </xf>
    <xf numFmtId="167" fontId="4" fillId="0" borderId="52" xfId="0" applyNumberFormat="1" applyFont="1" applyBorder="1" applyAlignment="1"/>
    <xf numFmtId="167" fontId="7" fillId="0" borderId="23" xfId="0" applyNumberFormat="1" applyFont="1" applyBorder="1" applyAlignment="1">
      <alignment wrapText="1"/>
    </xf>
    <xf numFmtId="167" fontId="4" fillId="0" borderId="51" xfId="0" applyNumberFormat="1" applyFont="1" applyBorder="1" applyAlignment="1"/>
    <xf numFmtId="3" fontId="4" fillId="0" borderId="31" xfId="0" applyNumberFormat="1" applyFont="1" applyBorder="1" applyAlignment="1">
      <alignment horizontal="center" vertical="center" wrapText="1"/>
    </xf>
    <xf numFmtId="3" fontId="4" fillId="0" borderId="52" xfId="0" applyNumberFormat="1" applyFont="1" applyBorder="1" applyAlignment="1">
      <alignment horizontal="center" vertical="center" wrapText="1"/>
    </xf>
    <xf numFmtId="167" fontId="7" fillId="0" borderId="15" xfId="0" applyNumberFormat="1" applyFont="1" applyBorder="1" applyAlignment="1">
      <alignment wrapText="1"/>
    </xf>
    <xf numFmtId="167" fontId="7" fillId="0" borderId="41" xfId="0" applyNumberFormat="1" applyFont="1" applyBorder="1" applyAlignment="1">
      <alignment wrapText="1"/>
    </xf>
    <xf numFmtId="0" fontId="7" fillId="0" borderId="51" xfId="0" applyFont="1" applyBorder="1" applyAlignment="1">
      <alignment vertical="center" wrapText="1"/>
    </xf>
    <xf numFmtId="0" fontId="7" fillId="0" borderId="40" xfId="0" quotePrefix="1" applyFont="1" applyBorder="1" applyAlignment="1">
      <alignment vertical="center" wrapText="1"/>
    </xf>
    <xf numFmtId="0" fontId="5" fillId="0" borderId="78" xfId="0" applyFont="1" applyBorder="1" applyAlignment="1">
      <alignment vertical="center" wrapText="1"/>
    </xf>
    <xf numFmtId="3" fontId="4" fillId="0" borderId="33" xfId="0" applyNumberFormat="1" applyFont="1" applyFill="1" applyBorder="1" applyAlignment="1">
      <alignment horizontal="center" vertical="center" wrapText="1"/>
    </xf>
    <xf numFmtId="3" fontId="4" fillId="0" borderId="42" xfId="0" applyNumberFormat="1" applyFont="1" applyBorder="1" applyAlignment="1">
      <alignment horizontal="center" vertical="center" wrapText="1"/>
    </xf>
    <xf numFmtId="0" fontId="5" fillId="0" borderId="77" xfId="0" applyFont="1" applyBorder="1" applyAlignment="1">
      <alignment horizontal="center" vertical="center" wrapText="1"/>
    </xf>
    <xf numFmtId="0" fontId="4" fillId="0" borderId="52" xfId="0" applyFont="1" applyBorder="1" applyAlignment="1">
      <alignment horizontal="center" vertical="center" wrapText="1"/>
    </xf>
    <xf numFmtId="167" fontId="4" fillId="0" borderId="42" xfId="0" applyNumberFormat="1" applyFont="1" applyBorder="1" applyAlignment="1">
      <alignment wrapText="1"/>
    </xf>
    <xf numFmtId="167" fontId="4" fillId="0" borderId="8" xfId="0" applyNumberFormat="1" applyFont="1" applyBorder="1" applyAlignment="1">
      <alignment wrapText="1"/>
    </xf>
    <xf numFmtId="167" fontId="4" fillId="0" borderId="58" xfId="0" applyNumberFormat="1" applyFont="1" applyBorder="1" applyAlignment="1">
      <alignment wrapText="1"/>
    </xf>
    <xf numFmtId="0" fontId="3" fillId="7" borderId="0" xfId="14" applyFill="1"/>
    <xf numFmtId="0" fontId="2" fillId="7" borderId="0" xfId="15" applyFill="1"/>
    <xf numFmtId="0" fontId="4" fillId="7" borderId="7" xfId="14" applyFont="1" applyFill="1" applyBorder="1" applyAlignment="1">
      <alignment horizontal="center" vertical="center" wrapText="1"/>
    </xf>
    <xf numFmtId="0" fontId="6" fillId="7" borderId="5" xfId="14" applyFont="1" applyFill="1" applyBorder="1" applyAlignment="1">
      <alignment vertical="center" wrapText="1"/>
    </xf>
    <xf numFmtId="0" fontId="15" fillId="7" borderId="5" xfId="14" applyFont="1" applyFill="1" applyBorder="1" applyAlignment="1">
      <alignment vertical="center" wrapText="1"/>
    </xf>
    <xf numFmtId="0" fontId="6" fillId="0" borderId="70" xfId="0" applyFont="1" applyBorder="1" applyAlignment="1">
      <alignment wrapText="1"/>
    </xf>
    <xf numFmtId="0" fontId="15" fillId="7" borderId="27" xfId="14" applyFont="1" applyFill="1" applyBorder="1" applyAlignment="1">
      <alignment vertical="center" wrapText="1"/>
    </xf>
    <xf numFmtId="0" fontId="6" fillId="7" borderId="2" xfId="14" applyFont="1" applyFill="1" applyBorder="1" applyAlignment="1">
      <alignment vertical="center" wrapText="1"/>
    </xf>
    <xf numFmtId="0" fontId="6" fillId="7" borderId="25" xfId="14" applyFont="1" applyFill="1" applyBorder="1" applyAlignment="1">
      <alignment vertical="center" wrapText="1"/>
    </xf>
    <xf numFmtId="3" fontId="6" fillId="7" borderId="8" xfId="14" applyNumberFormat="1" applyFont="1" applyFill="1" applyBorder="1" applyAlignment="1">
      <alignment horizontal="center" vertical="center" wrapText="1"/>
    </xf>
    <xf numFmtId="3" fontId="6" fillId="7" borderId="9" xfId="14" applyNumberFormat="1" applyFont="1" applyFill="1" applyBorder="1" applyAlignment="1">
      <alignment horizontal="center" vertical="center" wrapText="1"/>
    </xf>
    <xf numFmtId="169" fontId="6" fillId="7" borderId="3" xfId="14" applyNumberFormat="1" applyFont="1" applyFill="1" applyBorder="1" applyAlignment="1">
      <alignment horizontal="center" vertical="center" wrapText="1"/>
    </xf>
    <xf numFmtId="169" fontId="6" fillId="7" borderId="4" xfId="14" applyNumberFormat="1" applyFont="1" applyFill="1" applyBorder="1" applyAlignment="1">
      <alignment horizontal="center" vertical="center" wrapText="1"/>
    </xf>
    <xf numFmtId="3" fontId="15" fillId="7" borderId="6" xfId="14" applyNumberFormat="1" applyFont="1" applyFill="1" applyBorder="1"/>
    <xf numFmtId="3" fontId="15" fillId="7" borderId="14" xfId="14" applyNumberFormat="1" applyFont="1" applyFill="1" applyBorder="1"/>
    <xf numFmtId="3" fontId="6" fillId="7" borderId="13" xfId="14" applyNumberFormat="1" applyFont="1" applyFill="1" applyBorder="1"/>
    <xf numFmtId="3" fontId="31" fillId="7" borderId="14" xfId="15" applyNumberFormat="1" applyFont="1" applyFill="1" applyBorder="1"/>
    <xf numFmtId="3" fontId="6" fillId="7" borderId="26" xfId="14" applyNumberFormat="1" applyFont="1" applyFill="1" applyBorder="1"/>
    <xf numFmtId="1" fontId="4" fillId="0" borderId="6" xfId="0" applyNumberFormat="1" applyFont="1" applyBorder="1" applyAlignment="1">
      <alignment horizontal="center" vertical="center" wrapText="1"/>
    </xf>
    <xf numFmtId="0" fontId="4" fillId="0" borderId="8" xfId="0" applyFont="1" applyBorder="1" applyAlignment="1">
      <alignment vertical="center" wrapText="1"/>
    </xf>
    <xf numFmtId="49" fontId="4" fillId="0" borderId="26" xfId="0" applyNumberFormat="1" applyFont="1" applyBorder="1" applyAlignment="1">
      <alignment horizontal="left" vertical="center" wrapText="1"/>
    </xf>
    <xf numFmtId="49" fontId="4" fillId="0" borderId="3" xfId="0" applyNumberFormat="1" applyFont="1" applyBorder="1" applyAlignment="1">
      <alignment horizontal="center"/>
    </xf>
    <xf numFmtId="49" fontId="7" fillId="0" borderId="6" xfId="0" applyNumberFormat="1" applyFont="1" applyBorder="1" applyAlignment="1">
      <alignment horizontal="right" vertical="center" wrapText="1"/>
    </xf>
    <xf numFmtId="49" fontId="4" fillId="0" borderId="6" xfId="0" applyNumberFormat="1" applyFont="1" applyBorder="1" applyAlignment="1">
      <alignment horizontal="right" vertical="center" wrapText="1"/>
    </xf>
    <xf numFmtId="49" fontId="7" fillId="0" borderId="6" xfId="0" applyNumberFormat="1" applyFont="1" applyBorder="1" applyAlignment="1">
      <alignment horizontal="right"/>
    </xf>
    <xf numFmtId="0" fontId="4" fillId="0" borderId="6" xfId="0" applyFont="1" applyBorder="1"/>
    <xf numFmtId="49" fontId="4" fillId="0" borderId="14" xfId="0" applyNumberFormat="1" applyFont="1" applyBorder="1" applyAlignment="1">
      <alignment horizontal="left"/>
    </xf>
    <xf numFmtId="0" fontId="4" fillId="0" borderId="13" xfId="0" applyFont="1" applyBorder="1" applyAlignment="1">
      <alignment horizontal="left"/>
    </xf>
    <xf numFmtId="49" fontId="4" fillId="0" borderId="6" xfId="0" applyNumberFormat="1" applyFont="1" applyBorder="1" applyAlignment="1">
      <alignment horizontal="right"/>
    </xf>
    <xf numFmtId="49" fontId="4" fillId="0" borderId="6" xfId="0" applyNumberFormat="1" applyFont="1" applyBorder="1" applyAlignment="1">
      <alignment horizontal="left"/>
    </xf>
    <xf numFmtId="0" fontId="4" fillId="0" borderId="21" xfId="9" applyFont="1" applyBorder="1" applyAlignment="1">
      <alignment horizontal="left" vertical="center" wrapText="1"/>
    </xf>
    <xf numFmtId="0" fontId="4" fillId="0" borderId="20" xfId="9" applyFont="1" applyBorder="1" applyAlignment="1">
      <alignment horizontal="left" vertical="center" wrapText="1"/>
    </xf>
    <xf numFmtId="3" fontId="7" fillId="0" borderId="22" xfId="0" applyNumberFormat="1" applyFont="1" applyBorder="1"/>
    <xf numFmtId="3" fontId="7" fillId="0" borderId="20" xfId="0" applyNumberFormat="1" applyFont="1" applyBorder="1"/>
    <xf numFmtId="3" fontId="7" fillId="0" borderId="42" xfId="0" applyNumberFormat="1" applyFont="1" applyBorder="1"/>
    <xf numFmtId="164" fontId="15" fillId="7" borderId="6" xfId="14" applyNumberFormat="1" applyFont="1" applyFill="1" applyBorder="1"/>
    <xf numFmtId="164" fontId="15" fillId="7" borderId="14" xfId="14" applyNumberFormat="1" applyFont="1" applyFill="1" applyBorder="1"/>
    <xf numFmtId="164" fontId="6" fillId="7" borderId="13" xfId="14" applyNumberFormat="1" applyFont="1" applyFill="1" applyBorder="1"/>
    <xf numFmtId="3" fontId="4" fillId="0" borderId="11" xfId="0" applyNumberFormat="1" applyFont="1" applyBorder="1" applyAlignment="1"/>
    <xf numFmtId="3" fontId="7" fillId="0" borderId="0" xfId="0" applyNumberFormat="1" applyFont="1" applyAlignment="1">
      <alignment horizontal="center" vertical="center"/>
    </xf>
    <xf numFmtId="3" fontId="10" fillId="0" borderId="6" xfId="0" applyNumberFormat="1" applyFont="1" applyBorder="1" applyAlignment="1">
      <alignment horizontal="right"/>
    </xf>
    <xf numFmtId="3" fontId="4" fillId="0" borderId="6" xfId="12" applyNumberFormat="1" applyFont="1" applyBorder="1" applyAlignment="1">
      <alignment vertical="center" wrapText="1"/>
    </xf>
    <xf numFmtId="3" fontId="4" fillId="0" borderId="6" xfId="12" applyNumberFormat="1" applyFont="1" applyBorder="1"/>
    <xf numFmtId="3" fontId="4" fillId="0" borderId="6" xfId="12" applyNumberFormat="1" applyFont="1" applyBorder="1" applyAlignment="1">
      <alignment horizontal="right" vertical="center"/>
    </xf>
    <xf numFmtId="3" fontId="4" fillId="0" borderId="6" xfId="0" applyNumberFormat="1" applyFont="1" applyBorder="1" applyAlignment="1">
      <alignment horizontal="right" vertical="center"/>
    </xf>
    <xf numFmtId="3" fontId="4" fillId="0" borderId="6" xfId="12" applyNumberFormat="1" applyFont="1" applyBorder="1" applyAlignment="1">
      <alignment vertical="center"/>
    </xf>
    <xf numFmtId="164" fontId="7" fillId="0" borderId="1" xfId="0" applyNumberFormat="1" applyFont="1" applyBorder="1" applyAlignment="1">
      <alignment wrapText="1"/>
    </xf>
    <xf numFmtId="3" fontId="7" fillId="7" borderId="6" xfId="9" applyNumberFormat="1" applyFont="1" applyFill="1" applyBorder="1"/>
    <xf numFmtId="3" fontId="4" fillId="0" borderId="41" xfId="0" applyNumberFormat="1" applyFont="1" applyBorder="1"/>
    <xf numFmtId="3" fontId="4" fillId="0" borderId="41" xfId="0" applyNumberFormat="1" applyFont="1" applyBorder="1" applyAlignment="1">
      <alignment horizontal="right" vertical="center"/>
    </xf>
    <xf numFmtId="0" fontId="4" fillId="0" borderId="17" xfId="0" applyFont="1" applyBorder="1" applyAlignment="1">
      <alignment horizontal="left"/>
    </xf>
    <xf numFmtId="0" fontId="6" fillId="0" borderId="38" xfId="0" applyFont="1" applyFill="1" applyBorder="1" applyAlignment="1">
      <alignment horizontal="left"/>
    </xf>
    <xf numFmtId="0" fontId="4" fillId="0" borderId="17" xfId="0" applyFont="1" applyFill="1" applyBorder="1" applyAlignment="1">
      <alignment horizontal="left"/>
    </xf>
    <xf numFmtId="0" fontId="7" fillId="0" borderId="58" xfId="0" applyFont="1" applyBorder="1" applyAlignment="1">
      <alignment horizontal="left"/>
    </xf>
    <xf numFmtId="0" fontId="7" fillId="0" borderId="21" xfId="0" applyFont="1" applyBorder="1" applyAlignment="1">
      <alignment horizontal="right"/>
    </xf>
    <xf numFmtId="0" fontId="7" fillId="0" borderId="63" xfId="0" applyFont="1" applyBorder="1" applyAlignment="1">
      <alignment horizontal="left" wrapText="1"/>
    </xf>
    <xf numFmtId="3" fontId="7" fillId="0" borderId="63" xfId="0" applyNumberFormat="1" applyFont="1" applyBorder="1" applyAlignment="1">
      <alignment horizontal="left" wrapText="1"/>
    </xf>
    <xf numFmtId="0" fontId="4" fillId="0" borderId="63" xfId="0" applyFont="1" applyBorder="1" applyAlignment="1">
      <alignment horizontal="left"/>
    </xf>
    <xf numFmtId="0" fontId="7" fillId="0" borderId="64" xfId="0" applyFont="1" applyBorder="1" applyAlignment="1">
      <alignment horizontal="left"/>
    </xf>
    <xf numFmtId="0" fontId="6" fillId="0" borderId="31" xfId="0" applyFont="1" applyFill="1" applyBorder="1" applyAlignment="1">
      <alignment horizontal="left"/>
    </xf>
    <xf numFmtId="0" fontId="6" fillId="0" borderId="65" xfId="0" applyFont="1" applyBorder="1" applyAlignment="1">
      <alignment horizontal="left"/>
    </xf>
    <xf numFmtId="0" fontId="6" fillId="0" borderId="32" xfId="0" applyFont="1" applyBorder="1" applyAlignment="1">
      <alignment horizontal="left"/>
    </xf>
    <xf numFmtId="0" fontId="6" fillId="0" borderId="36" xfId="0" applyFont="1" applyFill="1" applyBorder="1" applyAlignment="1">
      <alignment horizontal="left"/>
    </xf>
    <xf numFmtId="0" fontId="6" fillId="0" borderId="73" xfId="0" applyFont="1" applyFill="1" applyBorder="1" applyAlignment="1">
      <alignment horizontal="left"/>
    </xf>
    <xf numFmtId="3" fontId="4" fillId="0" borderId="24" xfId="0" applyNumberFormat="1" applyFont="1" applyBorder="1"/>
    <xf numFmtId="3" fontId="18" fillId="0" borderId="26" xfId="0" applyNumberFormat="1" applyFont="1" applyBorder="1" applyAlignment="1">
      <alignment horizontal="center" vertical="center" wrapText="1"/>
    </xf>
    <xf numFmtId="3" fontId="4" fillId="0" borderId="26" xfId="0" applyNumberFormat="1" applyFont="1" applyFill="1" applyBorder="1"/>
    <xf numFmtId="0" fontId="7" fillId="0" borderId="27" xfId="0" applyFont="1" applyFill="1" applyBorder="1" applyAlignment="1">
      <alignment vertical="center" wrapText="1"/>
    </xf>
    <xf numFmtId="3" fontId="4" fillId="0" borderId="28" xfId="0" applyNumberFormat="1" applyFont="1" applyBorder="1"/>
    <xf numFmtId="0" fontId="7" fillId="0" borderId="21" xfId="9" applyFont="1" applyBorder="1" applyAlignment="1">
      <alignment horizontal="left" vertical="center" wrapText="1"/>
    </xf>
    <xf numFmtId="0" fontId="7" fillId="0" borderId="20" xfId="9" applyFont="1" applyBorder="1" applyAlignment="1">
      <alignment horizontal="left" vertical="center" wrapText="1"/>
    </xf>
    <xf numFmtId="0" fontId="7" fillId="0" borderId="17" xfId="9" applyFont="1" applyBorder="1" applyAlignment="1">
      <alignment horizontal="left" vertical="center" wrapText="1"/>
    </xf>
    <xf numFmtId="0" fontId="7" fillId="0" borderId="6" xfId="9" applyFont="1" applyBorder="1" applyAlignment="1">
      <alignment horizontal="left" vertical="center" wrapText="1"/>
    </xf>
    <xf numFmtId="0" fontId="7" fillId="0" borderId="5" xfId="9" applyFont="1" applyBorder="1" applyAlignment="1">
      <alignment horizontal="left" vertical="center" wrapText="1"/>
    </xf>
    <xf numFmtId="0" fontId="7" fillId="0" borderId="20" xfId="0" applyFont="1" applyFill="1" applyBorder="1" applyAlignment="1">
      <alignment vertical="center" wrapText="1"/>
    </xf>
    <xf numFmtId="0" fontId="7" fillId="0" borderId="27" xfId="9" applyFont="1" applyBorder="1" applyAlignment="1">
      <alignment horizontal="left" vertical="center" wrapText="1"/>
    </xf>
    <xf numFmtId="0" fontId="7" fillId="0" borderId="29" xfId="9" applyFont="1" applyBorder="1" applyAlignment="1">
      <alignment horizontal="left" vertical="center" wrapText="1"/>
    </xf>
    <xf numFmtId="3" fontId="7" fillId="0" borderId="14" xfId="9" applyNumberFormat="1" applyFont="1" applyBorder="1" applyAlignment="1">
      <alignment horizontal="right" vertical="center" wrapText="1"/>
    </xf>
    <xf numFmtId="0" fontId="4" fillId="0" borderId="21" xfId="0" applyFont="1" applyFill="1" applyBorder="1" applyAlignment="1">
      <alignment horizontal="left" vertical="center" wrapText="1"/>
    </xf>
    <xf numFmtId="0" fontId="4" fillId="0" borderId="20" xfId="0" applyFont="1" applyFill="1" applyBorder="1" applyAlignment="1">
      <alignment horizontal="left" vertical="center" wrapText="1"/>
    </xf>
    <xf numFmtId="3" fontId="4" fillId="0" borderId="58" xfId="0" applyNumberFormat="1" applyFont="1" applyFill="1" applyBorder="1" applyAlignment="1">
      <alignment wrapText="1"/>
    </xf>
    <xf numFmtId="3" fontId="4" fillId="0" borderId="59" xfId="0" applyNumberFormat="1" applyFont="1" applyFill="1" applyBorder="1" applyAlignment="1">
      <alignment wrapText="1"/>
    </xf>
    <xf numFmtId="3" fontId="4" fillId="0" borderId="1" xfId="0" applyNumberFormat="1" applyFont="1" applyFill="1" applyBorder="1" applyAlignment="1">
      <alignment wrapText="1"/>
    </xf>
    <xf numFmtId="0" fontId="7" fillId="0" borderId="23" xfId="9" applyFont="1" applyBorder="1" applyAlignment="1">
      <alignment horizontal="left" vertical="center" wrapText="1"/>
    </xf>
    <xf numFmtId="0" fontId="7" fillId="0" borderId="3" xfId="9" applyFont="1" applyBorder="1" applyAlignment="1">
      <alignment horizontal="left" vertical="center" wrapText="1"/>
    </xf>
    <xf numFmtId="0" fontId="7" fillId="0" borderId="5" xfId="9"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2" xfId="9" applyFont="1" applyBorder="1" applyAlignment="1">
      <alignment horizontal="left" vertical="center" wrapText="1"/>
    </xf>
    <xf numFmtId="0" fontId="7" fillId="0" borderId="29" xfId="0" applyFont="1" applyFill="1" applyBorder="1"/>
    <xf numFmtId="0" fontId="7" fillId="0" borderId="29" xfId="0" applyFont="1" applyBorder="1"/>
    <xf numFmtId="0" fontId="7" fillId="0" borderId="5" xfId="0" applyFont="1" applyBorder="1"/>
    <xf numFmtId="0" fontId="4" fillId="0" borderId="56" xfId="0" applyFont="1" applyFill="1" applyBorder="1" applyAlignment="1">
      <alignment vertical="center" wrapText="1"/>
    </xf>
    <xf numFmtId="3" fontId="4" fillId="0" borderId="9" xfId="0" applyNumberFormat="1" applyFont="1" applyFill="1" applyBorder="1" applyAlignment="1">
      <alignment wrapText="1"/>
    </xf>
    <xf numFmtId="3" fontId="6" fillId="7" borderId="12" xfId="14" applyNumberFormat="1" applyFont="1" applyFill="1" applyBorder="1" applyAlignment="1">
      <alignment horizontal="center" vertical="center" wrapText="1"/>
    </xf>
    <xf numFmtId="3" fontId="15" fillId="7" borderId="24" xfId="14" applyNumberFormat="1" applyFont="1" applyFill="1" applyBorder="1"/>
    <xf numFmtId="3" fontId="4" fillId="0" borderId="32" xfId="0" applyNumberFormat="1" applyFont="1" applyBorder="1" applyAlignment="1">
      <alignment horizontal="right" wrapText="1"/>
    </xf>
    <xf numFmtId="3" fontId="4" fillId="0" borderId="62" xfId="0" applyNumberFormat="1" applyFont="1" applyBorder="1" applyAlignment="1">
      <alignment horizontal="right" wrapText="1"/>
    </xf>
    <xf numFmtId="3" fontId="7" fillId="0" borderId="32" xfId="0" applyNumberFormat="1" applyFont="1" applyBorder="1" applyAlignment="1">
      <alignment horizontal="right" wrapText="1"/>
    </xf>
    <xf numFmtId="3" fontId="7" fillId="0" borderId="32" xfId="0" applyNumberFormat="1" applyFont="1" applyBorder="1"/>
    <xf numFmtId="3" fontId="4" fillId="0" borderId="32" xfId="0" applyNumberFormat="1" applyFont="1" applyBorder="1"/>
    <xf numFmtId="3" fontId="4" fillId="0" borderId="62" xfId="0" applyNumberFormat="1" applyFont="1" applyBorder="1"/>
    <xf numFmtId="3" fontId="4" fillId="0" borderId="65" xfId="0" applyNumberFormat="1" applyFont="1" applyBorder="1" applyAlignment="1">
      <alignment horizontal="right" wrapText="1"/>
    </xf>
    <xf numFmtId="3" fontId="7" fillId="0" borderId="65" xfId="0" applyNumberFormat="1" applyFont="1" applyBorder="1" applyAlignment="1">
      <alignment horizontal="right" wrapText="1"/>
    </xf>
    <xf numFmtId="3" fontId="6" fillId="0" borderId="32" xfId="0" applyNumberFormat="1" applyFont="1" applyBorder="1" applyAlignment="1">
      <alignment horizontal="right"/>
    </xf>
    <xf numFmtId="3" fontId="6" fillId="0" borderId="62" xfId="0" applyNumberFormat="1" applyFont="1" applyBorder="1" applyAlignment="1">
      <alignment horizontal="right"/>
    </xf>
    <xf numFmtId="3" fontId="6" fillId="0" borderId="32" xfId="0" applyNumberFormat="1" applyFont="1" applyFill="1" applyBorder="1" applyAlignment="1">
      <alignment horizontal="right"/>
    </xf>
    <xf numFmtId="3" fontId="4" fillId="0" borderId="32" xfId="0" applyNumberFormat="1" applyFont="1" applyFill="1" applyBorder="1" applyAlignment="1">
      <alignment horizontal="right" wrapText="1"/>
    </xf>
    <xf numFmtId="3" fontId="4" fillId="0" borderId="62" xfId="0" applyNumberFormat="1" applyFont="1" applyFill="1" applyBorder="1" applyAlignment="1">
      <alignment horizontal="right"/>
    </xf>
    <xf numFmtId="3" fontId="24" fillId="0" borderId="32" xfId="0" applyNumberFormat="1" applyFont="1" applyFill="1" applyBorder="1" applyAlignment="1">
      <alignment horizontal="center" vertical="center" wrapText="1"/>
    </xf>
    <xf numFmtId="3" fontId="24" fillId="0" borderId="32" xfId="0" applyNumberFormat="1" applyFont="1" applyBorder="1" applyAlignment="1">
      <alignment horizontal="center" vertical="center" wrapText="1"/>
    </xf>
    <xf numFmtId="0" fontId="24" fillId="0" borderId="62" xfId="0" applyFont="1" applyBorder="1" applyAlignment="1">
      <alignment horizontal="center" vertical="center" wrapText="1"/>
    </xf>
    <xf numFmtId="0" fontId="7" fillId="0" borderId="6" xfId="0" applyFont="1" applyFill="1" applyBorder="1" applyAlignment="1">
      <alignment horizontal="center" vertical="center"/>
    </xf>
    <xf numFmtId="164" fontId="7" fillId="0" borderId="6" xfId="0" applyNumberFormat="1" applyFont="1" applyFill="1" applyBorder="1" applyAlignment="1">
      <alignment horizontal="right"/>
    </xf>
    <xf numFmtId="0" fontId="4" fillId="0" borderId="55" xfId="0" applyFont="1" applyFill="1" applyBorder="1" applyAlignment="1">
      <alignment vertical="center" wrapText="1"/>
    </xf>
    <xf numFmtId="0" fontId="7" fillId="0" borderId="52" xfId="0" applyFont="1" applyFill="1" applyBorder="1" applyAlignment="1">
      <alignment vertical="center" wrapText="1"/>
    </xf>
    <xf numFmtId="3" fontId="7" fillId="0" borderId="3" xfId="0" applyNumberFormat="1" applyFont="1" applyBorder="1" applyAlignment="1">
      <alignment vertical="center" wrapText="1"/>
    </xf>
    <xf numFmtId="3" fontId="7" fillId="0" borderId="8" xfId="0" applyNumberFormat="1" applyFont="1" applyFill="1" applyBorder="1" applyAlignment="1">
      <alignment horizontal="right"/>
    </xf>
    <xf numFmtId="3" fontId="4" fillId="0" borderId="11" xfId="0" applyNumberFormat="1" applyFont="1" applyFill="1" applyBorder="1" applyAlignment="1">
      <alignment horizontal="right"/>
    </xf>
    <xf numFmtId="3" fontId="4" fillId="0" borderId="12" xfId="0" applyNumberFormat="1" applyFont="1" applyFill="1" applyBorder="1" applyAlignment="1">
      <alignment horizontal="right"/>
    </xf>
    <xf numFmtId="3" fontId="7" fillId="0" borderId="24" xfId="0" applyNumberFormat="1" applyFont="1" applyBorder="1" applyAlignment="1">
      <alignment horizontal="right"/>
    </xf>
    <xf numFmtId="3" fontId="7" fillId="0" borderId="9" xfId="0" applyNumberFormat="1" applyFont="1" applyBorder="1" applyAlignment="1">
      <alignment horizontal="right"/>
    </xf>
    <xf numFmtId="3" fontId="7" fillId="0" borderId="14" xfId="0" applyNumberFormat="1" applyFont="1" applyBorder="1" applyAlignment="1">
      <alignment horizontal="right"/>
    </xf>
    <xf numFmtId="3" fontId="4" fillId="0" borderId="11" xfId="0" applyNumberFormat="1" applyFont="1" applyBorder="1" applyAlignment="1">
      <alignment horizontal="right"/>
    </xf>
    <xf numFmtId="3" fontId="4" fillId="0" borderId="12" xfId="0" applyNumberFormat="1" applyFont="1" applyBorder="1" applyAlignment="1">
      <alignment horizontal="right"/>
    </xf>
    <xf numFmtId="0" fontId="7" fillId="0" borderId="27" xfId="0" applyFont="1" applyBorder="1" applyAlignment="1">
      <alignment wrapText="1"/>
    </xf>
    <xf numFmtId="0" fontId="7" fillId="0" borderId="14" xfId="0" applyFont="1" applyBorder="1" applyAlignment="1">
      <alignment horizontal="left" wrapText="1"/>
    </xf>
    <xf numFmtId="3" fontId="7" fillId="0" borderId="28" xfId="0" applyNumberFormat="1" applyFont="1" applyBorder="1" applyAlignment="1">
      <alignment horizontal="right" wrapText="1"/>
    </xf>
    <xf numFmtId="3" fontId="4" fillId="0" borderId="11" xfId="0" applyNumberFormat="1" applyFont="1" applyFill="1" applyBorder="1" applyAlignment="1">
      <alignment horizontal="right" wrapText="1"/>
    </xf>
    <xf numFmtId="3" fontId="4" fillId="0" borderId="12" xfId="0" applyNumberFormat="1" applyFont="1" applyFill="1" applyBorder="1" applyAlignment="1">
      <alignment horizontal="right" wrapText="1"/>
    </xf>
    <xf numFmtId="3" fontId="7" fillId="0" borderId="24" xfId="0" applyNumberFormat="1" applyFont="1" applyFill="1" applyBorder="1" applyAlignment="1">
      <alignment horizontal="right"/>
    </xf>
    <xf numFmtId="3" fontId="7" fillId="0" borderId="9" xfId="0" applyNumberFormat="1" applyFont="1" applyFill="1" applyBorder="1" applyAlignment="1">
      <alignment horizontal="right"/>
    </xf>
    <xf numFmtId="3" fontId="4" fillId="0" borderId="13" xfId="0" applyNumberFormat="1" applyFont="1" applyBorder="1" applyAlignment="1">
      <alignment horizontal="right" vertical="center" wrapText="1"/>
    </xf>
    <xf numFmtId="3" fontId="4" fillId="0" borderId="39" xfId="0" applyNumberFormat="1" applyFont="1" applyBorder="1" applyAlignment="1">
      <alignment horizontal="right" vertical="center" wrapText="1"/>
    </xf>
    <xf numFmtId="0" fontId="7" fillId="0" borderId="3" xfId="0" applyFont="1" applyBorder="1" applyAlignment="1">
      <alignment horizontal="left"/>
    </xf>
    <xf numFmtId="0" fontId="7" fillId="0" borderId="6" xfId="0" applyFont="1" applyBorder="1" applyAlignment="1">
      <alignment horizontal="left"/>
    </xf>
    <xf numFmtId="3" fontId="4" fillId="0" borderId="11"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1" xfId="0" applyNumberFormat="1" applyFont="1" applyBorder="1" applyAlignment="1">
      <alignment horizontal="right"/>
    </xf>
    <xf numFmtId="3" fontId="4" fillId="0" borderId="8" xfId="0" applyNumberFormat="1" applyFont="1" applyBorder="1" applyAlignment="1">
      <alignment horizontal="right"/>
    </xf>
    <xf numFmtId="3" fontId="4" fillId="0" borderId="9" xfId="0" applyNumberFormat="1" applyFont="1" applyBorder="1" applyAlignment="1">
      <alignment horizontal="right"/>
    </xf>
    <xf numFmtId="1" fontId="4" fillId="0" borderId="44" xfId="0" applyNumberFormat="1" applyFont="1" applyBorder="1" applyAlignment="1">
      <alignment horizontal="center" wrapText="1"/>
    </xf>
    <xf numFmtId="3" fontId="4" fillId="0" borderId="21" xfId="0" applyNumberFormat="1" applyFont="1" applyBorder="1" applyAlignment="1">
      <alignment horizontal="center" vertical="center" wrapText="1"/>
    </xf>
    <xf numFmtId="1" fontId="4" fillId="0" borderId="44" xfId="0" applyNumberFormat="1" applyFont="1" applyFill="1" applyBorder="1" applyAlignment="1">
      <alignment horizontal="center" wrapText="1"/>
    </xf>
    <xf numFmtId="3" fontId="6" fillId="6" borderId="20" xfId="0" applyNumberFormat="1" applyFont="1" applyFill="1" applyBorder="1" applyAlignment="1">
      <alignment horizontal="center" vertical="center" wrapText="1"/>
    </xf>
    <xf numFmtId="3" fontId="4" fillId="0" borderId="20" xfId="0" applyNumberFormat="1" applyFont="1" applyFill="1" applyBorder="1" applyAlignment="1">
      <alignment horizontal="center" vertical="center" wrapText="1"/>
    </xf>
    <xf numFmtId="3" fontId="4" fillId="0" borderId="30" xfId="0" applyNumberFormat="1" applyFont="1" applyFill="1" applyBorder="1" applyAlignment="1">
      <alignment horizontal="center" vertical="center" wrapText="1"/>
    </xf>
    <xf numFmtId="0" fontId="5" fillId="0" borderId="29" xfId="0" applyFont="1" applyBorder="1" applyAlignment="1">
      <alignment horizontal="center" vertical="center" wrapText="1"/>
    </xf>
    <xf numFmtId="0" fontId="4" fillId="0" borderId="54" xfId="0" applyFont="1" applyFill="1" applyBorder="1" applyAlignment="1">
      <alignment vertical="center" wrapText="1"/>
    </xf>
    <xf numFmtId="0" fontId="4" fillId="0" borderId="69" xfId="0" applyFont="1" applyFill="1" applyBorder="1" applyAlignment="1">
      <alignment vertical="center" wrapText="1"/>
    </xf>
    <xf numFmtId="0" fontId="4" fillId="0" borderId="72" xfId="0" applyFont="1" applyFill="1" applyBorder="1" applyAlignment="1">
      <alignment vertical="center" wrapText="1"/>
    </xf>
    <xf numFmtId="0" fontId="7" fillId="0" borderId="71" xfId="9" applyFont="1" applyFill="1" applyBorder="1" applyAlignment="1">
      <alignment horizontal="left" vertical="center" wrapText="1"/>
    </xf>
    <xf numFmtId="0" fontId="7" fillId="0" borderId="70" xfId="9" applyFont="1" applyFill="1" applyBorder="1" applyAlignment="1">
      <alignment horizontal="left" vertical="center" wrapText="1"/>
    </xf>
    <xf numFmtId="0" fontId="4" fillId="0" borderId="17" xfId="9" applyFont="1" applyBorder="1" applyAlignment="1">
      <alignment horizontal="left" vertical="center" wrapText="1"/>
    </xf>
    <xf numFmtId="0" fontId="4" fillId="0" borderId="6" xfId="9" applyFont="1" applyBorder="1" applyAlignment="1">
      <alignment horizontal="left" vertical="center" wrapText="1"/>
    </xf>
    <xf numFmtId="0" fontId="7" fillId="0" borderId="17" xfId="9" applyFont="1" applyBorder="1" applyAlignment="1">
      <alignment horizontal="right" vertical="center" wrapText="1"/>
    </xf>
    <xf numFmtId="3" fontId="7" fillId="0" borderId="17" xfId="9" applyNumberFormat="1" applyFont="1" applyBorder="1" applyAlignment="1">
      <alignment horizontal="right" vertical="center" wrapText="1"/>
    </xf>
    <xf numFmtId="0" fontId="22" fillId="0" borderId="2" xfId="0" applyFont="1" applyFill="1" applyBorder="1" applyAlignment="1">
      <alignment vertical="center" wrapText="1"/>
    </xf>
    <xf numFmtId="165" fontId="22" fillId="0" borderId="3" xfId="0" applyNumberFormat="1" applyFont="1" applyFill="1" applyBorder="1" applyAlignment="1">
      <alignment vertical="center" wrapText="1"/>
    </xf>
    <xf numFmtId="3" fontId="22" fillId="0" borderId="3" xfId="0" applyNumberFormat="1" applyFont="1" applyFill="1" applyBorder="1" applyAlignment="1">
      <alignment vertical="center" wrapText="1"/>
    </xf>
    <xf numFmtId="0" fontId="23" fillId="4" borderId="4" xfId="0" applyFont="1" applyFill="1" applyBorder="1" applyAlignment="1">
      <alignment vertical="center" wrapText="1"/>
    </xf>
    <xf numFmtId="165" fontId="22" fillId="0" borderId="6" xfId="0" applyNumberFormat="1" applyFont="1" applyFill="1" applyBorder="1" applyAlignment="1">
      <alignment vertical="center" wrapText="1"/>
    </xf>
    <xf numFmtId="165" fontId="0" fillId="0" borderId="0" xfId="0" applyNumberFormat="1" applyFont="1"/>
    <xf numFmtId="3" fontId="0" fillId="0" borderId="0" xfId="0" applyNumberFormat="1" applyFont="1"/>
    <xf numFmtId="0" fontId="7" fillId="0" borderId="0" xfId="0" applyFont="1" applyAlignment="1">
      <alignment horizontal="center" vertical="center"/>
    </xf>
    <xf numFmtId="3" fontId="7" fillId="0" borderId="5" xfId="0" applyNumberFormat="1" applyFont="1" applyBorder="1" applyAlignment="1">
      <alignment wrapText="1"/>
    </xf>
    <xf numFmtId="3" fontId="33" fillId="0" borderId="13" xfId="0" applyNumberFormat="1" applyFont="1" applyBorder="1"/>
    <xf numFmtId="0" fontId="5" fillId="0" borderId="10" xfId="11" applyFont="1" applyBorder="1" applyAlignment="1">
      <alignment horizontal="center" vertical="center" wrapText="1"/>
    </xf>
    <xf numFmtId="0" fontId="5" fillId="0" borderId="11" xfId="11" applyFont="1" applyBorder="1" applyAlignment="1">
      <alignment horizontal="center" vertical="center" wrapText="1"/>
    </xf>
    <xf numFmtId="164" fontId="4" fillId="0" borderId="11" xfId="11" applyNumberFormat="1" applyFont="1" applyBorder="1" applyAlignment="1">
      <alignment horizontal="center" vertical="center" wrapText="1"/>
    </xf>
    <xf numFmtId="0" fontId="4" fillId="0" borderId="12" xfId="11" applyFont="1" applyBorder="1" applyAlignment="1">
      <alignment horizontal="center" vertical="center" wrapText="1"/>
    </xf>
    <xf numFmtId="0" fontId="7" fillId="0" borderId="24" xfId="11" applyFont="1" applyBorder="1" applyAlignment="1">
      <alignment horizontal="center" vertical="center" wrapText="1"/>
    </xf>
    <xf numFmtId="0" fontId="7" fillId="0" borderId="5" xfId="11" applyFont="1" applyBorder="1" applyAlignment="1">
      <alignment horizontal="left" vertical="center" wrapText="1"/>
    </xf>
    <xf numFmtId="0" fontId="7" fillId="0" borderId="24" xfId="0" applyFont="1" applyBorder="1" applyAlignment="1">
      <alignment horizontal="center" vertical="center" wrapText="1"/>
    </xf>
    <xf numFmtId="0" fontId="7" fillId="0" borderId="5" xfId="0" applyFont="1" applyFill="1" applyBorder="1" applyAlignment="1">
      <alignment horizontal="left" vertical="center" wrapText="1"/>
    </xf>
    <xf numFmtId="0" fontId="7" fillId="0" borderId="5" xfId="0" applyFont="1" applyBorder="1" applyAlignment="1">
      <alignment horizontal="justify" vertical="center" wrapText="1"/>
    </xf>
    <xf numFmtId="0" fontId="7" fillId="0" borderId="5" xfId="0" applyFont="1" applyBorder="1" applyAlignment="1">
      <alignment horizontal="justify" vertical="center"/>
    </xf>
    <xf numFmtId="0" fontId="7" fillId="0" borderId="5" xfId="0" applyFont="1" applyFill="1" applyBorder="1" applyAlignment="1">
      <alignment horizontal="justify" vertical="center"/>
    </xf>
    <xf numFmtId="0" fontId="7" fillId="0" borderId="5" xfId="0" quotePrefix="1" applyFont="1" applyBorder="1" applyAlignment="1">
      <alignment vertical="center" wrapText="1"/>
    </xf>
    <xf numFmtId="0" fontId="7" fillId="0" borderId="24" xfId="0" applyFont="1" applyBorder="1" applyAlignment="1">
      <alignment horizontal="center" vertical="center"/>
    </xf>
    <xf numFmtId="0" fontId="7" fillId="0" borderId="5" xfId="0" applyFont="1" applyFill="1" applyBorder="1" applyAlignment="1">
      <alignment wrapText="1"/>
    </xf>
    <xf numFmtId="0" fontId="4" fillId="0" borderId="7" xfId="0" applyFont="1" applyBorder="1" applyAlignment="1">
      <alignment vertical="center" wrapText="1"/>
    </xf>
    <xf numFmtId="164" fontId="4" fillId="0" borderId="8" xfId="0" applyNumberFormat="1" applyFont="1" applyBorder="1" applyAlignment="1">
      <alignment horizontal="right"/>
    </xf>
    <xf numFmtId="164" fontId="4" fillId="0" borderId="9" xfId="0" applyNumberFormat="1" applyFont="1" applyBorder="1" applyAlignment="1">
      <alignment vertical="center" wrapText="1"/>
    </xf>
    <xf numFmtId="164" fontId="31" fillId="7" borderId="6" xfId="15" applyNumberFormat="1" applyFont="1" applyFill="1" applyBorder="1"/>
    <xf numFmtId="3" fontId="31" fillId="7" borderId="6" xfId="15" applyNumberFormat="1" applyFont="1" applyFill="1" applyBorder="1"/>
    <xf numFmtId="3" fontId="31" fillId="7" borderId="24" xfId="15" applyNumberFormat="1" applyFont="1" applyFill="1" applyBorder="1"/>
    <xf numFmtId="164" fontId="31" fillId="7" borderId="14" xfId="15" applyNumberFormat="1" applyFont="1" applyFill="1" applyBorder="1"/>
    <xf numFmtId="164" fontId="31" fillId="7" borderId="3" xfId="14" applyNumberFormat="1" applyFont="1" applyFill="1" applyBorder="1"/>
    <xf numFmtId="3" fontId="31" fillId="7" borderId="3" xfId="14" applyNumberFormat="1" applyFont="1" applyFill="1" applyBorder="1"/>
    <xf numFmtId="3" fontId="31" fillId="7" borderId="4" xfId="14" applyNumberFormat="1" applyFont="1" applyFill="1" applyBorder="1"/>
    <xf numFmtId="0" fontId="6" fillId="7" borderId="10" xfId="14" applyFont="1" applyFill="1" applyBorder="1" applyAlignment="1">
      <alignment horizontal="center" vertical="center" wrapText="1"/>
    </xf>
    <xf numFmtId="0" fontId="9" fillId="0" borderId="27" xfId="1" applyFont="1" applyFill="1" applyBorder="1" applyAlignment="1">
      <alignment horizontal="left" vertical="center" wrapText="1"/>
    </xf>
    <xf numFmtId="3" fontId="7" fillId="0" borderId="14" xfId="0" applyNumberFormat="1" applyFont="1" applyBorder="1" applyAlignment="1"/>
    <xf numFmtId="164" fontId="7" fillId="0" borderId="20" xfId="0" applyNumberFormat="1" applyFont="1" applyBorder="1" applyAlignment="1">
      <alignment wrapText="1"/>
    </xf>
    <xf numFmtId="3" fontId="7" fillId="6" borderId="14" xfId="0" applyNumberFormat="1" applyFont="1" applyFill="1" applyBorder="1" applyAlignment="1"/>
    <xf numFmtId="3" fontId="7" fillId="0" borderId="14" xfId="0" applyNumberFormat="1" applyFont="1" applyFill="1" applyBorder="1" applyAlignment="1"/>
    <xf numFmtId="3" fontId="4" fillId="0" borderId="14" xfId="0" applyNumberFormat="1" applyFont="1" applyFill="1" applyBorder="1" applyAlignment="1"/>
    <xf numFmtId="3" fontId="4" fillId="0" borderId="28" xfId="0" applyNumberFormat="1" applyFont="1" applyFill="1" applyBorder="1" applyAlignment="1"/>
    <xf numFmtId="3" fontId="7" fillId="0" borderId="14" xfId="0" applyNumberFormat="1" applyFont="1" applyFill="1" applyBorder="1" applyAlignment="1">
      <alignment wrapText="1"/>
    </xf>
    <xf numFmtId="3" fontId="4" fillId="0" borderId="3" xfId="0" applyNumberFormat="1" applyFont="1" applyFill="1" applyBorder="1" applyAlignment="1">
      <alignment vertical="center" wrapText="1"/>
    </xf>
    <xf numFmtId="0" fontId="0" fillId="0" borderId="0" xfId="0" applyFill="1" applyBorder="1"/>
    <xf numFmtId="0" fontId="0" fillId="0" borderId="0" xfId="0" applyFill="1"/>
    <xf numFmtId="0" fontId="7" fillId="0" borderId="0" xfId="0" applyFont="1" applyFill="1" applyBorder="1"/>
    <xf numFmtId="3" fontId="4" fillId="0" borderId="14" xfId="0" applyNumberFormat="1" applyFont="1" applyFill="1" applyBorder="1" applyAlignment="1">
      <alignment wrapText="1"/>
    </xf>
    <xf numFmtId="3" fontId="7" fillId="0" borderId="28" xfId="0" applyNumberFormat="1" applyFont="1" applyFill="1" applyBorder="1" applyAlignment="1">
      <alignment wrapText="1"/>
    </xf>
    <xf numFmtId="9" fontId="7" fillId="0" borderId="0" xfId="13" applyFont="1" applyFill="1"/>
    <xf numFmtId="3" fontId="0" fillId="0" borderId="0" xfId="0" applyNumberFormat="1" applyFill="1"/>
    <xf numFmtId="3" fontId="4" fillId="0" borderId="53" xfId="0" applyNumberFormat="1" applyFont="1" applyBorder="1" applyAlignment="1">
      <alignment wrapText="1"/>
    </xf>
    <xf numFmtId="3" fontId="23" fillId="0" borderId="80" xfId="0" applyNumberFormat="1" applyFont="1" applyBorder="1" applyAlignment="1">
      <alignment horizontal="right"/>
    </xf>
    <xf numFmtId="0" fontId="7" fillId="0" borderId="63" xfId="0" applyFont="1" applyFill="1" applyBorder="1" applyAlignment="1">
      <alignment horizontal="left" wrapText="1"/>
    </xf>
    <xf numFmtId="0" fontId="7" fillId="0" borderId="41" xfId="0" applyFont="1" applyFill="1" applyBorder="1" applyAlignment="1">
      <alignment horizontal="left" wrapText="1"/>
    </xf>
    <xf numFmtId="0" fontId="7" fillId="0" borderId="64" xfId="0" applyFont="1" applyFill="1" applyBorder="1" applyAlignment="1">
      <alignment horizontal="left" wrapText="1"/>
    </xf>
    <xf numFmtId="0" fontId="7" fillId="0" borderId="7" xfId="0" applyFont="1" applyBorder="1" applyAlignment="1">
      <alignment horizontal="left"/>
    </xf>
    <xf numFmtId="0" fontId="7" fillId="0" borderId="5" xfId="0" applyFont="1" applyBorder="1" applyAlignment="1">
      <alignment horizontal="left"/>
    </xf>
    <xf numFmtId="0" fontId="4" fillId="0" borderId="38" xfId="0" applyFont="1" applyBorder="1" applyAlignment="1">
      <alignment horizontal="center" vertical="center" wrapText="1"/>
    </xf>
    <xf numFmtId="3" fontId="4" fillId="0" borderId="37" xfId="0" applyNumberFormat="1" applyFont="1" applyBorder="1" applyAlignment="1">
      <alignment wrapText="1"/>
    </xf>
    <xf numFmtId="3" fontId="6" fillId="0" borderId="26" xfId="0" applyNumberFormat="1" applyFont="1" applyFill="1" applyBorder="1" applyAlignment="1">
      <alignment horizontal="right"/>
    </xf>
    <xf numFmtId="3" fontId="6" fillId="0" borderId="39" xfId="0" applyNumberFormat="1" applyFont="1" applyFill="1" applyBorder="1" applyAlignment="1">
      <alignment horizontal="right"/>
    </xf>
    <xf numFmtId="3" fontId="10" fillId="0" borderId="6" xfId="0" applyNumberFormat="1" applyFont="1" applyBorder="1" applyAlignment="1">
      <alignment wrapText="1"/>
    </xf>
    <xf numFmtId="3" fontId="10" fillId="0" borderId="3" xfId="0" applyNumberFormat="1" applyFont="1" applyBorder="1" applyAlignment="1">
      <alignment vertical="center" wrapText="1"/>
    </xf>
    <xf numFmtId="3" fontId="10" fillId="0" borderId="6" xfId="0" applyNumberFormat="1" applyFont="1" applyBorder="1" applyAlignment="1">
      <alignment vertical="center" wrapText="1"/>
    </xf>
    <xf numFmtId="3" fontId="10" fillId="0" borderId="6" xfId="0" applyNumberFormat="1" applyFont="1" applyBorder="1"/>
    <xf numFmtId="3" fontId="6" fillId="6" borderId="20" xfId="0" applyNumberFormat="1" applyFont="1" applyFill="1" applyBorder="1" applyAlignment="1">
      <alignment horizontal="center" vertical="center" wrapText="1"/>
    </xf>
    <xf numFmtId="3" fontId="6" fillId="6" borderId="20" xfId="0" applyNumberFormat="1" applyFont="1" applyFill="1" applyBorder="1" applyAlignment="1">
      <alignment horizontal="center" vertical="center" wrapText="1"/>
    </xf>
    <xf numFmtId="0" fontId="25" fillId="0" borderId="27" xfId="0" applyFont="1" applyFill="1" applyBorder="1" applyAlignment="1">
      <alignment vertical="center" wrapText="1"/>
    </xf>
    <xf numFmtId="165" fontId="25" fillId="0" borderId="14" xfId="0" applyNumberFormat="1" applyFont="1" applyFill="1" applyBorder="1" applyAlignment="1">
      <alignment vertical="center" wrapText="1"/>
    </xf>
    <xf numFmtId="0" fontId="23" fillId="0" borderId="28" xfId="0" applyFont="1" applyFill="1" applyBorder="1" applyAlignment="1">
      <alignment vertical="center" wrapText="1"/>
    </xf>
    <xf numFmtId="3" fontId="7" fillId="0" borderId="53" xfId="0" applyNumberFormat="1" applyFont="1" applyBorder="1" applyAlignment="1">
      <alignment horizontal="center" vertical="center" wrapText="1"/>
    </xf>
    <xf numFmtId="49" fontId="7" fillId="0" borderId="50" xfId="0" applyNumberFormat="1" applyFont="1" applyBorder="1" applyAlignment="1">
      <alignment horizontal="center" vertical="center" wrapText="1"/>
    </xf>
    <xf numFmtId="1" fontId="4" fillId="0" borderId="44" xfId="0" applyNumberFormat="1" applyFont="1" applyBorder="1" applyAlignment="1">
      <alignment horizontal="center" wrapText="1"/>
    </xf>
    <xf numFmtId="3" fontId="4" fillId="0" borderId="21" xfId="0" applyNumberFormat="1" applyFont="1" applyBorder="1" applyAlignment="1">
      <alignment horizontal="center" vertical="center" wrapText="1"/>
    </xf>
    <xf numFmtId="1" fontId="15" fillId="0" borderId="6" xfId="0" applyNumberFormat="1"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17" xfId="0" applyFont="1" applyFill="1" applyBorder="1" applyAlignment="1">
      <alignment horizontal="center" vertical="center" wrapText="1"/>
    </xf>
    <xf numFmtId="1" fontId="16" fillId="8" borderId="6" xfId="0" applyNumberFormat="1" applyFont="1" applyFill="1" applyBorder="1" applyAlignment="1">
      <alignment horizontal="center" vertical="center" wrapText="1"/>
    </xf>
    <xf numFmtId="0" fontId="16" fillId="8" borderId="6" xfId="0" applyFont="1" applyFill="1" applyBorder="1" applyAlignment="1">
      <alignment horizontal="center" vertical="center" wrapText="1"/>
    </xf>
    <xf numFmtId="0" fontId="17" fillId="8" borderId="6" xfId="0" applyFont="1" applyFill="1" applyBorder="1" applyAlignment="1">
      <alignment horizontal="center" vertical="center" wrapText="1"/>
    </xf>
    <xf numFmtId="0" fontId="16" fillId="8" borderId="17" xfId="0" applyFont="1" applyFill="1" applyBorder="1" applyAlignment="1">
      <alignment horizontal="center" vertical="center" wrapText="1"/>
    </xf>
    <xf numFmtId="0" fontId="15" fillId="8" borderId="6"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38" fillId="0" borderId="17" xfId="0" applyFont="1" applyFill="1" applyBorder="1" applyAlignment="1">
      <alignment horizontal="center" vertical="center" wrapText="1"/>
    </xf>
    <xf numFmtId="0" fontId="39" fillId="0" borderId="6" xfId="0" applyFont="1" applyBorder="1" applyAlignment="1">
      <alignment horizontal="center" vertical="center" wrapText="1"/>
    </xf>
    <xf numFmtId="0" fontId="39" fillId="0" borderId="17" xfId="0" applyFont="1" applyBorder="1" applyAlignment="1">
      <alignment horizontal="center" vertical="center" wrapText="1"/>
    </xf>
    <xf numFmtId="0" fontId="27" fillId="8" borderId="6"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7" fillId="0" borderId="17" xfId="0" applyFont="1" applyFill="1" applyBorder="1" applyAlignment="1">
      <alignment horizontal="center" vertical="top" wrapText="1"/>
    </xf>
    <xf numFmtId="0" fontId="6" fillId="0" borderId="6" xfId="0" applyFont="1" applyFill="1" applyBorder="1" applyAlignment="1">
      <alignment horizontal="center" vertical="center" wrapText="1"/>
    </xf>
    <xf numFmtId="0" fontId="20" fillId="0" borderId="17" xfId="0" applyFont="1" applyBorder="1" applyAlignment="1">
      <alignment horizontal="center" vertical="center" wrapText="1"/>
    </xf>
    <xf numFmtId="0" fontId="6" fillId="8" borderId="6" xfId="0" applyFont="1" applyFill="1" applyBorder="1" applyAlignment="1">
      <alignment horizontal="center" vertical="center" wrapText="1"/>
    </xf>
    <xf numFmtId="0" fontId="6" fillId="8" borderId="17" xfId="0" applyFont="1" applyFill="1" applyBorder="1" applyAlignment="1">
      <alignment horizontal="center" vertical="center" wrapText="1"/>
    </xf>
    <xf numFmtId="0" fontId="6" fillId="4" borderId="21" xfId="0" applyFont="1" applyFill="1" applyBorder="1" applyAlignment="1">
      <alignment horizontal="center" vertical="center" wrapText="1"/>
    </xf>
    <xf numFmtId="1" fontId="4" fillId="0" borderId="44" xfId="0" applyNumberFormat="1" applyFont="1" applyBorder="1" applyAlignment="1">
      <alignment horizontal="center" wrapText="1"/>
    </xf>
    <xf numFmtId="3" fontId="4" fillId="0" borderId="21" xfId="0" applyNumberFormat="1" applyFont="1" applyBorder="1" applyAlignment="1">
      <alignment horizontal="center" vertical="center" wrapText="1"/>
    </xf>
    <xf numFmtId="1" fontId="4" fillId="0" borderId="44" xfId="0" applyNumberFormat="1" applyFont="1" applyFill="1" applyBorder="1" applyAlignment="1">
      <alignment horizontal="center" wrapText="1"/>
    </xf>
    <xf numFmtId="0" fontId="4" fillId="0" borderId="6" xfId="0" applyFont="1" applyBorder="1" applyAlignment="1">
      <alignment horizontal="center" vertical="center" wrapText="1"/>
    </xf>
    <xf numFmtId="3" fontId="4" fillId="0" borderId="20" xfId="0" applyNumberFormat="1" applyFont="1" applyFill="1" applyBorder="1" applyAlignment="1">
      <alignment horizontal="center" vertical="center" wrapText="1"/>
    </xf>
    <xf numFmtId="1" fontId="4" fillId="0" borderId="44" xfId="0" applyNumberFormat="1" applyFont="1" applyBorder="1" applyAlignment="1">
      <alignment horizontal="center" wrapText="1"/>
    </xf>
    <xf numFmtId="3" fontId="4" fillId="0" borderId="21"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3" fontId="6" fillId="0" borderId="77" xfId="0" applyNumberFormat="1" applyFont="1" applyFill="1" applyBorder="1" applyAlignment="1" applyProtection="1">
      <alignment horizontal="center" vertical="center" wrapText="1"/>
      <protection hidden="1"/>
    </xf>
    <xf numFmtId="3" fontId="6" fillId="0" borderId="40" xfId="0" applyNumberFormat="1" applyFont="1" applyFill="1" applyBorder="1" applyAlignment="1" applyProtection="1">
      <alignment horizontal="center" vertical="center" wrapText="1"/>
      <protection hidden="1"/>
    </xf>
    <xf numFmtId="3" fontId="4" fillId="0" borderId="100" xfId="0" applyNumberFormat="1" applyFont="1" applyBorder="1" applyAlignment="1" applyProtection="1">
      <alignment wrapText="1"/>
      <protection hidden="1"/>
    </xf>
    <xf numFmtId="3" fontId="4" fillId="0" borderId="101" xfId="0" applyNumberFormat="1" applyFont="1" applyBorder="1" applyAlignment="1" applyProtection="1">
      <alignment wrapText="1"/>
      <protection hidden="1"/>
    </xf>
    <xf numFmtId="3" fontId="4" fillId="0" borderId="105" xfId="0" applyNumberFormat="1" applyFont="1" applyBorder="1" applyAlignment="1" applyProtection="1">
      <alignment wrapText="1"/>
      <protection hidden="1"/>
    </xf>
    <xf numFmtId="3" fontId="4" fillId="0" borderId="102" xfId="0" applyNumberFormat="1" applyFont="1" applyBorder="1" applyAlignment="1" applyProtection="1">
      <alignment wrapText="1"/>
      <protection hidden="1"/>
    </xf>
    <xf numFmtId="3" fontId="4" fillId="0" borderId="108" xfId="0" applyNumberFormat="1" applyFont="1" applyBorder="1" applyAlignment="1" applyProtection="1">
      <alignment wrapText="1"/>
      <protection hidden="1"/>
    </xf>
    <xf numFmtId="3" fontId="40" fillId="0" borderId="110" xfId="0" applyNumberFormat="1" applyFont="1" applyBorder="1" applyAlignment="1" applyProtection="1">
      <alignment wrapText="1"/>
      <protection locked="0"/>
    </xf>
    <xf numFmtId="3" fontId="7" fillId="0" borderId="110" xfId="0" applyNumberFormat="1" applyFont="1" applyBorder="1" applyAlignment="1" applyProtection="1">
      <alignment wrapText="1"/>
      <protection locked="0"/>
    </xf>
    <xf numFmtId="3" fontId="4" fillId="0" borderId="113" xfId="0" applyNumberFormat="1" applyFont="1" applyBorder="1" applyAlignment="1" applyProtection="1">
      <alignment wrapText="1"/>
      <protection hidden="1"/>
    </xf>
    <xf numFmtId="3" fontId="4" fillId="0" borderId="110" xfId="0" applyNumberFormat="1" applyFont="1" applyBorder="1" applyAlignment="1" applyProtection="1">
      <alignment wrapText="1"/>
      <protection locked="0"/>
    </xf>
    <xf numFmtId="3" fontId="10" fillId="0" borderId="110" xfId="0" applyNumberFormat="1" applyFont="1" applyBorder="1" applyAlignment="1" applyProtection="1">
      <alignment wrapText="1"/>
      <protection locked="0"/>
    </xf>
    <xf numFmtId="3" fontId="4" fillId="0" borderId="111" xfId="0" applyNumberFormat="1" applyFont="1" applyBorder="1" applyAlignment="1" applyProtection="1">
      <alignment wrapText="1"/>
      <protection locked="0"/>
    </xf>
    <xf numFmtId="3" fontId="7" fillId="0" borderId="115" xfId="0" applyNumberFormat="1" applyFont="1" applyBorder="1" applyAlignment="1" applyProtection="1">
      <alignment wrapText="1"/>
      <protection locked="0"/>
    </xf>
    <xf numFmtId="3" fontId="7" fillId="0" borderId="107" xfId="0" applyNumberFormat="1" applyFont="1" applyFill="1" applyBorder="1" applyAlignment="1" applyProtection="1">
      <alignment horizontal="right" wrapText="1"/>
      <protection locked="0"/>
    </xf>
    <xf numFmtId="3" fontId="4" fillId="0" borderId="115" xfId="0" applyNumberFormat="1" applyFont="1" applyBorder="1" applyAlignment="1" applyProtection="1">
      <alignment wrapText="1"/>
      <protection locked="0"/>
    </xf>
    <xf numFmtId="3" fontId="7" fillId="0" borderId="116" xfId="0" applyNumberFormat="1" applyFont="1" applyBorder="1" applyAlignment="1" applyProtection="1">
      <alignment wrapText="1"/>
      <protection locked="0"/>
    </xf>
    <xf numFmtId="3" fontId="7" fillId="0" borderId="111" xfId="0" applyNumberFormat="1" applyFont="1" applyBorder="1" applyAlignment="1" applyProtection="1">
      <alignment wrapText="1"/>
      <protection locked="0"/>
    </xf>
    <xf numFmtId="3" fontId="4" fillId="0" borderId="117" xfId="0" applyNumberFormat="1" applyFont="1" applyBorder="1" applyAlignment="1" applyProtection="1">
      <alignment wrapText="1"/>
      <protection hidden="1"/>
    </xf>
    <xf numFmtId="3" fontId="4" fillId="0" borderId="118" xfId="0" applyNumberFormat="1" applyFont="1" applyBorder="1" applyAlignment="1" applyProtection="1">
      <alignment wrapText="1"/>
      <protection hidden="1"/>
    </xf>
    <xf numFmtId="3" fontId="7" fillId="0" borderId="0" xfId="0" applyNumberFormat="1" applyFont="1" applyBorder="1" applyAlignment="1">
      <alignment wrapText="1"/>
    </xf>
    <xf numFmtId="3" fontId="40" fillId="0" borderId="115" xfId="0" applyNumberFormat="1" applyFont="1" applyBorder="1" applyAlignment="1" applyProtection="1">
      <alignment wrapText="1"/>
      <protection locked="0"/>
    </xf>
    <xf numFmtId="3" fontId="4" fillId="0" borderId="124" xfId="0" applyNumberFormat="1" applyFont="1" applyBorder="1" applyAlignment="1" applyProtection="1">
      <alignment wrapText="1"/>
      <protection hidden="1"/>
    </xf>
    <xf numFmtId="3" fontId="4" fillId="0" borderId="125" xfId="0" applyNumberFormat="1" applyFont="1" applyBorder="1" applyAlignment="1" applyProtection="1">
      <alignment wrapText="1"/>
      <protection hidden="1"/>
    </xf>
    <xf numFmtId="3" fontId="4" fillId="0" borderId="129" xfId="0" applyNumberFormat="1" applyFont="1" applyBorder="1" applyAlignment="1" applyProtection="1">
      <alignment wrapText="1"/>
      <protection hidden="1"/>
    </xf>
    <xf numFmtId="3" fontId="4" fillId="0" borderId="128" xfId="0" applyNumberFormat="1" applyFont="1" applyFill="1" applyBorder="1" applyAlignment="1" applyProtection="1">
      <alignment wrapText="1"/>
      <protection hidden="1"/>
    </xf>
    <xf numFmtId="3" fontId="4" fillId="0" borderId="126" xfId="0" applyNumberFormat="1" applyFont="1" applyBorder="1" applyAlignment="1" applyProtection="1">
      <alignment wrapText="1"/>
      <protection hidden="1"/>
    </xf>
    <xf numFmtId="3" fontId="4" fillId="0" borderId="132" xfId="0" applyNumberFormat="1" applyFont="1" applyBorder="1" applyAlignment="1" applyProtection="1">
      <alignment wrapText="1"/>
      <protection hidden="1"/>
    </xf>
    <xf numFmtId="3" fontId="4" fillId="0" borderId="133" xfId="0" applyNumberFormat="1" applyFont="1" applyBorder="1" applyAlignment="1" applyProtection="1">
      <alignment wrapText="1"/>
      <protection hidden="1"/>
    </xf>
    <xf numFmtId="3" fontId="4" fillId="0" borderId="137" xfId="0" applyNumberFormat="1" applyFont="1" applyBorder="1" applyAlignment="1" applyProtection="1">
      <alignment wrapText="1"/>
      <protection hidden="1"/>
    </xf>
    <xf numFmtId="3" fontId="4" fillId="0" borderId="134" xfId="0" applyNumberFormat="1" applyFont="1" applyBorder="1" applyAlignment="1" applyProtection="1">
      <alignment wrapText="1"/>
      <protection hidden="1"/>
    </xf>
    <xf numFmtId="3" fontId="7" fillId="0" borderId="107" xfId="0" applyNumberFormat="1" applyFont="1" applyFill="1" applyBorder="1" applyAlignment="1" applyProtection="1">
      <alignment wrapText="1"/>
      <protection locked="0"/>
    </xf>
    <xf numFmtId="3" fontId="7" fillId="0" borderId="135" xfId="0" applyNumberFormat="1" applyFont="1" applyFill="1" applyBorder="1" applyAlignment="1" applyProtection="1">
      <alignment wrapText="1"/>
      <protection hidden="1"/>
    </xf>
    <xf numFmtId="3" fontId="4" fillId="0" borderId="107" xfId="0" applyNumberFormat="1" applyFont="1" applyFill="1" applyBorder="1" applyAlignment="1" applyProtection="1">
      <alignment horizontal="right" wrapText="1"/>
      <protection locked="0"/>
    </xf>
    <xf numFmtId="3" fontId="7" fillId="0" borderId="110" xfId="0" applyNumberFormat="1" applyFont="1" applyFill="1" applyBorder="1" applyAlignment="1" applyProtection="1">
      <alignment wrapText="1"/>
      <protection locked="0"/>
    </xf>
    <xf numFmtId="3" fontId="7" fillId="10" borderId="110" xfId="0" applyNumberFormat="1" applyFont="1" applyFill="1" applyBorder="1" applyAlignment="1" applyProtection="1">
      <alignment wrapText="1"/>
      <protection locked="0"/>
    </xf>
    <xf numFmtId="3" fontId="7" fillId="0" borderId="110" xfId="0" quotePrefix="1" applyNumberFormat="1" applyFont="1" applyFill="1" applyBorder="1" applyAlignment="1" applyProtection="1">
      <alignment vertical="center" wrapText="1"/>
      <protection locked="0"/>
    </xf>
    <xf numFmtId="3" fontId="7" fillId="0" borderId="99" xfId="0" applyNumberFormat="1" applyFont="1" applyBorder="1" applyAlignment="1" applyProtection="1">
      <alignment wrapText="1"/>
      <protection locked="0"/>
    </xf>
    <xf numFmtId="3" fontId="4" fillId="0" borderId="108" xfId="0" applyNumberFormat="1" applyFont="1" applyFill="1" applyBorder="1" applyAlignment="1" applyProtection="1">
      <alignment wrapText="1"/>
      <protection hidden="1"/>
    </xf>
    <xf numFmtId="3" fontId="7" fillId="0" borderId="112" xfId="0" applyNumberFormat="1" applyFont="1" applyFill="1" applyBorder="1" applyAlignment="1" applyProtection="1">
      <alignment horizontal="right" wrapText="1"/>
      <protection locked="0"/>
    </xf>
    <xf numFmtId="3" fontId="4" fillId="0" borderId="113" xfId="0" applyNumberFormat="1" applyFont="1" applyFill="1" applyBorder="1" applyAlignment="1" applyProtection="1">
      <alignment wrapText="1"/>
      <protection hidden="1"/>
    </xf>
    <xf numFmtId="3" fontId="7" fillId="0" borderId="115" xfId="0" applyNumberFormat="1" applyFont="1" applyFill="1" applyBorder="1" applyAlignment="1" applyProtection="1">
      <alignment wrapText="1"/>
      <protection locked="0"/>
    </xf>
    <xf numFmtId="167" fontId="7" fillId="0" borderId="108" xfId="0" applyNumberFormat="1" applyFont="1" applyFill="1" applyBorder="1" applyAlignment="1" applyProtection="1">
      <alignment horizontal="right" wrapText="1"/>
      <protection locked="0"/>
    </xf>
    <xf numFmtId="167" fontId="7" fillId="0" borderId="110" xfId="0" applyNumberFormat="1" applyFont="1" applyFill="1" applyBorder="1" applyAlignment="1" applyProtection="1">
      <alignment horizontal="right" wrapText="1"/>
      <protection locked="0"/>
    </xf>
    <xf numFmtId="167" fontId="7" fillId="0" borderId="114" xfId="0" applyNumberFormat="1" applyFont="1" applyFill="1" applyBorder="1" applyAlignment="1" applyProtection="1">
      <alignment horizontal="right" wrapText="1"/>
      <protection locked="0"/>
    </xf>
    <xf numFmtId="3" fontId="7" fillId="0" borderId="111" xfId="0" applyNumberFormat="1" applyFont="1" applyFill="1" applyBorder="1" applyAlignment="1" applyProtection="1">
      <alignment wrapText="1"/>
      <protection locked="0"/>
    </xf>
    <xf numFmtId="167" fontId="7" fillId="0" borderId="107" xfId="0" applyNumberFormat="1" applyFont="1" applyFill="1" applyBorder="1" applyAlignment="1" applyProtection="1">
      <alignment horizontal="right" wrapText="1"/>
      <protection locked="0"/>
    </xf>
    <xf numFmtId="3" fontId="40" fillId="0" borderId="110" xfId="0" quotePrefix="1" applyNumberFormat="1" applyFont="1" applyFill="1" applyBorder="1" applyAlignment="1" applyProtection="1">
      <alignment wrapText="1"/>
      <protection locked="0"/>
    </xf>
    <xf numFmtId="3" fontId="7" fillId="0" borderId="116" xfId="0" applyNumberFormat="1" applyFont="1" applyFill="1" applyBorder="1" applyAlignment="1" applyProtection="1">
      <alignment wrapText="1"/>
      <protection locked="0"/>
    </xf>
    <xf numFmtId="3" fontId="7" fillId="0" borderId="115" xfId="0" quotePrefix="1" applyNumberFormat="1" applyFont="1" applyFill="1" applyBorder="1" applyAlignment="1" applyProtection="1">
      <alignment wrapText="1"/>
      <protection locked="0"/>
    </xf>
    <xf numFmtId="3" fontId="4" fillId="0" borderId="115" xfId="0" applyNumberFormat="1" applyFont="1" applyFill="1" applyBorder="1" applyAlignment="1" applyProtection="1">
      <alignment wrapText="1"/>
      <protection locked="0"/>
    </xf>
    <xf numFmtId="3" fontId="41" fillId="0" borderId="110" xfId="0" applyNumberFormat="1" applyFont="1" applyFill="1" applyBorder="1" applyAlignment="1" applyProtection="1">
      <alignment wrapText="1"/>
      <protection locked="0"/>
    </xf>
    <xf numFmtId="3" fontId="4" fillId="0" borderId="117" xfId="0" applyNumberFormat="1" applyFont="1" applyFill="1" applyBorder="1" applyAlignment="1" applyProtection="1">
      <alignment wrapText="1"/>
      <protection hidden="1"/>
    </xf>
    <xf numFmtId="167" fontId="7" fillId="0" borderId="118" xfId="0" applyNumberFormat="1" applyFont="1" applyFill="1" applyBorder="1" applyAlignment="1" applyProtection="1">
      <alignment horizontal="right" wrapText="1"/>
      <protection locked="0"/>
    </xf>
    <xf numFmtId="167" fontId="7" fillId="0" borderId="115" xfId="0" applyNumberFormat="1" applyFont="1" applyFill="1" applyBorder="1" applyAlignment="1" applyProtection="1">
      <alignment horizontal="right" wrapText="1"/>
      <protection locked="0"/>
    </xf>
    <xf numFmtId="167" fontId="7" fillId="0" borderId="119" xfId="0" applyNumberFormat="1" applyFont="1" applyFill="1" applyBorder="1" applyAlignment="1" applyProtection="1">
      <alignment horizontal="right" wrapText="1"/>
      <protection locked="0"/>
    </xf>
    <xf numFmtId="3" fontId="4" fillId="0" borderId="118" xfId="0" applyNumberFormat="1" applyFont="1" applyFill="1" applyBorder="1" applyAlignment="1" applyProtection="1">
      <alignment wrapText="1"/>
      <protection hidden="1"/>
    </xf>
    <xf numFmtId="3" fontId="7" fillId="0" borderId="110" xfId="0" applyNumberFormat="1" applyFont="1" applyFill="1" applyBorder="1" applyAlignment="1" applyProtection="1">
      <alignment vertical="center" wrapText="1"/>
      <protection locked="0"/>
    </xf>
    <xf numFmtId="3" fontId="7" fillId="0" borderId="107" xfId="0" applyNumberFormat="1" applyFont="1" applyFill="1" applyBorder="1" applyAlignment="1">
      <alignment wrapText="1"/>
    </xf>
    <xf numFmtId="3" fontId="7" fillId="0" borderId="115" xfId="0" quotePrefix="1" applyNumberFormat="1" applyFont="1" applyFill="1" applyBorder="1" applyAlignment="1" applyProtection="1">
      <alignment vertical="center" wrapText="1"/>
      <protection locked="0"/>
    </xf>
    <xf numFmtId="3" fontId="4" fillId="0" borderId="107" xfId="0" applyNumberFormat="1" applyFont="1" applyFill="1" applyBorder="1" applyAlignment="1">
      <alignment wrapText="1"/>
    </xf>
    <xf numFmtId="3" fontId="40" fillId="0" borderId="115" xfId="0" quotePrefix="1" applyNumberFormat="1" applyFont="1" applyFill="1" applyBorder="1" applyAlignment="1" applyProtection="1">
      <alignment wrapText="1"/>
      <protection locked="0"/>
    </xf>
    <xf numFmtId="3" fontId="4" fillId="0" borderId="140" xfId="0" applyNumberFormat="1" applyFont="1" applyFill="1" applyBorder="1" applyAlignment="1" applyProtection="1">
      <alignment wrapText="1"/>
      <protection hidden="1"/>
    </xf>
    <xf numFmtId="3" fontId="7" fillId="0" borderId="141" xfId="0" applyNumberFormat="1" applyFont="1" applyFill="1" applyBorder="1" applyAlignment="1" applyProtection="1">
      <alignment wrapText="1"/>
      <protection locked="0"/>
    </xf>
    <xf numFmtId="3" fontId="4" fillId="0" borderId="142" xfId="0" applyNumberFormat="1" applyFont="1" applyFill="1" applyBorder="1" applyAlignment="1" applyProtection="1">
      <alignment wrapText="1"/>
      <protection hidden="1"/>
    </xf>
    <xf numFmtId="3" fontId="7" fillId="0" borderId="143" xfId="0" applyNumberFormat="1" applyFont="1" applyFill="1" applyBorder="1" applyAlignment="1" applyProtection="1">
      <alignment wrapText="1"/>
      <protection locked="0"/>
    </xf>
    <xf numFmtId="3" fontId="4" fillId="0" borderId="143" xfId="0" applyNumberFormat="1" applyFont="1" applyBorder="1" applyAlignment="1" applyProtection="1">
      <alignment wrapText="1"/>
      <protection locked="0"/>
    </xf>
    <xf numFmtId="3" fontId="7" fillId="0" borderId="110" xfId="0" quotePrefix="1" applyNumberFormat="1" applyFont="1" applyBorder="1" applyAlignment="1" applyProtection="1">
      <alignment wrapText="1"/>
      <protection locked="0"/>
    </xf>
    <xf numFmtId="3" fontId="4" fillId="0" borderId="85" xfId="0" applyNumberFormat="1" applyFont="1" applyBorder="1" applyAlignment="1" applyProtection="1">
      <alignment wrapText="1"/>
      <protection hidden="1"/>
    </xf>
    <xf numFmtId="3" fontId="10" fillId="0" borderId="115" xfId="0" applyNumberFormat="1" applyFont="1" applyFill="1" applyBorder="1" applyAlignment="1" applyProtection="1">
      <alignment wrapText="1"/>
      <protection locked="0"/>
    </xf>
    <xf numFmtId="3" fontId="4" fillId="10" borderId="110" xfId="0" applyNumberFormat="1" applyFont="1" applyFill="1" applyBorder="1" applyAlignment="1" applyProtection="1">
      <alignment wrapText="1"/>
      <protection locked="0"/>
    </xf>
    <xf numFmtId="3" fontId="4" fillId="0" borderId="142" xfId="0" applyNumberFormat="1" applyFont="1" applyBorder="1" applyAlignment="1" applyProtection="1">
      <alignment wrapText="1"/>
      <protection hidden="1"/>
    </xf>
    <xf numFmtId="0" fontId="7" fillId="0" borderId="110" xfId="0" applyFont="1" applyBorder="1" applyAlignment="1">
      <alignment wrapText="1"/>
    </xf>
    <xf numFmtId="3" fontId="7" fillId="0" borderId="115" xfId="0" quotePrefix="1" applyNumberFormat="1" applyFont="1" applyBorder="1" applyAlignment="1" applyProtection="1">
      <alignment wrapText="1"/>
      <protection locked="0"/>
    </xf>
    <xf numFmtId="3" fontId="4" fillId="10" borderId="143" xfId="0" applyNumberFormat="1" applyFont="1" applyFill="1" applyBorder="1" applyAlignment="1" applyProtection="1">
      <alignment wrapText="1"/>
      <protection locked="0"/>
    </xf>
    <xf numFmtId="3" fontId="4" fillId="0" borderId="140" xfId="0" applyNumberFormat="1" applyFont="1" applyBorder="1" applyAlignment="1" applyProtection="1">
      <alignment wrapText="1"/>
      <protection hidden="1"/>
    </xf>
    <xf numFmtId="3" fontId="7" fillId="0" borderId="141" xfId="0" applyNumberFormat="1" applyFont="1" applyBorder="1" applyAlignment="1" applyProtection="1">
      <alignment wrapText="1"/>
      <protection locked="0"/>
    </xf>
    <xf numFmtId="3" fontId="7" fillId="0" borderId="143" xfId="0" applyNumberFormat="1" applyFont="1" applyBorder="1" applyAlignment="1" applyProtection="1">
      <alignment wrapText="1"/>
      <protection locked="0"/>
    </xf>
    <xf numFmtId="3" fontId="7" fillId="0" borderId="110" xfId="0" quotePrefix="1" applyNumberFormat="1" applyFont="1" applyFill="1" applyBorder="1" applyAlignment="1" applyProtection="1">
      <alignment wrapText="1"/>
      <protection locked="0"/>
    </xf>
    <xf numFmtId="3" fontId="7" fillId="10" borderId="115" xfId="0" applyNumberFormat="1" applyFont="1" applyFill="1" applyBorder="1" applyAlignment="1" applyProtection="1">
      <alignment wrapText="1"/>
      <protection locked="0"/>
    </xf>
    <xf numFmtId="3" fontId="7" fillId="0" borderId="121" xfId="0" applyNumberFormat="1" applyFont="1" applyFill="1" applyBorder="1" applyAlignment="1" applyProtection="1">
      <alignment horizontal="right" wrapText="1"/>
      <protection locked="0"/>
    </xf>
    <xf numFmtId="3" fontId="4" fillId="10" borderId="115" xfId="0" applyNumberFormat="1" applyFont="1" applyFill="1" applyBorder="1" applyAlignment="1" applyProtection="1">
      <alignment wrapText="1"/>
      <protection locked="0"/>
    </xf>
    <xf numFmtId="3" fontId="7" fillId="0" borderId="99" xfId="0" applyNumberFormat="1" applyFont="1" applyFill="1" applyBorder="1" applyAlignment="1" applyProtection="1">
      <alignment wrapText="1"/>
      <protection locked="0"/>
    </xf>
    <xf numFmtId="3" fontId="10" fillId="0" borderId="115" xfId="0" quotePrefix="1" applyNumberFormat="1" applyFont="1" applyFill="1" applyBorder="1" applyAlignment="1" applyProtection="1">
      <alignment wrapText="1"/>
      <protection locked="0"/>
    </xf>
    <xf numFmtId="3" fontId="4" fillId="0" borderId="127" xfId="0" applyNumberFormat="1" applyFont="1" applyFill="1" applyBorder="1" applyAlignment="1" applyProtection="1">
      <alignment horizontal="right" wrapText="1"/>
      <protection hidden="1"/>
    </xf>
    <xf numFmtId="3" fontId="4" fillId="0" borderId="96" xfId="0" applyNumberFormat="1" applyFont="1" applyBorder="1" applyAlignment="1" applyProtection="1">
      <alignment wrapText="1"/>
      <protection hidden="1"/>
    </xf>
    <xf numFmtId="3" fontId="4" fillId="0" borderId="133" xfId="0" applyNumberFormat="1" applyFont="1" applyBorder="1" applyAlignment="1" applyProtection="1">
      <alignment wrapText="1"/>
      <protection locked="0"/>
    </xf>
    <xf numFmtId="3" fontId="4" fillId="0" borderId="94" xfId="0" applyNumberFormat="1" applyFont="1" applyBorder="1" applyAlignment="1" applyProtection="1">
      <alignment wrapText="1"/>
      <protection hidden="1"/>
    </xf>
    <xf numFmtId="3" fontId="4" fillId="0" borderId="97" xfId="0" applyNumberFormat="1" applyFont="1" applyFill="1" applyBorder="1" applyAlignment="1" applyProtection="1">
      <alignment horizontal="right" wrapText="1"/>
      <protection hidden="1"/>
    </xf>
    <xf numFmtId="3" fontId="4" fillId="0" borderId="134" xfId="0" applyNumberFormat="1" applyFont="1" applyBorder="1" applyAlignment="1" applyProtection="1">
      <alignment wrapText="1"/>
      <protection locked="0"/>
    </xf>
    <xf numFmtId="3" fontId="7" fillId="0" borderId="115" xfId="0" applyNumberFormat="1" applyFont="1" applyBorder="1" applyProtection="1">
      <protection hidden="1"/>
    </xf>
    <xf numFmtId="3" fontId="7" fillId="0" borderId="115" xfId="0" applyNumberFormat="1" applyFont="1" applyBorder="1" applyAlignment="1" applyProtection="1">
      <alignment wrapText="1"/>
      <protection hidden="1"/>
    </xf>
    <xf numFmtId="3" fontId="4" fillId="0" borderId="118" xfId="0" applyNumberFormat="1" applyFont="1" applyFill="1" applyBorder="1" applyAlignment="1" applyProtection="1">
      <alignment horizontal="right" wrapText="1"/>
      <protection hidden="1"/>
    </xf>
    <xf numFmtId="3" fontId="4" fillId="0" borderId="121" xfId="0" applyNumberFormat="1" applyFont="1" applyFill="1" applyBorder="1" applyAlignment="1" applyProtection="1">
      <alignment horizontal="right" wrapText="1"/>
      <protection hidden="1"/>
    </xf>
    <xf numFmtId="3" fontId="4" fillId="0" borderId="115" xfId="0" applyNumberFormat="1" applyFont="1" applyBorder="1" applyAlignment="1" applyProtection="1">
      <alignment wrapText="1"/>
      <protection hidden="1"/>
    </xf>
    <xf numFmtId="3" fontId="4" fillId="0" borderId="119" xfId="0" applyNumberFormat="1" applyFont="1" applyFill="1" applyBorder="1" applyAlignment="1" applyProtection="1">
      <alignment horizontal="right" wrapText="1"/>
      <protection hidden="1"/>
    </xf>
    <xf numFmtId="3" fontId="4" fillId="0" borderId="116" xfId="0" applyNumberFormat="1" applyFont="1" applyBorder="1" applyAlignment="1" applyProtection="1">
      <alignment wrapText="1"/>
      <protection hidden="1"/>
    </xf>
    <xf numFmtId="3" fontId="4" fillId="0" borderId="144" xfId="0" applyNumberFormat="1" applyFont="1" applyFill="1" applyBorder="1" applyAlignment="1" applyProtection="1">
      <alignment horizontal="right" wrapText="1"/>
      <protection hidden="1"/>
    </xf>
    <xf numFmtId="3" fontId="4" fillId="0" borderId="132" xfId="0" applyNumberFormat="1" applyFont="1" applyBorder="1" applyAlignment="1" applyProtection="1">
      <alignment horizontal="center" wrapText="1"/>
      <protection hidden="1"/>
    </xf>
    <xf numFmtId="3" fontId="4" fillId="0" borderId="110" xfId="0" applyNumberFormat="1" applyFont="1" applyFill="1" applyBorder="1" applyAlignment="1" applyProtection="1">
      <alignment wrapText="1"/>
      <protection locked="0"/>
    </xf>
    <xf numFmtId="3" fontId="4" fillId="0" borderId="107" xfId="0" applyNumberFormat="1" applyFont="1" applyFill="1" applyBorder="1" applyAlignment="1" applyProtection="1">
      <alignment horizontal="center" wrapText="1"/>
      <protection locked="0"/>
    </xf>
    <xf numFmtId="3" fontId="4" fillId="0" borderId="112" xfId="0" applyNumberFormat="1" applyFont="1" applyFill="1" applyBorder="1" applyAlignment="1" applyProtection="1">
      <alignment horizontal="center" wrapText="1"/>
      <protection locked="0"/>
    </xf>
    <xf numFmtId="167" fontId="4" fillId="0" borderId="110" xfId="0" applyNumberFormat="1" applyFont="1" applyFill="1" applyBorder="1" applyAlignment="1" applyProtection="1">
      <alignment horizontal="center" wrapText="1"/>
      <protection locked="0"/>
    </xf>
    <xf numFmtId="167" fontId="4" fillId="0" borderId="114" xfId="0" applyNumberFormat="1" applyFont="1" applyFill="1" applyBorder="1" applyAlignment="1" applyProtection="1">
      <alignment horizontal="center" wrapText="1"/>
      <protection locked="0"/>
    </xf>
    <xf numFmtId="3" fontId="4" fillId="0" borderId="111" xfId="0" applyNumberFormat="1" applyFont="1" applyFill="1" applyBorder="1" applyAlignment="1" applyProtection="1">
      <alignment wrapText="1"/>
      <protection locked="0"/>
    </xf>
    <xf numFmtId="3" fontId="4" fillId="0" borderId="121" xfId="0" applyNumberFormat="1" applyFont="1" applyFill="1" applyBorder="1" applyAlignment="1" applyProtection="1">
      <alignment horizontal="center" wrapText="1"/>
      <protection locked="0"/>
    </xf>
    <xf numFmtId="3" fontId="4" fillId="0" borderId="123" xfId="0" applyNumberFormat="1" applyFont="1" applyFill="1" applyBorder="1" applyAlignment="1" applyProtection="1">
      <alignment horizontal="center" wrapText="1"/>
      <protection locked="0"/>
    </xf>
    <xf numFmtId="167" fontId="4" fillId="0" borderId="119" xfId="0" applyNumberFormat="1" applyFont="1" applyFill="1" applyBorder="1" applyAlignment="1" applyProtection="1">
      <alignment horizontal="center" wrapText="1"/>
      <protection locked="0"/>
    </xf>
    <xf numFmtId="3" fontId="4" fillId="0" borderId="116" xfId="0" applyNumberFormat="1" applyFont="1" applyFill="1" applyBorder="1" applyAlignment="1" applyProtection="1">
      <alignment wrapText="1"/>
      <protection locked="0"/>
    </xf>
    <xf numFmtId="167" fontId="7" fillId="0" borderId="121" xfId="0" applyNumberFormat="1" applyFont="1" applyFill="1" applyBorder="1" applyAlignment="1" applyProtection="1">
      <alignment horizontal="right" wrapText="1"/>
      <protection locked="0"/>
    </xf>
    <xf numFmtId="3" fontId="4" fillId="0" borderId="124" xfId="0" applyNumberFormat="1" applyFont="1" applyFill="1" applyBorder="1" applyAlignment="1" applyProtection="1">
      <alignment wrapText="1"/>
      <protection hidden="1"/>
    </xf>
    <xf numFmtId="3" fontId="4" fillId="0" borderId="125" xfId="0" applyNumberFormat="1" applyFont="1" applyFill="1" applyBorder="1" applyAlignment="1" applyProtection="1">
      <alignment wrapText="1"/>
      <protection hidden="1"/>
    </xf>
    <xf numFmtId="3" fontId="4" fillId="0" borderId="128" xfId="0" applyNumberFormat="1" applyFont="1" applyFill="1" applyBorder="1" applyAlignment="1" applyProtection="1">
      <alignment horizontal="right" wrapText="1"/>
      <protection hidden="1"/>
    </xf>
    <xf numFmtId="3" fontId="4" fillId="0" borderId="129" xfId="0" applyNumberFormat="1" applyFont="1" applyFill="1" applyBorder="1" applyAlignment="1" applyProtection="1">
      <alignment wrapText="1"/>
      <protection hidden="1"/>
    </xf>
    <xf numFmtId="3" fontId="4" fillId="0" borderId="126" xfId="0" applyNumberFormat="1" applyFont="1" applyFill="1" applyBorder="1" applyAlignment="1" applyProtection="1">
      <alignment wrapText="1"/>
      <protection hidden="1"/>
    </xf>
    <xf numFmtId="167" fontId="4" fillId="0" borderId="130" xfId="0" applyNumberFormat="1" applyFont="1" applyFill="1" applyBorder="1" applyAlignment="1" applyProtection="1">
      <alignment horizontal="right" wrapText="1"/>
      <protection hidden="1"/>
    </xf>
    <xf numFmtId="3" fontId="4" fillId="0" borderId="132" xfId="0" applyNumberFormat="1" applyFont="1" applyFill="1" applyBorder="1" applyAlignment="1" applyProtection="1">
      <alignment wrapText="1"/>
      <protection hidden="1"/>
    </xf>
    <xf numFmtId="3" fontId="4" fillId="0" borderId="133" xfId="0" applyNumberFormat="1" applyFont="1" applyFill="1" applyBorder="1" applyAlignment="1" applyProtection="1">
      <alignment wrapText="1"/>
      <protection hidden="1"/>
    </xf>
    <xf numFmtId="3" fontId="4" fillId="0" borderId="135" xfId="0" applyNumberFormat="1" applyFont="1" applyFill="1" applyBorder="1" applyAlignment="1" applyProtection="1">
      <alignment horizontal="right" wrapText="1"/>
      <protection hidden="1"/>
    </xf>
    <xf numFmtId="3" fontId="4" fillId="0" borderId="136" xfId="0" applyNumberFormat="1" applyFont="1" applyFill="1" applyBorder="1" applyAlignment="1" applyProtection="1">
      <alignment horizontal="right" wrapText="1"/>
      <protection hidden="1"/>
    </xf>
    <xf numFmtId="3" fontId="4" fillId="0" borderId="137" xfId="0" applyNumberFormat="1" applyFont="1" applyFill="1" applyBorder="1" applyAlignment="1" applyProtection="1">
      <alignment wrapText="1"/>
      <protection hidden="1"/>
    </xf>
    <xf numFmtId="167" fontId="4" fillId="0" borderId="133" xfId="0" applyNumberFormat="1" applyFont="1" applyFill="1" applyBorder="1" applyAlignment="1" applyProtection="1">
      <alignment horizontal="right" wrapText="1"/>
      <protection hidden="1"/>
    </xf>
    <xf numFmtId="167" fontId="4" fillId="0" borderId="138" xfId="0" applyNumberFormat="1" applyFont="1" applyFill="1" applyBorder="1" applyAlignment="1" applyProtection="1">
      <alignment horizontal="right" wrapText="1"/>
      <protection hidden="1"/>
    </xf>
    <xf numFmtId="3" fontId="4" fillId="0" borderId="134" xfId="0" applyNumberFormat="1" applyFont="1" applyFill="1" applyBorder="1" applyAlignment="1" applyProtection="1">
      <alignment wrapText="1"/>
      <protection hidden="1"/>
    </xf>
    <xf numFmtId="167" fontId="7" fillId="0" borderId="121" xfId="0" applyNumberFormat="1" applyFont="1" applyFill="1" applyBorder="1" applyAlignment="1" applyProtection="1">
      <alignment horizontal="right" wrapText="1"/>
      <protection hidden="1"/>
    </xf>
    <xf numFmtId="3" fontId="4" fillId="0" borderId="115" xfId="0" applyNumberFormat="1" applyFont="1" applyFill="1" applyBorder="1" applyAlignment="1" applyProtection="1">
      <alignment wrapText="1"/>
      <protection hidden="1"/>
    </xf>
    <xf numFmtId="3" fontId="4" fillId="0" borderId="123" xfId="0" applyNumberFormat="1" applyFont="1" applyFill="1" applyBorder="1" applyAlignment="1" applyProtection="1">
      <alignment horizontal="right" wrapText="1"/>
      <protection hidden="1"/>
    </xf>
    <xf numFmtId="3" fontId="7" fillId="0" borderId="115" xfId="0" applyNumberFormat="1" applyFont="1" applyFill="1" applyBorder="1" applyAlignment="1" applyProtection="1">
      <alignment wrapText="1"/>
      <protection hidden="1"/>
    </xf>
    <xf numFmtId="167" fontId="4" fillId="0" borderId="118" xfId="0" applyNumberFormat="1" applyFont="1" applyFill="1" applyBorder="1" applyAlignment="1" applyProtection="1">
      <alignment horizontal="right" wrapText="1"/>
      <protection hidden="1"/>
    </xf>
    <xf numFmtId="167" fontId="4" fillId="0" borderId="115" xfId="0" applyNumberFormat="1" applyFont="1" applyFill="1" applyBorder="1" applyAlignment="1" applyProtection="1">
      <alignment horizontal="right" wrapText="1"/>
      <protection hidden="1"/>
    </xf>
    <xf numFmtId="167" fontId="4" fillId="0" borderId="119" xfId="0" applyNumberFormat="1" applyFont="1" applyFill="1" applyBorder="1" applyAlignment="1" applyProtection="1">
      <alignment horizontal="right" wrapText="1"/>
      <protection hidden="1"/>
    </xf>
    <xf numFmtId="3" fontId="4" fillId="0" borderId="116" xfId="0" applyNumberFormat="1" applyFont="1" applyFill="1" applyBorder="1" applyAlignment="1" applyProtection="1">
      <alignment wrapText="1"/>
      <protection hidden="1"/>
    </xf>
    <xf numFmtId="3" fontId="27" fillId="0" borderId="115" xfId="0" applyNumberFormat="1" applyFont="1" applyBorder="1" applyAlignment="1" applyProtection="1">
      <alignment wrapText="1"/>
      <protection hidden="1"/>
    </xf>
    <xf numFmtId="3" fontId="4" fillId="0" borderId="113" xfId="0" applyNumberFormat="1" applyFont="1" applyBorder="1" applyAlignment="1" applyProtection="1">
      <alignment wrapText="1"/>
      <protection locked="0"/>
    </xf>
    <xf numFmtId="3" fontId="4" fillId="0" borderId="146" xfId="0" applyNumberFormat="1" applyFont="1" applyBorder="1" applyAlignment="1" applyProtection="1">
      <alignment wrapText="1"/>
      <protection locked="0"/>
    </xf>
    <xf numFmtId="3" fontId="4" fillId="0" borderId="125" xfId="0" applyNumberFormat="1" applyFont="1" applyBorder="1" applyAlignment="1" applyProtection="1">
      <alignment wrapText="1"/>
      <protection locked="0"/>
    </xf>
    <xf numFmtId="3" fontId="4" fillId="0" borderId="126" xfId="0" applyNumberFormat="1" applyFont="1" applyBorder="1" applyAlignment="1" applyProtection="1">
      <alignment wrapText="1"/>
      <protection locked="0"/>
    </xf>
    <xf numFmtId="3" fontId="4" fillId="0" borderId="116" xfId="0" applyNumberFormat="1" applyFont="1" applyBorder="1" applyAlignment="1" applyProtection="1">
      <alignment wrapText="1"/>
      <protection locked="0"/>
    </xf>
    <xf numFmtId="3" fontId="4" fillId="0" borderId="119" xfId="0" applyNumberFormat="1" applyFont="1" applyFill="1" applyBorder="1" applyAlignment="1" applyProtection="1">
      <alignment horizontal="right" wrapText="1"/>
      <protection locked="0"/>
    </xf>
    <xf numFmtId="3" fontId="21" fillId="0" borderId="43" xfId="0" applyNumberFormat="1" applyFont="1" applyFill="1" applyBorder="1" applyAlignment="1" applyProtection="1">
      <alignment horizontal="right" wrapText="1"/>
      <protection hidden="1"/>
    </xf>
    <xf numFmtId="3" fontId="4" fillId="0" borderId="137" xfId="0" applyNumberFormat="1" applyFont="1" applyBorder="1" applyAlignment="1" applyProtection="1">
      <alignment wrapText="1"/>
      <protection locked="0"/>
    </xf>
    <xf numFmtId="167" fontId="4" fillId="0" borderId="138" xfId="0" applyNumberFormat="1" applyFont="1" applyFill="1" applyBorder="1" applyAlignment="1" applyProtection="1">
      <alignment horizontal="right" wrapText="1"/>
      <protection locked="0"/>
    </xf>
    <xf numFmtId="167" fontId="4" fillId="0" borderId="114" xfId="0" applyNumberFormat="1" applyFont="1" applyFill="1" applyBorder="1" applyAlignment="1" applyProtection="1">
      <alignment horizontal="right" wrapText="1"/>
      <protection locked="0"/>
    </xf>
    <xf numFmtId="3" fontId="4" fillId="0" borderId="152" xfId="0" applyNumberFormat="1" applyFont="1" applyBorder="1" applyAlignment="1" applyProtection="1">
      <alignment wrapText="1"/>
      <protection hidden="1"/>
    </xf>
    <xf numFmtId="3" fontId="4" fillId="0" borderId="153" xfId="0" applyNumberFormat="1" applyFont="1" applyBorder="1" applyAlignment="1" applyProtection="1">
      <alignment wrapText="1"/>
      <protection locked="0"/>
    </xf>
    <xf numFmtId="3" fontId="4" fillId="0" borderId="153" xfId="0" applyNumberFormat="1" applyFont="1" applyBorder="1" applyAlignment="1" applyProtection="1">
      <alignment wrapText="1"/>
      <protection hidden="1"/>
    </xf>
    <xf numFmtId="167" fontId="4" fillId="0" borderId="127" xfId="0" applyNumberFormat="1" applyFont="1" applyFill="1" applyBorder="1" applyAlignment="1" applyProtection="1">
      <alignment horizontal="right" wrapText="1"/>
      <protection locked="0"/>
    </xf>
    <xf numFmtId="3" fontId="4" fillId="0" borderId="105" xfId="0" applyNumberFormat="1" applyFont="1" applyBorder="1" applyAlignment="1" applyProtection="1">
      <alignment wrapText="1"/>
      <protection locked="0"/>
    </xf>
    <xf numFmtId="3" fontId="4" fillId="0" borderId="154" xfId="0" applyNumberFormat="1" applyFont="1" applyBorder="1" applyAlignment="1" applyProtection="1">
      <alignment wrapText="1"/>
      <protection locked="0"/>
    </xf>
    <xf numFmtId="3" fontId="4" fillId="0" borderId="113" xfId="0" applyNumberFormat="1" applyFont="1" applyBorder="1" applyAlignment="1" applyProtection="1">
      <alignment horizontal="left" wrapText="1"/>
      <protection hidden="1"/>
    </xf>
    <xf numFmtId="3" fontId="4" fillId="0" borderId="94" xfId="0" applyNumberFormat="1" applyFont="1" applyBorder="1" applyAlignment="1" applyProtection="1">
      <alignment wrapText="1"/>
      <protection locked="0"/>
    </xf>
    <xf numFmtId="3" fontId="7" fillId="0" borderId="113" xfId="0" applyNumberFormat="1" applyFont="1" applyBorder="1" applyAlignment="1" applyProtection="1">
      <alignment wrapText="1"/>
      <protection locked="0"/>
    </xf>
    <xf numFmtId="3" fontId="4" fillId="0" borderId="98" xfId="0" applyNumberFormat="1" applyFont="1" applyFill="1" applyBorder="1" applyAlignment="1" applyProtection="1">
      <alignment horizontal="right" wrapText="1"/>
      <protection locked="0"/>
    </xf>
    <xf numFmtId="3" fontId="4" fillId="0" borderId="0" xfId="0" applyNumberFormat="1" applyFont="1" applyBorder="1" applyAlignment="1" applyProtection="1">
      <alignment wrapText="1"/>
      <protection locked="0"/>
    </xf>
    <xf numFmtId="3" fontId="4" fillId="0" borderId="43" xfId="0" applyNumberFormat="1" applyFont="1" applyFill="1" applyBorder="1" applyAlignment="1" applyProtection="1">
      <alignment horizontal="right" wrapText="1"/>
      <protection hidden="1"/>
    </xf>
    <xf numFmtId="167" fontId="4" fillId="0" borderId="115" xfId="0" applyNumberFormat="1" applyFont="1" applyFill="1" applyBorder="1" applyAlignment="1" applyProtection="1">
      <alignment horizontal="center" wrapText="1"/>
      <protection locked="0"/>
    </xf>
    <xf numFmtId="0" fontId="43" fillId="0" borderId="0" xfId="0" applyFont="1" applyFill="1"/>
    <xf numFmtId="3" fontId="7" fillId="0" borderId="115" xfId="0" applyNumberFormat="1" applyFont="1" applyFill="1" applyBorder="1" applyAlignment="1" applyProtection="1">
      <alignment vertical="center" wrapText="1"/>
      <protection locked="0"/>
    </xf>
    <xf numFmtId="3" fontId="7" fillId="0" borderId="110" xfId="0" quotePrefix="1" applyNumberFormat="1" applyFont="1" applyBorder="1" applyProtection="1">
      <protection locked="0"/>
    </xf>
    <xf numFmtId="3" fontId="7" fillId="0" borderId="110" xfId="0" applyNumberFormat="1" applyFont="1" applyBorder="1"/>
    <xf numFmtId="3" fontId="41" fillId="0" borderId="115" xfId="0" applyNumberFormat="1" applyFont="1" applyFill="1" applyBorder="1" applyAlignment="1" applyProtection="1">
      <alignment wrapText="1"/>
      <protection locked="0"/>
    </xf>
    <xf numFmtId="3" fontId="4" fillId="0" borderId="101" xfId="0" applyNumberFormat="1" applyFont="1" applyBorder="1" applyAlignment="1" applyProtection="1">
      <alignment wrapText="1"/>
      <protection locked="0"/>
    </xf>
    <xf numFmtId="3" fontId="4" fillId="0" borderId="102" xfId="0" applyNumberFormat="1" applyFont="1" applyBorder="1" applyAlignment="1" applyProtection="1">
      <alignment wrapText="1"/>
      <protection locked="0"/>
    </xf>
    <xf numFmtId="3" fontId="41" fillId="0" borderId="115" xfId="0" applyNumberFormat="1" applyFont="1" applyBorder="1" applyAlignment="1" applyProtection="1">
      <alignment wrapText="1"/>
      <protection locked="0"/>
    </xf>
    <xf numFmtId="3" fontId="10" fillId="0" borderId="111" xfId="0" applyNumberFormat="1" applyFont="1" applyBorder="1" applyAlignment="1" applyProtection="1">
      <alignment wrapText="1"/>
      <protection locked="0"/>
    </xf>
    <xf numFmtId="3" fontId="10" fillId="0" borderId="116" xfId="0" applyNumberFormat="1" applyFont="1" applyFill="1" applyBorder="1" applyAlignment="1" applyProtection="1">
      <alignment wrapText="1"/>
      <protection locked="0"/>
    </xf>
    <xf numFmtId="3" fontId="40" fillId="0" borderId="115" xfId="0" applyNumberFormat="1" applyFont="1" applyFill="1" applyBorder="1" applyAlignment="1" applyProtection="1">
      <alignment vertical="center" wrapText="1"/>
      <protection locked="0"/>
    </xf>
    <xf numFmtId="3" fontId="10" fillId="0" borderId="141" xfId="0" quotePrefix="1" applyNumberFormat="1" applyFont="1" applyFill="1" applyBorder="1" applyAlignment="1" applyProtection="1">
      <alignment wrapText="1"/>
      <protection locked="0"/>
    </xf>
    <xf numFmtId="3" fontId="7" fillId="0" borderId="143" xfId="0" quotePrefix="1" applyNumberFormat="1" applyFont="1" applyFill="1" applyBorder="1" applyAlignment="1" applyProtection="1">
      <alignment wrapText="1"/>
      <protection locked="0"/>
    </xf>
    <xf numFmtId="3" fontId="7" fillId="0" borderId="115" xfId="0" applyNumberFormat="1" applyFont="1" applyBorder="1" applyAlignment="1" applyProtection="1">
      <alignment horizontal="left" wrapText="1"/>
      <protection hidden="1"/>
    </xf>
    <xf numFmtId="167" fontId="4" fillId="0" borderId="127" xfId="0" applyNumberFormat="1" applyFont="1" applyFill="1" applyBorder="1" applyAlignment="1" applyProtection="1">
      <alignment horizontal="right" wrapText="1"/>
      <protection hidden="1"/>
    </xf>
    <xf numFmtId="3" fontId="4" fillId="0" borderId="137" xfId="0" applyNumberFormat="1" applyFont="1" applyBorder="1" applyAlignment="1" applyProtection="1">
      <alignment horizontal="left" wrapText="1"/>
      <protection hidden="1"/>
    </xf>
    <xf numFmtId="3" fontId="4" fillId="0" borderId="137" xfId="0" applyNumberFormat="1" applyFont="1" applyBorder="1" applyAlignment="1" applyProtection="1">
      <alignment horizontal="center" wrapText="1"/>
      <protection hidden="1"/>
    </xf>
    <xf numFmtId="3" fontId="4" fillId="0" borderId="156" xfId="0" applyNumberFormat="1" applyFont="1" applyBorder="1" applyAlignment="1" applyProtection="1">
      <alignment horizontal="left" wrapText="1"/>
      <protection hidden="1"/>
    </xf>
    <xf numFmtId="3" fontId="4" fillId="0" borderId="108" xfId="0" applyNumberFormat="1" applyFont="1" applyBorder="1" applyAlignment="1" applyProtection="1">
      <alignment horizontal="center" wrapText="1"/>
      <protection hidden="1"/>
    </xf>
    <xf numFmtId="3" fontId="4" fillId="0" borderId="113" xfId="0" applyNumberFormat="1" applyFont="1" applyBorder="1" applyAlignment="1" applyProtection="1">
      <alignment horizontal="center" wrapText="1"/>
      <protection hidden="1"/>
    </xf>
    <xf numFmtId="3" fontId="4" fillId="0" borderId="111" xfId="0" applyNumberFormat="1" applyFont="1" applyBorder="1" applyAlignment="1" applyProtection="1">
      <alignment horizontal="center" wrapText="1"/>
      <protection hidden="1"/>
    </xf>
    <xf numFmtId="3" fontId="4" fillId="0" borderId="146" xfId="0" applyNumberFormat="1" applyFont="1" applyBorder="1" applyAlignment="1" applyProtection="1">
      <alignment horizontal="center" wrapText="1"/>
      <protection hidden="1"/>
    </xf>
    <xf numFmtId="3" fontId="4" fillId="0" borderId="124" xfId="0" applyNumberFormat="1" applyFont="1" applyBorder="1" applyAlignment="1" applyProtection="1">
      <alignment horizontal="center" wrapText="1"/>
      <protection hidden="1"/>
    </xf>
    <xf numFmtId="3" fontId="4" fillId="0" borderId="129" xfId="0" applyNumberFormat="1" applyFont="1" applyBorder="1" applyAlignment="1" applyProtection="1">
      <alignment horizontal="left" wrapText="1"/>
      <protection hidden="1"/>
    </xf>
    <xf numFmtId="3" fontId="4" fillId="0" borderId="129" xfId="0" applyNumberFormat="1" applyFont="1" applyBorder="1" applyAlignment="1" applyProtection="1">
      <alignment horizontal="center" wrapText="1"/>
      <protection hidden="1"/>
    </xf>
    <xf numFmtId="3" fontId="4" fillId="0" borderId="157" xfId="0" applyNumberFormat="1" applyFont="1" applyBorder="1" applyAlignment="1" applyProtection="1">
      <alignment horizontal="left" wrapText="1"/>
      <protection hidden="1"/>
    </xf>
    <xf numFmtId="3" fontId="7" fillId="0" borderId="113" xfId="0" applyNumberFormat="1" applyFont="1" applyBorder="1" applyAlignment="1" applyProtection="1">
      <alignment horizontal="left" wrapText="1"/>
      <protection hidden="1"/>
    </xf>
    <xf numFmtId="3" fontId="4" fillId="0" borderId="118" xfId="0" applyNumberFormat="1" applyFont="1" applyBorder="1" applyAlignment="1" applyProtection="1">
      <alignment horizontal="center" wrapText="1"/>
      <protection hidden="1"/>
    </xf>
    <xf numFmtId="3" fontId="4" fillId="0" borderId="117" xfId="0" applyNumberFormat="1" applyFont="1" applyBorder="1" applyAlignment="1" applyProtection="1">
      <alignment horizontal="left" wrapText="1"/>
      <protection hidden="1"/>
    </xf>
    <xf numFmtId="3" fontId="4" fillId="0" borderId="117" xfId="0" applyNumberFormat="1" applyFont="1" applyBorder="1" applyAlignment="1" applyProtection="1">
      <alignment horizontal="center" wrapText="1"/>
      <protection hidden="1"/>
    </xf>
    <xf numFmtId="3" fontId="4" fillId="0" borderId="145" xfId="0" applyNumberFormat="1" applyFont="1" applyBorder="1" applyAlignment="1" applyProtection="1">
      <alignment horizontal="left" wrapText="1"/>
      <protection hidden="1"/>
    </xf>
    <xf numFmtId="3" fontId="4" fillId="0" borderId="158" xfId="0" applyNumberFormat="1" applyFont="1" applyBorder="1" applyAlignment="1" applyProtection="1">
      <alignment wrapText="1"/>
      <protection locked="0"/>
    </xf>
    <xf numFmtId="0" fontId="9" fillId="0" borderId="159" xfId="4" applyFont="1" applyFill="1" applyBorder="1" applyAlignment="1">
      <alignment vertical="center" wrapText="1"/>
    </xf>
    <xf numFmtId="3" fontId="7" fillId="0" borderId="110" xfId="0" applyNumberFormat="1" applyFont="1" applyBorder="1" applyAlignment="1" applyProtection="1">
      <alignment wrapText="1"/>
      <protection hidden="1"/>
    </xf>
    <xf numFmtId="0" fontId="9" fillId="0" borderId="120" xfId="4" applyFont="1" applyFill="1" applyBorder="1" applyAlignment="1">
      <alignment vertical="center" wrapText="1"/>
    </xf>
    <xf numFmtId="0" fontId="9" fillId="0" borderId="160" xfId="4" applyFont="1" applyFill="1" applyBorder="1" applyAlignment="1">
      <alignment vertical="center" wrapText="1"/>
    </xf>
    <xf numFmtId="3" fontId="7" fillId="0" borderId="133" xfId="0" applyNumberFormat="1" applyFont="1" applyBorder="1" applyAlignment="1" applyProtection="1">
      <alignment wrapText="1"/>
      <protection locked="0"/>
    </xf>
    <xf numFmtId="3" fontId="4" fillId="0" borderId="96" xfId="0" applyNumberFormat="1" applyFont="1" applyFill="1" applyBorder="1" applyAlignment="1" applyProtection="1">
      <alignment wrapText="1"/>
      <protection hidden="1"/>
    </xf>
    <xf numFmtId="3" fontId="4" fillId="0" borderId="99" xfId="0" applyNumberFormat="1" applyFont="1" applyBorder="1" applyAlignment="1" applyProtection="1">
      <alignment wrapText="1"/>
      <protection hidden="1"/>
    </xf>
    <xf numFmtId="3" fontId="7" fillId="0" borderId="97" xfId="0" applyNumberFormat="1" applyFont="1" applyFill="1" applyBorder="1" applyAlignment="1" applyProtection="1">
      <alignment horizontal="right" wrapText="1"/>
      <protection hidden="1"/>
    </xf>
    <xf numFmtId="3" fontId="7" fillId="0" borderId="54" xfId="0" applyNumberFormat="1" applyFont="1" applyFill="1" applyBorder="1" applyAlignment="1" applyProtection="1">
      <alignment horizontal="right" wrapText="1"/>
      <protection hidden="1"/>
    </xf>
    <xf numFmtId="3" fontId="4" fillId="0" borderId="94" xfId="0" applyNumberFormat="1" applyFont="1" applyFill="1" applyBorder="1" applyAlignment="1" applyProtection="1">
      <alignment wrapText="1"/>
      <protection hidden="1"/>
    </xf>
    <xf numFmtId="167" fontId="7" fillId="0" borderId="96" xfId="0" applyNumberFormat="1" applyFont="1" applyFill="1" applyBorder="1" applyAlignment="1" applyProtection="1">
      <alignment horizontal="right" wrapText="1"/>
      <protection hidden="1"/>
    </xf>
    <xf numFmtId="167" fontId="7" fillId="0" borderId="99" xfId="0" applyNumberFormat="1" applyFont="1" applyFill="1" applyBorder="1" applyAlignment="1" applyProtection="1">
      <alignment horizontal="right" wrapText="1"/>
      <protection hidden="1"/>
    </xf>
    <xf numFmtId="167" fontId="7" fillId="0" borderId="98" xfId="0" applyNumberFormat="1" applyFont="1" applyFill="1" applyBorder="1" applyAlignment="1" applyProtection="1">
      <alignment horizontal="right" wrapText="1"/>
      <protection hidden="1"/>
    </xf>
    <xf numFmtId="3" fontId="4" fillId="0" borderId="99" xfId="0" applyNumberFormat="1" applyFont="1" applyBorder="1" applyAlignment="1" applyProtection="1">
      <alignment wrapText="1"/>
      <protection locked="0"/>
    </xf>
    <xf numFmtId="3" fontId="4" fillId="0" borderId="95" xfId="0" applyNumberFormat="1" applyFont="1" applyBorder="1" applyAlignment="1" applyProtection="1">
      <alignment wrapText="1"/>
      <protection hidden="1"/>
    </xf>
    <xf numFmtId="3" fontId="4" fillId="0" borderId="110" xfId="0" applyNumberFormat="1" applyFont="1" applyBorder="1" applyAlignment="1" applyProtection="1">
      <alignment wrapText="1"/>
      <protection hidden="1"/>
    </xf>
    <xf numFmtId="3" fontId="4" fillId="0" borderId="111" xfId="0" applyNumberFormat="1" applyFont="1" applyBorder="1" applyAlignment="1" applyProtection="1">
      <alignment wrapText="1"/>
      <protection hidden="1"/>
    </xf>
    <xf numFmtId="3" fontId="4" fillId="0" borderId="99" xfId="0" applyNumberFormat="1" applyFont="1" applyFill="1" applyBorder="1" applyAlignment="1" applyProtection="1">
      <alignment wrapText="1"/>
      <protection hidden="1"/>
    </xf>
    <xf numFmtId="3" fontId="4" fillId="0" borderId="54" xfId="0" applyNumberFormat="1" applyFont="1" applyFill="1" applyBorder="1" applyAlignment="1" applyProtection="1">
      <alignment horizontal="right" wrapText="1"/>
      <protection hidden="1"/>
    </xf>
    <xf numFmtId="167" fontId="4" fillId="0" borderId="96" xfId="0" applyNumberFormat="1" applyFont="1" applyFill="1" applyBorder="1" applyAlignment="1" applyProtection="1">
      <alignment horizontal="right" wrapText="1"/>
      <protection hidden="1"/>
    </xf>
    <xf numFmtId="167" fontId="4" fillId="0" borderId="99" xfId="0" applyNumberFormat="1" applyFont="1" applyFill="1" applyBorder="1" applyAlignment="1" applyProtection="1">
      <alignment horizontal="right" wrapText="1"/>
      <protection hidden="1"/>
    </xf>
    <xf numFmtId="167" fontId="4" fillId="0" borderId="98" xfId="0" applyNumberFormat="1" applyFont="1" applyFill="1" applyBorder="1" applyAlignment="1" applyProtection="1">
      <alignment horizontal="right" wrapText="1"/>
      <protection hidden="1"/>
    </xf>
    <xf numFmtId="3" fontId="7" fillId="0" borderId="99" xfId="0" applyNumberFormat="1" applyFont="1" applyFill="1" applyBorder="1" applyAlignment="1" applyProtection="1">
      <alignment wrapText="1"/>
      <protection hidden="1"/>
    </xf>
    <xf numFmtId="3" fontId="4" fillId="0" borderId="95" xfId="0" applyNumberFormat="1" applyFont="1" applyFill="1" applyBorder="1" applyAlignment="1" applyProtection="1">
      <alignment wrapText="1"/>
      <protection hidden="1"/>
    </xf>
    <xf numFmtId="167" fontId="7" fillId="0" borderId="97" xfId="0" applyNumberFormat="1" applyFont="1" applyFill="1" applyBorder="1" applyAlignment="1" applyProtection="1">
      <alignment horizontal="right" wrapText="1"/>
      <protection hidden="1"/>
    </xf>
    <xf numFmtId="167" fontId="7" fillId="0" borderId="115" xfId="0" applyNumberFormat="1" applyFont="1" applyFill="1" applyBorder="1" applyAlignment="1" applyProtection="1">
      <alignment horizontal="right" wrapText="1"/>
      <protection hidden="1"/>
    </xf>
    <xf numFmtId="3" fontId="7" fillId="0" borderId="121" xfId="0" applyNumberFormat="1" applyFont="1" applyFill="1" applyBorder="1" applyAlignment="1" applyProtection="1">
      <alignment horizontal="right" wrapText="1"/>
      <protection hidden="1"/>
    </xf>
    <xf numFmtId="3" fontId="7" fillId="0" borderId="123" xfId="0" applyNumberFormat="1" applyFont="1" applyFill="1" applyBorder="1" applyAlignment="1" applyProtection="1">
      <alignment horizontal="right" wrapText="1"/>
      <protection hidden="1"/>
    </xf>
    <xf numFmtId="167" fontId="7" fillId="0" borderId="118" xfId="0" applyNumberFormat="1" applyFont="1" applyFill="1" applyBorder="1" applyAlignment="1" applyProtection="1">
      <alignment horizontal="right" wrapText="1"/>
      <protection hidden="1"/>
    </xf>
    <xf numFmtId="167" fontId="7" fillId="0" borderId="119" xfId="0" applyNumberFormat="1" applyFont="1" applyFill="1" applyBorder="1" applyAlignment="1" applyProtection="1">
      <alignment horizontal="right" wrapText="1"/>
      <protection hidden="1"/>
    </xf>
    <xf numFmtId="3" fontId="7" fillId="0" borderId="116" xfId="0" applyNumberFormat="1" applyFont="1" applyFill="1" applyBorder="1" applyAlignment="1" applyProtection="1">
      <alignment wrapText="1"/>
      <protection hidden="1"/>
    </xf>
    <xf numFmtId="3" fontId="7" fillId="0" borderId="116" xfId="0" applyNumberFormat="1" applyFont="1" applyBorder="1" applyAlignment="1" applyProtection="1">
      <alignment wrapText="1"/>
      <protection hidden="1"/>
    </xf>
    <xf numFmtId="3" fontId="7" fillId="0" borderId="115" xfId="0" applyNumberFormat="1" applyFont="1" applyBorder="1" applyAlignment="1" applyProtection="1">
      <alignment vertical="center" wrapText="1"/>
      <protection locked="0"/>
    </xf>
    <xf numFmtId="3" fontId="10" fillId="0" borderId="115" xfId="0" applyNumberFormat="1" applyFont="1" applyBorder="1" applyAlignment="1" applyProtection="1">
      <alignment wrapText="1"/>
      <protection locked="0"/>
    </xf>
    <xf numFmtId="3" fontId="7" fillId="0" borderId="141" xfId="0" applyNumberFormat="1" applyFont="1" applyFill="1" applyBorder="1" applyAlignment="1" applyProtection="1">
      <alignment wrapText="1"/>
      <protection hidden="1"/>
    </xf>
    <xf numFmtId="3" fontId="7" fillId="0" borderId="143" xfId="0" applyNumberFormat="1" applyFont="1" applyBorder="1" applyAlignment="1" applyProtection="1">
      <alignment wrapText="1"/>
      <protection hidden="1"/>
    </xf>
    <xf numFmtId="3" fontId="7" fillId="10" borderId="110" xfId="0" applyNumberFormat="1" applyFont="1" applyFill="1" applyBorder="1" applyAlignment="1" applyProtection="1">
      <alignment wrapText="1"/>
      <protection hidden="1"/>
    </xf>
    <xf numFmtId="3" fontId="7" fillId="0" borderId="110" xfId="0" applyNumberFormat="1" applyFont="1" applyFill="1" applyBorder="1" applyAlignment="1" applyProtection="1">
      <alignment wrapText="1"/>
      <protection hidden="1"/>
    </xf>
    <xf numFmtId="3" fontId="4" fillId="0" borderId="100" xfId="0" applyNumberFormat="1" applyFont="1" applyBorder="1" applyAlignment="1" applyProtection="1">
      <alignment horizontal="center" wrapText="1"/>
      <protection hidden="1"/>
    </xf>
    <xf numFmtId="3" fontId="4" fillId="0" borderId="101" xfId="0" applyNumberFormat="1" applyFont="1" applyBorder="1" applyAlignment="1" applyProtection="1">
      <alignment horizontal="left" wrapText="1"/>
      <protection hidden="1"/>
    </xf>
    <xf numFmtId="3" fontId="4" fillId="0" borderId="102" xfId="0" applyNumberFormat="1" applyFont="1" applyBorder="1" applyAlignment="1" applyProtection="1">
      <alignment horizontal="left" wrapText="1"/>
      <protection hidden="1"/>
    </xf>
    <xf numFmtId="3" fontId="4" fillId="0" borderId="110" xfId="0" applyNumberFormat="1" applyFont="1" applyBorder="1" applyAlignment="1" applyProtection="1">
      <alignment horizontal="center" wrapText="1"/>
      <protection hidden="1"/>
    </xf>
    <xf numFmtId="3" fontId="4" fillId="0" borderId="110" xfId="0" applyNumberFormat="1" applyFont="1" applyBorder="1" applyAlignment="1" applyProtection="1">
      <alignment horizontal="left" wrapText="1"/>
      <protection hidden="1"/>
    </xf>
    <xf numFmtId="3" fontId="7" fillId="0" borderId="137" xfId="0" applyNumberFormat="1" applyFont="1" applyBorder="1" applyAlignment="1" applyProtection="1">
      <alignment horizontal="left" wrapText="1"/>
      <protection hidden="1"/>
    </xf>
    <xf numFmtId="3" fontId="7" fillId="0" borderId="110" xfId="0" applyNumberFormat="1" applyFont="1" applyBorder="1" applyAlignment="1" applyProtection="1">
      <alignment horizontal="left" wrapText="1"/>
      <protection hidden="1"/>
    </xf>
    <xf numFmtId="3" fontId="4" fillId="0" borderId="96" xfId="0" applyNumberFormat="1" applyFont="1" applyBorder="1" applyAlignment="1" applyProtection="1">
      <alignment horizontal="center" wrapText="1"/>
      <protection hidden="1"/>
    </xf>
    <xf numFmtId="3" fontId="4" fillId="0" borderId="94" xfId="0" applyNumberFormat="1" applyFont="1" applyBorder="1" applyAlignment="1" applyProtection="1">
      <alignment horizontal="center" wrapText="1"/>
      <protection hidden="1"/>
    </xf>
    <xf numFmtId="3" fontId="7" fillId="0" borderId="94" xfId="0" applyNumberFormat="1" applyFont="1" applyBorder="1" applyAlignment="1" applyProtection="1">
      <alignment horizontal="left" wrapText="1"/>
      <protection hidden="1"/>
    </xf>
    <xf numFmtId="3" fontId="4" fillId="0" borderId="145" xfId="0" applyNumberFormat="1" applyFont="1" applyBorder="1" applyAlignment="1" applyProtection="1">
      <alignment horizontal="center" wrapText="1"/>
      <protection hidden="1"/>
    </xf>
    <xf numFmtId="3" fontId="4" fillId="0" borderId="105" xfId="0" applyNumberFormat="1" applyFont="1" applyBorder="1" applyAlignment="1" applyProtection="1">
      <alignment horizontal="left" wrapText="1"/>
      <protection hidden="1"/>
    </xf>
    <xf numFmtId="3" fontId="4" fillId="0" borderId="154" xfId="0" applyNumberFormat="1" applyFont="1" applyBorder="1" applyAlignment="1" applyProtection="1">
      <alignment horizontal="left" wrapText="1"/>
      <protection hidden="1"/>
    </xf>
    <xf numFmtId="3" fontId="4" fillId="0" borderId="100" xfId="0" applyNumberFormat="1" applyFont="1" applyFill="1" applyBorder="1" applyAlignment="1" applyProtection="1">
      <alignment wrapText="1"/>
      <protection hidden="1"/>
    </xf>
    <xf numFmtId="3" fontId="4" fillId="0" borderId="105" xfId="0" applyNumberFormat="1" applyFont="1" applyFill="1" applyBorder="1" applyAlignment="1" applyProtection="1">
      <alignment wrapText="1"/>
      <protection hidden="1"/>
    </xf>
    <xf numFmtId="0" fontId="4" fillId="0" borderId="110" xfId="0" applyFont="1" applyBorder="1" applyAlignment="1">
      <alignment wrapText="1"/>
    </xf>
    <xf numFmtId="0" fontId="4" fillId="0" borderId="111" xfId="0" applyFont="1" applyBorder="1" applyAlignment="1">
      <alignment wrapText="1"/>
    </xf>
    <xf numFmtId="0" fontId="4" fillId="0" borderId="124" xfId="0" applyFont="1" applyBorder="1" applyAlignment="1">
      <alignment wrapText="1"/>
    </xf>
    <xf numFmtId="0" fontId="4" fillId="0" borderId="129" xfId="0" applyFont="1" applyBorder="1" applyAlignment="1">
      <alignment wrapText="1"/>
    </xf>
    <xf numFmtId="3" fontId="27" fillId="0" borderId="101" xfId="0" applyNumberFormat="1" applyFont="1" applyBorder="1" applyAlignment="1" applyProtection="1">
      <alignment wrapText="1"/>
      <protection hidden="1"/>
    </xf>
    <xf numFmtId="3" fontId="7" fillId="0" borderId="133" xfId="0" applyNumberFormat="1" applyFont="1" applyBorder="1" applyAlignment="1" applyProtection="1">
      <alignment wrapText="1"/>
      <protection hidden="1"/>
    </xf>
    <xf numFmtId="3" fontId="7" fillId="0" borderId="99" xfId="0" applyNumberFormat="1" applyFont="1" applyBorder="1" applyAlignment="1" applyProtection="1">
      <alignment wrapText="1"/>
      <protection hidden="1"/>
    </xf>
    <xf numFmtId="3" fontId="4" fillId="0" borderId="146" xfId="0" applyNumberFormat="1" applyFont="1" applyBorder="1" applyAlignment="1" applyProtection="1">
      <alignment horizontal="left" wrapText="1"/>
      <protection hidden="1"/>
    </xf>
    <xf numFmtId="3" fontId="4" fillId="0" borderId="78" xfId="0" applyNumberFormat="1" applyFont="1" applyFill="1" applyBorder="1" applyAlignment="1" applyProtection="1">
      <alignment horizontal="right" wrapText="1"/>
      <protection hidden="1"/>
    </xf>
    <xf numFmtId="0" fontId="4" fillId="0" borderId="47" xfId="0" applyFont="1" applyBorder="1" applyAlignment="1">
      <alignment wrapText="1"/>
    </xf>
    <xf numFmtId="0" fontId="4" fillId="0" borderId="47" xfId="0" applyFont="1" applyFill="1" applyBorder="1" applyAlignment="1">
      <alignment wrapText="1"/>
    </xf>
    <xf numFmtId="0" fontId="4" fillId="0" borderId="0" xfId="0" applyFont="1" applyBorder="1" applyAlignment="1">
      <alignment wrapText="1"/>
    </xf>
    <xf numFmtId="3" fontId="4" fillId="0" borderId="0" xfId="0" applyNumberFormat="1" applyFont="1" applyBorder="1" applyAlignment="1">
      <alignment wrapText="1"/>
    </xf>
    <xf numFmtId="3" fontId="4" fillId="0" borderId="0" xfId="0" applyNumberFormat="1" applyFont="1" applyFill="1" applyBorder="1" applyAlignment="1">
      <alignment wrapText="1"/>
    </xf>
    <xf numFmtId="0" fontId="4" fillId="0" borderId="0" xfId="0" applyFont="1" applyFill="1" applyBorder="1" applyAlignment="1">
      <alignment wrapText="1"/>
    </xf>
    <xf numFmtId="3" fontId="4" fillId="0" borderId="0" xfId="0" applyNumberFormat="1" applyFont="1" applyBorder="1" applyAlignment="1" applyProtection="1">
      <alignment wrapText="1"/>
      <protection hidden="1"/>
    </xf>
    <xf numFmtId="3" fontId="4" fillId="0" borderId="0" xfId="0" applyNumberFormat="1" applyFont="1" applyFill="1" applyBorder="1" applyAlignment="1" applyProtection="1">
      <alignment wrapText="1"/>
      <protection hidden="1"/>
    </xf>
    <xf numFmtId="3" fontId="4" fillId="0" borderId="0" xfId="0" applyNumberFormat="1" applyFont="1" applyBorder="1" applyAlignment="1" applyProtection="1">
      <protection hidden="1"/>
    </xf>
    <xf numFmtId="0" fontId="4" fillId="0" borderId="0" xfId="0" applyFont="1" applyFill="1" applyAlignment="1">
      <alignment wrapText="1"/>
    </xf>
    <xf numFmtId="3" fontId="4" fillId="0" borderId="0" xfId="0" applyNumberFormat="1" applyFont="1" applyAlignment="1">
      <alignment wrapText="1"/>
    </xf>
    <xf numFmtId="3" fontId="4" fillId="0" borderId="0" xfId="0" applyNumberFormat="1" applyFont="1" applyFill="1" applyAlignment="1">
      <alignment wrapText="1"/>
    </xf>
    <xf numFmtId="0" fontId="0" fillId="0" borderId="0" xfId="0" applyAlignment="1">
      <alignment horizontal="center" vertical="center"/>
    </xf>
    <xf numFmtId="3" fontId="6" fillId="0" borderId="125" xfId="0" applyNumberFormat="1" applyFont="1" applyFill="1" applyBorder="1" applyAlignment="1" applyProtection="1">
      <alignment horizontal="center" vertical="center" wrapText="1"/>
      <protection hidden="1"/>
    </xf>
    <xf numFmtId="167" fontId="4" fillId="0" borderId="99" xfId="0" applyNumberFormat="1" applyFont="1" applyFill="1" applyBorder="1" applyAlignment="1" applyProtection="1">
      <alignment horizontal="right"/>
      <protection hidden="1"/>
    </xf>
    <xf numFmtId="3" fontId="4" fillId="0" borderId="132" xfId="0" applyNumberFormat="1" applyFont="1" applyBorder="1" applyProtection="1">
      <protection hidden="1"/>
    </xf>
    <xf numFmtId="3" fontId="4" fillId="0" borderId="133" xfId="0" applyNumberFormat="1" applyFont="1" applyBorder="1" applyProtection="1">
      <protection hidden="1"/>
    </xf>
    <xf numFmtId="3" fontId="4" fillId="0" borderId="133" xfId="0" applyNumberFormat="1" applyFont="1" applyBorder="1" applyAlignment="1" applyProtection="1">
      <alignment horizontal="center" wrapText="1"/>
      <protection hidden="1"/>
    </xf>
    <xf numFmtId="167" fontId="20" fillId="0" borderId="133" xfId="0" applyNumberFormat="1" applyFont="1" applyFill="1" applyBorder="1" applyAlignment="1" applyProtection="1">
      <alignment horizontal="right" wrapText="1"/>
      <protection hidden="1"/>
    </xf>
    <xf numFmtId="167" fontId="7" fillId="0" borderId="133" xfId="0" applyNumberFormat="1" applyFont="1" applyFill="1" applyBorder="1" applyAlignment="1" applyProtection="1">
      <alignment horizontal="right" wrapText="1"/>
      <protection hidden="1"/>
    </xf>
    <xf numFmtId="3" fontId="4" fillId="0" borderId="108" xfId="0" applyNumberFormat="1" applyFont="1" applyBorder="1" applyProtection="1">
      <protection hidden="1"/>
    </xf>
    <xf numFmtId="3" fontId="4" fillId="0" borderId="110" xfId="0" applyNumberFormat="1" applyFont="1" applyBorder="1" applyProtection="1">
      <protection hidden="1"/>
    </xf>
    <xf numFmtId="3" fontId="4" fillId="0" borderId="110" xfId="0" applyNumberFormat="1" applyFont="1" applyBorder="1" applyProtection="1">
      <protection locked="0"/>
    </xf>
    <xf numFmtId="167" fontId="20" fillId="0" borderId="110" xfId="0" applyNumberFormat="1" applyFont="1" applyFill="1" applyBorder="1" applyAlignment="1" applyProtection="1">
      <alignment horizontal="right" wrapText="1"/>
      <protection locked="0"/>
    </xf>
    <xf numFmtId="3" fontId="40" fillId="0" borderId="110" xfId="0" applyNumberFormat="1" applyFont="1" applyBorder="1" applyProtection="1">
      <protection locked="0"/>
    </xf>
    <xf numFmtId="3" fontId="7" fillId="0" borderId="110" xfId="0" applyNumberFormat="1" applyFont="1" applyBorder="1" applyProtection="1">
      <protection locked="0"/>
    </xf>
    <xf numFmtId="167" fontId="7" fillId="0" borderId="110" xfId="0" applyNumberFormat="1" applyFont="1" applyFill="1" applyBorder="1" applyAlignment="1" applyProtection="1">
      <alignment horizontal="right"/>
      <protection hidden="1"/>
    </xf>
    <xf numFmtId="167" fontId="7" fillId="0" borderId="110" xfId="0" applyNumberFormat="1" applyFont="1" applyFill="1" applyBorder="1" applyAlignment="1" applyProtection="1">
      <alignment horizontal="right"/>
      <protection locked="0"/>
    </xf>
    <xf numFmtId="3" fontId="7" fillId="0" borderId="110" xfId="0" applyNumberFormat="1" applyFont="1" applyBorder="1" applyAlignment="1">
      <alignment wrapText="1"/>
    </xf>
    <xf numFmtId="3" fontId="4" fillId="0" borderId="118" xfId="0" applyNumberFormat="1" applyFont="1" applyBorder="1" applyProtection="1">
      <protection hidden="1"/>
    </xf>
    <xf numFmtId="3" fontId="4" fillId="0" borderId="115" xfId="0" applyNumberFormat="1" applyFont="1" applyBorder="1" applyProtection="1">
      <protection locked="0"/>
    </xf>
    <xf numFmtId="3" fontId="4" fillId="0" borderId="115" xfId="0" applyNumberFormat="1" applyFont="1" applyBorder="1" applyProtection="1">
      <protection hidden="1"/>
    </xf>
    <xf numFmtId="3" fontId="7" fillId="0" borderId="115" xfId="0" applyNumberFormat="1" applyFont="1" applyBorder="1" applyProtection="1">
      <protection locked="0"/>
    </xf>
    <xf numFmtId="167" fontId="20" fillId="0" borderId="115" xfId="0" applyNumberFormat="1" applyFont="1" applyFill="1" applyBorder="1" applyAlignment="1" applyProtection="1">
      <alignment horizontal="right" wrapText="1"/>
      <protection locked="0"/>
    </xf>
    <xf numFmtId="167" fontId="7" fillId="0" borderId="115" xfId="0" applyNumberFormat="1" applyFont="1" applyFill="1" applyBorder="1" applyAlignment="1" applyProtection="1">
      <alignment horizontal="right"/>
      <protection locked="0"/>
    </xf>
    <xf numFmtId="3" fontId="4" fillId="0" borderId="149" xfId="0" applyNumberFormat="1" applyFont="1" applyBorder="1" applyProtection="1">
      <protection hidden="1"/>
    </xf>
    <xf numFmtId="3" fontId="4" fillId="0" borderId="166" xfId="0" applyNumberFormat="1" applyFont="1" applyBorder="1" applyProtection="1">
      <protection hidden="1"/>
    </xf>
    <xf numFmtId="3" fontId="4" fillId="0" borderId="166" xfId="0" applyNumberFormat="1" applyFont="1" applyBorder="1" applyAlignment="1" applyProtection="1">
      <alignment wrapText="1"/>
      <protection hidden="1"/>
    </xf>
    <xf numFmtId="167" fontId="21" fillId="0" borderId="166" xfId="0" applyNumberFormat="1" applyFont="1" applyFill="1" applyBorder="1" applyAlignment="1" applyProtection="1">
      <alignment wrapText="1"/>
      <protection hidden="1"/>
    </xf>
    <xf numFmtId="167" fontId="4" fillId="0" borderId="166" xfId="0" applyNumberFormat="1" applyFont="1" applyFill="1" applyBorder="1" applyAlignment="1" applyProtection="1">
      <alignment wrapText="1"/>
      <protection hidden="1"/>
    </xf>
    <xf numFmtId="167" fontId="20" fillId="0" borderId="133" xfId="0" applyNumberFormat="1" applyFont="1" applyFill="1" applyBorder="1" applyAlignment="1" applyProtection="1">
      <alignment wrapText="1"/>
      <protection hidden="1"/>
    </xf>
    <xf numFmtId="167" fontId="7" fillId="0" borderId="133" xfId="0" applyNumberFormat="1" applyFont="1" applyFill="1" applyBorder="1" applyAlignment="1" applyProtection="1">
      <alignment wrapText="1"/>
      <protection hidden="1"/>
    </xf>
    <xf numFmtId="167" fontId="20" fillId="0" borderId="110" xfId="0" applyNumberFormat="1" applyFont="1" applyFill="1" applyBorder="1" applyAlignment="1" applyProtection="1">
      <alignment wrapText="1"/>
      <protection locked="0"/>
    </xf>
    <xf numFmtId="167" fontId="7" fillId="0" borderId="110" xfId="0" applyNumberFormat="1" applyFont="1" applyFill="1" applyBorder="1" applyAlignment="1" applyProtection="1">
      <protection locked="0"/>
    </xf>
    <xf numFmtId="167" fontId="7" fillId="0" borderId="110" xfId="0" applyNumberFormat="1" applyFont="1" applyFill="1" applyBorder="1" applyAlignment="1" applyProtection="1">
      <alignment wrapText="1"/>
      <protection locked="0"/>
    </xf>
    <xf numFmtId="167" fontId="4" fillId="0" borderId="110" xfId="0" applyNumberFormat="1" applyFont="1" applyFill="1" applyBorder="1" applyAlignment="1" applyProtection="1">
      <alignment wrapText="1"/>
      <protection locked="0"/>
    </xf>
    <xf numFmtId="0" fontId="4" fillId="0" borderId="110" xfId="0" applyFont="1" applyBorder="1"/>
    <xf numFmtId="167" fontId="20" fillId="0" borderId="115" xfId="0" applyNumberFormat="1" applyFont="1" applyFill="1" applyBorder="1" applyAlignment="1" applyProtection="1">
      <alignment wrapText="1"/>
      <protection locked="0"/>
    </xf>
    <xf numFmtId="167" fontId="7" fillId="0" borderId="115" xfId="0" applyNumberFormat="1" applyFont="1" applyFill="1" applyBorder="1" applyAlignment="1" applyProtection="1">
      <protection locked="0"/>
    </xf>
    <xf numFmtId="167" fontId="7" fillId="0" borderId="115" xfId="0" applyNumberFormat="1" applyFont="1" applyFill="1" applyBorder="1" applyAlignment="1" applyProtection="1">
      <alignment wrapText="1"/>
      <protection locked="0"/>
    </xf>
    <xf numFmtId="167" fontId="4" fillId="0" borderId="110" xfId="0" applyNumberFormat="1" applyFont="1" applyFill="1" applyBorder="1" applyAlignment="1" applyProtection="1">
      <alignment horizontal="right" wrapText="1"/>
      <protection locked="0"/>
    </xf>
    <xf numFmtId="167" fontId="20" fillId="0" borderId="110" xfId="0" applyNumberFormat="1" applyFont="1" applyFill="1" applyBorder="1" applyAlignment="1" applyProtection="1">
      <alignment horizontal="right"/>
      <protection locked="0"/>
    </xf>
    <xf numFmtId="3" fontId="7" fillId="0" borderId="110" xfId="0" applyNumberFormat="1" applyFont="1" applyFill="1" applyBorder="1" applyProtection="1">
      <protection locked="0"/>
    </xf>
    <xf numFmtId="0" fontId="4" fillId="0" borderId="110" xfId="0" applyFont="1" applyFill="1" applyBorder="1"/>
    <xf numFmtId="167" fontId="7" fillId="0" borderId="110" xfId="0" applyNumberFormat="1" applyFont="1" applyFill="1" applyBorder="1"/>
    <xf numFmtId="167" fontId="4" fillId="0" borderId="110" xfId="0" applyNumberFormat="1" applyFont="1" applyFill="1" applyBorder="1"/>
    <xf numFmtId="3" fontId="4" fillId="0" borderId="110" xfId="0" quotePrefix="1" applyNumberFormat="1" applyFont="1" applyFill="1" applyBorder="1" applyProtection="1">
      <protection locked="0"/>
    </xf>
    <xf numFmtId="3" fontId="7" fillId="0" borderId="115" xfId="0" quotePrefix="1" applyNumberFormat="1" applyFont="1" applyBorder="1" applyProtection="1">
      <protection locked="0"/>
    </xf>
    <xf numFmtId="167" fontId="20" fillId="0" borderId="115" xfId="0" applyNumberFormat="1" applyFont="1" applyFill="1" applyBorder="1" applyAlignment="1" applyProtection="1">
      <alignment horizontal="right"/>
      <protection locked="0"/>
    </xf>
    <xf numFmtId="3" fontId="4" fillId="0" borderId="167" xfId="0" applyNumberFormat="1" applyFont="1" applyBorder="1" applyProtection="1">
      <protection hidden="1"/>
    </xf>
    <xf numFmtId="167" fontId="21" fillId="0" borderId="166" xfId="0" applyNumberFormat="1" applyFont="1" applyFill="1" applyBorder="1" applyAlignment="1" applyProtection="1">
      <alignment horizontal="right" wrapText="1"/>
      <protection hidden="1"/>
    </xf>
    <xf numFmtId="167" fontId="4" fillId="0" borderId="166" xfId="0" applyNumberFormat="1" applyFont="1" applyFill="1" applyBorder="1" applyAlignment="1" applyProtection="1">
      <alignment horizontal="right" wrapText="1"/>
      <protection hidden="1"/>
    </xf>
    <xf numFmtId="167" fontId="4" fillId="11" borderId="166" xfId="0" applyNumberFormat="1" applyFont="1" applyFill="1" applyBorder="1" applyAlignment="1" applyProtection="1">
      <alignment horizontal="right" wrapText="1"/>
      <protection hidden="1"/>
    </xf>
    <xf numFmtId="167" fontId="21" fillId="0" borderId="133" xfId="0" applyNumberFormat="1" applyFont="1" applyFill="1" applyBorder="1" applyAlignment="1" applyProtection="1">
      <alignment horizontal="right" wrapText="1"/>
      <protection hidden="1"/>
    </xf>
    <xf numFmtId="3" fontId="4" fillId="0" borderId="110" xfId="0" applyNumberFormat="1" applyFont="1" applyBorder="1" applyAlignment="1" applyProtection="1">
      <alignment horizontal="center"/>
      <protection hidden="1"/>
    </xf>
    <xf numFmtId="167" fontId="21" fillId="0" borderId="110" xfId="0" applyNumberFormat="1" applyFont="1" applyFill="1" applyBorder="1" applyAlignment="1" applyProtection="1">
      <alignment horizontal="right" wrapText="1"/>
      <protection hidden="1"/>
    </xf>
    <xf numFmtId="167" fontId="4" fillId="0" borderId="110" xfId="0" applyNumberFormat="1" applyFont="1" applyFill="1" applyBorder="1" applyAlignment="1" applyProtection="1">
      <alignment horizontal="right" wrapText="1"/>
      <protection hidden="1"/>
    </xf>
    <xf numFmtId="3" fontId="4" fillId="0" borderId="115" xfId="0" applyNumberFormat="1" applyFont="1" applyBorder="1" applyAlignment="1" applyProtection="1">
      <alignment horizontal="center"/>
      <protection hidden="1"/>
    </xf>
    <xf numFmtId="167" fontId="21" fillId="0" borderId="115" xfId="0" applyNumberFormat="1" applyFont="1" applyFill="1" applyBorder="1" applyAlignment="1" applyProtection="1">
      <alignment horizontal="right" wrapText="1"/>
      <protection hidden="1"/>
    </xf>
    <xf numFmtId="3" fontId="4" fillId="0" borderId="149" xfId="0" applyNumberFormat="1" applyFont="1" applyBorder="1" applyAlignment="1" applyProtection="1">
      <alignment wrapText="1"/>
      <protection locked="0"/>
    </xf>
    <xf numFmtId="3" fontId="4" fillId="0" borderId="166" xfId="0" applyNumberFormat="1" applyFont="1" applyBorder="1" applyAlignment="1" applyProtection="1">
      <alignment wrapText="1"/>
      <protection locked="0"/>
    </xf>
    <xf numFmtId="167" fontId="4" fillId="0" borderId="166" xfId="0" applyNumberFormat="1" applyFont="1" applyFill="1" applyBorder="1" applyAlignment="1" applyProtection="1">
      <alignment horizontal="right"/>
      <protection hidden="1"/>
    </xf>
    <xf numFmtId="167" fontId="4" fillId="0" borderId="133" xfId="0" applyNumberFormat="1" applyFont="1" applyFill="1" applyBorder="1" applyAlignment="1" applyProtection="1">
      <alignment horizontal="center" wrapText="1"/>
      <protection hidden="1"/>
    </xf>
    <xf numFmtId="167" fontId="21" fillId="0" borderId="133" xfId="0" applyNumberFormat="1" applyFont="1" applyFill="1" applyBorder="1" applyAlignment="1" applyProtection="1">
      <alignment horizontal="center" wrapText="1"/>
      <protection locked="0"/>
    </xf>
    <xf numFmtId="167" fontId="21" fillId="0" borderId="110" xfId="0" applyNumberFormat="1" applyFont="1" applyFill="1" applyBorder="1" applyAlignment="1" applyProtection="1">
      <alignment horizontal="center" wrapText="1"/>
      <protection locked="0"/>
    </xf>
    <xf numFmtId="167" fontId="21" fillId="0" borderId="115" xfId="0" applyNumberFormat="1" applyFont="1" applyFill="1" applyBorder="1" applyAlignment="1" applyProtection="1">
      <alignment horizontal="center" wrapText="1"/>
      <protection locked="0"/>
    </xf>
    <xf numFmtId="167" fontId="4" fillId="0" borderId="133" xfId="0" applyNumberFormat="1" applyFont="1" applyFill="1" applyBorder="1" applyAlignment="1" applyProtection="1">
      <alignment horizontal="center" wrapText="1"/>
      <protection locked="0"/>
    </xf>
    <xf numFmtId="3" fontId="4" fillId="0" borderId="158" xfId="0" applyNumberFormat="1" applyFont="1" applyBorder="1" applyAlignment="1" applyProtection="1">
      <alignment wrapText="1"/>
      <protection hidden="1"/>
    </xf>
    <xf numFmtId="167" fontId="21" fillId="0" borderId="158" xfId="0" applyNumberFormat="1" applyFont="1" applyFill="1" applyBorder="1" applyAlignment="1" applyProtection="1">
      <alignment horizontal="right" wrapText="1"/>
      <protection locked="0"/>
    </xf>
    <xf numFmtId="167" fontId="4" fillId="0" borderId="158" xfId="0" applyNumberFormat="1" applyFont="1" applyFill="1" applyBorder="1" applyAlignment="1" applyProtection="1">
      <alignment horizontal="right" wrapText="1"/>
      <protection locked="0"/>
    </xf>
    <xf numFmtId="167" fontId="21" fillId="0" borderId="133" xfId="0" applyNumberFormat="1" applyFont="1" applyFill="1" applyBorder="1" applyAlignment="1" applyProtection="1">
      <alignment horizontal="right" wrapText="1"/>
      <protection locked="0"/>
    </xf>
    <xf numFmtId="167" fontId="4" fillId="0" borderId="133" xfId="0" applyNumberFormat="1" applyFont="1" applyFill="1" applyBorder="1" applyAlignment="1" applyProtection="1">
      <alignment horizontal="right" wrapText="1"/>
      <protection locked="0"/>
    </xf>
    <xf numFmtId="167" fontId="21" fillId="0" borderId="110" xfId="0" applyNumberFormat="1" applyFont="1" applyFill="1" applyBorder="1" applyAlignment="1" applyProtection="1">
      <alignment horizontal="right" wrapText="1"/>
      <protection locked="0"/>
    </xf>
    <xf numFmtId="167" fontId="21" fillId="0" borderId="115" xfId="0" applyNumberFormat="1" applyFont="1" applyFill="1" applyBorder="1" applyAlignment="1" applyProtection="1">
      <alignment horizontal="right" wrapText="1"/>
      <protection locked="0"/>
    </xf>
    <xf numFmtId="167" fontId="4" fillId="0" borderId="115" xfId="0" applyNumberFormat="1" applyFont="1" applyFill="1" applyBorder="1" applyAlignment="1" applyProtection="1">
      <alignment horizontal="right" wrapText="1"/>
      <protection locked="0"/>
    </xf>
    <xf numFmtId="167" fontId="21" fillId="0" borderId="166" xfId="0" applyNumberFormat="1" applyFont="1" applyFill="1" applyBorder="1" applyAlignment="1" applyProtection="1">
      <alignment horizontal="right" wrapText="1"/>
      <protection locked="0"/>
    </xf>
    <xf numFmtId="167" fontId="21" fillId="0" borderId="133" xfId="0" applyNumberFormat="1" applyFont="1" applyFill="1" applyBorder="1" applyAlignment="1" applyProtection="1">
      <alignment horizontal="center" wrapText="1"/>
      <protection hidden="1"/>
    </xf>
    <xf numFmtId="167" fontId="7" fillId="0" borderId="115" xfId="0" applyNumberFormat="1" applyFont="1" applyBorder="1" applyAlignment="1" applyProtection="1">
      <alignment horizontal="left" vertical="center" wrapText="1"/>
      <protection locked="0"/>
    </xf>
    <xf numFmtId="3" fontId="7" fillId="0" borderId="110" xfId="4" applyNumberFormat="1" applyFont="1" applyBorder="1" applyAlignment="1" applyProtection="1">
      <alignment wrapText="1"/>
      <protection locked="0"/>
    </xf>
    <xf numFmtId="3" fontId="7" fillId="0" borderId="110" xfId="4" quotePrefix="1" applyNumberFormat="1" applyFont="1" applyBorder="1" applyProtection="1">
      <protection locked="0"/>
    </xf>
    <xf numFmtId="3" fontId="4" fillId="0" borderId="133" xfId="0" applyNumberFormat="1" applyFont="1" applyBorder="1" applyAlignment="1" applyProtection="1">
      <alignment horizontal="left" wrapText="1"/>
      <protection hidden="1"/>
    </xf>
    <xf numFmtId="3" fontId="4" fillId="0" borderId="115" xfId="0" applyNumberFormat="1" applyFont="1" applyBorder="1" applyAlignment="1" applyProtection="1">
      <alignment horizontal="center" wrapText="1"/>
      <protection hidden="1"/>
    </xf>
    <xf numFmtId="3" fontId="4" fillId="0" borderId="166" xfId="0" applyNumberFormat="1" applyFont="1" applyBorder="1" applyAlignment="1" applyProtection="1">
      <alignment horizontal="left" wrapText="1"/>
      <protection hidden="1"/>
    </xf>
    <xf numFmtId="3" fontId="4" fillId="0" borderId="115" xfId="0" applyNumberFormat="1" applyFont="1" applyBorder="1" applyAlignment="1" applyProtection="1">
      <alignment horizontal="left" wrapText="1"/>
      <protection hidden="1"/>
    </xf>
    <xf numFmtId="3" fontId="4" fillId="0" borderId="132" xfId="0" applyNumberFormat="1" applyFont="1" applyFill="1" applyBorder="1" applyProtection="1">
      <protection hidden="1"/>
    </xf>
    <xf numFmtId="3" fontId="4" fillId="0" borderId="133" xfId="0" applyNumberFormat="1" applyFont="1" applyFill="1" applyBorder="1" applyProtection="1">
      <protection hidden="1"/>
    </xf>
    <xf numFmtId="3" fontId="4" fillId="0" borderId="108" xfId="0" applyNumberFormat="1" applyFont="1" applyFill="1" applyBorder="1" applyProtection="1">
      <protection hidden="1"/>
    </xf>
    <xf numFmtId="3" fontId="4" fillId="0" borderId="110" xfId="0" applyNumberFormat="1" applyFont="1" applyFill="1" applyBorder="1" applyProtection="1">
      <protection hidden="1"/>
    </xf>
    <xf numFmtId="167" fontId="4" fillId="0" borderId="110" xfId="0" applyNumberFormat="1" applyFont="1" applyFill="1" applyBorder="1" applyAlignment="1" applyProtection="1">
      <alignment horizontal="right"/>
      <protection hidden="1"/>
    </xf>
    <xf numFmtId="167" fontId="21" fillId="0" borderId="110" xfId="0" applyNumberFormat="1" applyFont="1" applyFill="1" applyBorder="1" applyAlignment="1" applyProtection="1">
      <alignment horizontal="right"/>
      <protection hidden="1"/>
    </xf>
    <xf numFmtId="3" fontId="4" fillId="0" borderId="110" xfId="0" applyNumberFormat="1" applyFont="1" applyFill="1" applyBorder="1" applyAlignment="1" applyProtection="1">
      <alignment wrapText="1"/>
      <protection hidden="1"/>
    </xf>
    <xf numFmtId="167" fontId="20" fillId="0" borderId="115" xfId="0" applyNumberFormat="1" applyFont="1" applyFill="1" applyBorder="1" applyAlignment="1" applyProtection="1">
      <alignment horizontal="right" wrapText="1"/>
      <protection hidden="1"/>
    </xf>
    <xf numFmtId="167" fontId="20" fillId="0" borderId="133" xfId="0" applyNumberFormat="1" applyFont="1" applyFill="1" applyBorder="1" applyAlignment="1" applyProtection="1">
      <alignment horizontal="right" wrapText="1"/>
      <protection locked="0"/>
    </xf>
    <xf numFmtId="167" fontId="7" fillId="0" borderId="133" xfId="0" applyNumberFormat="1" applyFont="1" applyFill="1" applyBorder="1" applyAlignment="1" applyProtection="1">
      <alignment horizontal="right" wrapText="1"/>
      <protection locked="0"/>
    </xf>
    <xf numFmtId="3" fontId="7" fillId="0" borderId="110" xfId="0" applyNumberFormat="1" applyFont="1" applyBorder="1" applyProtection="1">
      <protection hidden="1"/>
    </xf>
    <xf numFmtId="167" fontId="20" fillId="0" borderId="110" xfId="0" applyNumberFormat="1" applyFont="1" applyFill="1" applyBorder="1" applyAlignment="1" applyProtection="1">
      <alignment horizontal="right" wrapText="1"/>
      <protection hidden="1"/>
    </xf>
    <xf numFmtId="167" fontId="7" fillId="0" borderId="110" xfId="0" applyNumberFormat="1" applyFont="1" applyFill="1" applyBorder="1" applyAlignment="1" applyProtection="1">
      <alignment horizontal="right" wrapText="1"/>
      <protection hidden="1"/>
    </xf>
    <xf numFmtId="3" fontId="4" fillId="0" borderId="108" xfId="0" applyNumberFormat="1" applyFont="1" applyBorder="1" applyAlignment="1" applyProtection="1">
      <alignment horizontal="center"/>
      <protection hidden="1"/>
    </xf>
    <xf numFmtId="3" fontId="4" fillId="0" borderId="110" xfId="0" applyNumberFormat="1" applyFont="1" applyBorder="1" applyAlignment="1" applyProtection="1">
      <alignment horizontal="left"/>
      <protection hidden="1"/>
    </xf>
    <xf numFmtId="3" fontId="4" fillId="0" borderId="118" xfId="0" applyNumberFormat="1" applyFont="1" applyBorder="1" applyAlignment="1" applyProtection="1">
      <alignment horizontal="center"/>
      <protection hidden="1"/>
    </xf>
    <xf numFmtId="3" fontId="7" fillId="0" borderId="115" xfId="0" applyNumberFormat="1" applyFont="1" applyBorder="1" applyAlignment="1" applyProtection="1">
      <alignment horizontal="left"/>
      <protection hidden="1"/>
    </xf>
    <xf numFmtId="167" fontId="45" fillId="0" borderId="115" xfId="0" applyNumberFormat="1" applyFont="1" applyFill="1" applyBorder="1" applyAlignment="1" applyProtection="1">
      <alignment horizontal="right"/>
      <protection hidden="1"/>
    </xf>
    <xf numFmtId="167" fontId="20" fillId="0" borderId="115" xfId="0" applyNumberFormat="1" applyFont="1" applyFill="1" applyBorder="1" applyAlignment="1" applyProtection="1">
      <alignment horizontal="right"/>
      <protection hidden="1"/>
    </xf>
    <xf numFmtId="167" fontId="21" fillId="0" borderId="133" xfId="0" applyNumberFormat="1" applyFont="1" applyFill="1" applyBorder="1" applyAlignment="1">
      <alignment wrapText="1"/>
    </xf>
    <xf numFmtId="167" fontId="4" fillId="0" borderId="133" xfId="0" applyNumberFormat="1" applyFont="1" applyFill="1" applyBorder="1" applyAlignment="1">
      <alignment wrapText="1"/>
    </xf>
    <xf numFmtId="167" fontId="21" fillId="0" borderId="110" xfId="0" applyNumberFormat="1" applyFont="1" applyFill="1" applyBorder="1" applyAlignment="1">
      <alignment wrapText="1"/>
    </xf>
    <xf numFmtId="167" fontId="4" fillId="0" borderId="110" xfId="0" applyNumberFormat="1" applyFont="1" applyFill="1" applyBorder="1" applyAlignment="1">
      <alignment wrapText="1"/>
    </xf>
    <xf numFmtId="3" fontId="4" fillId="0" borderId="118" xfId="0" applyNumberFormat="1" applyFont="1" applyFill="1" applyBorder="1" applyProtection="1">
      <protection hidden="1"/>
    </xf>
    <xf numFmtId="0" fontId="4" fillId="0" borderId="115" xfId="0" applyFont="1" applyBorder="1"/>
    <xf numFmtId="3" fontId="4" fillId="0" borderId="115" xfId="0" applyNumberFormat="1" applyFont="1" applyFill="1" applyBorder="1" applyProtection="1">
      <protection hidden="1"/>
    </xf>
    <xf numFmtId="0" fontId="4" fillId="0" borderId="115" xfId="0" applyFont="1" applyBorder="1" applyAlignment="1">
      <alignment wrapText="1"/>
    </xf>
    <xf numFmtId="167" fontId="21" fillId="0" borderId="115" xfId="0" applyNumberFormat="1" applyFont="1" applyFill="1" applyBorder="1" applyAlignment="1">
      <alignment wrapText="1"/>
    </xf>
    <xf numFmtId="167" fontId="4" fillId="0" borderId="115" xfId="0" applyNumberFormat="1" applyFont="1" applyFill="1" applyBorder="1" applyAlignment="1">
      <alignment wrapText="1"/>
    </xf>
    <xf numFmtId="0" fontId="4" fillId="0" borderId="149" xfId="0" applyFont="1" applyBorder="1"/>
    <xf numFmtId="0" fontId="4" fillId="0" borderId="166" xfId="0" applyFont="1" applyBorder="1"/>
    <xf numFmtId="0" fontId="4" fillId="0" borderId="166" xfId="0" applyFont="1" applyBorder="1" applyAlignment="1">
      <alignment wrapText="1"/>
    </xf>
    <xf numFmtId="167" fontId="21" fillId="0" borderId="158" xfId="0" applyNumberFormat="1" applyFont="1" applyFill="1" applyBorder="1" applyAlignment="1" applyProtection="1">
      <alignment horizontal="right" wrapText="1"/>
      <protection hidden="1"/>
    </xf>
    <xf numFmtId="167" fontId="4" fillId="0" borderId="158" xfId="0" applyNumberFormat="1" applyFont="1" applyFill="1" applyBorder="1" applyAlignment="1" applyProtection="1">
      <alignment horizontal="right" wrapText="1"/>
      <protection hidden="1"/>
    </xf>
    <xf numFmtId="167" fontId="21" fillId="0" borderId="170" xfId="0" applyNumberFormat="1" applyFont="1" applyFill="1" applyBorder="1" applyAlignment="1" applyProtection="1">
      <alignment horizontal="right" wrapText="1"/>
      <protection hidden="1"/>
    </xf>
    <xf numFmtId="167" fontId="4" fillId="0" borderId="170" xfId="0" applyNumberFormat="1" applyFont="1" applyFill="1" applyBorder="1" applyAlignment="1" applyProtection="1">
      <alignment horizontal="right" wrapText="1"/>
      <protection hidden="1"/>
    </xf>
    <xf numFmtId="0" fontId="4" fillId="0" borderId="0" xfId="0" applyFont="1" applyBorder="1" applyAlignment="1">
      <alignment horizontal="right"/>
    </xf>
    <xf numFmtId="3" fontId="4" fillId="0" borderId="0" xfId="0" applyNumberFormat="1" applyFont="1" applyBorder="1" applyAlignment="1" applyProtection="1">
      <alignment horizontal="centerContinuous" vertical="center"/>
      <protection hidden="1"/>
    </xf>
    <xf numFmtId="3" fontId="7" fillId="0" borderId="0" xfId="0" applyNumberFormat="1" applyFont="1" applyBorder="1" applyAlignment="1" applyProtection="1">
      <alignment horizontal="right"/>
      <protection hidden="1"/>
    </xf>
    <xf numFmtId="3" fontId="4" fillId="0" borderId="99" xfId="0" applyNumberFormat="1" applyFont="1" applyFill="1" applyBorder="1" applyAlignment="1" applyProtection="1">
      <alignment horizontal="right"/>
      <protection hidden="1"/>
    </xf>
    <xf numFmtId="167" fontId="4" fillId="0" borderId="115" xfId="0" applyNumberFormat="1" applyFont="1" applyFill="1" applyBorder="1" applyAlignment="1" applyProtection="1">
      <protection locked="0"/>
    </xf>
    <xf numFmtId="3" fontId="4" fillId="0" borderId="166" xfId="0" applyNumberFormat="1" applyFont="1" applyFill="1" applyBorder="1" applyAlignment="1" applyProtection="1">
      <alignment horizontal="right"/>
      <protection hidden="1"/>
    </xf>
    <xf numFmtId="167" fontId="4" fillId="0" borderId="133" xfId="0" applyNumberFormat="1" applyFont="1" applyFill="1" applyBorder="1" applyAlignment="1" applyProtection="1">
      <alignment horizontal="right"/>
      <protection hidden="1"/>
    </xf>
    <xf numFmtId="167" fontId="4" fillId="0" borderId="115" xfId="0" applyNumberFormat="1" applyFont="1" applyFill="1" applyBorder="1" applyAlignment="1" applyProtection="1">
      <alignment horizontal="right"/>
      <protection hidden="1"/>
    </xf>
    <xf numFmtId="167" fontId="4" fillId="0" borderId="133" xfId="0" applyNumberFormat="1" applyFont="1" applyFill="1" applyBorder="1" applyAlignment="1" applyProtection="1">
      <alignment horizontal="center"/>
      <protection locked="0"/>
    </xf>
    <xf numFmtId="167" fontId="4" fillId="0" borderId="110" xfId="0" applyNumberFormat="1" applyFont="1" applyFill="1" applyBorder="1" applyAlignment="1" applyProtection="1">
      <alignment horizontal="center"/>
      <protection locked="0"/>
    </xf>
    <xf numFmtId="167" fontId="4" fillId="0" borderId="115" xfId="0" applyNumberFormat="1" applyFont="1" applyFill="1" applyBorder="1" applyAlignment="1" applyProtection="1">
      <alignment horizontal="center"/>
      <protection locked="0"/>
    </xf>
    <xf numFmtId="167" fontId="4" fillId="0" borderId="110" xfId="0" applyNumberFormat="1" applyFont="1" applyFill="1" applyBorder="1" applyAlignment="1" applyProtection="1">
      <alignment horizontal="right"/>
      <protection locked="0"/>
    </xf>
    <xf numFmtId="167" fontId="4" fillId="0" borderId="115" xfId="0" applyNumberFormat="1" applyFont="1" applyFill="1" applyBorder="1" applyAlignment="1" applyProtection="1">
      <alignment horizontal="right"/>
      <protection locked="0"/>
    </xf>
    <xf numFmtId="167" fontId="7" fillId="0" borderId="115" xfId="0" applyNumberFormat="1" applyFont="1" applyFill="1" applyBorder="1" applyAlignment="1" applyProtection="1">
      <alignment horizontal="right"/>
      <protection hidden="1"/>
    </xf>
    <xf numFmtId="167" fontId="4" fillId="0" borderId="133" xfId="0" applyNumberFormat="1" applyFont="1" applyFill="1" applyBorder="1"/>
    <xf numFmtId="167" fontId="4" fillId="0" borderId="115" xfId="0" applyNumberFormat="1" applyFont="1" applyFill="1" applyBorder="1"/>
    <xf numFmtId="3" fontId="7" fillId="0" borderId="0" xfId="0" applyNumberFormat="1" applyFont="1" applyFill="1" applyBorder="1" applyAlignment="1" applyProtection="1">
      <alignment horizontal="right"/>
      <protection hidden="1"/>
    </xf>
    <xf numFmtId="3" fontId="7" fillId="0" borderId="0" xfId="0" applyNumberFormat="1" applyFont="1" applyFill="1" applyBorder="1"/>
    <xf numFmtId="3" fontId="4" fillId="14" borderId="149" xfId="0" applyNumberFormat="1" applyFont="1" applyFill="1" applyBorder="1" applyAlignment="1" applyProtection="1">
      <alignment horizontal="center"/>
      <protection hidden="1"/>
    </xf>
    <xf numFmtId="3" fontId="4" fillId="14" borderId="166" xfId="0" applyNumberFormat="1" applyFont="1" applyFill="1" applyBorder="1" applyAlignment="1" applyProtection="1">
      <alignment horizontal="center"/>
      <protection hidden="1"/>
    </xf>
    <xf numFmtId="3" fontId="4" fillId="14" borderId="166" xfId="0" applyNumberFormat="1" applyFont="1" applyFill="1" applyBorder="1" applyAlignment="1" applyProtection="1">
      <alignment horizontal="center" wrapText="1"/>
      <protection hidden="1"/>
    </xf>
    <xf numFmtId="167" fontId="4" fillId="0" borderId="110" xfId="0" applyNumberFormat="1" applyFont="1" applyFill="1" applyBorder="1" applyAlignment="1" applyProtection="1">
      <protection locked="0"/>
    </xf>
    <xf numFmtId="167" fontId="21" fillId="0" borderId="99" xfId="0" applyNumberFormat="1" applyFont="1" applyFill="1" applyBorder="1" applyAlignment="1" applyProtection="1">
      <alignment horizontal="right"/>
      <protection hidden="1"/>
    </xf>
    <xf numFmtId="167" fontId="21" fillId="0" borderId="110" xfId="0" applyNumberFormat="1" applyFont="1" applyFill="1" applyBorder="1" applyAlignment="1" applyProtection="1">
      <protection locked="0"/>
    </xf>
    <xf numFmtId="167" fontId="20" fillId="0" borderId="110" xfId="0" applyNumberFormat="1" applyFont="1" applyFill="1" applyBorder="1" applyAlignment="1" applyProtection="1">
      <protection locked="0"/>
    </xf>
    <xf numFmtId="167" fontId="20" fillId="0" borderId="115" xfId="0" applyNumberFormat="1" applyFont="1" applyFill="1" applyBorder="1" applyAlignment="1" applyProtection="1">
      <protection locked="0"/>
    </xf>
    <xf numFmtId="167" fontId="21" fillId="0" borderId="110" xfId="0" applyNumberFormat="1" applyFont="1" applyFill="1" applyBorder="1" applyAlignment="1" applyProtection="1">
      <alignment horizontal="right"/>
      <protection locked="0"/>
    </xf>
    <xf numFmtId="167" fontId="21" fillId="0" borderId="166" xfId="0" applyNumberFormat="1" applyFont="1" applyFill="1" applyBorder="1" applyAlignment="1" applyProtection="1">
      <alignment horizontal="right"/>
      <protection hidden="1"/>
    </xf>
    <xf numFmtId="167" fontId="21" fillId="0" borderId="133" xfId="0" applyNumberFormat="1" applyFont="1" applyFill="1" applyBorder="1" applyAlignment="1" applyProtection="1">
      <alignment horizontal="right"/>
      <protection hidden="1"/>
    </xf>
    <xf numFmtId="167" fontId="21" fillId="0" borderId="115" xfId="0" applyNumberFormat="1" applyFont="1" applyFill="1" applyBorder="1" applyAlignment="1" applyProtection="1">
      <alignment horizontal="right"/>
      <protection hidden="1"/>
    </xf>
    <xf numFmtId="167" fontId="21" fillId="0" borderId="133" xfId="0" applyNumberFormat="1" applyFont="1" applyFill="1" applyBorder="1" applyAlignment="1" applyProtection="1">
      <alignment horizontal="center"/>
      <protection locked="0"/>
    </xf>
    <xf numFmtId="167" fontId="21" fillId="0" borderId="110" xfId="0" applyNumberFormat="1" applyFont="1" applyFill="1" applyBorder="1" applyAlignment="1" applyProtection="1">
      <alignment horizontal="center"/>
      <protection locked="0"/>
    </xf>
    <xf numFmtId="167" fontId="21" fillId="0" borderId="115" xfId="0" applyNumberFormat="1" applyFont="1" applyFill="1" applyBorder="1" applyAlignment="1" applyProtection="1">
      <alignment horizontal="center"/>
      <protection locked="0"/>
    </xf>
    <xf numFmtId="167" fontId="21" fillId="0" borderId="115" xfId="0" applyNumberFormat="1" applyFont="1" applyFill="1" applyBorder="1" applyAlignment="1" applyProtection="1">
      <alignment horizontal="right"/>
      <protection locked="0"/>
    </xf>
    <xf numFmtId="167" fontId="20" fillId="0" borderId="110" xfId="0" applyNumberFormat="1" applyFont="1" applyFill="1" applyBorder="1" applyAlignment="1" applyProtection="1">
      <alignment horizontal="right"/>
      <protection hidden="1"/>
    </xf>
    <xf numFmtId="3" fontId="20" fillId="0" borderId="110" xfId="0" applyNumberFormat="1" applyFont="1" applyFill="1" applyBorder="1" applyAlignment="1" applyProtection="1">
      <alignment horizontal="right"/>
      <protection hidden="1"/>
    </xf>
    <xf numFmtId="167" fontId="21" fillId="0" borderId="133" xfId="0" applyNumberFormat="1" applyFont="1" applyFill="1" applyBorder="1"/>
    <xf numFmtId="167" fontId="21" fillId="0" borderId="110" xfId="0" applyNumberFormat="1" applyFont="1" applyFill="1" applyBorder="1"/>
    <xf numFmtId="167" fontId="21" fillId="0" borderId="115" xfId="0" applyNumberFormat="1" applyFont="1" applyFill="1" applyBorder="1"/>
    <xf numFmtId="167" fontId="42" fillId="0" borderId="110" xfId="0" applyNumberFormat="1" applyFont="1" applyFill="1" applyBorder="1" applyAlignment="1" applyProtection="1">
      <alignment horizontal="right"/>
      <protection locked="0"/>
    </xf>
    <xf numFmtId="167" fontId="45" fillId="0" borderId="110" xfId="0" applyNumberFormat="1" applyFont="1" applyFill="1" applyBorder="1" applyAlignment="1" applyProtection="1">
      <alignment horizontal="right" wrapText="1"/>
      <protection locked="0"/>
    </xf>
    <xf numFmtId="167" fontId="45" fillId="0" borderId="110" xfId="0" applyNumberFormat="1" applyFont="1" applyFill="1" applyBorder="1" applyAlignment="1" applyProtection="1">
      <alignment wrapText="1"/>
      <protection locked="0"/>
    </xf>
    <xf numFmtId="3" fontId="4" fillId="0" borderId="110" xfId="0" applyNumberFormat="1" applyFont="1" applyFill="1" applyBorder="1"/>
    <xf numFmtId="3" fontId="4" fillId="0" borderId="149" xfId="0" applyNumberFormat="1" applyFont="1" applyBorder="1" applyAlignment="1" applyProtection="1">
      <alignment wrapText="1"/>
      <protection hidden="1"/>
    </xf>
    <xf numFmtId="3" fontId="4" fillId="0" borderId="168" xfId="0" applyNumberFormat="1" applyFont="1" applyBorder="1" applyAlignment="1" applyProtection="1">
      <alignment wrapText="1"/>
      <protection locked="0"/>
    </xf>
    <xf numFmtId="0" fontId="0" fillId="0" borderId="0" xfId="0" applyAlignment="1">
      <alignment wrapText="1"/>
    </xf>
    <xf numFmtId="3" fontId="4" fillId="0" borderId="166" xfId="0" applyNumberFormat="1" applyFont="1" applyFill="1" applyBorder="1" applyAlignment="1" applyProtection="1">
      <alignment wrapText="1"/>
      <protection hidden="1"/>
    </xf>
    <xf numFmtId="3" fontId="4" fillId="0" borderId="36" xfId="0" applyNumberFormat="1" applyFont="1" applyBorder="1" applyAlignment="1" applyProtection="1">
      <alignment wrapText="1"/>
      <protection hidden="1"/>
    </xf>
    <xf numFmtId="3" fontId="4" fillId="0" borderId="167" xfId="0" applyNumberFormat="1" applyFont="1" applyBorder="1" applyAlignment="1" applyProtection="1">
      <alignment wrapText="1"/>
      <protection hidden="1"/>
    </xf>
    <xf numFmtId="3" fontId="4" fillId="0" borderId="166" xfId="0" applyNumberFormat="1" applyFont="1" applyFill="1" applyBorder="1" applyAlignment="1" applyProtection="1">
      <alignment horizontal="right" wrapText="1"/>
      <protection hidden="1"/>
    </xf>
    <xf numFmtId="3" fontId="4" fillId="0" borderId="166" xfId="0" applyNumberFormat="1" applyFont="1" applyBorder="1" applyAlignment="1">
      <alignment wrapText="1"/>
    </xf>
    <xf numFmtId="167" fontId="21" fillId="0" borderId="166" xfId="0" applyNumberFormat="1" applyFont="1" applyBorder="1" applyAlignment="1" applyProtection="1">
      <alignment horizontal="right" wrapText="1"/>
      <protection hidden="1"/>
    </xf>
    <xf numFmtId="3" fontId="4" fillId="0" borderId="133" xfId="0" applyNumberFormat="1" applyFont="1" applyBorder="1" applyAlignment="1">
      <alignment wrapText="1"/>
    </xf>
    <xf numFmtId="3" fontId="4" fillId="0" borderId="144" xfId="0" applyNumberFormat="1" applyFont="1" applyBorder="1" applyAlignment="1" applyProtection="1">
      <alignment wrapText="1"/>
      <protection hidden="1"/>
    </xf>
    <xf numFmtId="167" fontId="4" fillId="0" borderId="166" xfId="0" applyNumberFormat="1" applyFont="1" applyFill="1" applyBorder="1" applyAlignment="1" applyProtection="1">
      <alignment horizontal="right" wrapText="1"/>
      <protection locked="0"/>
    </xf>
    <xf numFmtId="164" fontId="4" fillId="0" borderId="166" xfId="0" applyNumberFormat="1" applyFont="1" applyFill="1" applyBorder="1" applyAlignment="1" applyProtection="1">
      <alignment horizontal="right" wrapText="1"/>
      <protection hidden="1"/>
    </xf>
    <xf numFmtId="167" fontId="20" fillId="0" borderId="135" xfId="0" applyNumberFormat="1" applyFont="1" applyFill="1" applyBorder="1" applyAlignment="1" applyProtection="1">
      <alignment horizontal="right" wrapText="1"/>
      <protection hidden="1"/>
    </xf>
    <xf numFmtId="3" fontId="4" fillId="0" borderId="168" xfId="0" applyNumberFormat="1" applyFont="1" applyBorder="1" applyAlignment="1" applyProtection="1">
      <alignment wrapText="1"/>
      <protection hidden="1"/>
    </xf>
    <xf numFmtId="3" fontId="6" fillId="0" borderId="130" xfId="0" applyNumberFormat="1" applyFont="1" applyFill="1" applyBorder="1" applyAlignment="1" applyProtection="1">
      <alignment horizontal="center" vertical="center" wrapText="1"/>
      <protection hidden="1"/>
    </xf>
    <xf numFmtId="167" fontId="20" fillId="0" borderId="107" xfId="0" applyNumberFormat="1" applyFont="1" applyFill="1" applyBorder="1" applyAlignment="1" applyProtection="1">
      <alignment horizontal="right"/>
      <protection locked="0"/>
    </xf>
    <xf numFmtId="167" fontId="20" fillId="0" borderId="107" xfId="0" applyNumberFormat="1" applyFont="1" applyFill="1" applyBorder="1" applyAlignment="1" applyProtection="1">
      <alignment horizontal="right" wrapText="1"/>
      <protection locked="0"/>
    </xf>
    <xf numFmtId="0" fontId="4" fillId="0" borderId="0" xfId="0" applyFont="1" applyFill="1" applyBorder="1" applyAlignment="1">
      <alignment horizontal="right"/>
    </xf>
    <xf numFmtId="3" fontId="0" fillId="0" borderId="0" xfId="0" applyNumberFormat="1" applyFill="1" applyAlignment="1">
      <alignment horizontal="center"/>
    </xf>
    <xf numFmtId="3" fontId="4" fillId="0" borderId="150" xfId="0" applyNumberFormat="1" applyFont="1" applyFill="1" applyBorder="1" applyAlignment="1" applyProtection="1">
      <alignment horizontal="right" wrapText="1"/>
      <protection hidden="1"/>
    </xf>
    <xf numFmtId="3" fontId="6" fillId="0" borderId="124" xfId="0" applyNumberFormat="1" applyFont="1" applyFill="1" applyBorder="1" applyAlignment="1" applyProtection="1">
      <alignment horizontal="center" vertical="center" wrapText="1"/>
      <protection hidden="1"/>
    </xf>
    <xf numFmtId="167" fontId="4" fillId="0" borderId="97" xfId="0" applyNumberFormat="1" applyFont="1" applyFill="1" applyBorder="1" applyAlignment="1" applyProtection="1">
      <alignment horizontal="right" wrapText="1"/>
      <protection hidden="1"/>
    </xf>
    <xf numFmtId="167" fontId="20" fillId="0" borderId="132" xfId="0" applyNumberFormat="1" applyFont="1" applyFill="1" applyBorder="1" applyAlignment="1" applyProtection="1">
      <alignment horizontal="right" wrapText="1"/>
      <protection hidden="1"/>
    </xf>
    <xf numFmtId="167" fontId="20" fillId="0" borderId="108" xfId="0" applyNumberFormat="1" applyFont="1" applyFill="1" applyBorder="1" applyAlignment="1" applyProtection="1">
      <alignment horizontal="right"/>
      <protection locked="0"/>
    </xf>
    <xf numFmtId="167" fontId="4" fillId="0" borderId="149" xfId="0" applyNumberFormat="1" applyFont="1" applyFill="1" applyBorder="1" applyAlignment="1" applyProtection="1">
      <alignment wrapText="1"/>
      <protection hidden="1"/>
    </xf>
    <xf numFmtId="167" fontId="4" fillId="0" borderId="150" xfId="0" applyNumberFormat="1" applyFont="1" applyFill="1" applyBorder="1" applyAlignment="1" applyProtection="1">
      <alignment wrapText="1"/>
      <protection hidden="1"/>
    </xf>
    <xf numFmtId="167" fontId="20" fillId="0" borderId="108" xfId="0" applyNumberFormat="1" applyFont="1" applyFill="1" applyBorder="1" applyAlignment="1" applyProtection="1">
      <alignment horizontal="right" wrapText="1"/>
      <protection locked="0"/>
    </xf>
    <xf numFmtId="3" fontId="4" fillId="0" borderId="149" xfId="0" applyNumberFormat="1" applyFont="1" applyFill="1" applyBorder="1" applyAlignment="1" applyProtection="1">
      <alignment horizontal="right" wrapText="1"/>
      <protection hidden="1"/>
    </xf>
    <xf numFmtId="167" fontId="4" fillId="0" borderId="149" xfId="0" applyNumberFormat="1" applyFont="1" applyFill="1" applyBorder="1" applyAlignment="1" applyProtection="1">
      <alignment horizontal="right" wrapText="1"/>
      <protection hidden="1"/>
    </xf>
    <xf numFmtId="167" fontId="4" fillId="0" borderId="150" xfId="0" applyNumberFormat="1" applyFont="1" applyFill="1" applyBorder="1" applyAlignment="1" applyProtection="1">
      <alignment horizontal="right"/>
      <protection hidden="1"/>
    </xf>
    <xf numFmtId="167" fontId="4" fillId="0" borderId="150" xfId="0" applyNumberFormat="1" applyFont="1" applyFill="1" applyBorder="1" applyAlignment="1" applyProtection="1">
      <alignment horizontal="right" wrapText="1"/>
      <protection hidden="1"/>
    </xf>
    <xf numFmtId="167" fontId="4" fillId="0" borderId="168" xfId="0" applyNumberFormat="1" applyFont="1" applyFill="1" applyBorder="1" applyAlignment="1" applyProtection="1">
      <alignment horizontal="right" wrapText="1"/>
      <protection locked="0"/>
    </xf>
    <xf numFmtId="167" fontId="4" fillId="0" borderId="169" xfId="0" applyNumberFormat="1" applyFont="1" applyFill="1" applyBorder="1" applyAlignment="1" applyProtection="1">
      <alignment horizontal="right" wrapText="1"/>
      <protection locked="0"/>
    </xf>
    <xf numFmtId="167" fontId="4" fillId="0" borderId="149" xfId="0" applyNumberFormat="1" applyFont="1" applyFill="1" applyBorder="1" applyAlignment="1" applyProtection="1">
      <alignment horizontal="right" wrapText="1"/>
      <protection locked="0"/>
    </xf>
    <xf numFmtId="167" fontId="4" fillId="0" borderId="150" xfId="0" applyNumberFormat="1" applyFont="1" applyFill="1" applyBorder="1" applyAlignment="1" applyProtection="1">
      <alignment horizontal="right" wrapText="1"/>
      <protection locked="0"/>
    </xf>
    <xf numFmtId="167" fontId="4" fillId="0" borderId="149" xfId="0" applyNumberFormat="1" applyFont="1" applyFill="1" applyBorder="1" applyAlignment="1" applyProtection="1">
      <alignment horizontal="right"/>
      <protection hidden="1"/>
    </xf>
    <xf numFmtId="167" fontId="4" fillId="0" borderId="118" xfId="0" applyNumberFormat="1" applyFont="1" applyFill="1" applyBorder="1" applyAlignment="1" applyProtection="1">
      <alignment horizontal="right"/>
      <protection hidden="1"/>
    </xf>
    <xf numFmtId="167" fontId="4" fillId="0" borderId="121" xfId="0" applyNumberFormat="1" applyFont="1" applyFill="1" applyBorder="1" applyAlignment="1" applyProtection="1">
      <alignment horizontal="right"/>
      <protection hidden="1"/>
    </xf>
    <xf numFmtId="3" fontId="4" fillId="0" borderId="149" xfId="0" applyNumberFormat="1" applyFont="1" applyFill="1" applyBorder="1" applyAlignment="1" applyProtection="1">
      <alignment horizontal="right"/>
      <protection hidden="1"/>
    </xf>
    <xf numFmtId="3" fontId="4" fillId="0" borderId="150" xfId="0" applyNumberFormat="1" applyFont="1" applyFill="1" applyBorder="1" applyAlignment="1" applyProtection="1">
      <alignment horizontal="right"/>
      <protection hidden="1"/>
    </xf>
    <xf numFmtId="167" fontId="4" fillId="0" borderId="121" xfId="0" applyNumberFormat="1" applyFont="1" applyFill="1" applyBorder="1" applyAlignment="1" applyProtection="1">
      <alignment horizontal="right" wrapText="1"/>
      <protection hidden="1"/>
    </xf>
    <xf numFmtId="167" fontId="4" fillId="0" borderId="168" xfId="0" applyNumberFormat="1" applyFont="1" applyFill="1" applyBorder="1" applyAlignment="1" applyProtection="1">
      <alignment horizontal="right" wrapText="1"/>
      <protection hidden="1"/>
    </xf>
    <xf numFmtId="167" fontId="4" fillId="0" borderId="169" xfId="0" applyNumberFormat="1" applyFont="1" applyFill="1" applyBorder="1" applyAlignment="1" applyProtection="1">
      <alignment horizontal="right" wrapText="1"/>
      <protection hidden="1"/>
    </xf>
    <xf numFmtId="167" fontId="4" fillId="0" borderId="152" xfId="0" applyNumberFormat="1" applyFont="1" applyFill="1" applyBorder="1" applyAlignment="1" applyProtection="1">
      <alignment horizontal="right" wrapText="1"/>
      <protection hidden="1"/>
    </xf>
    <xf numFmtId="167" fontId="4" fillId="0" borderId="162" xfId="0" applyNumberFormat="1" applyFont="1" applyFill="1" applyBorder="1" applyAlignment="1" applyProtection="1">
      <alignment horizontal="right" wrapText="1"/>
      <protection hidden="1"/>
    </xf>
    <xf numFmtId="167" fontId="4" fillId="0" borderId="36" xfId="0" applyNumberFormat="1" applyFont="1" applyFill="1" applyBorder="1" applyAlignment="1" applyProtection="1">
      <alignment wrapText="1"/>
      <protection hidden="1"/>
    </xf>
    <xf numFmtId="167" fontId="4" fillId="0" borderId="147" xfId="0" applyNumberFormat="1" applyFont="1" applyFill="1" applyBorder="1" applyAlignment="1" applyProtection="1">
      <alignment wrapText="1"/>
      <protection hidden="1"/>
    </xf>
    <xf numFmtId="167" fontId="21" fillId="0" borderId="150" xfId="0" applyNumberFormat="1" applyFont="1" applyFill="1" applyBorder="1" applyAlignment="1" applyProtection="1">
      <alignment horizontal="right" wrapText="1"/>
      <protection hidden="1"/>
    </xf>
    <xf numFmtId="0" fontId="0" fillId="13" borderId="0" xfId="0" applyFill="1"/>
    <xf numFmtId="3" fontId="6" fillId="13" borderId="125" xfId="0" applyNumberFormat="1" applyFont="1" applyFill="1" applyBorder="1" applyAlignment="1" applyProtection="1">
      <alignment horizontal="center" vertical="center" wrapText="1"/>
      <protection hidden="1"/>
    </xf>
    <xf numFmtId="3" fontId="6" fillId="13" borderId="126" xfId="0" applyNumberFormat="1" applyFont="1" applyFill="1" applyBorder="1" applyAlignment="1" applyProtection="1">
      <alignment horizontal="center" vertical="center" wrapText="1"/>
      <protection hidden="1"/>
    </xf>
    <xf numFmtId="167" fontId="4" fillId="13" borderId="99" xfId="0" applyNumberFormat="1" applyFont="1" applyFill="1" applyBorder="1" applyAlignment="1" applyProtection="1">
      <alignment horizontal="right" wrapText="1"/>
      <protection hidden="1"/>
    </xf>
    <xf numFmtId="167" fontId="20" fillId="13" borderId="133" xfId="0" applyNumberFormat="1" applyFont="1" applyFill="1" applyBorder="1" applyAlignment="1" applyProtection="1">
      <alignment horizontal="right" wrapText="1"/>
      <protection hidden="1"/>
    </xf>
    <xf numFmtId="167" fontId="20" fillId="13" borderId="134" xfId="0" applyNumberFormat="1" applyFont="1" applyFill="1" applyBorder="1" applyAlignment="1" applyProtection="1">
      <alignment horizontal="right" wrapText="1"/>
      <protection hidden="1"/>
    </xf>
    <xf numFmtId="167" fontId="20" fillId="13" borderId="110" xfId="0" applyNumberFormat="1" applyFont="1" applyFill="1" applyBorder="1" applyAlignment="1" applyProtection="1">
      <alignment horizontal="right"/>
      <protection locked="0"/>
    </xf>
    <xf numFmtId="167" fontId="20" fillId="13" borderId="115" xfId="0" applyNumberFormat="1" applyFont="1" applyFill="1" applyBorder="1" applyAlignment="1" applyProtection="1">
      <alignment horizontal="right"/>
      <protection locked="0"/>
    </xf>
    <xf numFmtId="167" fontId="4" fillId="13" borderId="166" xfId="0" applyNumberFormat="1" applyFont="1" applyFill="1" applyBorder="1" applyAlignment="1" applyProtection="1">
      <alignment wrapText="1"/>
      <protection hidden="1"/>
    </xf>
    <xf numFmtId="167" fontId="20" fillId="13" borderId="133" xfId="0" applyNumberFormat="1" applyFont="1" applyFill="1" applyBorder="1" applyAlignment="1" applyProtection="1">
      <alignment horizontal="right" wrapText="1"/>
      <protection locked="0"/>
    </xf>
    <xf numFmtId="167" fontId="21" fillId="13" borderId="110" xfId="0" applyNumberFormat="1" applyFont="1" applyFill="1" applyBorder="1" applyAlignment="1" applyProtection="1">
      <alignment horizontal="right"/>
      <protection locked="0"/>
    </xf>
    <xf numFmtId="3" fontId="4" fillId="13" borderId="166" xfId="0" applyNumberFormat="1" applyFont="1" applyFill="1" applyBorder="1" applyAlignment="1" applyProtection="1">
      <alignment horizontal="right" wrapText="1"/>
      <protection hidden="1"/>
    </xf>
    <xf numFmtId="167" fontId="21" fillId="13" borderId="133" xfId="0" applyNumberFormat="1" applyFont="1" applyFill="1" applyBorder="1" applyAlignment="1" applyProtection="1">
      <alignment horizontal="right" wrapText="1"/>
      <protection hidden="1"/>
    </xf>
    <xf numFmtId="167" fontId="21" fillId="13" borderId="110" xfId="0" applyNumberFormat="1" applyFont="1" applyFill="1" applyBorder="1" applyAlignment="1" applyProtection="1">
      <alignment horizontal="right"/>
      <protection hidden="1"/>
    </xf>
    <xf numFmtId="167" fontId="21" fillId="13" borderId="115" xfId="0" applyNumberFormat="1" applyFont="1" applyFill="1" applyBorder="1" applyAlignment="1" applyProtection="1">
      <alignment horizontal="right"/>
      <protection hidden="1"/>
    </xf>
    <xf numFmtId="167" fontId="4" fillId="13" borderId="166" xfId="0" applyNumberFormat="1" applyFont="1" applyFill="1" applyBorder="1" applyAlignment="1" applyProtection="1">
      <alignment horizontal="right" wrapText="1"/>
      <protection hidden="1"/>
    </xf>
    <xf numFmtId="167" fontId="4" fillId="13" borderId="166" xfId="0" applyNumberFormat="1" applyFont="1" applyFill="1" applyBorder="1" applyAlignment="1" applyProtection="1">
      <alignment horizontal="right"/>
      <protection hidden="1"/>
    </xf>
    <xf numFmtId="167" fontId="21" fillId="13" borderId="133" xfId="0" applyNumberFormat="1" applyFont="1" applyFill="1" applyBorder="1" applyAlignment="1" applyProtection="1">
      <alignment horizontal="right" wrapText="1"/>
      <protection locked="0"/>
    </xf>
    <xf numFmtId="167" fontId="21" fillId="13" borderId="115" xfId="0" applyNumberFormat="1" applyFont="1" applyFill="1" applyBorder="1" applyAlignment="1" applyProtection="1">
      <alignment horizontal="right"/>
      <protection locked="0"/>
    </xf>
    <xf numFmtId="167" fontId="4" fillId="13" borderId="158" xfId="0" applyNumberFormat="1" applyFont="1" applyFill="1" applyBorder="1" applyAlignment="1" applyProtection="1">
      <alignment horizontal="right" wrapText="1"/>
      <protection locked="0"/>
    </xf>
    <xf numFmtId="167" fontId="4" fillId="13" borderId="166" xfId="0" applyNumberFormat="1" applyFont="1" applyFill="1" applyBorder="1" applyAlignment="1" applyProtection="1">
      <alignment horizontal="right" wrapText="1"/>
      <protection locked="0"/>
    </xf>
    <xf numFmtId="167" fontId="20" fillId="13" borderId="110" xfId="0" applyNumberFormat="1" applyFont="1" applyFill="1" applyBorder="1" applyAlignment="1" applyProtection="1">
      <alignment horizontal="right"/>
      <protection hidden="1"/>
    </xf>
    <xf numFmtId="167" fontId="21" fillId="13" borderId="133" xfId="0" applyNumberFormat="1" applyFont="1" applyFill="1" applyBorder="1" applyAlignment="1" applyProtection="1">
      <alignment horizontal="right"/>
      <protection hidden="1"/>
    </xf>
    <xf numFmtId="167" fontId="4" fillId="13" borderId="115" xfId="0" applyNumberFormat="1" applyFont="1" applyFill="1" applyBorder="1" applyAlignment="1" applyProtection="1">
      <alignment horizontal="right"/>
      <protection hidden="1"/>
    </xf>
    <xf numFmtId="167" fontId="20" fillId="13" borderId="115" xfId="0" applyNumberFormat="1" applyFont="1" applyFill="1" applyBorder="1" applyAlignment="1" applyProtection="1">
      <alignment horizontal="right"/>
      <protection hidden="1"/>
    </xf>
    <xf numFmtId="3" fontId="4" fillId="13" borderId="166" xfId="0" applyNumberFormat="1" applyFont="1" applyFill="1" applyBorder="1" applyAlignment="1" applyProtection="1">
      <alignment horizontal="right"/>
      <protection hidden="1"/>
    </xf>
    <xf numFmtId="167" fontId="4" fillId="13" borderId="115" xfId="0" applyNumberFormat="1" applyFont="1" applyFill="1" applyBorder="1" applyAlignment="1" applyProtection="1">
      <alignment horizontal="right" wrapText="1"/>
      <protection hidden="1"/>
    </xf>
    <xf numFmtId="167" fontId="4" fillId="13" borderId="158" xfId="0" applyNumberFormat="1" applyFont="1" applyFill="1" applyBorder="1" applyAlignment="1" applyProtection="1">
      <alignment horizontal="right" wrapText="1"/>
      <protection hidden="1"/>
    </xf>
    <xf numFmtId="167" fontId="4" fillId="13" borderId="170" xfId="0" applyNumberFormat="1" applyFont="1" applyFill="1" applyBorder="1" applyAlignment="1" applyProtection="1">
      <alignment horizontal="right" wrapText="1"/>
      <protection hidden="1"/>
    </xf>
    <xf numFmtId="167" fontId="47" fillId="13" borderId="110" xfId="0" applyNumberFormat="1" applyFont="1" applyFill="1" applyBorder="1" applyAlignment="1" applyProtection="1">
      <alignment horizontal="right"/>
      <protection locked="0"/>
    </xf>
    <xf numFmtId="167" fontId="5" fillId="13" borderId="148" xfId="0" applyNumberFormat="1" applyFont="1" applyFill="1" applyBorder="1" applyAlignment="1" applyProtection="1">
      <alignment horizontal="right" wrapText="1"/>
      <protection hidden="1"/>
    </xf>
    <xf numFmtId="167" fontId="5" fillId="13" borderId="110" xfId="0" applyNumberFormat="1" applyFont="1" applyFill="1" applyBorder="1" applyAlignment="1" applyProtection="1">
      <alignment horizontal="right"/>
      <protection locked="0"/>
    </xf>
    <xf numFmtId="167" fontId="5" fillId="13" borderId="111" xfId="0" applyNumberFormat="1" applyFont="1" applyFill="1" applyBorder="1" applyAlignment="1" applyProtection="1">
      <alignment horizontal="right"/>
      <protection locked="0"/>
    </xf>
    <xf numFmtId="3" fontId="5" fillId="13" borderId="166" xfId="0" applyNumberFormat="1" applyFont="1" applyFill="1" applyBorder="1" applyAlignment="1" applyProtection="1">
      <alignment horizontal="right" wrapText="1"/>
      <protection hidden="1"/>
    </xf>
    <xf numFmtId="3" fontId="5" fillId="13" borderId="148" xfId="0" applyNumberFormat="1" applyFont="1" applyFill="1" applyBorder="1" applyAlignment="1" applyProtection="1">
      <alignment horizontal="right" wrapText="1"/>
      <protection hidden="1"/>
    </xf>
    <xf numFmtId="167" fontId="5" fillId="13" borderId="133" xfId="0" applyNumberFormat="1" applyFont="1" applyFill="1" applyBorder="1" applyAlignment="1" applyProtection="1">
      <alignment horizontal="right" wrapText="1"/>
      <protection hidden="1"/>
    </xf>
    <xf numFmtId="167" fontId="5" fillId="13" borderId="134" xfId="0" applyNumberFormat="1" applyFont="1" applyFill="1" applyBorder="1" applyAlignment="1" applyProtection="1">
      <alignment horizontal="right" wrapText="1"/>
      <protection hidden="1"/>
    </xf>
    <xf numFmtId="167" fontId="5" fillId="13" borderId="115" xfId="0" applyNumberFormat="1" applyFont="1" applyFill="1" applyBorder="1" applyAlignment="1" applyProtection="1">
      <alignment horizontal="right"/>
      <protection hidden="1"/>
    </xf>
    <xf numFmtId="167" fontId="5" fillId="13" borderId="166" xfId="0" applyNumberFormat="1" applyFont="1" applyFill="1" applyBorder="1" applyAlignment="1" applyProtection="1">
      <alignment horizontal="right" wrapText="1"/>
      <protection hidden="1"/>
    </xf>
    <xf numFmtId="167" fontId="5" fillId="13" borderId="166" xfId="0" applyNumberFormat="1" applyFont="1" applyFill="1" applyBorder="1" applyAlignment="1" applyProtection="1">
      <alignment horizontal="right"/>
      <protection hidden="1"/>
    </xf>
    <xf numFmtId="167" fontId="5" fillId="13" borderId="148" xfId="0" applyNumberFormat="1" applyFont="1" applyFill="1" applyBorder="1" applyAlignment="1" applyProtection="1">
      <alignment horizontal="right"/>
      <protection hidden="1"/>
    </xf>
    <xf numFmtId="167" fontId="5" fillId="13" borderId="133" xfId="0" applyNumberFormat="1" applyFont="1" applyFill="1" applyBorder="1" applyAlignment="1" applyProtection="1">
      <alignment horizontal="right" wrapText="1"/>
      <protection locked="0"/>
    </xf>
    <xf numFmtId="167" fontId="5" fillId="13" borderId="134" xfId="0" applyNumberFormat="1" applyFont="1" applyFill="1" applyBorder="1" applyAlignment="1" applyProtection="1">
      <alignment horizontal="right" wrapText="1"/>
      <protection locked="0"/>
    </xf>
    <xf numFmtId="167" fontId="5" fillId="13" borderId="115" xfId="0" applyNumberFormat="1" applyFont="1" applyFill="1" applyBorder="1" applyAlignment="1" applyProtection="1">
      <alignment horizontal="right"/>
      <protection locked="0"/>
    </xf>
    <xf numFmtId="167" fontId="5" fillId="13" borderId="116" xfId="0" applyNumberFormat="1" applyFont="1" applyFill="1" applyBorder="1" applyAlignment="1" applyProtection="1">
      <alignment horizontal="right"/>
      <protection locked="0"/>
    </xf>
    <xf numFmtId="167" fontId="5" fillId="13" borderId="111" xfId="0" applyNumberFormat="1" applyFont="1" applyFill="1" applyBorder="1" applyAlignment="1" applyProtection="1">
      <alignment horizontal="right"/>
      <protection hidden="1"/>
    </xf>
    <xf numFmtId="167" fontId="5" fillId="13" borderId="116" xfId="0" applyNumberFormat="1" applyFont="1" applyFill="1" applyBorder="1" applyAlignment="1" applyProtection="1">
      <alignment horizontal="right"/>
      <protection hidden="1"/>
    </xf>
    <xf numFmtId="167" fontId="5" fillId="13" borderId="158" xfId="0" applyNumberFormat="1" applyFont="1" applyFill="1" applyBorder="1" applyAlignment="1" applyProtection="1">
      <alignment horizontal="right" wrapText="1"/>
      <protection locked="0"/>
    </xf>
    <xf numFmtId="167" fontId="5" fillId="13" borderId="82" xfId="0" applyNumberFormat="1" applyFont="1" applyFill="1" applyBorder="1" applyAlignment="1" applyProtection="1">
      <alignment horizontal="right" wrapText="1"/>
      <protection locked="0"/>
    </xf>
    <xf numFmtId="167" fontId="5" fillId="13" borderId="166" xfId="0" applyNumberFormat="1" applyFont="1" applyFill="1" applyBorder="1" applyAlignment="1" applyProtection="1">
      <alignment horizontal="right" wrapText="1"/>
      <protection locked="0"/>
    </xf>
    <xf numFmtId="167" fontId="5" fillId="13" borderId="148" xfId="0" applyNumberFormat="1" applyFont="1" applyFill="1" applyBorder="1" applyAlignment="1" applyProtection="1">
      <alignment horizontal="right" wrapText="1"/>
      <protection locked="0"/>
    </xf>
    <xf numFmtId="167" fontId="5" fillId="13" borderId="133" xfId="0" applyNumberFormat="1" applyFont="1" applyFill="1" applyBorder="1" applyAlignment="1" applyProtection="1">
      <alignment horizontal="right"/>
      <protection hidden="1"/>
    </xf>
    <xf numFmtId="167" fontId="5" fillId="13" borderId="134" xfId="0" applyNumberFormat="1" applyFont="1" applyFill="1" applyBorder="1" applyAlignment="1" applyProtection="1">
      <alignment horizontal="right"/>
      <protection hidden="1"/>
    </xf>
    <xf numFmtId="167" fontId="5" fillId="13" borderId="133" xfId="0" applyNumberFormat="1" applyFont="1" applyFill="1" applyBorder="1" applyAlignment="1" applyProtection="1">
      <alignment horizontal="right"/>
      <protection locked="0"/>
    </xf>
    <xf numFmtId="167" fontId="5" fillId="13" borderId="134" xfId="0" applyNumberFormat="1" applyFont="1" applyFill="1" applyBorder="1" applyAlignment="1" applyProtection="1">
      <alignment horizontal="right"/>
      <protection locked="0"/>
    </xf>
    <xf numFmtId="3" fontId="5" fillId="13" borderId="166" xfId="0" applyNumberFormat="1" applyFont="1" applyFill="1" applyBorder="1" applyAlignment="1" applyProtection="1">
      <alignment horizontal="right"/>
      <protection hidden="1"/>
    </xf>
    <xf numFmtId="3" fontId="5" fillId="13" borderId="148" xfId="0" applyNumberFormat="1" applyFont="1" applyFill="1" applyBorder="1" applyAlignment="1" applyProtection="1">
      <alignment horizontal="right"/>
      <protection hidden="1"/>
    </xf>
    <xf numFmtId="167" fontId="5" fillId="13" borderId="115" xfId="0" applyNumberFormat="1" applyFont="1" applyFill="1" applyBorder="1" applyAlignment="1" applyProtection="1">
      <alignment horizontal="right" wrapText="1"/>
      <protection hidden="1"/>
    </xf>
    <xf numFmtId="167" fontId="5" fillId="13" borderId="116" xfId="0" applyNumberFormat="1" applyFont="1" applyFill="1" applyBorder="1" applyAlignment="1" applyProtection="1">
      <alignment horizontal="right" wrapText="1"/>
      <protection hidden="1"/>
    </xf>
    <xf numFmtId="167" fontId="5" fillId="13" borderId="133" xfId="0" applyNumberFormat="1" applyFont="1" applyFill="1" applyBorder="1" applyAlignment="1">
      <alignment horizontal="right"/>
    </xf>
    <xf numFmtId="167" fontId="5" fillId="13" borderId="134" xfId="0" applyNumberFormat="1" applyFont="1" applyFill="1" applyBorder="1" applyAlignment="1">
      <alignment horizontal="right"/>
    </xf>
    <xf numFmtId="167" fontId="5" fillId="13" borderId="111" xfId="0" applyNumberFormat="1" applyFont="1" applyFill="1" applyBorder="1" applyAlignment="1">
      <alignment horizontal="right"/>
    </xf>
    <xf numFmtId="167" fontId="5" fillId="13" borderId="116" xfId="0" applyNumberFormat="1" applyFont="1" applyFill="1" applyBorder="1" applyAlignment="1">
      <alignment horizontal="right"/>
    </xf>
    <xf numFmtId="167" fontId="5" fillId="13" borderId="158" xfId="0" applyNumberFormat="1" applyFont="1" applyFill="1" applyBorder="1" applyAlignment="1" applyProtection="1">
      <alignment horizontal="right" wrapText="1"/>
      <protection hidden="1"/>
    </xf>
    <xf numFmtId="167" fontId="5" fillId="13" borderId="82" xfId="0" applyNumberFormat="1" applyFont="1" applyFill="1" applyBorder="1" applyAlignment="1" applyProtection="1">
      <alignment horizontal="right" wrapText="1"/>
      <protection hidden="1"/>
    </xf>
    <xf numFmtId="167" fontId="5" fillId="13" borderId="170" xfId="0" applyNumberFormat="1" applyFont="1" applyFill="1" applyBorder="1" applyAlignment="1" applyProtection="1">
      <alignment horizontal="right" wrapText="1"/>
      <protection hidden="1"/>
    </xf>
    <xf numFmtId="167" fontId="5" fillId="13" borderId="164" xfId="0" applyNumberFormat="1" applyFont="1" applyFill="1" applyBorder="1" applyAlignment="1" applyProtection="1">
      <alignment horizontal="right" wrapText="1"/>
      <protection hidden="1"/>
    </xf>
    <xf numFmtId="3" fontId="4" fillId="13" borderId="99" xfId="0" applyNumberFormat="1" applyFont="1" applyFill="1" applyBorder="1" applyAlignment="1" applyProtection="1">
      <alignment horizontal="right"/>
      <protection hidden="1"/>
    </xf>
    <xf numFmtId="167" fontId="7" fillId="13" borderId="133" xfId="0" applyNumberFormat="1" applyFont="1" applyFill="1" applyBorder="1" applyAlignment="1" applyProtection="1">
      <alignment horizontal="right" wrapText="1"/>
      <protection hidden="1"/>
    </xf>
    <xf numFmtId="167" fontId="7" fillId="13" borderId="110" xfId="0" applyNumberFormat="1" applyFont="1" applyFill="1" applyBorder="1" applyAlignment="1" applyProtection="1">
      <alignment horizontal="right"/>
      <protection locked="0"/>
    </xf>
    <xf numFmtId="167" fontId="7" fillId="13" borderId="115" xfId="0" applyNumberFormat="1" applyFont="1" applyFill="1" applyBorder="1" applyAlignment="1" applyProtection="1">
      <alignment horizontal="right"/>
      <protection locked="0"/>
    </xf>
    <xf numFmtId="3" fontId="4" fillId="13" borderId="166" xfId="0" applyNumberFormat="1" applyFont="1" applyFill="1" applyBorder="1" applyAlignment="1" applyProtection="1">
      <alignment wrapText="1"/>
      <protection hidden="1"/>
    </xf>
    <xf numFmtId="167" fontId="7" fillId="13" borderId="133" xfId="0" applyNumberFormat="1" applyFont="1" applyFill="1" applyBorder="1" applyAlignment="1" applyProtection="1">
      <alignment wrapText="1"/>
      <protection hidden="1"/>
    </xf>
    <xf numFmtId="167" fontId="7" fillId="13" borderId="110" xfId="0" applyNumberFormat="1" applyFont="1" applyFill="1" applyBorder="1" applyAlignment="1" applyProtection="1">
      <protection locked="0"/>
    </xf>
    <xf numFmtId="167" fontId="4" fillId="13" borderId="115" xfId="0" applyNumberFormat="1" applyFont="1" applyFill="1" applyBorder="1" applyAlignment="1" applyProtection="1">
      <protection locked="0"/>
    </xf>
    <xf numFmtId="167" fontId="4" fillId="13" borderId="133" xfId="0" applyNumberFormat="1" applyFont="1" applyFill="1" applyBorder="1" applyAlignment="1" applyProtection="1">
      <alignment horizontal="right" wrapText="1"/>
      <protection hidden="1"/>
    </xf>
    <xf numFmtId="167" fontId="4" fillId="13" borderId="110" xfId="0" applyNumberFormat="1" applyFont="1" applyFill="1" applyBorder="1" applyAlignment="1" applyProtection="1">
      <alignment horizontal="right"/>
      <protection hidden="1"/>
    </xf>
    <xf numFmtId="167" fontId="4" fillId="13" borderId="133" xfId="0" applyNumberFormat="1" applyFont="1" applyFill="1" applyBorder="1" applyAlignment="1" applyProtection="1">
      <alignment horizontal="center" wrapText="1"/>
      <protection locked="0"/>
    </xf>
    <xf numFmtId="167" fontId="4" fillId="13" borderId="110" xfId="0" applyNumberFormat="1" applyFont="1" applyFill="1" applyBorder="1" applyAlignment="1" applyProtection="1">
      <alignment horizontal="center"/>
      <protection locked="0"/>
    </xf>
    <xf numFmtId="167" fontId="4" fillId="13" borderId="115" xfId="0" applyNumberFormat="1" applyFont="1" applyFill="1" applyBorder="1" applyAlignment="1" applyProtection="1">
      <alignment horizontal="center"/>
      <protection locked="0"/>
    </xf>
    <xf numFmtId="167" fontId="4" fillId="13" borderId="133" xfId="0" applyNumberFormat="1" applyFont="1" applyFill="1" applyBorder="1" applyAlignment="1" applyProtection="1">
      <alignment horizontal="center" wrapText="1"/>
      <protection hidden="1"/>
    </xf>
    <xf numFmtId="167" fontId="4" fillId="13" borderId="133" xfId="0" applyNumberFormat="1" applyFont="1" applyFill="1" applyBorder="1" applyAlignment="1" applyProtection="1">
      <alignment horizontal="right" wrapText="1"/>
      <protection locked="0"/>
    </xf>
    <xf numFmtId="167" fontId="4" fillId="13" borderId="110" xfId="0" applyNumberFormat="1" applyFont="1" applyFill="1" applyBorder="1" applyAlignment="1" applyProtection="1">
      <alignment horizontal="right"/>
      <protection locked="0"/>
    </xf>
    <xf numFmtId="167" fontId="4" fillId="13" borderId="115" xfId="0" applyNumberFormat="1" applyFont="1" applyFill="1" applyBorder="1" applyAlignment="1" applyProtection="1">
      <alignment horizontal="right"/>
      <protection locked="0"/>
    </xf>
    <xf numFmtId="167" fontId="4" fillId="13" borderId="133" xfId="0" applyNumberFormat="1" applyFont="1" applyFill="1" applyBorder="1" applyAlignment="1" applyProtection="1">
      <alignment horizontal="right"/>
      <protection hidden="1"/>
    </xf>
    <xf numFmtId="167" fontId="4" fillId="13" borderId="133" xfId="0" applyNumberFormat="1" applyFont="1" applyFill="1" applyBorder="1" applyAlignment="1" applyProtection="1">
      <alignment horizontal="center"/>
      <protection locked="0"/>
    </xf>
    <xf numFmtId="167" fontId="7" fillId="13" borderId="133" xfId="0" applyNumberFormat="1" applyFont="1" applyFill="1" applyBorder="1" applyAlignment="1" applyProtection="1">
      <alignment horizontal="right" wrapText="1"/>
      <protection locked="0"/>
    </xf>
    <xf numFmtId="167" fontId="7" fillId="13" borderId="110" xfId="0" applyNumberFormat="1" applyFont="1" applyFill="1" applyBorder="1" applyAlignment="1" applyProtection="1">
      <alignment horizontal="right"/>
      <protection hidden="1"/>
    </xf>
    <xf numFmtId="167" fontId="7" fillId="13" borderId="115" xfId="0" applyNumberFormat="1" applyFont="1" applyFill="1" applyBorder="1" applyAlignment="1" applyProtection="1">
      <alignment horizontal="right"/>
      <protection hidden="1"/>
    </xf>
    <xf numFmtId="167" fontId="4" fillId="13" borderId="133" xfId="0" applyNumberFormat="1" applyFont="1" applyFill="1" applyBorder="1"/>
    <xf numFmtId="167" fontId="4" fillId="13" borderId="110" xfId="0" applyNumberFormat="1" applyFont="1" applyFill="1" applyBorder="1"/>
    <xf numFmtId="167" fontId="4" fillId="13" borderId="115" xfId="0" applyNumberFormat="1" applyFont="1" applyFill="1" applyBorder="1"/>
    <xf numFmtId="167" fontId="4" fillId="13" borderId="99" xfId="0" applyNumberFormat="1" applyFont="1" applyFill="1" applyBorder="1" applyAlignment="1" applyProtection="1">
      <alignment horizontal="right"/>
      <protection hidden="1"/>
    </xf>
    <xf numFmtId="167" fontId="4" fillId="13" borderId="110" xfId="0" applyNumberFormat="1" applyFont="1" applyFill="1" applyBorder="1" applyAlignment="1" applyProtection="1">
      <protection locked="0"/>
    </xf>
    <xf numFmtId="167" fontId="21" fillId="13" borderId="99" xfId="0" applyNumberFormat="1" applyFont="1" applyFill="1" applyBorder="1" applyAlignment="1" applyProtection="1">
      <alignment horizontal="right"/>
      <protection hidden="1"/>
    </xf>
    <xf numFmtId="167" fontId="20" fillId="13" borderId="133" xfId="0" applyNumberFormat="1" applyFont="1" applyFill="1" applyBorder="1" applyAlignment="1" applyProtection="1">
      <alignment wrapText="1"/>
      <protection hidden="1"/>
    </xf>
    <xf numFmtId="167" fontId="21" fillId="13" borderId="110" xfId="0" applyNumberFormat="1" applyFont="1" applyFill="1" applyBorder="1" applyAlignment="1" applyProtection="1">
      <protection locked="0"/>
    </xf>
    <xf numFmtId="167" fontId="20" fillId="13" borderId="110" xfId="0" applyNumberFormat="1" applyFont="1" applyFill="1" applyBorder="1" applyAlignment="1" applyProtection="1">
      <protection locked="0"/>
    </xf>
    <xf numFmtId="167" fontId="20" fillId="13" borderId="115" xfId="0" applyNumberFormat="1" applyFont="1" applyFill="1" applyBorder="1" applyAlignment="1" applyProtection="1">
      <protection locked="0"/>
    </xf>
    <xf numFmtId="167" fontId="7" fillId="13" borderId="110" xfId="0" applyNumberFormat="1" applyFont="1" applyFill="1" applyBorder="1"/>
    <xf numFmtId="167" fontId="21" fillId="13" borderId="133" xfId="0" applyNumberFormat="1" applyFont="1" applyFill="1" applyBorder="1" applyAlignment="1" applyProtection="1">
      <alignment horizontal="center" wrapText="1"/>
      <protection locked="0"/>
    </xf>
    <xf numFmtId="167" fontId="21" fillId="13" borderId="110" xfId="0" applyNumberFormat="1" applyFont="1" applyFill="1" applyBorder="1" applyAlignment="1" applyProtection="1">
      <alignment horizontal="center"/>
      <protection locked="0"/>
    </xf>
    <xf numFmtId="167" fontId="21" fillId="13" borderId="115" xfId="0" applyNumberFormat="1" applyFont="1" applyFill="1" applyBorder="1" applyAlignment="1" applyProtection="1">
      <alignment horizontal="center"/>
      <protection locked="0"/>
    </xf>
    <xf numFmtId="167" fontId="21" fillId="13" borderId="133" xfId="0" applyNumberFormat="1" applyFont="1" applyFill="1" applyBorder="1" applyAlignment="1" applyProtection="1">
      <alignment horizontal="center" wrapText="1"/>
      <protection hidden="1"/>
    </xf>
    <xf numFmtId="167" fontId="21" fillId="13" borderId="133" xfId="0" applyNumberFormat="1" applyFont="1" applyFill="1" applyBorder="1" applyAlignment="1" applyProtection="1">
      <alignment horizontal="center"/>
      <protection locked="0"/>
    </xf>
    <xf numFmtId="167" fontId="21" fillId="13" borderId="166" xfId="0" applyNumberFormat="1" applyFont="1" applyFill="1" applyBorder="1" applyAlignment="1" applyProtection="1">
      <alignment horizontal="right" wrapText="1"/>
      <protection hidden="1"/>
    </xf>
    <xf numFmtId="167" fontId="21" fillId="13" borderId="133" xfId="0" applyNumberFormat="1" applyFont="1" applyFill="1" applyBorder="1"/>
    <xf numFmtId="167" fontId="21" fillId="13" borderId="110" xfId="0" applyNumberFormat="1" applyFont="1" applyFill="1" applyBorder="1"/>
    <xf numFmtId="167" fontId="21" fillId="13" borderId="115" xfId="0" applyNumberFormat="1" applyFont="1" applyFill="1" applyBorder="1"/>
    <xf numFmtId="167" fontId="42" fillId="13" borderId="110" xfId="0" applyNumberFormat="1" applyFont="1" applyFill="1" applyBorder="1" applyAlignment="1" applyProtection="1">
      <alignment horizontal="right"/>
      <protection locked="0"/>
    </xf>
    <xf numFmtId="167" fontId="20" fillId="13" borderId="110" xfId="0" applyNumberFormat="1" applyFont="1" applyFill="1" applyBorder="1" applyAlignment="1" applyProtection="1">
      <alignment horizontal="right" wrapText="1"/>
      <protection locked="0"/>
    </xf>
    <xf numFmtId="167" fontId="20" fillId="13" borderId="115" xfId="0" applyNumberFormat="1" applyFont="1" applyFill="1" applyBorder="1" applyAlignment="1" applyProtection="1">
      <alignment horizontal="right" wrapText="1"/>
      <protection locked="0"/>
    </xf>
    <xf numFmtId="167" fontId="20" fillId="13" borderId="110" xfId="0" applyNumberFormat="1" applyFont="1" applyFill="1" applyBorder="1" applyAlignment="1" applyProtection="1">
      <alignment wrapText="1"/>
      <protection locked="0"/>
    </xf>
    <xf numFmtId="167" fontId="20" fillId="13" borderId="115" xfId="0" applyNumberFormat="1" applyFont="1" applyFill="1" applyBorder="1" applyAlignment="1" applyProtection="1">
      <alignment wrapText="1"/>
      <protection locked="0"/>
    </xf>
    <xf numFmtId="167" fontId="21" fillId="13" borderId="110" xfId="0" applyNumberFormat="1" applyFont="1" applyFill="1" applyBorder="1" applyAlignment="1" applyProtection="1">
      <alignment horizontal="right" wrapText="1"/>
      <protection hidden="1"/>
    </xf>
    <xf numFmtId="167" fontId="21" fillId="13" borderId="115" xfId="0" applyNumberFormat="1" applyFont="1" applyFill="1" applyBorder="1" applyAlignment="1" applyProtection="1">
      <alignment horizontal="right" wrapText="1"/>
      <protection hidden="1"/>
    </xf>
    <xf numFmtId="167" fontId="21" fillId="13" borderId="110" xfId="0" applyNumberFormat="1" applyFont="1" applyFill="1" applyBorder="1" applyAlignment="1" applyProtection="1">
      <alignment horizontal="center" wrapText="1"/>
      <protection locked="0"/>
    </xf>
    <xf numFmtId="167" fontId="21" fillId="13" borderId="115" xfId="0" applyNumberFormat="1" applyFont="1" applyFill="1" applyBorder="1" applyAlignment="1" applyProtection="1">
      <alignment horizontal="center" wrapText="1"/>
      <protection locked="0"/>
    </xf>
    <xf numFmtId="167" fontId="21" fillId="13" borderId="110" xfId="0" applyNumberFormat="1" applyFont="1" applyFill="1" applyBorder="1" applyAlignment="1" applyProtection="1">
      <alignment horizontal="right" wrapText="1"/>
      <protection locked="0"/>
    </xf>
    <xf numFmtId="167" fontId="21" fillId="13" borderId="115" xfId="0" applyNumberFormat="1" applyFont="1" applyFill="1" applyBorder="1" applyAlignment="1" applyProtection="1">
      <alignment horizontal="right" wrapText="1"/>
      <protection locked="0"/>
    </xf>
    <xf numFmtId="167" fontId="20" fillId="13" borderId="115" xfId="0" applyNumberFormat="1" applyFont="1" applyFill="1" applyBorder="1" applyAlignment="1" applyProtection="1">
      <alignment horizontal="right" wrapText="1"/>
      <protection hidden="1"/>
    </xf>
    <xf numFmtId="167" fontId="20" fillId="13" borderId="110" xfId="0" applyNumberFormat="1" applyFont="1" applyFill="1" applyBorder="1" applyAlignment="1" applyProtection="1">
      <alignment horizontal="right" wrapText="1"/>
      <protection hidden="1"/>
    </xf>
    <xf numFmtId="167" fontId="21" fillId="13" borderId="133" xfId="0" applyNumberFormat="1" applyFont="1" applyFill="1" applyBorder="1" applyAlignment="1">
      <alignment wrapText="1"/>
    </xf>
    <xf numFmtId="167" fontId="21" fillId="13" borderId="110" xfId="0" applyNumberFormat="1" applyFont="1" applyFill="1" applyBorder="1" applyAlignment="1">
      <alignment wrapText="1"/>
    </xf>
    <xf numFmtId="167" fontId="21" fillId="13" borderId="115" xfId="0" applyNumberFormat="1" applyFont="1" applyFill="1" applyBorder="1" applyAlignment="1">
      <alignment wrapText="1"/>
    </xf>
    <xf numFmtId="167" fontId="7" fillId="13" borderId="115" xfId="0" applyNumberFormat="1" applyFont="1" applyFill="1" applyBorder="1" applyAlignment="1" applyProtection="1">
      <protection locked="0"/>
    </xf>
    <xf numFmtId="167" fontId="7" fillId="13" borderId="110" xfId="0" applyNumberFormat="1" applyFont="1" applyFill="1" applyBorder="1" applyAlignment="1" applyProtection="1">
      <alignment horizontal="right" wrapText="1"/>
      <protection locked="0"/>
    </xf>
    <xf numFmtId="167" fontId="7" fillId="13" borderId="115" xfId="0" applyNumberFormat="1" applyFont="1" applyFill="1" applyBorder="1" applyAlignment="1" applyProtection="1">
      <alignment horizontal="right" wrapText="1"/>
      <protection locked="0"/>
    </xf>
    <xf numFmtId="167" fontId="4" fillId="13" borderId="110" xfId="0" applyNumberFormat="1" applyFont="1" applyFill="1" applyBorder="1" applyAlignment="1" applyProtection="1">
      <alignment wrapText="1"/>
      <protection locked="0"/>
    </xf>
    <xf numFmtId="167" fontId="7" fillId="13" borderId="110" xfId="0" applyNumberFormat="1" applyFont="1" applyFill="1" applyBorder="1" applyAlignment="1" applyProtection="1">
      <alignment wrapText="1"/>
      <protection locked="0"/>
    </xf>
    <xf numFmtId="167" fontId="7" fillId="13" borderId="115" xfId="0" applyNumberFormat="1" applyFont="1" applyFill="1" applyBorder="1" applyAlignment="1" applyProtection="1">
      <alignment wrapText="1"/>
      <protection locked="0"/>
    </xf>
    <xf numFmtId="167" fontId="4" fillId="13" borderId="110" xfId="0" applyNumberFormat="1" applyFont="1" applyFill="1" applyBorder="1" applyAlignment="1" applyProtection="1">
      <alignment horizontal="right" wrapText="1"/>
      <protection locked="0"/>
    </xf>
    <xf numFmtId="167" fontId="7" fillId="13" borderId="110" xfId="0" applyNumberFormat="1" applyFont="1" applyFill="1" applyBorder="1" applyAlignment="1" applyProtection="1">
      <alignment horizontal="right" wrapText="1"/>
      <protection hidden="1"/>
    </xf>
    <xf numFmtId="167" fontId="7" fillId="13" borderId="115" xfId="0" applyNumberFormat="1" applyFont="1" applyFill="1" applyBorder="1" applyAlignment="1" applyProtection="1">
      <alignment horizontal="right" wrapText="1"/>
      <protection hidden="1"/>
    </xf>
    <xf numFmtId="167" fontId="4" fillId="13" borderId="110" xfId="0" applyNumberFormat="1" applyFont="1" applyFill="1" applyBorder="1" applyAlignment="1" applyProtection="1">
      <alignment horizontal="right" wrapText="1"/>
      <protection hidden="1"/>
    </xf>
    <xf numFmtId="167" fontId="4" fillId="13" borderId="110" xfId="0" applyNumberFormat="1" applyFont="1" applyFill="1" applyBorder="1" applyAlignment="1" applyProtection="1">
      <alignment horizontal="center" wrapText="1"/>
      <protection locked="0"/>
    </xf>
    <xf numFmtId="167" fontId="4" fillId="13" borderId="115" xfId="0" applyNumberFormat="1" applyFont="1" applyFill="1" applyBorder="1" applyAlignment="1" applyProtection="1">
      <alignment horizontal="center" wrapText="1"/>
      <protection locked="0"/>
    </xf>
    <xf numFmtId="167" fontId="4" fillId="13" borderId="115" xfId="0" applyNumberFormat="1" applyFont="1" applyFill="1" applyBorder="1" applyAlignment="1" applyProtection="1">
      <alignment horizontal="right" wrapText="1"/>
      <protection locked="0"/>
    </xf>
    <xf numFmtId="167" fontId="4" fillId="13" borderId="133" xfId="0" applyNumberFormat="1" applyFont="1" applyFill="1" applyBorder="1" applyAlignment="1">
      <alignment wrapText="1"/>
    </xf>
    <xf numFmtId="167" fontId="4" fillId="13" borderId="110" xfId="0" applyNumberFormat="1" applyFont="1" applyFill="1" applyBorder="1" applyAlignment="1">
      <alignment wrapText="1"/>
    </xf>
    <xf numFmtId="167" fontId="4" fillId="13" borderId="115" xfId="0" applyNumberFormat="1" applyFont="1" applyFill="1" applyBorder="1" applyAlignment="1">
      <alignment wrapText="1"/>
    </xf>
    <xf numFmtId="3" fontId="6" fillId="13" borderId="129" xfId="0" applyNumberFormat="1" applyFont="1" applyFill="1" applyBorder="1" applyAlignment="1" applyProtection="1">
      <alignment horizontal="center" vertical="center" wrapText="1"/>
      <protection hidden="1"/>
    </xf>
    <xf numFmtId="167" fontId="20" fillId="13" borderId="137" xfId="0" applyNumberFormat="1" applyFont="1" applyFill="1" applyBorder="1" applyAlignment="1" applyProtection="1">
      <alignment horizontal="right" wrapText="1"/>
      <protection hidden="1"/>
    </xf>
    <xf numFmtId="167" fontId="47" fillId="13" borderId="113" xfId="0" applyNumberFormat="1" applyFont="1" applyFill="1" applyBorder="1" applyAlignment="1" applyProtection="1">
      <alignment horizontal="right"/>
      <protection locked="0"/>
    </xf>
    <xf numFmtId="167" fontId="5" fillId="13" borderId="147" xfId="0" applyNumberFormat="1" applyFont="1" applyFill="1" applyBorder="1" applyAlignment="1" applyProtection="1">
      <alignment horizontal="right" wrapText="1"/>
      <protection hidden="1"/>
    </xf>
    <xf numFmtId="167" fontId="5" fillId="13" borderId="137" xfId="0" applyNumberFormat="1" applyFont="1" applyFill="1" applyBorder="1" applyAlignment="1" applyProtection="1">
      <alignment horizontal="right" wrapText="1"/>
      <protection hidden="1"/>
    </xf>
    <xf numFmtId="167" fontId="47" fillId="13" borderId="117" xfId="0" applyNumberFormat="1" applyFont="1" applyFill="1" applyBorder="1" applyAlignment="1" applyProtection="1">
      <alignment horizontal="right"/>
      <protection locked="0"/>
    </xf>
    <xf numFmtId="167" fontId="47" fillId="13" borderId="147" xfId="0" applyNumberFormat="1" applyFont="1" applyFill="1" applyBorder="1" applyAlignment="1" applyProtection="1">
      <alignment horizontal="right"/>
      <protection locked="0"/>
    </xf>
    <xf numFmtId="167" fontId="47" fillId="13" borderId="137" xfId="0" applyNumberFormat="1" applyFont="1" applyFill="1" applyBorder="1" applyAlignment="1" applyProtection="1">
      <alignment horizontal="right"/>
      <protection locked="0"/>
    </xf>
    <xf numFmtId="167" fontId="5" fillId="13" borderId="137" xfId="0" applyNumberFormat="1" applyFont="1" applyFill="1" applyBorder="1" applyAlignment="1" applyProtection="1">
      <alignment horizontal="right" wrapText="1"/>
      <protection locked="0"/>
    </xf>
    <xf numFmtId="167" fontId="5" fillId="13" borderId="81" xfId="0" applyNumberFormat="1" applyFont="1" applyFill="1" applyBorder="1" applyAlignment="1" applyProtection="1">
      <alignment horizontal="right" wrapText="1"/>
      <protection locked="0"/>
    </xf>
    <xf numFmtId="3" fontId="5" fillId="13" borderId="147" xfId="0" applyNumberFormat="1" applyFont="1" applyFill="1" applyBorder="1" applyAlignment="1" applyProtection="1">
      <alignment horizontal="right" wrapText="1"/>
      <protection hidden="1"/>
    </xf>
    <xf numFmtId="167" fontId="5" fillId="13" borderId="147" xfId="0" applyNumberFormat="1" applyFont="1" applyFill="1" applyBorder="1" applyAlignment="1" applyProtection="1">
      <alignment horizontal="right" wrapText="1"/>
      <protection locked="0"/>
    </xf>
    <xf numFmtId="167" fontId="5" fillId="13" borderId="137" xfId="0" applyNumberFormat="1" applyFont="1" applyFill="1" applyBorder="1" applyAlignment="1" applyProtection="1">
      <alignment horizontal="right"/>
      <protection hidden="1"/>
    </xf>
    <xf numFmtId="167" fontId="5" fillId="13" borderId="147" xfId="0" applyNumberFormat="1" applyFont="1" applyFill="1" applyBorder="1" applyAlignment="1" applyProtection="1">
      <alignment horizontal="right"/>
      <protection hidden="1"/>
    </xf>
    <xf numFmtId="167" fontId="5" fillId="13" borderId="117" xfId="0" applyNumberFormat="1" applyFont="1" applyFill="1" applyBorder="1" applyAlignment="1" applyProtection="1">
      <alignment horizontal="right"/>
      <protection hidden="1"/>
    </xf>
    <xf numFmtId="167" fontId="5" fillId="13" borderId="137" xfId="0" applyNumberFormat="1" applyFont="1" applyFill="1" applyBorder="1" applyAlignment="1" applyProtection="1">
      <alignment horizontal="right"/>
      <protection locked="0"/>
    </xf>
    <xf numFmtId="3" fontId="5" fillId="13" borderId="147" xfId="0" applyNumberFormat="1" applyFont="1" applyFill="1" applyBorder="1" applyAlignment="1" applyProtection="1">
      <alignment horizontal="right"/>
      <protection hidden="1"/>
    </xf>
    <xf numFmtId="167" fontId="5" fillId="13" borderId="117" xfId="0" applyNumberFormat="1" applyFont="1" applyFill="1" applyBorder="1" applyAlignment="1" applyProtection="1">
      <alignment horizontal="right" wrapText="1"/>
      <protection hidden="1"/>
    </xf>
    <xf numFmtId="167" fontId="5" fillId="13" borderId="137" xfId="0" applyNumberFormat="1" applyFont="1" applyFill="1" applyBorder="1" applyAlignment="1">
      <alignment horizontal="right"/>
    </xf>
    <xf numFmtId="167" fontId="5" fillId="13" borderId="113" xfId="0" applyNumberFormat="1" applyFont="1" applyFill="1" applyBorder="1" applyAlignment="1" applyProtection="1">
      <alignment horizontal="right"/>
      <protection locked="0"/>
    </xf>
    <xf numFmtId="167" fontId="5" fillId="13" borderId="117" xfId="0" applyNumberFormat="1" applyFont="1" applyFill="1" applyBorder="1" applyAlignment="1" applyProtection="1">
      <alignment horizontal="right"/>
      <protection locked="0"/>
    </xf>
    <xf numFmtId="167" fontId="5" fillId="13" borderId="81" xfId="0" applyNumberFormat="1" applyFont="1" applyFill="1" applyBorder="1" applyAlignment="1" applyProtection="1">
      <alignment horizontal="right" wrapText="1"/>
      <protection hidden="1"/>
    </xf>
    <xf numFmtId="167" fontId="5" fillId="13" borderId="153" xfId="0" applyNumberFormat="1" applyFont="1" applyFill="1" applyBorder="1" applyAlignment="1" applyProtection="1">
      <alignment horizontal="right" wrapText="1"/>
      <protection hidden="1"/>
    </xf>
    <xf numFmtId="3" fontId="6" fillId="13" borderId="130" xfId="0" applyNumberFormat="1" applyFont="1" applyFill="1" applyBorder="1" applyAlignment="1" applyProtection="1">
      <alignment horizontal="center" vertical="center" wrapText="1"/>
      <protection hidden="1"/>
    </xf>
    <xf numFmtId="167" fontId="4" fillId="13" borderId="97" xfId="0" applyNumberFormat="1" applyFont="1" applyFill="1" applyBorder="1" applyAlignment="1" applyProtection="1">
      <alignment horizontal="right" wrapText="1"/>
      <protection hidden="1"/>
    </xf>
    <xf numFmtId="167" fontId="7" fillId="13" borderId="135" xfId="0" applyNumberFormat="1" applyFont="1" applyFill="1" applyBorder="1" applyAlignment="1" applyProtection="1">
      <alignment horizontal="right" wrapText="1"/>
      <protection hidden="1"/>
    </xf>
    <xf numFmtId="167" fontId="7" fillId="13" borderId="107" xfId="0" applyNumberFormat="1" applyFont="1" applyFill="1" applyBorder="1" applyAlignment="1" applyProtection="1">
      <alignment horizontal="right" wrapText="1"/>
      <protection locked="0"/>
    </xf>
    <xf numFmtId="167" fontId="7" fillId="13" borderId="121" xfId="0" applyNumberFormat="1" applyFont="1" applyFill="1" applyBorder="1" applyAlignment="1" applyProtection="1">
      <alignment horizontal="right" wrapText="1"/>
      <protection locked="0"/>
    </xf>
    <xf numFmtId="3" fontId="4" fillId="13" borderId="150" xfId="0" applyNumberFormat="1" applyFont="1" applyFill="1" applyBorder="1" applyAlignment="1" applyProtection="1">
      <alignment wrapText="1"/>
      <protection hidden="1"/>
    </xf>
    <xf numFmtId="167" fontId="7" fillId="13" borderId="135" xfId="0" applyNumberFormat="1" applyFont="1" applyFill="1" applyBorder="1" applyAlignment="1" applyProtection="1">
      <alignment wrapText="1"/>
      <protection hidden="1"/>
    </xf>
    <xf numFmtId="167" fontId="4" fillId="13" borderId="107" xfId="0" applyNumberFormat="1" applyFont="1" applyFill="1" applyBorder="1" applyAlignment="1" applyProtection="1">
      <alignment wrapText="1"/>
      <protection locked="0"/>
    </xf>
    <xf numFmtId="167" fontId="7" fillId="13" borderId="107" xfId="0" applyNumberFormat="1" applyFont="1" applyFill="1" applyBorder="1" applyAlignment="1" applyProtection="1">
      <alignment wrapText="1"/>
      <protection locked="0"/>
    </xf>
    <xf numFmtId="167" fontId="7" fillId="13" borderId="121" xfId="0" applyNumberFormat="1" applyFont="1" applyFill="1" applyBorder="1" applyAlignment="1" applyProtection="1">
      <alignment wrapText="1"/>
      <protection locked="0"/>
    </xf>
    <xf numFmtId="167" fontId="4" fillId="13" borderId="150" xfId="0" applyNumberFormat="1" applyFont="1" applyFill="1" applyBorder="1" applyAlignment="1" applyProtection="1">
      <alignment wrapText="1"/>
      <protection hidden="1"/>
    </xf>
    <xf numFmtId="167" fontId="4" fillId="13" borderId="107" xfId="0" applyNumberFormat="1" applyFont="1" applyFill="1" applyBorder="1" applyAlignment="1" applyProtection="1">
      <alignment horizontal="right" wrapText="1"/>
      <protection locked="0"/>
    </xf>
    <xf numFmtId="3" fontId="4" fillId="13" borderId="150" xfId="0" applyNumberFormat="1" applyFont="1" applyFill="1" applyBorder="1" applyAlignment="1" applyProtection="1">
      <alignment horizontal="right" wrapText="1"/>
      <protection hidden="1"/>
    </xf>
    <xf numFmtId="167" fontId="4" fillId="13" borderId="135" xfId="0" applyNumberFormat="1" applyFont="1" applyFill="1" applyBorder="1" applyAlignment="1" applyProtection="1">
      <alignment horizontal="right" wrapText="1"/>
      <protection hidden="1"/>
    </xf>
    <xf numFmtId="167" fontId="7" fillId="13" borderId="107" xfId="0" applyNumberFormat="1" applyFont="1" applyFill="1" applyBorder="1" applyAlignment="1" applyProtection="1">
      <alignment horizontal="right" wrapText="1"/>
      <protection hidden="1"/>
    </xf>
    <xf numFmtId="167" fontId="7" fillId="13" borderId="121" xfId="0" applyNumberFormat="1" applyFont="1" applyFill="1" applyBorder="1" applyAlignment="1" applyProtection="1">
      <alignment horizontal="right" wrapText="1"/>
      <protection hidden="1"/>
    </xf>
    <xf numFmtId="167" fontId="4" fillId="13" borderId="150" xfId="0" applyNumberFormat="1" applyFont="1" applyFill="1" applyBorder="1" applyAlignment="1" applyProtection="1">
      <alignment horizontal="right"/>
      <protection hidden="1"/>
    </xf>
    <xf numFmtId="167" fontId="4" fillId="13" borderId="107" xfId="0" applyNumberFormat="1" applyFont="1" applyFill="1" applyBorder="1" applyAlignment="1" applyProtection="1">
      <alignment horizontal="right" wrapText="1"/>
      <protection hidden="1"/>
    </xf>
    <xf numFmtId="167" fontId="4" fillId="13" borderId="121" xfId="0" applyNumberFormat="1" applyFont="1" applyFill="1" applyBorder="1" applyAlignment="1" applyProtection="1">
      <alignment horizontal="right" wrapText="1"/>
      <protection hidden="1"/>
    </xf>
    <xf numFmtId="167" fontId="4" fillId="13" borderId="150" xfId="0" applyNumberFormat="1" applyFont="1" applyFill="1" applyBorder="1" applyAlignment="1" applyProtection="1">
      <alignment horizontal="right" wrapText="1"/>
      <protection hidden="1"/>
    </xf>
    <xf numFmtId="167" fontId="4" fillId="13" borderId="135" xfId="0" applyNumberFormat="1" applyFont="1" applyFill="1" applyBorder="1" applyAlignment="1" applyProtection="1">
      <alignment horizontal="center" wrapText="1"/>
      <protection hidden="1"/>
    </xf>
    <xf numFmtId="167" fontId="4" fillId="13" borderId="107" xfId="0" applyNumberFormat="1" applyFont="1" applyFill="1" applyBorder="1" applyAlignment="1" applyProtection="1">
      <alignment horizontal="center" wrapText="1"/>
      <protection locked="0"/>
    </xf>
    <xf numFmtId="167" fontId="4" fillId="13" borderId="121" xfId="0" applyNumberFormat="1" applyFont="1" applyFill="1" applyBorder="1" applyAlignment="1" applyProtection="1">
      <alignment horizontal="center" wrapText="1"/>
      <protection locked="0"/>
    </xf>
    <xf numFmtId="167" fontId="4" fillId="13" borderId="135" xfId="0" applyNumberFormat="1" applyFont="1" applyFill="1" applyBorder="1" applyAlignment="1" applyProtection="1">
      <alignment horizontal="center" wrapText="1"/>
      <protection locked="0"/>
    </xf>
    <xf numFmtId="167" fontId="4" fillId="13" borderId="169" xfId="0" applyNumberFormat="1" applyFont="1" applyFill="1" applyBorder="1" applyAlignment="1" applyProtection="1">
      <alignment horizontal="right" wrapText="1"/>
      <protection locked="0"/>
    </xf>
    <xf numFmtId="167" fontId="4" fillId="13" borderId="135" xfId="0" applyNumberFormat="1" applyFont="1" applyFill="1" applyBorder="1" applyAlignment="1" applyProtection="1">
      <alignment horizontal="right" wrapText="1"/>
      <protection locked="0"/>
    </xf>
    <xf numFmtId="167" fontId="4" fillId="13" borderId="121" xfId="0" applyNumberFormat="1" applyFont="1" applyFill="1" applyBorder="1" applyAlignment="1" applyProtection="1">
      <alignment horizontal="right" wrapText="1"/>
      <protection locked="0"/>
    </xf>
    <xf numFmtId="167" fontId="4" fillId="13" borderId="150" xfId="0" applyNumberFormat="1" applyFont="1" applyFill="1" applyBorder="1" applyAlignment="1" applyProtection="1">
      <alignment horizontal="right" wrapText="1"/>
      <protection locked="0"/>
    </xf>
    <xf numFmtId="167" fontId="4" fillId="13" borderId="121" xfId="0" applyNumberFormat="1" applyFont="1" applyFill="1" applyBorder="1" applyAlignment="1" applyProtection="1">
      <alignment horizontal="right"/>
      <protection hidden="1"/>
    </xf>
    <xf numFmtId="167" fontId="7" fillId="13" borderId="135" xfId="0" applyNumberFormat="1" applyFont="1" applyFill="1" applyBorder="1" applyAlignment="1" applyProtection="1">
      <alignment horizontal="right" wrapText="1"/>
      <protection locked="0"/>
    </xf>
    <xf numFmtId="3" fontId="4" fillId="13" borderId="150" xfId="0" applyNumberFormat="1" applyFont="1" applyFill="1" applyBorder="1" applyAlignment="1" applyProtection="1">
      <alignment horizontal="right"/>
      <protection hidden="1"/>
    </xf>
    <xf numFmtId="167" fontId="4" fillId="13" borderId="135" xfId="0" applyNumberFormat="1" applyFont="1" applyFill="1" applyBorder="1" applyAlignment="1">
      <alignment wrapText="1"/>
    </xf>
    <xf numFmtId="167" fontId="4" fillId="13" borderId="107" xfId="0" applyNumberFormat="1" applyFont="1" applyFill="1" applyBorder="1" applyAlignment="1">
      <alignment wrapText="1"/>
    </xf>
    <xf numFmtId="167" fontId="4" fillId="13" borderId="121" xfId="0" applyNumberFormat="1" applyFont="1" applyFill="1" applyBorder="1" applyAlignment="1">
      <alignment wrapText="1"/>
    </xf>
    <xf numFmtId="167" fontId="4" fillId="13" borderId="169" xfId="0" applyNumberFormat="1" applyFont="1" applyFill="1" applyBorder="1" applyAlignment="1" applyProtection="1">
      <alignment horizontal="right" wrapText="1"/>
      <protection hidden="1"/>
    </xf>
    <xf numFmtId="167" fontId="4" fillId="13" borderId="162" xfId="0" applyNumberFormat="1" applyFont="1" applyFill="1" applyBorder="1" applyAlignment="1" applyProtection="1">
      <alignment horizontal="right" wrapText="1"/>
      <protection hidden="1"/>
    </xf>
    <xf numFmtId="3" fontId="4" fillId="14" borderId="150" xfId="0" applyNumberFormat="1" applyFont="1" applyFill="1" applyBorder="1" applyAlignment="1" applyProtection="1">
      <alignment horizontal="center" wrapText="1"/>
      <protection hidden="1"/>
    </xf>
    <xf numFmtId="0" fontId="0" fillId="0" borderId="0" xfId="0" applyFill="1" applyAlignment="1">
      <alignment wrapText="1"/>
    </xf>
    <xf numFmtId="3" fontId="6" fillId="0" borderId="85" xfId="0" applyNumberFormat="1" applyFont="1" applyFill="1" applyBorder="1" applyAlignment="1" applyProtection="1">
      <alignment horizontal="center" vertical="center" wrapText="1"/>
      <protection hidden="1"/>
    </xf>
    <xf numFmtId="3" fontId="21" fillId="0" borderId="149" xfId="0" applyNumberFormat="1" applyFont="1" applyFill="1" applyBorder="1" applyAlignment="1" applyProtection="1">
      <alignment horizontal="right" wrapText="1"/>
      <protection hidden="1"/>
    </xf>
    <xf numFmtId="3" fontId="4" fillId="0" borderId="127" xfId="0" applyNumberFormat="1" applyFont="1" applyFill="1" applyBorder="1" applyAlignment="1" applyProtection="1">
      <alignment wrapText="1"/>
      <protection hidden="1"/>
    </xf>
    <xf numFmtId="3" fontId="4" fillId="0" borderId="39" xfId="0" applyNumberFormat="1" applyFont="1" applyFill="1" applyBorder="1" applyAlignment="1" applyProtection="1">
      <alignment horizontal="right" wrapText="1"/>
      <protection hidden="1"/>
    </xf>
    <xf numFmtId="3" fontId="4" fillId="0" borderId="66" xfId="0" applyNumberFormat="1" applyFont="1" applyFill="1" applyBorder="1" applyAlignment="1" applyProtection="1">
      <alignment horizontal="right" wrapText="1"/>
      <protection hidden="1"/>
    </xf>
    <xf numFmtId="3" fontId="6" fillId="0" borderId="86" xfId="0" applyNumberFormat="1" applyFont="1" applyFill="1" applyBorder="1" applyAlignment="1" applyProtection="1">
      <alignment horizontal="center" vertical="center" wrapText="1"/>
      <protection hidden="1"/>
    </xf>
    <xf numFmtId="3" fontId="7" fillId="0" borderId="103" xfId="0" applyNumberFormat="1" applyFont="1" applyFill="1" applyBorder="1" applyAlignment="1" applyProtection="1">
      <alignment horizontal="right" wrapText="1"/>
      <protection hidden="1"/>
    </xf>
    <xf numFmtId="3" fontId="4" fillId="0" borderId="135" xfId="0" applyNumberFormat="1" applyFont="1" applyFill="1" applyBorder="1" applyAlignment="1" applyProtection="1">
      <alignment horizontal="center" wrapText="1"/>
      <protection hidden="1"/>
    </xf>
    <xf numFmtId="3" fontId="4" fillId="0" borderId="135" xfId="0" applyNumberFormat="1" applyFont="1" applyFill="1" applyBorder="1" applyAlignment="1" applyProtection="1">
      <alignment horizontal="center" wrapText="1"/>
      <protection locked="0"/>
    </xf>
    <xf numFmtId="167" fontId="4" fillId="0" borderId="135" xfId="0" applyNumberFormat="1" applyFont="1" applyFill="1" applyBorder="1" applyAlignment="1" applyProtection="1">
      <alignment horizontal="right" wrapText="1"/>
      <protection locked="0"/>
    </xf>
    <xf numFmtId="167" fontId="4" fillId="0" borderId="107" xfId="0" applyNumberFormat="1" applyFont="1" applyFill="1" applyBorder="1" applyAlignment="1" applyProtection="1">
      <alignment horizontal="right" wrapText="1"/>
      <protection locked="0"/>
    </xf>
    <xf numFmtId="3" fontId="4" fillId="0" borderId="103" xfId="0" applyNumberFormat="1" applyFont="1" applyFill="1" applyBorder="1" applyAlignment="1" applyProtection="1">
      <alignment horizontal="right" wrapText="1"/>
      <protection locked="0"/>
    </xf>
    <xf numFmtId="3" fontId="4" fillId="0" borderId="103" xfId="0" applyNumberFormat="1" applyFont="1" applyFill="1" applyBorder="1" applyAlignment="1" applyProtection="1">
      <alignment horizontal="center" wrapText="1"/>
      <protection locked="0"/>
    </xf>
    <xf numFmtId="3" fontId="4" fillId="0" borderId="103" xfId="0" applyNumberFormat="1" applyFont="1" applyFill="1" applyBorder="1" applyAlignment="1" applyProtection="1">
      <alignment horizontal="right" wrapText="1"/>
      <protection hidden="1"/>
    </xf>
    <xf numFmtId="3" fontId="4" fillId="0" borderId="107" xfId="0" applyNumberFormat="1" applyFont="1" applyFill="1" applyBorder="1" applyAlignment="1" applyProtection="1">
      <alignment horizontal="right" wrapText="1"/>
      <protection hidden="1"/>
    </xf>
    <xf numFmtId="3" fontId="7" fillId="0" borderId="97" xfId="0" applyNumberFormat="1" applyFont="1" applyFill="1" applyBorder="1" applyAlignment="1" applyProtection="1">
      <alignment horizontal="right" wrapText="1"/>
      <protection locked="0"/>
    </xf>
    <xf numFmtId="3" fontId="4" fillId="0" borderId="103" xfId="0" applyNumberFormat="1" applyFont="1" applyFill="1" applyBorder="1" applyAlignment="1">
      <alignment wrapText="1"/>
    </xf>
    <xf numFmtId="3" fontId="4" fillId="0" borderId="103" xfId="0" applyNumberFormat="1" applyFont="1" applyFill="1" applyBorder="1" applyAlignment="1" applyProtection="1">
      <alignment horizontal="center" wrapText="1"/>
      <protection hidden="1"/>
    </xf>
    <xf numFmtId="3" fontId="6" fillId="0" borderId="68" xfId="0" applyNumberFormat="1" applyFont="1" applyFill="1" applyBorder="1" applyAlignment="1" applyProtection="1">
      <alignment horizontal="center" vertical="center" wrapText="1"/>
      <protection hidden="1"/>
    </xf>
    <xf numFmtId="3" fontId="21" fillId="0" borderId="36" xfId="0" applyNumberFormat="1" applyFont="1" applyFill="1" applyBorder="1" applyAlignment="1" applyProtection="1">
      <alignment horizontal="right" wrapText="1"/>
      <protection hidden="1"/>
    </xf>
    <xf numFmtId="3" fontId="4" fillId="0" borderId="36" xfId="0" applyNumberFormat="1" applyFont="1" applyFill="1" applyBorder="1" applyAlignment="1" applyProtection="1">
      <alignment horizontal="right" wrapText="1"/>
      <protection hidden="1"/>
    </xf>
    <xf numFmtId="3" fontId="4" fillId="0" borderId="130" xfId="0" applyNumberFormat="1" applyFont="1" applyFill="1" applyBorder="1" applyAlignment="1" applyProtection="1">
      <alignment wrapText="1"/>
      <protection hidden="1"/>
    </xf>
    <xf numFmtId="3" fontId="4" fillId="0" borderId="130" xfId="0" applyNumberFormat="1" applyFont="1" applyFill="1" applyBorder="1" applyAlignment="1" applyProtection="1">
      <alignment horizontal="right" wrapText="1"/>
      <protection hidden="1"/>
    </xf>
    <xf numFmtId="3" fontId="4" fillId="0" borderId="121" xfId="0" applyNumberFormat="1" applyFont="1" applyFill="1" applyBorder="1" applyAlignment="1" applyProtection="1">
      <alignment horizontal="right" wrapText="1"/>
      <protection locked="0"/>
    </xf>
    <xf numFmtId="3" fontId="21" fillId="0" borderId="150" xfId="0" applyNumberFormat="1" applyFont="1" applyFill="1" applyBorder="1" applyAlignment="1" applyProtection="1">
      <alignment horizontal="right" wrapText="1"/>
      <protection hidden="1"/>
    </xf>
    <xf numFmtId="167" fontId="4" fillId="0" borderId="130" xfId="0" applyNumberFormat="1" applyFont="1" applyFill="1" applyBorder="1" applyAlignment="1" applyProtection="1">
      <alignment horizontal="right" wrapText="1"/>
      <protection locked="0"/>
    </xf>
    <xf numFmtId="3" fontId="4" fillId="0" borderId="97" xfId="0" applyNumberFormat="1" applyFont="1" applyFill="1" applyBorder="1" applyAlignment="1" applyProtection="1">
      <alignment horizontal="right" wrapText="1"/>
      <protection locked="0"/>
    </xf>
    <xf numFmtId="167" fontId="21" fillId="0" borderId="130" xfId="0" applyNumberFormat="1" applyFont="1" applyFill="1" applyBorder="1" applyAlignment="1" applyProtection="1">
      <alignment horizontal="right" wrapText="1"/>
      <protection hidden="1"/>
    </xf>
    <xf numFmtId="3" fontId="4" fillId="0" borderId="162" xfId="0" applyNumberFormat="1" applyFont="1" applyFill="1" applyBorder="1" applyAlignment="1" applyProtection="1">
      <alignment horizontal="right" wrapText="1"/>
      <protection hidden="1"/>
    </xf>
    <xf numFmtId="3" fontId="7" fillId="0" borderId="171" xfId="0" applyNumberFormat="1" applyFont="1" applyFill="1" applyBorder="1" applyAlignment="1" applyProtection="1">
      <alignment horizontal="right" wrapText="1"/>
      <protection hidden="1"/>
    </xf>
    <xf numFmtId="3" fontId="7" fillId="0" borderId="167" xfId="0" applyNumberFormat="1" applyFont="1" applyFill="1" applyBorder="1" applyAlignment="1" applyProtection="1">
      <alignment horizontal="right" wrapText="1"/>
      <protection locked="0"/>
    </xf>
    <xf numFmtId="3" fontId="7" fillId="0" borderId="144" xfId="0" applyNumberFormat="1" applyFont="1" applyFill="1" applyBorder="1" applyAlignment="1" applyProtection="1">
      <alignment horizontal="right" wrapText="1"/>
      <protection locked="0"/>
    </xf>
    <xf numFmtId="3" fontId="4" fillId="0" borderId="172" xfId="0" applyNumberFormat="1" applyFont="1" applyFill="1" applyBorder="1" applyAlignment="1" applyProtection="1">
      <alignment wrapText="1"/>
      <protection hidden="1"/>
    </xf>
    <xf numFmtId="3" fontId="7" fillId="0" borderId="173" xfId="0" applyNumberFormat="1" applyFont="1" applyFill="1" applyBorder="1" applyAlignment="1" applyProtection="1">
      <alignment wrapText="1"/>
      <protection hidden="1"/>
    </xf>
    <xf numFmtId="3" fontId="7" fillId="0" borderId="167" xfId="0" applyNumberFormat="1" applyFont="1" applyFill="1" applyBorder="1" applyAlignment="1" applyProtection="1">
      <alignment wrapText="1"/>
      <protection locked="0"/>
    </xf>
    <xf numFmtId="3" fontId="7" fillId="0" borderId="167" xfId="0" applyNumberFormat="1" applyFont="1" applyFill="1" applyBorder="1" applyAlignment="1">
      <alignment wrapText="1"/>
    </xf>
    <xf numFmtId="3" fontId="4" fillId="0" borderId="172" xfId="0" applyNumberFormat="1" applyFont="1" applyFill="1" applyBorder="1" applyAlignment="1" applyProtection="1">
      <alignment horizontal="right" wrapText="1"/>
      <protection hidden="1"/>
    </xf>
    <xf numFmtId="3" fontId="4" fillId="0" borderId="70" xfId="0" applyNumberFormat="1" applyFont="1" applyFill="1" applyBorder="1" applyAlignment="1" applyProtection="1">
      <alignment horizontal="right" wrapText="1"/>
      <protection hidden="1"/>
    </xf>
    <xf numFmtId="3" fontId="4" fillId="0" borderId="173" xfId="0" applyNumberFormat="1" applyFont="1" applyFill="1" applyBorder="1" applyAlignment="1" applyProtection="1">
      <alignment horizontal="center" wrapText="1"/>
      <protection hidden="1"/>
    </xf>
    <xf numFmtId="3" fontId="4" fillId="0" borderId="167" xfId="0" applyNumberFormat="1" applyFont="1" applyFill="1" applyBorder="1" applyAlignment="1" applyProtection="1">
      <alignment horizontal="center" wrapText="1"/>
      <protection locked="0"/>
    </xf>
    <xf numFmtId="3" fontId="4" fillId="0" borderId="144" xfId="0" applyNumberFormat="1" applyFont="1" applyFill="1" applyBorder="1" applyAlignment="1" applyProtection="1">
      <alignment horizontal="center" wrapText="1"/>
      <protection locked="0"/>
    </xf>
    <xf numFmtId="3" fontId="4" fillId="0" borderId="173" xfId="0" applyNumberFormat="1" applyFont="1" applyFill="1" applyBorder="1" applyAlignment="1" applyProtection="1">
      <alignment horizontal="right" wrapText="1"/>
      <protection hidden="1"/>
    </xf>
    <xf numFmtId="3" fontId="4" fillId="0" borderId="173" xfId="0" applyNumberFormat="1" applyFont="1" applyFill="1" applyBorder="1" applyAlignment="1" applyProtection="1">
      <alignment horizontal="center" wrapText="1"/>
      <protection locked="0"/>
    </xf>
    <xf numFmtId="3" fontId="4" fillId="0" borderId="172" xfId="0" applyNumberFormat="1" applyFont="1" applyFill="1" applyBorder="1" applyAlignment="1" applyProtection="1">
      <alignment horizontal="right" wrapText="1"/>
      <protection locked="0"/>
    </xf>
    <xf numFmtId="167" fontId="4" fillId="0" borderId="173" xfId="0" applyNumberFormat="1" applyFont="1" applyFill="1" applyBorder="1" applyAlignment="1" applyProtection="1">
      <alignment horizontal="right" wrapText="1"/>
      <protection locked="0"/>
    </xf>
    <xf numFmtId="167" fontId="4" fillId="0" borderId="167" xfId="0" applyNumberFormat="1" applyFont="1" applyFill="1" applyBorder="1" applyAlignment="1" applyProtection="1">
      <alignment horizontal="right" wrapText="1"/>
      <protection locked="0"/>
    </xf>
    <xf numFmtId="167" fontId="4" fillId="0" borderId="172" xfId="0" applyNumberFormat="1" applyFont="1" applyFill="1" applyBorder="1" applyAlignment="1" applyProtection="1">
      <alignment horizontal="right" wrapText="1"/>
      <protection locked="0"/>
    </xf>
    <xf numFmtId="3" fontId="4" fillId="0" borderId="171" xfId="0" applyNumberFormat="1" applyFont="1" applyFill="1" applyBorder="1" applyAlignment="1" applyProtection="1">
      <alignment horizontal="right" wrapText="1"/>
      <protection locked="0"/>
    </xf>
    <xf numFmtId="3" fontId="4" fillId="0" borderId="167" xfId="0" applyNumberFormat="1" applyFont="1" applyFill="1" applyBorder="1" applyAlignment="1" applyProtection="1">
      <alignment horizontal="right" wrapText="1"/>
      <protection locked="0"/>
    </xf>
    <xf numFmtId="3" fontId="4" fillId="0" borderId="171" xfId="0" applyNumberFormat="1" applyFont="1" applyFill="1" applyBorder="1" applyAlignment="1" applyProtection="1">
      <alignment horizontal="center" wrapText="1"/>
      <protection locked="0"/>
    </xf>
    <xf numFmtId="3" fontId="4" fillId="0" borderId="171" xfId="0" applyNumberFormat="1" applyFont="1" applyFill="1" applyBorder="1" applyAlignment="1" applyProtection="1">
      <alignment horizontal="right" wrapText="1"/>
      <protection hidden="1"/>
    </xf>
    <xf numFmtId="167" fontId="4" fillId="0" borderId="172" xfId="0" applyNumberFormat="1" applyFont="1" applyFill="1" applyBorder="1" applyAlignment="1" applyProtection="1">
      <alignment horizontal="right" wrapText="1"/>
      <protection hidden="1"/>
    </xf>
    <xf numFmtId="3" fontId="4" fillId="0" borderId="167" xfId="0" applyNumberFormat="1" applyFont="1" applyFill="1" applyBorder="1" applyAlignment="1" applyProtection="1">
      <alignment horizontal="right" wrapText="1"/>
      <protection hidden="1"/>
    </xf>
    <xf numFmtId="3" fontId="7" fillId="0" borderId="70" xfId="0" applyNumberFormat="1" applyFont="1" applyFill="1" applyBorder="1" applyAlignment="1" applyProtection="1">
      <alignment horizontal="right" wrapText="1"/>
      <protection hidden="1"/>
    </xf>
    <xf numFmtId="3" fontId="7" fillId="0" borderId="70" xfId="0" applyNumberFormat="1" applyFont="1" applyFill="1" applyBorder="1" applyAlignment="1" applyProtection="1">
      <alignment horizontal="right" wrapText="1"/>
      <protection locked="0"/>
    </xf>
    <xf numFmtId="3" fontId="7" fillId="0" borderId="144" xfId="0" applyNumberFormat="1" applyFont="1" applyFill="1" applyBorder="1" applyAlignment="1" applyProtection="1">
      <alignment horizontal="right" wrapText="1"/>
      <protection hidden="1"/>
    </xf>
    <xf numFmtId="3" fontId="4" fillId="0" borderId="171" xfId="0" applyNumberFormat="1" applyFont="1" applyFill="1" applyBorder="1" applyAlignment="1">
      <alignment wrapText="1"/>
    </xf>
    <xf numFmtId="3" fontId="4" fillId="0" borderId="167" xfId="0" applyNumberFormat="1" applyFont="1" applyFill="1" applyBorder="1" applyAlignment="1">
      <alignment wrapText="1"/>
    </xf>
    <xf numFmtId="3" fontId="4" fillId="0" borderId="171" xfId="0" applyNumberFormat="1" applyFont="1" applyFill="1" applyBorder="1" applyAlignment="1" applyProtection="1">
      <alignment horizontal="center" wrapText="1"/>
      <protection hidden="1"/>
    </xf>
    <xf numFmtId="3" fontId="7" fillId="0" borderId="104" xfId="0" applyNumberFormat="1" applyFont="1" applyFill="1" applyBorder="1" applyAlignment="1" applyProtection="1">
      <alignment horizontal="right" wrapText="1"/>
      <protection hidden="1"/>
    </xf>
    <xf numFmtId="3" fontId="7" fillId="0" borderId="123" xfId="0" applyNumberFormat="1" applyFont="1" applyFill="1" applyBorder="1" applyAlignment="1" applyProtection="1">
      <alignment horizontal="right" wrapText="1"/>
      <protection locked="0"/>
    </xf>
    <xf numFmtId="3" fontId="7" fillId="0" borderId="136" xfId="0" applyNumberFormat="1" applyFont="1" applyFill="1" applyBorder="1" applyAlignment="1" applyProtection="1">
      <alignment wrapText="1"/>
      <protection hidden="1"/>
    </xf>
    <xf numFmtId="3" fontId="4" fillId="0" borderId="112" xfId="0" applyNumberFormat="1" applyFont="1" applyFill="1" applyBorder="1" applyAlignment="1" applyProtection="1">
      <alignment wrapText="1"/>
      <protection locked="0"/>
    </xf>
    <xf numFmtId="3" fontId="7" fillId="0" borderId="112" xfId="0" applyNumberFormat="1" applyFont="1" applyFill="1" applyBorder="1" applyAlignment="1" applyProtection="1">
      <alignment wrapText="1"/>
      <protection locked="0"/>
    </xf>
    <xf numFmtId="3" fontId="4" fillId="0" borderId="112" xfId="0" applyNumberFormat="1" applyFont="1" applyFill="1" applyBorder="1" applyAlignment="1" applyProtection="1">
      <alignment horizontal="right" wrapText="1"/>
      <protection locked="0"/>
    </xf>
    <xf numFmtId="3" fontId="4" fillId="0" borderId="136" xfId="0" applyNumberFormat="1" applyFont="1" applyFill="1" applyBorder="1" applyAlignment="1" applyProtection="1">
      <alignment horizontal="center" wrapText="1"/>
      <protection hidden="1"/>
    </xf>
    <xf numFmtId="3" fontId="4" fillId="0" borderId="136" xfId="0" applyNumberFormat="1" applyFont="1" applyFill="1" applyBorder="1" applyAlignment="1" applyProtection="1">
      <alignment horizontal="center" wrapText="1"/>
      <protection locked="0"/>
    </xf>
    <xf numFmtId="3" fontId="4" fillId="0" borderId="123" xfId="0" applyNumberFormat="1" applyFont="1" applyFill="1" applyBorder="1" applyAlignment="1" applyProtection="1">
      <alignment horizontal="right" wrapText="1"/>
      <protection locked="0"/>
    </xf>
    <xf numFmtId="167" fontId="4" fillId="0" borderId="136" xfId="0" applyNumberFormat="1" applyFont="1" applyFill="1" applyBorder="1" applyAlignment="1" applyProtection="1">
      <alignment horizontal="right" wrapText="1"/>
      <protection locked="0"/>
    </xf>
    <xf numFmtId="167" fontId="4" fillId="0" borderId="112" xfId="0" applyNumberFormat="1" applyFont="1" applyFill="1" applyBorder="1" applyAlignment="1" applyProtection="1">
      <alignment horizontal="right" wrapText="1"/>
      <protection locked="0"/>
    </xf>
    <xf numFmtId="167" fontId="4" fillId="0" borderId="128" xfId="0" applyNumberFormat="1" applyFont="1" applyFill="1" applyBorder="1" applyAlignment="1" applyProtection="1">
      <alignment horizontal="right" wrapText="1"/>
      <protection locked="0"/>
    </xf>
    <xf numFmtId="3" fontId="4" fillId="0" borderId="104" xfId="0" applyNumberFormat="1" applyFont="1" applyFill="1" applyBorder="1" applyAlignment="1" applyProtection="1">
      <alignment horizontal="right" wrapText="1"/>
      <protection locked="0"/>
    </xf>
    <xf numFmtId="3" fontId="4" fillId="0" borderId="54" xfId="0" applyNumberFormat="1" applyFont="1" applyFill="1" applyBorder="1" applyAlignment="1" applyProtection="1">
      <alignment horizontal="right" wrapText="1"/>
      <protection locked="0"/>
    </xf>
    <xf numFmtId="3" fontId="4" fillId="0" borderId="104" xfId="0" applyNumberFormat="1" applyFont="1" applyFill="1" applyBorder="1" applyAlignment="1" applyProtection="1">
      <alignment horizontal="center" wrapText="1"/>
      <protection locked="0"/>
    </xf>
    <xf numFmtId="3" fontId="4" fillId="0" borderId="104" xfId="0" applyNumberFormat="1" applyFont="1" applyFill="1" applyBorder="1" applyAlignment="1" applyProtection="1">
      <alignment horizontal="right" wrapText="1"/>
      <protection hidden="1"/>
    </xf>
    <xf numFmtId="167" fontId="4" fillId="0" borderId="128" xfId="0" applyNumberFormat="1" applyFont="1" applyFill="1" applyBorder="1" applyAlignment="1" applyProtection="1">
      <alignment horizontal="right" wrapText="1"/>
      <protection hidden="1"/>
    </xf>
    <xf numFmtId="3" fontId="4" fillId="0" borderId="112" xfId="0" applyNumberFormat="1" applyFont="1" applyFill="1" applyBorder="1" applyAlignment="1" applyProtection="1">
      <alignment horizontal="right" wrapText="1"/>
      <protection hidden="1"/>
    </xf>
    <xf numFmtId="3" fontId="7" fillId="0" borderId="54" xfId="0" applyNumberFormat="1" applyFont="1" applyFill="1" applyBorder="1" applyAlignment="1" applyProtection="1">
      <alignment horizontal="right" wrapText="1"/>
      <protection locked="0"/>
    </xf>
    <xf numFmtId="3" fontId="4" fillId="0" borderId="104" xfId="0" applyNumberFormat="1" applyFont="1" applyFill="1" applyBorder="1" applyAlignment="1">
      <alignment wrapText="1"/>
    </xf>
    <xf numFmtId="3" fontId="4" fillId="0" borderId="112" xfId="0" applyNumberFormat="1" applyFont="1" applyFill="1" applyBorder="1" applyAlignment="1">
      <alignment wrapText="1"/>
    </xf>
    <xf numFmtId="3" fontId="4" fillId="0" borderId="104" xfId="0" applyNumberFormat="1" applyFont="1" applyFill="1" applyBorder="1" applyAlignment="1" applyProtection="1">
      <alignment horizontal="center" wrapText="1"/>
      <protection hidden="1"/>
    </xf>
    <xf numFmtId="3" fontId="4" fillId="0" borderId="144" xfId="0" applyNumberFormat="1" applyFont="1" applyFill="1" applyBorder="1" applyAlignment="1" applyProtection="1">
      <alignment horizontal="right" wrapText="1"/>
      <protection locked="0"/>
    </xf>
    <xf numFmtId="167" fontId="4" fillId="0" borderId="70" xfId="0" applyNumberFormat="1" applyFont="1" applyFill="1" applyBorder="1" applyAlignment="1" applyProtection="1">
      <alignment horizontal="right" wrapText="1"/>
      <protection hidden="1"/>
    </xf>
    <xf numFmtId="3" fontId="4" fillId="0" borderId="72" xfId="0" applyNumberFormat="1" applyFont="1" applyFill="1" applyBorder="1" applyAlignment="1" applyProtection="1">
      <alignment horizontal="right" wrapText="1"/>
      <protection hidden="1"/>
    </xf>
    <xf numFmtId="3" fontId="4" fillId="0" borderId="152" xfId="0" applyNumberFormat="1" applyFont="1" applyFill="1" applyBorder="1" applyAlignment="1" applyProtection="1">
      <alignment horizontal="right" wrapText="1"/>
      <protection hidden="1"/>
    </xf>
    <xf numFmtId="3" fontId="4" fillId="0" borderId="124" xfId="0" applyNumberFormat="1" applyFont="1" applyFill="1" applyBorder="1" applyAlignment="1" applyProtection="1">
      <alignment horizontal="right" wrapText="1"/>
      <protection hidden="1"/>
    </xf>
    <xf numFmtId="3" fontId="4" fillId="0" borderId="118" xfId="0" applyNumberFormat="1" applyFont="1" applyFill="1" applyBorder="1" applyAlignment="1" applyProtection="1">
      <alignment horizontal="right" wrapText="1"/>
      <protection locked="0"/>
    </xf>
    <xf numFmtId="167" fontId="4" fillId="0" borderId="124" xfId="0" applyNumberFormat="1" applyFont="1" applyFill="1" applyBorder="1" applyAlignment="1" applyProtection="1">
      <alignment horizontal="right" wrapText="1"/>
      <protection hidden="1"/>
    </xf>
    <xf numFmtId="167" fontId="21" fillId="0" borderId="124" xfId="0" applyNumberFormat="1" applyFont="1" applyFill="1" applyBorder="1" applyAlignment="1" applyProtection="1">
      <alignment horizontal="right" wrapText="1"/>
      <protection hidden="1"/>
    </xf>
    <xf numFmtId="3" fontId="6" fillId="0" borderId="87" xfId="0" applyNumberFormat="1" applyFont="1" applyFill="1" applyBorder="1" applyAlignment="1" applyProtection="1">
      <alignment horizontal="center" vertical="center" wrapText="1"/>
      <protection hidden="1"/>
    </xf>
    <xf numFmtId="167" fontId="7" fillId="0" borderId="100" xfId="0" applyNumberFormat="1" applyFont="1" applyFill="1" applyBorder="1" applyAlignment="1" applyProtection="1">
      <alignment horizontal="right" wrapText="1"/>
      <protection hidden="1"/>
    </xf>
    <xf numFmtId="167" fontId="7" fillId="0" borderId="101" xfId="0" applyNumberFormat="1" applyFont="1" applyFill="1" applyBorder="1" applyAlignment="1" applyProtection="1">
      <alignment horizontal="right" wrapText="1"/>
      <protection hidden="1"/>
    </xf>
    <xf numFmtId="167" fontId="7" fillId="0" borderId="106" xfId="0" applyNumberFormat="1" applyFont="1" applyFill="1" applyBorder="1" applyAlignment="1" applyProtection="1">
      <alignment horizontal="right" wrapText="1"/>
      <protection hidden="1"/>
    </xf>
    <xf numFmtId="167" fontId="7" fillId="0" borderId="132" xfId="0" applyNumberFormat="1" applyFont="1" applyFill="1" applyBorder="1" applyAlignment="1" applyProtection="1">
      <alignment wrapText="1"/>
      <protection hidden="1"/>
    </xf>
    <xf numFmtId="167" fontId="7" fillId="0" borderId="138" xfId="0" applyNumberFormat="1" applyFont="1" applyFill="1" applyBorder="1" applyAlignment="1" applyProtection="1">
      <alignment wrapText="1"/>
      <protection hidden="1"/>
    </xf>
    <xf numFmtId="167" fontId="4" fillId="0" borderId="114" xfId="0" applyNumberFormat="1" applyFont="1" applyFill="1" applyBorder="1" applyAlignment="1" applyProtection="1">
      <alignment wrapText="1"/>
      <protection locked="0"/>
    </xf>
    <xf numFmtId="167" fontId="7" fillId="0" borderId="108" xfId="0" applyNumberFormat="1" applyFont="1" applyFill="1" applyBorder="1" applyAlignment="1" applyProtection="1">
      <alignment wrapText="1"/>
      <protection locked="0"/>
    </xf>
    <xf numFmtId="167" fontId="7" fillId="0" borderId="114" xfId="0" applyNumberFormat="1" applyFont="1" applyFill="1" applyBorder="1" applyAlignment="1" applyProtection="1">
      <alignment wrapText="1"/>
      <protection locked="0"/>
    </xf>
    <xf numFmtId="167" fontId="4" fillId="0" borderId="144" xfId="0" applyNumberFormat="1" applyFont="1" applyFill="1" applyBorder="1" applyAlignment="1" applyProtection="1">
      <alignment horizontal="right" wrapText="1"/>
      <protection hidden="1"/>
    </xf>
    <xf numFmtId="167" fontId="4" fillId="0" borderId="138" xfId="0" applyNumberFormat="1" applyFont="1" applyFill="1" applyBorder="1" applyAlignment="1" applyProtection="1">
      <alignment horizontal="center" wrapText="1"/>
      <protection hidden="1"/>
    </xf>
    <xf numFmtId="167" fontId="4" fillId="0" borderId="138" xfId="0" applyNumberFormat="1" applyFont="1" applyFill="1" applyBorder="1" applyAlignment="1" applyProtection="1">
      <alignment horizontal="center" wrapText="1"/>
      <protection locked="0"/>
    </xf>
    <xf numFmtId="167" fontId="4" fillId="0" borderId="101" xfId="0" applyNumberFormat="1" applyFont="1" applyFill="1" applyBorder="1" applyAlignment="1" applyProtection="1">
      <alignment horizontal="right" wrapText="1"/>
      <protection locked="0"/>
    </xf>
    <xf numFmtId="167" fontId="4" fillId="0" borderId="106" xfId="0" applyNumberFormat="1" applyFont="1" applyFill="1" applyBorder="1" applyAlignment="1" applyProtection="1">
      <alignment horizontal="right" wrapText="1"/>
      <protection locked="0"/>
    </xf>
    <xf numFmtId="167" fontId="20" fillId="0" borderId="114" xfId="0" applyNumberFormat="1" applyFont="1" applyFill="1" applyBorder="1" applyAlignment="1" applyProtection="1">
      <alignment horizontal="right" wrapText="1"/>
      <protection locked="0"/>
    </xf>
    <xf numFmtId="167" fontId="4" fillId="0" borderId="101" xfId="0" applyNumberFormat="1" applyFont="1" applyFill="1" applyBorder="1" applyAlignment="1" applyProtection="1">
      <alignment horizontal="center" wrapText="1"/>
      <protection locked="0"/>
    </xf>
    <xf numFmtId="167" fontId="4" fillId="0" borderId="106" xfId="0" applyNumberFormat="1" applyFont="1" applyFill="1" applyBorder="1" applyAlignment="1" applyProtection="1">
      <alignment horizontal="center" wrapText="1"/>
      <protection locked="0"/>
    </xf>
    <xf numFmtId="167" fontId="4" fillId="0" borderId="101" xfId="0" applyNumberFormat="1" applyFont="1" applyFill="1" applyBorder="1" applyAlignment="1" applyProtection="1">
      <alignment horizontal="right" wrapText="1"/>
      <protection hidden="1"/>
    </xf>
    <xf numFmtId="167" fontId="4" fillId="0" borderId="106" xfId="0" applyNumberFormat="1" applyFont="1" applyFill="1" applyBorder="1" applyAlignment="1" applyProtection="1">
      <alignment horizontal="right" wrapText="1"/>
      <protection hidden="1"/>
    </xf>
    <xf numFmtId="167" fontId="4" fillId="0" borderId="114" xfId="0" applyNumberFormat="1" applyFont="1" applyFill="1" applyBorder="1" applyAlignment="1" applyProtection="1">
      <alignment horizontal="right" wrapText="1"/>
      <protection hidden="1"/>
    </xf>
    <xf numFmtId="167" fontId="7" fillId="0" borderId="108" xfId="0" applyNumberFormat="1" applyFont="1" applyFill="1" applyBorder="1" applyAlignment="1" applyProtection="1">
      <alignment horizontal="right" wrapText="1"/>
      <protection hidden="1"/>
    </xf>
    <xf numFmtId="167" fontId="7" fillId="0" borderId="114" xfId="0" applyNumberFormat="1" applyFont="1" applyFill="1" applyBorder="1" applyAlignment="1" applyProtection="1">
      <alignment horizontal="right" wrapText="1"/>
      <protection hidden="1"/>
    </xf>
    <xf numFmtId="167" fontId="20" fillId="0" borderId="118" xfId="0" applyNumberFormat="1" applyFont="1" applyFill="1" applyBorder="1" applyAlignment="1" applyProtection="1">
      <alignment horizontal="right" wrapText="1"/>
      <protection hidden="1"/>
    </xf>
    <xf numFmtId="167" fontId="7" fillId="0" borderId="99" xfId="0" applyNumberFormat="1" applyFont="1" applyFill="1" applyBorder="1" applyAlignment="1" applyProtection="1">
      <alignment horizontal="right" wrapText="1"/>
      <protection locked="0"/>
    </xf>
    <xf numFmtId="167" fontId="7" fillId="0" borderId="98" xfId="0" applyNumberFormat="1" applyFont="1" applyFill="1" applyBorder="1" applyAlignment="1" applyProtection="1">
      <alignment horizontal="right" wrapText="1"/>
      <protection locked="0"/>
    </xf>
    <xf numFmtId="167" fontId="4" fillId="0" borderId="101" xfId="0" applyNumberFormat="1" applyFont="1" applyFill="1" applyBorder="1" applyAlignment="1">
      <alignment wrapText="1"/>
    </xf>
    <xf numFmtId="167" fontId="4" fillId="0" borderId="106" xfId="0" applyNumberFormat="1" applyFont="1" applyFill="1" applyBorder="1" applyAlignment="1">
      <alignment wrapText="1"/>
    </xf>
    <xf numFmtId="167" fontId="4" fillId="0" borderId="114" xfId="0" applyNumberFormat="1" applyFont="1" applyFill="1" applyBorder="1" applyAlignment="1">
      <alignment wrapText="1"/>
    </xf>
    <xf numFmtId="167" fontId="4" fillId="0" borderId="101" xfId="0" applyNumberFormat="1" applyFont="1" applyFill="1" applyBorder="1" applyAlignment="1" applyProtection="1">
      <alignment horizontal="center" wrapText="1"/>
      <protection hidden="1"/>
    </xf>
    <xf numFmtId="167" fontId="4" fillId="0" borderId="106" xfId="0" applyNumberFormat="1" applyFont="1" applyFill="1" applyBorder="1" applyAlignment="1" applyProtection="1">
      <alignment horizontal="center" wrapText="1"/>
      <protection hidden="1"/>
    </xf>
    <xf numFmtId="3" fontId="42" fillId="0" borderId="167" xfId="0" applyNumberFormat="1" applyFont="1" applyFill="1" applyBorder="1" applyAlignment="1" applyProtection="1">
      <alignment horizontal="right" wrapText="1"/>
      <protection locked="0"/>
    </xf>
    <xf numFmtId="3" fontId="6" fillId="0" borderId="45" xfId="0" applyNumberFormat="1" applyFont="1" applyFill="1" applyBorder="1" applyAlignment="1" applyProtection="1">
      <alignment horizontal="center" vertical="center" wrapText="1"/>
      <protection hidden="1"/>
    </xf>
    <xf numFmtId="3" fontId="6" fillId="0" borderId="24" xfId="0" applyNumberFormat="1" applyFont="1" applyFill="1" applyBorder="1" applyAlignment="1" applyProtection="1">
      <alignment horizontal="center" vertical="center" wrapText="1"/>
      <protection hidden="1"/>
    </xf>
    <xf numFmtId="167" fontId="20" fillId="0" borderId="106" xfId="0" applyNumberFormat="1" applyFont="1" applyFill="1" applyBorder="1" applyAlignment="1" applyProtection="1">
      <alignment horizontal="right" wrapText="1"/>
      <protection hidden="1"/>
    </xf>
    <xf numFmtId="167" fontId="20" fillId="0" borderId="119" xfId="0" applyNumberFormat="1" applyFont="1" applyFill="1" applyBorder="1" applyAlignment="1" applyProtection="1">
      <alignment horizontal="right" wrapText="1"/>
      <protection locked="0"/>
    </xf>
    <xf numFmtId="167" fontId="20" fillId="0" borderId="138" xfId="0" applyNumberFormat="1" applyFont="1" applyFill="1" applyBorder="1" applyAlignment="1" applyProtection="1">
      <alignment wrapText="1"/>
      <protection hidden="1"/>
    </xf>
    <xf numFmtId="167" fontId="21" fillId="0" borderId="114" xfId="0" applyNumberFormat="1" applyFont="1" applyFill="1" applyBorder="1" applyAlignment="1" applyProtection="1">
      <alignment wrapText="1"/>
      <protection locked="0"/>
    </xf>
    <xf numFmtId="167" fontId="20" fillId="0" borderId="114" xfId="0" applyNumberFormat="1" applyFont="1" applyFill="1" applyBorder="1" applyAlignment="1" applyProtection="1">
      <alignment wrapText="1"/>
      <protection locked="0"/>
    </xf>
    <xf numFmtId="167" fontId="21" fillId="0" borderId="114" xfId="0" applyNumberFormat="1" applyFont="1" applyFill="1" applyBorder="1" applyAlignment="1" applyProtection="1">
      <alignment horizontal="right" wrapText="1"/>
      <protection locked="0"/>
    </xf>
    <xf numFmtId="167" fontId="20" fillId="0" borderId="138" xfId="0" applyNumberFormat="1" applyFont="1" applyFill="1" applyBorder="1" applyAlignment="1" applyProtection="1">
      <alignment horizontal="right" wrapText="1"/>
      <protection locked="0"/>
    </xf>
    <xf numFmtId="167" fontId="21" fillId="0" borderId="98" xfId="0" applyNumberFormat="1" applyFont="1" applyFill="1" applyBorder="1" applyAlignment="1" applyProtection="1">
      <alignment horizontal="right" wrapText="1"/>
      <protection hidden="1"/>
    </xf>
    <xf numFmtId="167" fontId="21" fillId="0" borderId="119" xfId="0" applyNumberFormat="1" applyFont="1" applyFill="1" applyBorder="1" applyAlignment="1" applyProtection="1">
      <alignment horizontal="right" wrapText="1"/>
      <protection hidden="1"/>
    </xf>
    <xf numFmtId="167" fontId="21" fillId="0" borderId="145" xfId="0" applyNumberFormat="1" applyFont="1" applyFill="1" applyBorder="1" applyAlignment="1" applyProtection="1">
      <alignment horizontal="right" wrapText="1"/>
      <protection hidden="1"/>
    </xf>
    <xf numFmtId="167" fontId="21" fillId="0" borderId="138" xfId="0" applyNumberFormat="1" applyFont="1" applyFill="1" applyBorder="1" applyAlignment="1" applyProtection="1">
      <alignment horizontal="center" wrapText="1"/>
      <protection hidden="1"/>
    </xf>
    <xf numFmtId="167" fontId="21" fillId="0" borderId="114" xfId="0" applyNumberFormat="1" applyFont="1" applyFill="1" applyBorder="1" applyAlignment="1" applyProtection="1">
      <alignment horizontal="center" wrapText="1"/>
      <protection locked="0"/>
    </xf>
    <xf numFmtId="167" fontId="21" fillId="0" borderId="119" xfId="0" applyNumberFormat="1" applyFont="1" applyFill="1" applyBorder="1" applyAlignment="1" applyProtection="1">
      <alignment horizontal="center" wrapText="1"/>
      <protection locked="0"/>
    </xf>
    <xf numFmtId="167" fontId="21" fillId="0" borderId="138" xfId="0" applyNumberFormat="1" applyFont="1" applyFill="1" applyBorder="1" applyAlignment="1" applyProtection="1">
      <alignment horizontal="right" wrapText="1"/>
      <protection hidden="1"/>
    </xf>
    <xf numFmtId="167" fontId="21" fillId="0" borderId="138" xfId="0" applyNumberFormat="1" applyFont="1" applyFill="1" applyBorder="1" applyAlignment="1" applyProtection="1">
      <alignment horizontal="center" wrapText="1"/>
      <protection locked="0"/>
    </xf>
    <xf numFmtId="167" fontId="4" fillId="0" borderId="124" xfId="0" applyNumberFormat="1" applyFont="1" applyFill="1" applyBorder="1" applyAlignment="1" applyProtection="1">
      <alignment horizontal="right" wrapText="1"/>
      <protection locked="0"/>
    </xf>
    <xf numFmtId="167" fontId="21" fillId="0" borderId="106" xfId="0" applyNumberFormat="1" applyFont="1" applyFill="1" applyBorder="1" applyAlignment="1" applyProtection="1">
      <alignment horizontal="right" wrapText="1"/>
      <protection locked="0"/>
    </xf>
    <xf numFmtId="167" fontId="21" fillId="0" borderId="98" xfId="0" applyNumberFormat="1" applyFont="1" applyFill="1" applyBorder="1" applyAlignment="1" applyProtection="1">
      <alignment horizontal="right" wrapText="1"/>
      <protection locked="0"/>
    </xf>
    <xf numFmtId="167" fontId="21" fillId="0" borderId="106" xfId="0" applyNumberFormat="1" applyFont="1" applyFill="1" applyBorder="1" applyAlignment="1" applyProtection="1">
      <alignment horizontal="center" wrapText="1"/>
      <protection locked="0"/>
    </xf>
    <xf numFmtId="167" fontId="20" fillId="0" borderId="98" xfId="0" applyNumberFormat="1" applyFont="1" applyFill="1" applyBorder="1" applyAlignment="1" applyProtection="1">
      <alignment horizontal="right" wrapText="1"/>
      <protection locked="0"/>
    </xf>
    <xf numFmtId="167" fontId="21" fillId="0" borderId="106" xfId="0" applyNumberFormat="1" applyFont="1" applyFill="1" applyBorder="1" applyAlignment="1" applyProtection="1">
      <alignment horizontal="right" wrapText="1"/>
      <protection hidden="1"/>
    </xf>
    <xf numFmtId="167" fontId="21" fillId="0" borderId="114" xfId="0" applyNumberFormat="1" applyFont="1" applyFill="1" applyBorder="1" applyAlignment="1" applyProtection="1">
      <alignment horizontal="right" wrapText="1"/>
      <protection hidden="1"/>
    </xf>
    <xf numFmtId="167" fontId="20" fillId="0" borderId="98" xfId="0" applyNumberFormat="1" applyFont="1" applyFill="1" applyBorder="1" applyAlignment="1" applyProtection="1">
      <alignment horizontal="right" wrapText="1"/>
      <protection hidden="1"/>
    </xf>
    <xf numFmtId="167" fontId="21" fillId="0" borderId="119" xfId="0" applyNumberFormat="1" applyFont="1" applyFill="1" applyBorder="1" applyAlignment="1" applyProtection="1">
      <alignment horizontal="right" wrapText="1"/>
      <protection locked="0"/>
    </xf>
    <xf numFmtId="167" fontId="20" fillId="0" borderId="119" xfId="0" applyNumberFormat="1" applyFont="1" applyFill="1" applyBorder="1" applyAlignment="1" applyProtection="1">
      <alignment horizontal="right" wrapText="1"/>
      <protection hidden="1"/>
    </xf>
    <xf numFmtId="167" fontId="21" fillId="0" borderId="106" xfId="0" applyNumberFormat="1" applyFont="1" applyFill="1" applyBorder="1" applyAlignment="1">
      <alignment wrapText="1"/>
    </xf>
    <xf numFmtId="167" fontId="21" fillId="0" borderId="114" xfId="0" applyNumberFormat="1" applyFont="1" applyFill="1" applyBorder="1" applyAlignment="1">
      <alignment wrapText="1"/>
    </xf>
    <xf numFmtId="167" fontId="21" fillId="0" borderId="106" xfId="0" applyNumberFormat="1" applyFont="1" applyFill="1" applyBorder="1" applyAlignment="1" applyProtection="1">
      <alignment horizontal="center" wrapText="1"/>
      <protection hidden="1"/>
    </xf>
    <xf numFmtId="167" fontId="21" fillId="0" borderId="151" xfId="0" applyNumberFormat="1" applyFont="1" applyFill="1" applyBorder="1" applyAlignment="1" applyProtection="1">
      <alignment horizontal="right" wrapText="1"/>
      <protection hidden="1"/>
    </xf>
    <xf numFmtId="3" fontId="42" fillId="0" borderId="107" xfId="0" applyNumberFormat="1" applyFont="1" applyFill="1" applyBorder="1" applyAlignment="1" applyProtection="1">
      <alignment horizontal="right" wrapText="1"/>
      <protection locked="0"/>
    </xf>
    <xf numFmtId="3" fontId="7" fillId="0" borderId="135" xfId="0" applyNumberFormat="1" applyFont="1" applyFill="1" applyBorder="1" applyAlignment="1" applyProtection="1">
      <alignment horizontal="right" wrapText="1"/>
      <protection hidden="1"/>
    </xf>
    <xf numFmtId="167" fontId="4" fillId="0" borderId="66" xfId="0" applyNumberFormat="1" applyFont="1" applyFill="1" applyBorder="1" applyAlignment="1" applyProtection="1">
      <alignment horizontal="right" wrapText="1"/>
      <protection hidden="1"/>
    </xf>
    <xf numFmtId="3" fontId="6" fillId="0" borderId="88" xfId="0" applyNumberFormat="1" applyFont="1" applyFill="1" applyBorder="1" applyAlignment="1" applyProtection="1">
      <alignment horizontal="center" vertical="center" wrapText="1"/>
      <protection hidden="1"/>
    </xf>
    <xf numFmtId="167" fontId="7" fillId="0" borderId="109" xfId="0" applyNumberFormat="1" applyFont="1" applyFill="1" applyBorder="1" applyAlignment="1" applyProtection="1">
      <alignment horizontal="right" wrapText="1"/>
      <protection locked="0"/>
    </xf>
    <xf numFmtId="167" fontId="7" fillId="0" borderId="122" xfId="0" applyNumberFormat="1" applyFont="1" applyFill="1" applyBorder="1" applyAlignment="1" applyProtection="1">
      <alignment horizontal="right" wrapText="1"/>
      <protection locked="0"/>
    </xf>
    <xf numFmtId="167" fontId="4" fillId="0" borderId="124" xfId="0" applyNumberFormat="1" applyFont="1" applyFill="1" applyBorder="1" applyAlignment="1" applyProtection="1">
      <alignment wrapText="1"/>
      <protection hidden="1"/>
    </xf>
    <xf numFmtId="167" fontId="4" fillId="0" borderId="131" xfId="0" applyNumberFormat="1" applyFont="1" applyFill="1" applyBorder="1" applyAlignment="1" applyProtection="1">
      <alignment wrapText="1"/>
      <protection hidden="1"/>
    </xf>
    <xf numFmtId="167" fontId="4" fillId="0" borderId="130" xfId="0" applyNumberFormat="1" applyFont="1" applyFill="1" applyBorder="1" applyAlignment="1" applyProtection="1">
      <alignment wrapText="1"/>
      <protection hidden="1"/>
    </xf>
    <xf numFmtId="167" fontId="7" fillId="0" borderId="109" xfId="0" applyNumberFormat="1" applyFont="1" applyFill="1" applyBorder="1" applyAlignment="1" applyProtection="1">
      <alignment wrapText="1"/>
      <protection locked="0"/>
    </xf>
    <xf numFmtId="167" fontId="7" fillId="0" borderId="107" xfId="0" applyNumberFormat="1" applyFont="1" applyFill="1" applyBorder="1" applyAlignment="1" applyProtection="1">
      <alignment wrapText="1"/>
      <protection locked="0"/>
    </xf>
    <xf numFmtId="167" fontId="7" fillId="0" borderId="139" xfId="0" applyNumberFormat="1" applyFont="1" applyFill="1" applyBorder="1" applyAlignment="1" applyProtection="1">
      <alignment wrapText="1"/>
      <protection hidden="1"/>
    </xf>
    <xf numFmtId="167" fontId="7" fillId="0" borderId="135" xfId="0" applyNumberFormat="1" applyFont="1" applyFill="1" applyBorder="1" applyAlignment="1" applyProtection="1">
      <alignment wrapText="1"/>
      <protection hidden="1"/>
    </xf>
    <xf numFmtId="167" fontId="21" fillId="0" borderId="131" xfId="0" applyNumberFormat="1" applyFont="1" applyFill="1" applyBorder="1" applyAlignment="1" applyProtection="1">
      <alignment horizontal="right" wrapText="1"/>
      <protection hidden="1"/>
    </xf>
    <xf numFmtId="167" fontId="7" fillId="0" borderId="122" xfId="0" applyNumberFormat="1" applyFont="1" applyFill="1" applyBorder="1" applyAlignment="1" applyProtection="1">
      <alignment horizontal="right" wrapText="1"/>
      <protection hidden="1"/>
    </xf>
    <xf numFmtId="167" fontId="4" fillId="0" borderId="131" xfId="0" applyNumberFormat="1" applyFont="1" applyFill="1" applyBorder="1" applyAlignment="1" applyProtection="1">
      <alignment horizontal="right" wrapText="1"/>
      <protection hidden="1"/>
    </xf>
    <xf numFmtId="167" fontId="4" fillId="0" borderId="122" xfId="0" applyNumberFormat="1" applyFont="1" applyFill="1" applyBorder="1" applyAlignment="1" applyProtection="1">
      <alignment horizontal="right" wrapText="1"/>
      <protection hidden="1"/>
    </xf>
    <xf numFmtId="167" fontId="4" fillId="0" borderId="118" xfId="0" applyNumberFormat="1" applyFont="1" applyFill="1" applyBorder="1" applyAlignment="1" applyProtection="1">
      <alignment horizontal="right" wrapText="1"/>
      <protection locked="0"/>
    </xf>
    <xf numFmtId="167" fontId="4" fillId="0" borderId="122" xfId="0" applyNumberFormat="1" applyFont="1" applyFill="1" applyBorder="1" applyAlignment="1" applyProtection="1">
      <alignment horizontal="right" wrapText="1"/>
      <protection locked="0"/>
    </xf>
    <xf numFmtId="167" fontId="4" fillId="0" borderId="121" xfId="0" applyNumberFormat="1" applyFont="1" applyFill="1" applyBorder="1" applyAlignment="1" applyProtection="1">
      <alignment horizontal="right" wrapText="1"/>
      <protection locked="0"/>
    </xf>
    <xf numFmtId="167" fontId="21" fillId="0" borderId="149" xfId="0" applyNumberFormat="1" applyFont="1" applyFill="1" applyBorder="1" applyAlignment="1" applyProtection="1">
      <alignment horizontal="right" wrapText="1"/>
      <protection hidden="1"/>
    </xf>
    <xf numFmtId="167" fontId="4" fillId="0" borderId="131" xfId="0" applyNumberFormat="1" applyFont="1" applyFill="1" applyBorder="1" applyAlignment="1" applyProtection="1">
      <alignment horizontal="right" wrapText="1"/>
      <protection locked="0"/>
    </xf>
    <xf numFmtId="167" fontId="4" fillId="0" borderId="96" xfId="0" applyNumberFormat="1" applyFont="1" applyFill="1" applyBorder="1" applyAlignment="1" applyProtection="1">
      <alignment horizontal="right" wrapText="1"/>
      <protection locked="0"/>
    </xf>
    <xf numFmtId="167" fontId="4" fillId="0" borderId="155" xfId="0" applyNumberFormat="1" applyFont="1" applyFill="1" applyBorder="1" applyAlignment="1" applyProtection="1">
      <alignment horizontal="right" wrapText="1"/>
      <protection locked="0"/>
    </xf>
    <xf numFmtId="167" fontId="4" fillId="0" borderId="97" xfId="0" applyNumberFormat="1" applyFont="1" applyFill="1" applyBorder="1" applyAlignment="1" applyProtection="1">
      <alignment horizontal="right" wrapText="1"/>
      <protection locked="0"/>
    </xf>
    <xf numFmtId="167" fontId="4" fillId="0" borderId="151" xfId="0" applyNumberFormat="1" applyFont="1" applyFill="1" applyBorder="1" applyAlignment="1" applyProtection="1">
      <alignment horizontal="right" wrapText="1"/>
      <protection hidden="1"/>
    </xf>
    <xf numFmtId="167" fontId="7" fillId="0" borderId="109" xfId="0" applyNumberFormat="1" applyFont="1" applyFill="1" applyBorder="1" applyAlignment="1" applyProtection="1">
      <alignment horizontal="right" wrapText="1"/>
      <protection hidden="1"/>
    </xf>
    <xf numFmtId="167" fontId="7" fillId="0" borderId="107" xfId="0" applyNumberFormat="1" applyFont="1" applyFill="1" applyBorder="1" applyAlignment="1" applyProtection="1">
      <alignment horizontal="right" wrapText="1"/>
      <protection hidden="1"/>
    </xf>
    <xf numFmtId="167" fontId="7" fillId="0" borderId="155" xfId="0" applyNumberFormat="1" applyFont="1" applyFill="1" applyBorder="1" applyAlignment="1" applyProtection="1">
      <alignment horizontal="right" wrapText="1"/>
      <protection hidden="1"/>
    </xf>
    <xf numFmtId="167" fontId="7" fillId="0" borderId="100" xfId="0" applyNumberFormat="1" applyFont="1" applyFill="1" applyBorder="1" applyAlignment="1" applyProtection="1">
      <alignment wrapText="1"/>
      <protection hidden="1"/>
    </xf>
    <xf numFmtId="167" fontId="7" fillId="0" borderId="161" xfId="0" applyNumberFormat="1" applyFont="1" applyFill="1" applyBorder="1" applyAlignment="1" applyProtection="1">
      <alignment wrapText="1"/>
      <protection hidden="1"/>
    </xf>
    <xf numFmtId="167" fontId="7" fillId="0" borderId="103" xfId="0" applyNumberFormat="1" applyFont="1" applyFill="1" applyBorder="1" applyAlignment="1" applyProtection="1">
      <alignment wrapText="1"/>
      <protection hidden="1"/>
    </xf>
    <xf numFmtId="167" fontId="7" fillId="0" borderId="118" xfId="0" applyNumberFormat="1" applyFont="1" applyFill="1" applyBorder="1" applyAlignment="1" applyProtection="1">
      <alignment wrapText="1"/>
      <protection locked="0"/>
    </xf>
    <xf numFmtId="167" fontId="7" fillId="0" borderId="122" xfId="0" applyNumberFormat="1" applyFont="1" applyFill="1" applyBorder="1" applyAlignment="1" applyProtection="1">
      <alignment wrapText="1"/>
      <protection locked="0"/>
    </xf>
    <xf numFmtId="167" fontId="7" fillId="0" borderId="121" xfId="0" applyNumberFormat="1" applyFont="1" applyFill="1" applyBorder="1" applyAlignment="1" applyProtection="1">
      <alignment wrapText="1"/>
      <protection locked="0"/>
    </xf>
    <xf numFmtId="167" fontId="20" fillId="0" borderId="100" xfId="0" applyNumberFormat="1" applyFont="1" applyFill="1" applyBorder="1" applyAlignment="1" applyProtection="1">
      <alignment horizontal="right" wrapText="1"/>
      <protection hidden="1"/>
    </xf>
    <xf numFmtId="167" fontId="20" fillId="0" borderId="161" xfId="0" applyNumberFormat="1" applyFont="1" applyFill="1" applyBorder="1" applyAlignment="1" applyProtection="1">
      <alignment horizontal="right" wrapText="1"/>
      <protection hidden="1"/>
    </xf>
    <xf numFmtId="167" fontId="20" fillId="0" borderId="103" xfId="0" applyNumberFormat="1" applyFont="1" applyFill="1" applyBorder="1" applyAlignment="1" applyProtection="1">
      <alignment horizontal="right" wrapText="1"/>
      <protection hidden="1"/>
    </xf>
    <xf numFmtId="167" fontId="20" fillId="0" borderId="108" xfId="0" applyNumberFormat="1" applyFont="1" applyFill="1" applyBorder="1" applyAlignment="1" applyProtection="1">
      <alignment horizontal="right" wrapText="1"/>
      <protection hidden="1"/>
    </xf>
    <xf numFmtId="167" fontId="20" fillId="0" borderId="109" xfId="0" applyNumberFormat="1" applyFont="1" applyFill="1" applyBorder="1" applyAlignment="1" applyProtection="1">
      <alignment horizontal="right" wrapText="1"/>
      <protection hidden="1"/>
    </xf>
    <xf numFmtId="167" fontId="20" fillId="0" borderId="107" xfId="0" applyNumberFormat="1" applyFont="1" applyFill="1" applyBorder="1" applyAlignment="1" applyProtection="1">
      <alignment horizontal="right" wrapText="1"/>
      <protection hidden="1"/>
    </xf>
    <xf numFmtId="167" fontId="20" fillId="0" borderId="122" xfId="0" applyNumberFormat="1" applyFont="1" applyFill="1" applyBorder="1" applyAlignment="1" applyProtection="1">
      <alignment horizontal="right" wrapText="1"/>
      <protection hidden="1"/>
    </xf>
    <xf numFmtId="167" fontId="20" fillId="0" borderId="121" xfId="0" applyNumberFormat="1" applyFont="1" applyFill="1" applyBorder="1" applyAlignment="1" applyProtection="1">
      <alignment horizontal="right" wrapText="1"/>
      <protection hidden="1"/>
    </xf>
    <xf numFmtId="167" fontId="20" fillId="0" borderId="96" xfId="0" applyNumberFormat="1" applyFont="1" applyFill="1" applyBorder="1" applyAlignment="1" applyProtection="1">
      <alignment horizontal="right" wrapText="1"/>
      <protection hidden="1"/>
    </xf>
    <xf numFmtId="167" fontId="20" fillId="0" borderId="155" xfId="0" applyNumberFormat="1" applyFont="1" applyFill="1" applyBorder="1" applyAlignment="1" applyProtection="1">
      <alignment horizontal="right" wrapText="1"/>
      <protection hidden="1"/>
    </xf>
    <xf numFmtId="167" fontId="20" fillId="0" borderId="97" xfId="0" applyNumberFormat="1" applyFont="1" applyFill="1" applyBorder="1" applyAlignment="1" applyProtection="1">
      <alignment horizontal="right" wrapText="1"/>
      <protection hidden="1"/>
    </xf>
    <xf numFmtId="167" fontId="21" fillId="0" borderId="96" xfId="0" applyNumberFormat="1" applyFont="1" applyFill="1" applyBorder="1" applyAlignment="1" applyProtection="1">
      <alignment horizontal="right" wrapText="1"/>
      <protection hidden="1"/>
    </xf>
    <xf numFmtId="167" fontId="21" fillId="0" borderId="155" xfId="0" applyNumberFormat="1" applyFont="1" applyFill="1" applyBorder="1" applyAlignment="1" applyProtection="1">
      <alignment horizontal="right" wrapText="1"/>
      <protection hidden="1"/>
    </xf>
    <xf numFmtId="167" fontId="21" fillId="0" borderId="97" xfId="0" applyNumberFormat="1" applyFont="1" applyFill="1" applyBorder="1" applyAlignment="1" applyProtection="1">
      <alignment horizontal="right" wrapText="1"/>
      <protection hidden="1"/>
    </xf>
    <xf numFmtId="167" fontId="7" fillId="0" borderId="161" xfId="0" applyNumberFormat="1" applyFont="1" applyFill="1" applyBorder="1" applyAlignment="1" applyProtection="1">
      <alignment horizontal="right" wrapText="1"/>
      <protection hidden="1"/>
    </xf>
    <xf numFmtId="167" fontId="7" fillId="0" borderId="103" xfId="0" applyNumberFormat="1" applyFont="1" applyFill="1" applyBorder="1" applyAlignment="1" applyProtection="1">
      <alignment horizontal="right" wrapText="1"/>
      <protection hidden="1"/>
    </xf>
    <xf numFmtId="167" fontId="7" fillId="0" borderId="100" xfId="0" applyNumberFormat="1" applyFont="1" applyFill="1" applyBorder="1" applyAlignment="1">
      <alignment wrapText="1"/>
    </xf>
    <xf numFmtId="167" fontId="7" fillId="0" borderId="161" xfId="0" applyNumberFormat="1" applyFont="1" applyFill="1" applyBorder="1" applyAlignment="1">
      <alignment wrapText="1"/>
    </xf>
    <xf numFmtId="167" fontId="7" fillId="0" borderId="103" xfId="0" applyNumberFormat="1" applyFont="1" applyFill="1" applyBorder="1" applyAlignment="1">
      <alignment wrapText="1"/>
    </xf>
    <xf numFmtId="167" fontId="7" fillId="0" borderId="108" xfId="0" applyNumberFormat="1" applyFont="1" applyFill="1" applyBorder="1" applyAlignment="1">
      <alignment wrapText="1"/>
    </xf>
    <xf numFmtId="167" fontId="7" fillId="0" borderId="109" xfId="0" applyNumberFormat="1" applyFont="1" applyFill="1" applyBorder="1" applyAlignment="1">
      <alignment wrapText="1"/>
    </xf>
    <xf numFmtId="167" fontId="7" fillId="0" borderId="107" xfId="0" applyNumberFormat="1" applyFont="1" applyFill="1" applyBorder="1" applyAlignment="1">
      <alignment wrapText="1"/>
    </xf>
    <xf numFmtId="167" fontId="4" fillId="0" borderId="163" xfId="0" applyNumberFormat="1" applyFont="1" applyFill="1" applyBorder="1" applyAlignment="1" applyProtection="1">
      <alignment horizontal="right" wrapText="1"/>
      <protection hidden="1"/>
    </xf>
    <xf numFmtId="167" fontId="7" fillId="0" borderId="132" xfId="0" applyNumberFormat="1" applyFont="1" applyFill="1" applyBorder="1" applyAlignment="1" applyProtection="1">
      <alignment horizontal="right" wrapText="1"/>
      <protection hidden="1"/>
    </xf>
    <xf numFmtId="167" fontId="7" fillId="0" borderId="139" xfId="0" applyNumberFormat="1" applyFont="1" applyFill="1" applyBorder="1" applyAlignment="1" applyProtection="1">
      <alignment horizontal="right" wrapText="1"/>
      <protection hidden="1"/>
    </xf>
    <xf numFmtId="167" fontId="7" fillId="0" borderId="135" xfId="0" applyNumberFormat="1" applyFont="1" applyFill="1" applyBorder="1" applyAlignment="1" applyProtection="1">
      <alignment horizontal="right" wrapText="1"/>
      <protection hidden="1"/>
    </xf>
    <xf numFmtId="164" fontId="4" fillId="0" borderId="47" xfId="0" applyNumberFormat="1" applyFont="1" applyFill="1" applyBorder="1" applyAlignment="1" applyProtection="1">
      <alignment horizontal="right" wrapText="1"/>
      <protection hidden="1"/>
    </xf>
    <xf numFmtId="164" fontId="4" fillId="0" borderId="0" xfId="0" applyNumberFormat="1" applyFont="1" applyFill="1" applyBorder="1" applyAlignment="1" applyProtection="1">
      <alignment horizontal="right" wrapText="1"/>
      <protection hidden="1"/>
    </xf>
    <xf numFmtId="167" fontId="7" fillId="0" borderId="132" xfId="0" applyNumberFormat="1" applyFont="1" applyFill="1" applyBorder="1" applyAlignment="1" applyProtection="1">
      <alignment horizontal="right" wrapText="1"/>
      <protection locked="0"/>
    </xf>
    <xf numFmtId="167" fontId="7" fillId="0" borderId="139" xfId="0" applyNumberFormat="1" applyFont="1" applyFill="1" applyBorder="1" applyAlignment="1" applyProtection="1">
      <alignment horizontal="right" wrapText="1"/>
      <protection locked="0"/>
    </xf>
    <xf numFmtId="167" fontId="7" fillId="0" borderId="135" xfId="0" applyNumberFormat="1" applyFont="1" applyFill="1" applyBorder="1" applyAlignment="1" applyProtection="1">
      <alignment horizontal="right" wrapText="1"/>
      <protection locked="0"/>
    </xf>
    <xf numFmtId="3" fontId="4" fillId="0" borderId="170" xfId="0" applyNumberFormat="1" applyFont="1" applyBorder="1" applyAlignment="1" applyProtection="1">
      <alignment wrapText="1"/>
      <protection hidden="1"/>
    </xf>
    <xf numFmtId="167" fontId="4" fillId="0" borderId="72" xfId="0" applyNumberFormat="1" applyFont="1" applyFill="1" applyBorder="1" applyAlignment="1" applyProtection="1">
      <alignment horizontal="right" wrapText="1"/>
      <protection hidden="1"/>
    </xf>
    <xf numFmtId="167" fontId="4" fillId="0" borderId="78" xfId="0" applyNumberFormat="1" applyFont="1" applyFill="1" applyBorder="1" applyAlignment="1" applyProtection="1">
      <alignment horizontal="right" wrapText="1"/>
      <protection hidden="1"/>
    </xf>
    <xf numFmtId="3" fontId="4" fillId="0" borderId="146" xfId="0" applyNumberFormat="1" applyFont="1" applyBorder="1"/>
    <xf numFmtId="3" fontId="7" fillId="0" borderId="167" xfId="0" applyNumberFormat="1" applyFont="1" applyFill="1" applyBorder="1" applyAlignment="1" applyProtection="1">
      <alignment horizontal="right" wrapText="1"/>
      <protection hidden="1"/>
    </xf>
    <xf numFmtId="3" fontId="7" fillId="0" borderId="107" xfId="0" applyNumberFormat="1" applyFont="1" applyFill="1" applyBorder="1" applyAlignment="1" applyProtection="1">
      <alignment horizontal="right" wrapText="1"/>
      <protection hidden="1"/>
    </xf>
    <xf numFmtId="3" fontId="4" fillId="0" borderId="81" xfId="0" applyNumberFormat="1" applyFont="1" applyBorder="1" applyAlignment="1" applyProtection="1">
      <alignment wrapText="1"/>
      <protection hidden="1"/>
    </xf>
    <xf numFmtId="3" fontId="4" fillId="0" borderId="163" xfId="0" applyNumberFormat="1" applyFont="1" applyBorder="1" applyAlignment="1" applyProtection="1">
      <alignment wrapText="1"/>
      <protection hidden="1"/>
    </xf>
    <xf numFmtId="167" fontId="21" fillId="0" borderId="72" xfId="0" applyNumberFormat="1" applyFont="1" applyFill="1" applyBorder="1" applyAlignment="1" applyProtection="1">
      <alignment horizontal="right" wrapText="1"/>
      <protection hidden="1"/>
    </xf>
    <xf numFmtId="167" fontId="21" fillId="0" borderId="162" xfId="0" applyNumberFormat="1" applyFont="1" applyFill="1" applyBorder="1" applyAlignment="1" applyProtection="1">
      <alignment horizontal="right" wrapText="1"/>
      <protection hidden="1"/>
    </xf>
    <xf numFmtId="167" fontId="21" fillId="0" borderId="78" xfId="0" applyNumberFormat="1" applyFont="1" applyFill="1" applyBorder="1" applyAlignment="1" applyProtection="1">
      <alignment horizontal="right" wrapText="1"/>
      <protection hidden="1"/>
    </xf>
    <xf numFmtId="167" fontId="21" fillId="0" borderId="56" xfId="0" applyNumberFormat="1" applyFont="1" applyFill="1" applyBorder="1" applyAlignment="1" applyProtection="1">
      <alignment horizontal="right" wrapText="1"/>
      <protection hidden="1"/>
    </xf>
    <xf numFmtId="167" fontId="21" fillId="15" borderId="91" xfId="0" applyNumberFormat="1" applyFont="1" applyFill="1" applyBorder="1" applyAlignment="1" applyProtection="1">
      <alignment horizontal="right" wrapText="1"/>
      <protection hidden="1"/>
    </xf>
    <xf numFmtId="167" fontId="21" fillId="15" borderId="90" xfId="0" applyNumberFormat="1" applyFont="1" applyFill="1" applyBorder="1" applyAlignment="1" applyProtection="1">
      <alignment horizontal="right" wrapText="1"/>
      <protection hidden="1"/>
    </xf>
    <xf numFmtId="167" fontId="21" fillId="15" borderId="92" xfId="0" applyNumberFormat="1" applyFont="1" applyFill="1" applyBorder="1" applyAlignment="1" applyProtection="1">
      <alignment horizontal="right" wrapText="1"/>
      <protection hidden="1"/>
    </xf>
    <xf numFmtId="167" fontId="21" fillId="15" borderId="93" xfId="0" applyNumberFormat="1" applyFont="1" applyFill="1" applyBorder="1" applyAlignment="1" applyProtection="1">
      <alignment horizontal="right" wrapText="1"/>
      <protection hidden="1"/>
    </xf>
    <xf numFmtId="3" fontId="6" fillId="0" borderId="60" xfId="0" applyNumberFormat="1" applyFont="1" applyFill="1" applyBorder="1" applyAlignment="1" applyProtection="1">
      <alignment horizontal="center" vertical="center" wrapText="1"/>
      <protection hidden="1"/>
    </xf>
    <xf numFmtId="3" fontId="4" fillId="0" borderId="125" xfId="0" applyNumberFormat="1" applyFont="1" applyFill="1" applyBorder="1" applyAlignment="1" applyProtection="1">
      <alignment horizontal="right" wrapText="1"/>
      <protection hidden="1"/>
    </xf>
    <xf numFmtId="3" fontId="4" fillId="0" borderId="115" xfId="0" applyNumberFormat="1" applyFont="1" applyFill="1" applyBorder="1" applyAlignment="1" applyProtection="1">
      <alignment horizontal="right" wrapText="1"/>
      <protection locked="0"/>
    </xf>
    <xf numFmtId="3" fontId="21" fillId="0" borderId="166" xfId="0" applyNumberFormat="1" applyFont="1" applyFill="1" applyBorder="1" applyAlignment="1" applyProtection="1">
      <alignment horizontal="right" wrapText="1"/>
      <protection hidden="1"/>
    </xf>
    <xf numFmtId="167" fontId="4" fillId="0" borderId="125" xfId="0" applyNumberFormat="1" applyFont="1" applyFill="1" applyBorder="1" applyAlignment="1" applyProtection="1">
      <alignment horizontal="right" wrapText="1"/>
      <protection locked="0"/>
    </xf>
    <xf numFmtId="3" fontId="4" fillId="0" borderId="115" xfId="0" applyNumberFormat="1" applyFont="1" applyFill="1" applyBorder="1" applyAlignment="1" applyProtection="1">
      <alignment horizontal="right" wrapText="1"/>
      <protection hidden="1"/>
    </xf>
    <xf numFmtId="167" fontId="4" fillId="0" borderId="125" xfId="0" applyNumberFormat="1" applyFont="1" applyFill="1" applyBorder="1" applyAlignment="1" applyProtection="1">
      <alignment horizontal="right" wrapText="1"/>
      <protection hidden="1"/>
    </xf>
    <xf numFmtId="167" fontId="21" fillId="0" borderId="112" xfId="0" applyNumberFormat="1" applyFont="1" applyFill="1" applyBorder="1" applyAlignment="1" applyProtection="1">
      <alignment horizontal="right" wrapText="1"/>
      <protection hidden="1"/>
    </xf>
    <xf numFmtId="3" fontId="7" fillId="0" borderId="121" xfId="0" applyNumberFormat="1" applyFont="1" applyFill="1" applyBorder="1" applyAlignment="1" applyProtection="1">
      <alignment horizontal="center" wrapText="1"/>
      <protection locked="0"/>
    </xf>
    <xf numFmtId="3" fontId="7" fillId="0" borderId="107" xfId="0" applyNumberFormat="1" applyFont="1" applyFill="1" applyBorder="1" applyAlignment="1" applyProtection="1">
      <alignment horizontal="center" wrapText="1"/>
      <protection locked="0"/>
    </xf>
    <xf numFmtId="167" fontId="7" fillId="0" borderId="171" xfId="0" applyNumberFormat="1" applyFont="1" applyFill="1" applyBorder="1" applyAlignment="1" applyProtection="1">
      <alignment horizontal="right" wrapText="1"/>
      <protection hidden="1"/>
    </xf>
    <xf numFmtId="167" fontId="7" fillId="0" borderId="167" xfId="0" applyNumberFormat="1" applyFont="1" applyFill="1" applyBorder="1" applyAlignment="1" applyProtection="1">
      <alignment horizontal="right" wrapText="1"/>
      <protection locked="0"/>
    </xf>
    <xf numFmtId="167" fontId="7" fillId="0" borderId="144" xfId="0" applyNumberFormat="1" applyFont="1" applyFill="1" applyBorder="1" applyAlignment="1" applyProtection="1">
      <alignment horizontal="right" wrapText="1"/>
      <protection locked="0"/>
    </xf>
    <xf numFmtId="167" fontId="7" fillId="0" borderId="173" xfId="0" applyNumberFormat="1" applyFont="1" applyFill="1" applyBorder="1" applyAlignment="1" applyProtection="1">
      <alignment wrapText="1"/>
      <protection hidden="1"/>
    </xf>
    <xf numFmtId="167" fontId="4" fillId="0" borderId="167" xfId="0" applyNumberFormat="1" applyFont="1" applyFill="1" applyBorder="1" applyAlignment="1" applyProtection="1">
      <alignment wrapText="1"/>
      <protection locked="0"/>
    </xf>
    <xf numFmtId="167" fontId="7" fillId="0" borderId="167" xfId="0" applyNumberFormat="1" applyFont="1" applyFill="1" applyBorder="1" applyAlignment="1" applyProtection="1">
      <alignment wrapText="1"/>
      <protection locked="0"/>
    </xf>
    <xf numFmtId="167" fontId="7" fillId="0" borderId="144" xfId="0" applyNumberFormat="1" applyFont="1" applyFill="1" applyBorder="1" applyAlignment="1" applyProtection="1">
      <alignment horizontal="right" wrapText="1"/>
      <protection hidden="1"/>
    </xf>
    <xf numFmtId="167" fontId="4" fillId="0" borderId="173" xfId="0" applyNumberFormat="1" applyFont="1" applyFill="1" applyBorder="1" applyAlignment="1" applyProtection="1">
      <alignment horizontal="center" wrapText="1"/>
      <protection hidden="1"/>
    </xf>
    <xf numFmtId="167" fontId="4" fillId="0" borderId="167" xfId="0" applyNumberFormat="1" applyFont="1" applyFill="1" applyBorder="1" applyAlignment="1" applyProtection="1">
      <alignment horizontal="center" wrapText="1"/>
      <protection locked="0"/>
    </xf>
    <xf numFmtId="167" fontId="4" fillId="0" borderId="144" xfId="0" applyNumberFormat="1" applyFont="1" applyFill="1" applyBorder="1" applyAlignment="1" applyProtection="1">
      <alignment horizontal="center" wrapText="1"/>
      <protection locked="0"/>
    </xf>
    <xf numFmtId="167" fontId="4" fillId="0" borderId="173" xfId="0" applyNumberFormat="1" applyFont="1" applyFill="1" applyBorder="1" applyAlignment="1" applyProtection="1">
      <alignment horizontal="right" wrapText="1"/>
      <protection hidden="1"/>
    </xf>
    <xf numFmtId="167" fontId="4" fillId="0" borderId="173" xfId="0" applyNumberFormat="1" applyFont="1" applyFill="1" applyBorder="1" applyAlignment="1" applyProtection="1">
      <alignment horizontal="center" wrapText="1"/>
      <protection locked="0"/>
    </xf>
    <xf numFmtId="167" fontId="4" fillId="0" borderId="171" xfId="0" applyNumberFormat="1" applyFont="1" applyFill="1" applyBorder="1" applyAlignment="1" applyProtection="1">
      <alignment horizontal="right" wrapText="1"/>
      <protection locked="0"/>
    </xf>
    <xf numFmtId="167" fontId="20" fillId="0" borderId="167" xfId="0" applyNumberFormat="1" applyFont="1" applyFill="1" applyBorder="1" applyAlignment="1" applyProtection="1">
      <alignment horizontal="right" wrapText="1"/>
      <protection locked="0"/>
    </xf>
    <xf numFmtId="167" fontId="4" fillId="0" borderId="171" xfId="0" applyNumberFormat="1" applyFont="1" applyFill="1" applyBorder="1" applyAlignment="1" applyProtection="1">
      <alignment horizontal="center" wrapText="1"/>
      <protection locked="0"/>
    </xf>
    <xf numFmtId="167" fontId="4" fillId="0" borderId="171" xfId="0" applyNumberFormat="1" applyFont="1" applyFill="1" applyBorder="1" applyAlignment="1" applyProtection="1">
      <alignment horizontal="right" wrapText="1"/>
      <protection hidden="1"/>
    </xf>
    <xf numFmtId="167" fontId="4" fillId="0" borderId="167" xfId="0" applyNumberFormat="1" applyFont="1" applyFill="1" applyBorder="1" applyAlignment="1" applyProtection="1">
      <alignment horizontal="right" wrapText="1"/>
      <protection hidden="1"/>
    </xf>
    <xf numFmtId="167" fontId="7" fillId="0" borderId="167" xfId="0" applyNumberFormat="1" applyFont="1" applyFill="1" applyBorder="1" applyAlignment="1" applyProtection="1">
      <alignment horizontal="right" wrapText="1"/>
      <protection hidden="1"/>
    </xf>
    <xf numFmtId="167" fontId="21" fillId="0" borderId="144" xfId="0" applyNumberFormat="1" applyFont="1" applyFill="1" applyBorder="1" applyAlignment="1" applyProtection="1">
      <alignment horizontal="right" wrapText="1"/>
      <protection hidden="1"/>
    </xf>
    <xf numFmtId="167" fontId="20" fillId="0" borderId="144" xfId="0" applyNumberFormat="1" applyFont="1" applyFill="1" applyBorder="1" applyAlignment="1" applyProtection="1">
      <alignment horizontal="right" wrapText="1"/>
      <protection hidden="1"/>
    </xf>
    <xf numFmtId="167" fontId="21" fillId="0" borderId="167" xfId="0" applyNumberFormat="1" applyFont="1" applyFill="1" applyBorder="1" applyAlignment="1" applyProtection="1">
      <alignment horizontal="right" wrapText="1"/>
      <protection hidden="1"/>
    </xf>
    <xf numFmtId="167" fontId="7" fillId="0" borderId="70" xfId="0" applyNumberFormat="1" applyFont="1" applyFill="1" applyBorder="1" applyAlignment="1" applyProtection="1">
      <alignment horizontal="right" wrapText="1"/>
      <protection hidden="1"/>
    </xf>
    <xf numFmtId="167" fontId="7" fillId="0" borderId="70" xfId="0" applyNumberFormat="1" applyFont="1" applyFill="1" applyBorder="1" applyAlignment="1" applyProtection="1">
      <alignment horizontal="right" wrapText="1"/>
      <protection locked="0"/>
    </xf>
    <xf numFmtId="167" fontId="4" fillId="0" borderId="171" xfId="0" applyNumberFormat="1" applyFont="1" applyFill="1" applyBorder="1" applyAlignment="1">
      <alignment wrapText="1"/>
    </xf>
    <xf numFmtId="167" fontId="4" fillId="0" borderId="167" xfId="0" applyNumberFormat="1" applyFont="1" applyFill="1" applyBorder="1" applyAlignment="1">
      <alignment wrapText="1"/>
    </xf>
    <xf numFmtId="167" fontId="4" fillId="0" borderId="171" xfId="0" applyNumberFormat="1" applyFont="1" applyFill="1" applyBorder="1" applyAlignment="1" applyProtection="1">
      <alignment horizontal="center" wrapText="1"/>
      <protection hidden="1"/>
    </xf>
    <xf numFmtId="3" fontId="21" fillId="0" borderId="39" xfId="0" applyNumberFormat="1" applyFont="1" applyFill="1" applyBorder="1" applyAlignment="1" applyProtection="1">
      <alignment horizontal="right" wrapText="1"/>
      <protection hidden="1"/>
    </xf>
    <xf numFmtId="3" fontId="4" fillId="0" borderId="125" xfId="0" applyNumberFormat="1" applyFont="1" applyFill="1" applyBorder="1" applyAlignment="1" applyProtection="1">
      <alignment horizontal="right" wrapText="1"/>
      <protection locked="0"/>
    </xf>
    <xf numFmtId="3" fontId="4" fillId="0" borderId="99" xfId="0" applyNumberFormat="1" applyFont="1" applyFill="1" applyBorder="1" applyAlignment="1" applyProtection="1">
      <alignment horizontal="right" wrapText="1"/>
      <protection hidden="1"/>
    </xf>
    <xf numFmtId="3" fontId="4" fillId="0" borderId="72" xfId="0" applyNumberFormat="1" applyFont="1" applyFill="1" applyBorder="1" applyAlignment="1" applyProtection="1">
      <alignment horizontal="right" wrapText="1"/>
      <protection locked="0"/>
    </xf>
    <xf numFmtId="167" fontId="21" fillId="0" borderId="112" xfId="0" applyNumberFormat="1" applyFont="1" applyFill="1" applyBorder="1" applyAlignment="1" applyProtection="1">
      <alignment horizontal="right" wrapText="1"/>
      <protection locked="0"/>
    </xf>
    <xf numFmtId="3" fontId="4" fillId="0" borderId="114" xfId="0" applyNumberFormat="1" applyFont="1" applyBorder="1" applyAlignment="1" applyProtection="1">
      <alignment wrapText="1"/>
      <protection locked="0"/>
    </xf>
    <xf numFmtId="3" fontId="7" fillId="0" borderId="167" xfId="0" applyNumberFormat="1" applyFont="1" applyFill="1" applyBorder="1" applyAlignment="1" applyProtection="1">
      <alignment horizontal="center" wrapText="1"/>
      <protection locked="0"/>
    </xf>
    <xf numFmtId="3" fontId="7" fillId="0" borderId="144" xfId="0" applyNumberFormat="1" applyFont="1" applyFill="1" applyBorder="1" applyAlignment="1" applyProtection="1">
      <alignment horizontal="center" wrapText="1"/>
      <protection locked="0"/>
    </xf>
    <xf numFmtId="3" fontId="4" fillId="0" borderId="129" xfId="0" applyNumberFormat="1" applyFont="1" applyFill="1" applyBorder="1" applyAlignment="1" applyProtection="1">
      <alignment horizontal="right" wrapText="1"/>
      <protection hidden="1"/>
    </xf>
    <xf numFmtId="3" fontId="7" fillId="0" borderId="112" xfId="0" applyNumberFormat="1" applyFont="1" applyFill="1" applyBorder="1" applyAlignment="1" applyProtection="1">
      <alignment horizontal="right" wrapText="1"/>
      <protection hidden="1"/>
    </xf>
    <xf numFmtId="3" fontId="7" fillId="0" borderId="173" xfId="0" applyNumberFormat="1" applyFont="1" applyFill="1" applyBorder="1" applyAlignment="1" applyProtection="1">
      <alignment horizontal="right" wrapText="1"/>
      <protection hidden="1"/>
    </xf>
    <xf numFmtId="3" fontId="7" fillId="0" borderId="136" xfId="0" applyNumberFormat="1" applyFont="1" applyFill="1" applyBorder="1" applyAlignment="1" applyProtection="1">
      <alignment horizontal="right" wrapText="1"/>
      <protection hidden="1"/>
    </xf>
    <xf numFmtId="167" fontId="4" fillId="0" borderId="123" xfId="0" applyNumberFormat="1" applyFont="1" applyFill="1" applyBorder="1" applyAlignment="1" applyProtection="1">
      <alignment horizontal="right" wrapText="1"/>
      <protection hidden="1"/>
    </xf>
    <xf numFmtId="167" fontId="4" fillId="0" borderId="43" xfId="0" applyNumberFormat="1" applyFont="1" applyFill="1" applyBorder="1" applyAlignment="1" applyProtection="1">
      <alignment horizontal="right" wrapText="1"/>
      <protection hidden="1"/>
    </xf>
    <xf numFmtId="3" fontId="6" fillId="13" borderId="68" xfId="0" applyNumberFormat="1" applyFont="1" applyFill="1" applyBorder="1" applyAlignment="1" applyProtection="1">
      <alignment horizontal="center" vertical="center" wrapText="1"/>
      <protection hidden="1"/>
    </xf>
    <xf numFmtId="3" fontId="6" fillId="13" borderId="86" xfId="0" applyNumberFormat="1" applyFont="1" applyFill="1" applyBorder="1" applyAlignment="1" applyProtection="1">
      <alignment horizontal="center" vertical="center" wrapText="1"/>
      <protection hidden="1"/>
    </xf>
    <xf numFmtId="3" fontId="4" fillId="13" borderId="69" xfId="0" applyNumberFormat="1" applyFont="1" applyFill="1" applyBorder="1" applyAlignment="1" applyProtection="1">
      <alignment horizontal="right" wrapText="1"/>
      <protection hidden="1"/>
    </xf>
    <xf numFmtId="3" fontId="4" fillId="13" borderId="91" xfId="0" applyNumberFormat="1" applyFont="1" applyFill="1" applyBorder="1" applyAlignment="1" applyProtection="1">
      <alignment horizontal="right" wrapText="1"/>
      <protection hidden="1"/>
    </xf>
    <xf numFmtId="3" fontId="4" fillId="13" borderId="97" xfId="0" applyNumberFormat="1" applyFont="1" applyFill="1" applyBorder="1" applyAlignment="1" applyProtection="1">
      <alignment horizontal="center" wrapText="1"/>
      <protection hidden="1"/>
    </xf>
    <xf numFmtId="3" fontId="7" fillId="13" borderId="154" xfId="0" applyNumberFormat="1" applyFont="1" applyFill="1" applyBorder="1" applyAlignment="1" applyProtection="1">
      <alignment horizontal="right" wrapText="1"/>
      <protection hidden="1"/>
    </xf>
    <xf numFmtId="3" fontId="7" fillId="13" borderId="103" xfId="0" applyNumberFormat="1" applyFont="1" applyFill="1" applyBorder="1" applyAlignment="1" applyProtection="1">
      <alignment horizontal="right" wrapText="1"/>
      <protection hidden="1"/>
    </xf>
    <xf numFmtId="3" fontId="7" fillId="13" borderId="146" xfId="0" applyNumberFormat="1" applyFont="1" applyFill="1" applyBorder="1" applyAlignment="1" applyProtection="1">
      <alignment horizontal="right" wrapText="1"/>
      <protection locked="0"/>
    </xf>
    <xf numFmtId="3" fontId="7" fillId="13" borderId="107" xfId="0" applyNumberFormat="1" applyFont="1" applyFill="1" applyBorder="1" applyAlignment="1" applyProtection="1">
      <alignment horizontal="right" wrapText="1"/>
      <protection locked="0"/>
    </xf>
    <xf numFmtId="3" fontId="7" fillId="13" borderId="145" xfId="0" applyNumberFormat="1" applyFont="1" applyFill="1" applyBorder="1" applyAlignment="1" applyProtection="1">
      <alignment horizontal="right" wrapText="1"/>
      <protection locked="0"/>
    </xf>
    <xf numFmtId="3" fontId="7" fillId="13" borderId="121" xfId="0" applyNumberFormat="1" applyFont="1" applyFill="1" applyBorder="1" applyAlignment="1" applyProtection="1">
      <alignment horizontal="right" wrapText="1"/>
      <protection locked="0"/>
    </xf>
    <xf numFmtId="3" fontId="4" fillId="13" borderId="172" xfId="0" applyNumberFormat="1" applyFont="1" applyFill="1" applyBorder="1" applyAlignment="1" applyProtection="1">
      <alignment wrapText="1"/>
      <protection hidden="1"/>
    </xf>
    <xf numFmtId="3" fontId="4" fillId="13" borderId="130" xfId="0" applyNumberFormat="1" applyFont="1" applyFill="1" applyBorder="1" applyAlignment="1" applyProtection="1">
      <alignment wrapText="1"/>
      <protection hidden="1"/>
    </xf>
    <xf numFmtId="3" fontId="7" fillId="13" borderId="156" xfId="0" applyNumberFormat="1" applyFont="1" applyFill="1" applyBorder="1" applyAlignment="1" applyProtection="1">
      <alignment wrapText="1"/>
      <protection hidden="1"/>
    </xf>
    <xf numFmtId="3" fontId="7" fillId="13" borderId="135" xfId="0" applyNumberFormat="1" applyFont="1" applyFill="1" applyBorder="1" applyAlignment="1" applyProtection="1">
      <alignment wrapText="1"/>
      <protection hidden="1"/>
    </xf>
    <xf numFmtId="3" fontId="7" fillId="13" borderId="146" xfId="0" applyNumberFormat="1" applyFont="1" applyFill="1" applyBorder="1" applyAlignment="1" applyProtection="1">
      <alignment wrapText="1"/>
      <protection locked="0"/>
    </xf>
    <xf numFmtId="3" fontId="7" fillId="13" borderId="107" xfId="0" applyNumberFormat="1" applyFont="1" applyFill="1" applyBorder="1" applyAlignment="1" applyProtection="1">
      <alignment wrapText="1"/>
      <protection locked="0"/>
    </xf>
    <xf numFmtId="3" fontId="4" fillId="13" borderId="146" xfId="0" applyNumberFormat="1" applyFont="1" applyFill="1" applyBorder="1" applyAlignment="1" applyProtection="1">
      <alignment horizontal="right" wrapText="1"/>
      <protection locked="0"/>
    </xf>
    <xf numFmtId="3" fontId="4" fillId="13" borderId="107" xfId="0" applyNumberFormat="1" applyFont="1" applyFill="1" applyBorder="1" applyAlignment="1" applyProtection="1">
      <alignment horizontal="right" wrapText="1"/>
      <protection locked="0"/>
    </xf>
    <xf numFmtId="3" fontId="7" fillId="13" borderId="146" xfId="0" applyNumberFormat="1" applyFont="1" applyFill="1" applyBorder="1" applyAlignment="1">
      <alignment wrapText="1"/>
    </xf>
    <xf numFmtId="3" fontId="7" fillId="13" borderId="107" xfId="0" applyNumberFormat="1" applyFont="1" applyFill="1" applyBorder="1" applyAlignment="1">
      <alignment wrapText="1"/>
    </xf>
    <xf numFmtId="3" fontId="4" fillId="13" borderId="146" xfId="0" applyNumberFormat="1" applyFont="1" applyFill="1" applyBorder="1" applyAlignment="1">
      <alignment wrapText="1"/>
    </xf>
    <xf numFmtId="3" fontId="4" fillId="13" borderId="107" xfId="0" applyNumberFormat="1" applyFont="1" applyFill="1" applyBorder="1" applyAlignment="1">
      <alignment wrapText="1"/>
    </xf>
    <xf numFmtId="3" fontId="4" fillId="13" borderId="172" xfId="0" applyNumberFormat="1" applyFont="1" applyFill="1" applyBorder="1" applyAlignment="1" applyProtection="1">
      <alignment horizontal="right" wrapText="1"/>
      <protection hidden="1"/>
    </xf>
    <xf numFmtId="3" fontId="4" fillId="13" borderId="130" xfId="0" applyNumberFormat="1" applyFont="1" applyFill="1" applyBorder="1" applyAlignment="1" applyProtection="1">
      <alignment horizontal="right" wrapText="1"/>
      <protection hidden="1"/>
    </xf>
    <xf numFmtId="3" fontId="4" fillId="13" borderId="0" xfId="0" applyNumberFormat="1" applyFont="1" applyFill="1" applyBorder="1" applyAlignment="1" applyProtection="1">
      <alignment horizontal="right" wrapText="1"/>
      <protection hidden="1"/>
    </xf>
    <xf numFmtId="3" fontId="4" fillId="13" borderId="97" xfId="0" applyNumberFormat="1" applyFont="1" applyFill="1" applyBorder="1" applyAlignment="1" applyProtection="1">
      <alignment horizontal="right" wrapText="1"/>
      <protection hidden="1"/>
    </xf>
    <xf numFmtId="3" fontId="4" fillId="13" borderId="145" xfId="0" applyNumberFormat="1" applyFont="1" applyFill="1" applyBorder="1" applyAlignment="1" applyProtection="1">
      <alignment horizontal="right" wrapText="1"/>
      <protection hidden="1"/>
    </xf>
    <xf numFmtId="3" fontId="4" fillId="13" borderId="121" xfId="0" applyNumberFormat="1" applyFont="1" applyFill="1" applyBorder="1" applyAlignment="1" applyProtection="1">
      <alignment horizontal="right" wrapText="1"/>
      <protection hidden="1"/>
    </xf>
    <xf numFmtId="3" fontId="4" fillId="13" borderId="156" xfId="0" applyNumberFormat="1" applyFont="1" applyFill="1" applyBorder="1" applyAlignment="1" applyProtection="1">
      <alignment horizontal="center" wrapText="1"/>
      <protection hidden="1"/>
    </xf>
    <xf numFmtId="3" fontId="4" fillId="13" borderId="135" xfId="0" applyNumberFormat="1" applyFont="1" applyFill="1" applyBorder="1" applyAlignment="1" applyProtection="1">
      <alignment horizontal="center" wrapText="1"/>
      <protection hidden="1"/>
    </xf>
    <xf numFmtId="3" fontId="4" fillId="13" borderId="146" xfId="0" applyNumberFormat="1" applyFont="1" applyFill="1" applyBorder="1" applyAlignment="1" applyProtection="1">
      <alignment horizontal="center" wrapText="1"/>
      <protection locked="0"/>
    </xf>
    <xf numFmtId="3" fontId="4" fillId="13" borderId="107" xfId="0" applyNumberFormat="1" applyFont="1" applyFill="1" applyBorder="1" applyAlignment="1" applyProtection="1">
      <alignment horizontal="center" wrapText="1"/>
      <protection locked="0"/>
    </xf>
    <xf numFmtId="3" fontId="4" fillId="13" borderId="145" xfId="0" applyNumberFormat="1" applyFont="1" applyFill="1" applyBorder="1" applyAlignment="1" applyProtection="1">
      <alignment horizontal="center" wrapText="1"/>
      <protection locked="0"/>
    </xf>
    <xf numFmtId="3" fontId="4" fillId="13" borderId="121" xfId="0" applyNumberFormat="1" applyFont="1" applyFill="1" applyBorder="1" applyAlignment="1" applyProtection="1">
      <alignment horizontal="center" wrapText="1"/>
      <protection locked="0"/>
    </xf>
    <xf numFmtId="3" fontId="4" fillId="13" borderId="156" xfId="0" applyNumberFormat="1" applyFont="1" applyFill="1" applyBorder="1" applyAlignment="1" applyProtection="1">
      <alignment horizontal="right" wrapText="1"/>
      <protection hidden="1"/>
    </xf>
    <xf numFmtId="3" fontId="4" fillId="13" borderId="135" xfId="0" applyNumberFormat="1" applyFont="1" applyFill="1" applyBorder="1" applyAlignment="1" applyProtection="1">
      <alignment horizontal="right" wrapText="1"/>
      <protection hidden="1"/>
    </xf>
    <xf numFmtId="3" fontId="4" fillId="13" borderId="156" xfId="0" applyNumberFormat="1" applyFont="1" applyFill="1" applyBorder="1" applyAlignment="1" applyProtection="1">
      <alignment horizontal="center" wrapText="1"/>
      <protection locked="0"/>
    </xf>
    <xf numFmtId="3" fontId="4" fillId="13" borderId="135" xfId="0" applyNumberFormat="1" applyFont="1" applyFill="1" applyBorder="1" applyAlignment="1" applyProtection="1">
      <alignment horizontal="center" wrapText="1"/>
      <protection locked="0"/>
    </xf>
    <xf numFmtId="3" fontId="4" fillId="13" borderId="172" xfId="0" applyNumberFormat="1" applyFont="1" applyFill="1" applyBorder="1" applyAlignment="1" applyProtection="1">
      <alignment horizontal="right" wrapText="1"/>
      <protection locked="0"/>
    </xf>
    <xf numFmtId="3" fontId="4" fillId="13" borderId="121" xfId="0" applyNumberFormat="1" applyFont="1" applyFill="1" applyBorder="1" applyAlignment="1" applyProtection="1">
      <alignment horizontal="right" wrapText="1"/>
      <protection locked="0"/>
    </xf>
    <xf numFmtId="3" fontId="21" fillId="13" borderId="36" xfId="0" applyNumberFormat="1" applyFont="1" applyFill="1" applyBorder="1" applyAlignment="1" applyProtection="1">
      <alignment horizontal="right" wrapText="1"/>
      <protection hidden="1"/>
    </xf>
    <xf numFmtId="3" fontId="21" fillId="13" borderId="150" xfId="0" applyNumberFormat="1" applyFont="1" applyFill="1" applyBorder="1" applyAlignment="1" applyProtection="1">
      <alignment horizontal="right" wrapText="1"/>
      <protection hidden="1"/>
    </xf>
    <xf numFmtId="167" fontId="4" fillId="13" borderId="156" xfId="0" applyNumberFormat="1" applyFont="1" applyFill="1" applyBorder="1" applyAlignment="1" applyProtection="1">
      <alignment horizontal="right" wrapText="1"/>
      <protection locked="0"/>
    </xf>
    <xf numFmtId="167" fontId="4" fillId="13" borderId="146" xfId="0" applyNumberFormat="1" applyFont="1" applyFill="1" applyBorder="1" applyAlignment="1" applyProtection="1">
      <alignment horizontal="right" wrapText="1"/>
      <protection locked="0"/>
    </xf>
    <xf numFmtId="167" fontId="4" fillId="13" borderId="172" xfId="0" applyNumberFormat="1" applyFont="1" applyFill="1" applyBorder="1" applyAlignment="1" applyProtection="1">
      <alignment horizontal="right" wrapText="1"/>
      <protection locked="0"/>
    </xf>
    <xf numFmtId="167" fontId="4" fillId="13" borderId="130" xfId="0" applyNumberFormat="1" applyFont="1" applyFill="1" applyBorder="1" applyAlignment="1" applyProtection="1">
      <alignment horizontal="right" wrapText="1"/>
      <protection locked="0"/>
    </xf>
    <xf numFmtId="3" fontId="4" fillId="13" borderId="154" xfId="0" applyNumberFormat="1" applyFont="1" applyFill="1" applyBorder="1" applyAlignment="1" applyProtection="1">
      <alignment horizontal="right" wrapText="1"/>
      <protection locked="0"/>
    </xf>
    <xf numFmtId="3" fontId="4" fillId="13" borderId="103" xfId="0" applyNumberFormat="1" applyFont="1" applyFill="1" applyBorder="1" applyAlignment="1" applyProtection="1">
      <alignment horizontal="right" wrapText="1"/>
      <protection locked="0"/>
    </xf>
    <xf numFmtId="3" fontId="4" fillId="13" borderId="97" xfId="0" applyNumberFormat="1" applyFont="1" applyFill="1" applyBorder="1" applyAlignment="1" applyProtection="1">
      <alignment horizontal="right" wrapText="1"/>
      <protection locked="0"/>
    </xf>
    <xf numFmtId="3" fontId="4" fillId="13" borderId="36" xfId="0" applyNumberFormat="1" applyFont="1" applyFill="1" applyBorder="1" applyAlignment="1" applyProtection="1">
      <alignment horizontal="right" wrapText="1"/>
      <protection hidden="1"/>
    </xf>
    <xf numFmtId="3" fontId="4" fillId="13" borderId="154" xfId="0" applyNumberFormat="1" applyFont="1" applyFill="1" applyBorder="1" applyAlignment="1" applyProtection="1">
      <alignment horizontal="center" wrapText="1"/>
      <protection locked="0"/>
    </xf>
    <xf numFmtId="3" fontId="4" fillId="13" borderId="103" xfId="0" applyNumberFormat="1" applyFont="1" applyFill="1" applyBorder="1" applyAlignment="1" applyProtection="1">
      <alignment horizontal="center" wrapText="1"/>
      <protection locked="0"/>
    </xf>
    <xf numFmtId="3" fontId="4" fillId="13" borderId="154" xfId="0" applyNumberFormat="1" applyFont="1" applyFill="1" applyBorder="1" applyAlignment="1" applyProtection="1">
      <alignment horizontal="right" wrapText="1"/>
      <protection hidden="1"/>
    </xf>
    <xf numFmtId="3" fontId="4" fillId="13" borderId="103" xfId="0" applyNumberFormat="1" applyFont="1" applyFill="1" applyBorder="1" applyAlignment="1" applyProtection="1">
      <alignment horizontal="right" wrapText="1"/>
      <protection hidden="1"/>
    </xf>
    <xf numFmtId="3" fontId="4" fillId="13" borderId="146" xfId="0" applyNumberFormat="1" applyFont="1" applyFill="1" applyBorder="1" applyAlignment="1" applyProtection="1">
      <alignment horizontal="right" wrapText="1"/>
      <protection hidden="1"/>
    </xf>
    <xf numFmtId="3" fontId="4" fillId="13" borderId="107" xfId="0" applyNumberFormat="1" applyFont="1" applyFill="1" applyBorder="1" applyAlignment="1" applyProtection="1">
      <alignment horizontal="right" wrapText="1"/>
      <protection hidden="1"/>
    </xf>
    <xf numFmtId="167" fontId="4" fillId="13" borderId="72" xfId="0" applyNumberFormat="1" applyFont="1" applyFill="1" applyBorder="1" applyAlignment="1" applyProtection="1">
      <alignment horizontal="right" wrapText="1"/>
      <protection hidden="1"/>
    </xf>
    <xf numFmtId="167" fontId="4" fillId="13" borderId="172" xfId="0" applyNumberFormat="1" applyFont="1" applyFill="1" applyBorder="1" applyAlignment="1" applyProtection="1">
      <alignment horizontal="right" wrapText="1"/>
      <protection hidden="1"/>
    </xf>
    <xf numFmtId="167" fontId="4" fillId="13" borderId="130" xfId="0" applyNumberFormat="1" applyFont="1" applyFill="1" applyBorder="1" applyAlignment="1" applyProtection="1">
      <alignment horizontal="right" wrapText="1"/>
      <protection hidden="1"/>
    </xf>
    <xf numFmtId="3" fontId="7" fillId="13" borderId="0" xfId="0" applyNumberFormat="1" applyFont="1" applyFill="1" applyBorder="1" applyAlignment="1" applyProtection="1">
      <alignment horizontal="right" wrapText="1"/>
      <protection hidden="1"/>
    </xf>
    <xf numFmtId="3" fontId="7" fillId="13" borderId="97" xfId="0" applyNumberFormat="1" applyFont="1" applyFill="1" applyBorder="1" applyAlignment="1" applyProtection="1">
      <alignment horizontal="right" wrapText="1"/>
      <protection hidden="1"/>
    </xf>
    <xf numFmtId="3" fontId="7" fillId="13" borderId="0" xfId="0" applyNumberFormat="1" applyFont="1" applyFill="1" applyBorder="1" applyAlignment="1" applyProtection="1">
      <alignment horizontal="right" wrapText="1"/>
      <protection locked="0"/>
    </xf>
    <xf numFmtId="3" fontId="7" fillId="13" borderId="97" xfId="0" applyNumberFormat="1" applyFont="1" applyFill="1" applyBorder="1" applyAlignment="1" applyProtection="1">
      <alignment horizontal="right" wrapText="1"/>
      <protection locked="0"/>
    </xf>
    <xf numFmtId="3" fontId="7" fillId="13" borderId="145" xfId="0" applyNumberFormat="1" applyFont="1" applyFill="1" applyBorder="1" applyAlignment="1" applyProtection="1">
      <alignment horizontal="right" wrapText="1"/>
      <protection hidden="1"/>
    </xf>
    <xf numFmtId="3" fontId="7" fillId="13" borderId="121" xfId="0" applyNumberFormat="1" applyFont="1" applyFill="1" applyBorder="1" applyAlignment="1" applyProtection="1">
      <alignment horizontal="right" wrapText="1"/>
      <protection hidden="1"/>
    </xf>
    <xf numFmtId="3" fontId="4" fillId="13" borderId="154" xfId="0" applyNumberFormat="1" applyFont="1" applyFill="1" applyBorder="1" applyAlignment="1">
      <alignment wrapText="1"/>
    </xf>
    <xf numFmtId="3" fontId="4" fillId="13" borderId="103" xfId="0" applyNumberFormat="1" applyFont="1" applyFill="1" applyBorder="1" applyAlignment="1">
      <alignment wrapText="1"/>
    </xf>
    <xf numFmtId="3" fontId="4" fillId="13" borderId="154" xfId="0" applyNumberFormat="1" applyFont="1" applyFill="1" applyBorder="1" applyAlignment="1" applyProtection="1">
      <alignment horizontal="center" wrapText="1"/>
      <protection hidden="1"/>
    </xf>
    <xf numFmtId="3" fontId="4" fillId="13" borderId="103" xfId="0" applyNumberFormat="1" applyFont="1" applyFill="1" applyBorder="1" applyAlignment="1" applyProtection="1">
      <alignment horizontal="center" wrapText="1"/>
      <protection hidden="1"/>
    </xf>
    <xf numFmtId="3" fontId="7" fillId="13" borderId="156" xfId="0" applyNumberFormat="1" applyFont="1" applyFill="1" applyBorder="1" applyAlignment="1" applyProtection="1">
      <alignment horizontal="right" wrapText="1"/>
      <protection hidden="1"/>
    </xf>
    <xf numFmtId="3" fontId="7" fillId="13" borderId="135" xfId="0" applyNumberFormat="1" applyFont="1" applyFill="1" applyBorder="1" applyAlignment="1" applyProtection="1">
      <alignment horizontal="right" wrapText="1"/>
      <protection hidden="1"/>
    </xf>
    <xf numFmtId="3" fontId="4" fillId="13" borderId="70" xfId="0" applyNumberFormat="1" applyFont="1" applyFill="1" applyBorder="1" applyAlignment="1" applyProtection="1">
      <alignment horizontal="right" wrapText="1"/>
      <protection hidden="1"/>
    </xf>
    <xf numFmtId="3" fontId="4" fillId="13" borderId="162" xfId="0" applyNumberFormat="1" applyFont="1" applyFill="1" applyBorder="1" applyAlignment="1" applyProtection="1">
      <alignment horizontal="right" wrapText="1"/>
      <protection hidden="1"/>
    </xf>
    <xf numFmtId="0" fontId="4" fillId="13" borderId="47" xfId="0" applyFont="1" applyFill="1" applyBorder="1" applyAlignment="1">
      <alignment wrapText="1"/>
    </xf>
    <xf numFmtId="3" fontId="4" fillId="13" borderId="0" xfId="0" applyNumberFormat="1" applyFont="1" applyFill="1" applyBorder="1" applyAlignment="1">
      <alignment wrapText="1"/>
    </xf>
    <xf numFmtId="0" fontId="4" fillId="13" borderId="0" xfId="0" applyFont="1" applyFill="1" applyBorder="1" applyAlignment="1">
      <alignment wrapText="1"/>
    </xf>
    <xf numFmtId="3" fontId="4" fillId="13" borderId="0" xfId="0" applyNumberFormat="1" applyFont="1" applyFill="1" applyBorder="1" applyAlignment="1" applyProtection="1">
      <alignment wrapText="1"/>
      <protection hidden="1"/>
    </xf>
    <xf numFmtId="3" fontId="6" fillId="13" borderId="77" xfId="0" applyNumberFormat="1" applyFont="1" applyFill="1" applyBorder="1" applyAlignment="1" applyProtection="1">
      <alignment horizontal="center" vertical="center" wrapText="1"/>
      <protection hidden="1"/>
    </xf>
    <xf numFmtId="3" fontId="6" fillId="13" borderId="40" xfId="0" applyNumberFormat="1" applyFont="1" applyFill="1" applyBorder="1" applyAlignment="1" applyProtection="1">
      <alignment horizontal="center" vertical="center" wrapText="1"/>
      <protection hidden="1"/>
    </xf>
    <xf numFmtId="3" fontId="4" fillId="13" borderId="52" xfId="0" applyNumberFormat="1" applyFont="1" applyFill="1" applyBorder="1" applyAlignment="1" applyProtection="1">
      <alignment horizontal="right" wrapText="1"/>
      <protection hidden="1"/>
    </xf>
    <xf numFmtId="3" fontId="7" fillId="13" borderId="104" xfId="0" applyNumberFormat="1" applyFont="1" applyFill="1" applyBorder="1" applyAlignment="1" applyProtection="1">
      <alignment horizontal="right" wrapText="1"/>
      <protection hidden="1"/>
    </xf>
    <xf numFmtId="3" fontId="7" fillId="13" borderId="112" xfId="0" applyNumberFormat="1" applyFont="1" applyFill="1" applyBorder="1" applyAlignment="1" applyProtection="1">
      <alignment horizontal="right" wrapText="1"/>
      <protection locked="0"/>
    </xf>
    <xf numFmtId="3" fontId="7" fillId="13" borderId="123" xfId="0" applyNumberFormat="1" applyFont="1" applyFill="1" applyBorder="1" applyAlignment="1" applyProtection="1">
      <alignment horizontal="right" wrapText="1"/>
      <protection locked="0"/>
    </xf>
    <xf numFmtId="3" fontId="4" fillId="13" borderId="128" xfId="0" applyNumberFormat="1" applyFont="1" applyFill="1" applyBorder="1" applyAlignment="1" applyProtection="1">
      <alignment wrapText="1"/>
      <protection hidden="1"/>
    </xf>
    <xf numFmtId="3" fontId="7" fillId="13" borderId="136" xfId="0" applyNumberFormat="1" applyFont="1" applyFill="1" applyBorder="1" applyAlignment="1" applyProtection="1">
      <alignment wrapText="1"/>
      <protection hidden="1"/>
    </xf>
    <xf numFmtId="3" fontId="4" fillId="13" borderId="112" xfId="0" applyNumberFormat="1" applyFont="1" applyFill="1" applyBorder="1" applyAlignment="1" applyProtection="1">
      <alignment wrapText="1"/>
      <protection locked="0"/>
    </xf>
    <xf numFmtId="3" fontId="7" fillId="13" borderId="112" xfId="0" applyNumberFormat="1" applyFont="1" applyFill="1" applyBorder="1" applyAlignment="1" applyProtection="1">
      <alignment wrapText="1"/>
      <protection locked="0"/>
    </xf>
    <xf numFmtId="3" fontId="4" fillId="13" borderId="112" xfId="0" applyNumberFormat="1" applyFont="1" applyFill="1" applyBorder="1" applyAlignment="1" applyProtection="1">
      <alignment horizontal="right" wrapText="1"/>
      <protection locked="0"/>
    </xf>
    <xf numFmtId="3" fontId="4" fillId="13" borderId="128" xfId="0" applyNumberFormat="1" applyFont="1" applyFill="1" applyBorder="1" applyAlignment="1" applyProtection="1">
      <alignment horizontal="right" wrapText="1"/>
      <protection hidden="1"/>
    </xf>
    <xf numFmtId="3" fontId="4" fillId="13" borderId="54" xfId="0" applyNumberFormat="1" applyFont="1" applyFill="1" applyBorder="1" applyAlignment="1" applyProtection="1">
      <alignment horizontal="right" wrapText="1"/>
      <protection hidden="1"/>
    </xf>
    <xf numFmtId="3" fontId="4" fillId="13" borderId="123" xfId="0" applyNumberFormat="1" applyFont="1" applyFill="1" applyBorder="1" applyAlignment="1" applyProtection="1">
      <alignment horizontal="right" wrapText="1"/>
      <protection hidden="1"/>
    </xf>
    <xf numFmtId="3" fontId="4" fillId="13" borderId="136" xfId="0" applyNumberFormat="1" applyFont="1" applyFill="1" applyBorder="1" applyAlignment="1" applyProtection="1">
      <alignment horizontal="center" wrapText="1"/>
      <protection hidden="1"/>
    </xf>
    <xf numFmtId="3" fontId="4" fillId="13" borderId="112" xfId="0" applyNumberFormat="1" applyFont="1" applyFill="1" applyBorder="1" applyAlignment="1" applyProtection="1">
      <alignment horizontal="center" wrapText="1"/>
      <protection locked="0"/>
    </xf>
    <xf numFmtId="3" fontId="4" fillId="13" borderId="123" xfId="0" applyNumberFormat="1" applyFont="1" applyFill="1" applyBorder="1" applyAlignment="1" applyProtection="1">
      <alignment horizontal="center" wrapText="1"/>
      <protection locked="0"/>
    </xf>
    <xf numFmtId="3" fontId="4" fillId="13" borderId="136" xfId="0" applyNumberFormat="1" applyFont="1" applyFill="1" applyBorder="1" applyAlignment="1" applyProtection="1">
      <alignment horizontal="right" wrapText="1"/>
      <protection hidden="1"/>
    </xf>
    <xf numFmtId="3" fontId="4" fillId="13" borderId="136" xfId="0" applyNumberFormat="1" applyFont="1" applyFill="1" applyBorder="1" applyAlignment="1" applyProtection="1">
      <alignment horizontal="center" wrapText="1"/>
      <protection locked="0"/>
    </xf>
    <xf numFmtId="3" fontId="4" fillId="13" borderId="123" xfId="0" applyNumberFormat="1" applyFont="1" applyFill="1" applyBorder="1" applyAlignment="1" applyProtection="1">
      <alignment horizontal="right" wrapText="1"/>
      <protection locked="0"/>
    </xf>
    <xf numFmtId="3" fontId="21" fillId="13" borderId="43" xfId="0" applyNumberFormat="1" applyFont="1" applyFill="1" applyBorder="1" applyAlignment="1" applyProtection="1">
      <alignment horizontal="right" wrapText="1"/>
      <protection hidden="1"/>
    </xf>
    <xf numFmtId="167" fontId="4" fillId="13" borderId="136" xfId="0" applyNumberFormat="1" applyFont="1" applyFill="1" applyBorder="1" applyAlignment="1" applyProtection="1">
      <alignment horizontal="right" wrapText="1"/>
      <protection locked="0"/>
    </xf>
    <xf numFmtId="167" fontId="4" fillId="13" borderId="112" xfId="0" applyNumberFormat="1" applyFont="1" applyFill="1" applyBorder="1" applyAlignment="1" applyProtection="1">
      <alignment horizontal="right" wrapText="1"/>
      <protection locked="0"/>
    </xf>
    <xf numFmtId="167" fontId="4" fillId="13" borderId="128" xfId="0" applyNumberFormat="1" applyFont="1" applyFill="1" applyBorder="1" applyAlignment="1" applyProtection="1">
      <alignment horizontal="right" wrapText="1"/>
      <protection locked="0"/>
    </xf>
    <xf numFmtId="3" fontId="4" fillId="13" borderId="104" xfId="0" applyNumberFormat="1" applyFont="1" applyFill="1" applyBorder="1" applyAlignment="1" applyProtection="1">
      <alignment horizontal="right" wrapText="1"/>
      <protection locked="0"/>
    </xf>
    <xf numFmtId="3" fontId="4" fillId="13" borderId="54" xfId="0" applyNumberFormat="1" applyFont="1" applyFill="1" applyBorder="1" applyAlignment="1" applyProtection="1">
      <alignment horizontal="right" wrapText="1"/>
      <protection locked="0"/>
    </xf>
    <xf numFmtId="3" fontId="4" fillId="13" borderId="43" xfId="0" applyNumberFormat="1" applyFont="1" applyFill="1" applyBorder="1" applyAlignment="1" applyProtection="1">
      <alignment horizontal="right" wrapText="1"/>
      <protection hidden="1"/>
    </xf>
    <xf numFmtId="3" fontId="4" fillId="13" borderId="104" xfId="0" applyNumberFormat="1" applyFont="1" applyFill="1" applyBorder="1" applyAlignment="1" applyProtection="1">
      <alignment horizontal="center" wrapText="1"/>
      <protection locked="0"/>
    </xf>
    <xf numFmtId="3" fontId="4" fillId="13" borderId="104" xfId="0" applyNumberFormat="1" applyFont="1" applyFill="1" applyBorder="1" applyAlignment="1" applyProtection="1">
      <alignment horizontal="right" wrapText="1"/>
      <protection hidden="1"/>
    </xf>
    <xf numFmtId="3" fontId="4" fillId="13" borderId="112" xfId="0" applyNumberFormat="1" applyFont="1" applyFill="1" applyBorder="1" applyAlignment="1" applyProtection="1">
      <alignment horizontal="right" wrapText="1"/>
      <protection hidden="1"/>
    </xf>
    <xf numFmtId="167" fontId="4" fillId="13" borderId="78" xfId="0" applyNumberFormat="1" applyFont="1" applyFill="1" applyBorder="1" applyAlignment="1" applyProtection="1">
      <alignment horizontal="right" wrapText="1"/>
      <protection hidden="1"/>
    </xf>
    <xf numFmtId="167" fontId="4" fillId="13" borderId="128" xfId="0" applyNumberFormat="1" applyFont="1" applyFill="1" applyBorder="1" applyAlignment="1" applyProtection="1">
      <alignment horizontal="right" wrapText="1"/>
      <protection hidden="1"/>
    </xf>
    <xf numFmtId="3" fontId="7" fillId="13" borderId="54" xfId="0" applyNumberFormat="1" applyFont="1" applyFill="1" applyBorder="1" applyAlignment="1" applyProtection="1">
      <alignment horizontal="right" wrapText="1"/>
      <protection hidden="1"/>
    </xf>
    <xf numFmtId="3" fontId="7" fillId="13" borderId="54" xfId="0" applyNumberFormat="1" applyFont="1" applyFill="1" applyBorder="1" applyAlignment="1" applyProtection="1">
      <alignment horizontal="right" wrapText="1"/>
      <protection locked="0"/>
    </xf>
    <xf numFmtId="3" fontId="7" fillId="13" borderId="123" xfId="0" applyNumberFormat="1" applyFont="1" applyFill="1" applyBorder="1" applyAlignment="1" applyProtection="1">
      <alignment horizontal="right" wrapText="1"/>
      <protection hidden="1"/>
    </xf>
    <xf numFmtId="3" fontId="4" fillId="13" borderId="104" xfId="0" applyNumberFormat="1" applyFont="1" applyFill="1" applyBorder="1" applyAlignment="1">
      <alignment wrapText="1"/>
    </xf>
    <xf numFmtId="3" fontId="4" fillId="13" borderId="112" xfId="0" applyNumberFormat="1" applyFont="1" applyFill="1" applyBorder="1" applyAlignment="1">
      <alignment wrapText="1"/>
    </xf>
    <xf numFmtId="3" fontId="4" fillId="13" borderId="104" xfId="0" applyNumberFormat="1" applyFont="1" applyFill="1" applyBorder="1" applyAlignment="1" applyProtection="1">
      <alignment horizontal="center" wrapText="1"/>
      <protection hidden="1"/>
    </xf>
    <xf numFmtId="3" fontId="7" fillId="13" borderId="136" xfId="0" applyNumberFormat="1" applyFont="1" applyFill="1" applyBorder="1" applyAlignment="1" applyProtection="1">
      <alignment horizontal="right" wrapText="1"/>
      <protection hidden="1"/>
    </xf>
    <xf numFmtId="3" fontId="4" fillId="13" borderId="78" xfId="0" applyNumberFormat="1" applyFont="1" applyFill="1" applyBorder="1" applyAlignment="1" applyProtection="1">
      <alignment horizontal="right" wrapText="1"/>
      <protection hidden="1"/>
    </xf>
    <xf numFmtId="3" fontId="7" fillId="13" borderId="171" xfId="0" applyNumberFormat="1" applyFont="1" applyFill="1" applyBorder="1" applyAlignment="1" applyProtection="1">
      <alignment horizontal="right" wrapText="1"/>
      <protection hidden="1"/>
    </xf>
    <xf numFmtId="3" fontId="7" fillId="13" borderId="167" xfId="0" applyNumberFormat="1" applyFont="1" applyFill="1" applyBorder="1" applyAlignment="1" applyProtection="1">
      <alignment horizontal="right" wrapText="1"/>
      <protection locked="0"/>
    </xf>
    <xf numFmtId="3" fontId="7" fillId="13" borderId="144" xfId="0" applyNumberFormat="1" applyFont="1" applyFill="1" applyBorder="1" applyAlignment="1" applyProtection="1">
      <alignment horizontal="right" wrapText="1"/>
      <protection locked="0"/>
    </xf>
    <xf numFmtId="3" fontId="7" fillId="13" borderId="173" xfId="0" applyNumberFormat="1" applyFont="1" applyFill="1" applyBorder="1" applyAlignment="1" applyProtection="1">
      <alignment wrapText="1"/>
      <protection hidden="1"/>
    </xf>
    <xf numFmtId="3" fontId="4" fillId="13" borderId="167" xfId="0" applyNumberFormat="1" applyFont="1" applyFill="1" applyBorder="1" applyAlignment="1" applyProtection="1">
      <alignment wrapText="1"/>
      <protection locked="0"/>
    </xf>
    <xf numFmtId="3" fontId="7" fillId="13" borderId="167" xfId="0" applyNumberFormat="1" applyFont="1" applyFill="1" applyBorder="1" applyAlignment="1" applyProtection="1">
      <alignment wrapText="1"/>
      <protection locked="0"/>
    </xf>
    <xf numFmtId="3" fontId="4" fillId="13" borderId="167" xfId="0" applyNumberFormat="1" applyFont="1" applyFill="1" applyBorder="1" applyAlignment="1" applyProtection="1">
      <alignment horizontal="right" wrapText="1"/>
      <protection locked="0"/>
    </xf>
    <xf numFmtId="3" fontId="7" fillId="13" borderId="173" xfId="0" applyNumberFormat="1" applyFont="1" applyFill="1" applyBorder="1" applyAlignment="1" applyProtection="1">
      <alignment horizontal="right" wrapText="1"/>
      <protection locked="0"/>
    </xf>
    <xf numFmtId="3" fontId="4" fillId="13" borderId="144" xfId="0" applyNumberFormat="1" applyFont="1" applyFill="1" applyBorder="1" applyAlignment="1" applyProtection="1">
      <alignment horizontal="right" wrapText="1"/>
      <protection hidden="1"/>
    </xf>
    <xf numFmtId="3" fontId="4" fillId="13" borderId="173" xfId="0" applyNumberFormat="1" applyFont="1" applyFill="1" applyBorder="1" applyAlignment="1" applyProtection="1">
      <alignment horizontal="center" wrapText="1"/>
      <protection hidden="1"/>
    </xf>
    <xf numFmtId="3" fontId="4" fillId="13" borderId="167" xfId="0" applyNumberFormat="1" applyFont="1" applyFill="1" applyBorder="1" applyAlignment="1" applyProtection="1">
      <alignment horizontal="center" wrapText="1"/>
      <protection locked="0"/>
    </xf>
    <xf numFmtId="3" fontId="4" fillId="13" borderId="144" xfId="0" applyNumberFormat="1" applyFont="1" applyFill="1" applyBorder="1" applyAlignment="1" applyProtection="1">
      <alignment horizontal="center" wrapText="1"/>
      <protection locked="0"/>
    </xf>
    <xf numFmtId="3" fontId="4" fillId="13" borderId="173" xfId="0" applyNumberFormat="1" applyFont="1" applyFill="1" applyBorder="1" applyAlignment="1" applyProtection="1">
      <alignment horizontal="right" wrapText="1"/>
      <protection hidden="1"/>
    </xf>
    <xf numFmtId="3" fontId="4" fillId="13" borderId="173" xfId="0" applyNumberFormat="1" applyFont="1" applyFill="1" applyBorder="1" applyAlignment="1" applyProtection="1">
      <alignment horizontal="center" wrapText="1"/>
      <protection locked="0"/>
    </xf>
    <xf numFmtId="167" fontId="4" fillId="13" borderId="173" xfId="0" applyNumberFormat="1" applyFont="1" applyFill="1" applyBorder="1" applyAlignment="1" applyProtection="1">
      <alignment horizontal="right" wrapText="1"/>
      <protection locked="0"/>
    </xf>
    <xf numFmtId="167" fontId="4" fillId="13" borderId="167" xfId="0" applyNumberFormat="1" applyFont="1" applyFill="1" applyBorder="1" applyAlignment="1" applyProtection="1">
      <alignment horizontal="right" wrapText="1"/>
      <protection locked="0"/>
    </xf>
    <xf numFmtId="3" fontId="4" fillId="13" borderId="171" xfId="0" applyNumberFormat="1" applyFont="1" applyFill="1" applyBorder="1" applyAlignment="1" applyProtection="1">
      <alignment horizontal="right" wrapText="1"/>
      <protection locked="0"/>
    </xf>
    <xf numFmtId="3" fontId="4" fillId="13" borderId="171" xfId="0" applyNumberFormat="1" applyFont="1" applyFill="1" applyBorder="1" applyAlignment="1" applyProtection="1">
      <alignment horizontal="center" wrapText="1"/>
      <protection locked="0"/>
    </xf>
    <xf numFmtId="3" fontId="4" fillId="13" borderId="171" xfId="0" applyNumberFormat="1" applyFont="1" applyFill="1" applyBorder="1" applyAlignment="1" applyProtection="1">
      <alignment horizontal="right" wrapText="1"/>
      <protection hidden="1"/>
    </xf>
    <xf numFmtId="3" fontId="4" fillId="13" borderId="167" xfId="0" applyNumberFormat="1" applyFont="1" applyFill="1" applyBorder="1" applyAlignment="1" applyProtection="1">
      <alignment horizontal="right" wrapText="1"/>
      <protection hidden="1"/>
    </xf>
    <xf numFmtId="3" fontId="7" fillId="13" borderId="70" xfId="0" applyNumberFormat="1" applyFont="1" applyFill="1" applyBorder="1" applyAlignment="1" applyProtection="1">
      <alignment horizontal="right" wrapText="1"/>
      <protection hidden="1"/>
    </xf>
    <xf numFmtId="3" fontId="7" fillId="13" borderId="70" xfId="0" applyNumberFormat="1" applyFont="1" applyFill="1" applyBorder="1" applyAlignment="1" applyProtection="1">
      <alignment horizontal="right" wrapText="1"/>
      <protection locked="0"/>
    </xf>
    <xf numFmtId="3" fontId="7" fillId="13" borderId="144" xfId="0" applyNumberFormat="1" applyFont="1" applyFill="1" applyBorder="1" applyAlignment="1" applyProtection="1">
      <alignment horizontal="right" wrapText="1"/>
      <protection hidden="1"/>
    </xf>
    <xf numFmtId="3" fontId="4" fillId="13" borderId="171" xfId="0" applyNumberFormat="1" applyFont="1" applyFill="1" applyBorder="1" applyAlignment="1">
      <alignment wrapText="1"/>
    </xf>
    <xf numFmtId="3" fontId="4" fillId="13" borderId="167" xfId="0" applyNumberFormat="1" applyFont="1" applyFill="1" applyBorder="1" applyAlignment="1">
      <alignment wrapText="1"/>
    </xf>
    <xf numFmtId="3" fontId="4" fillId="13" borderId="171" xfId="0" applyNumberFormat="1" applyFont="1" applyFill="1" applyBorder="1" applyAlignment="1" applyProtection="1">
      <alignment horizontal="center" wrapText="1"/>
      <protection hidden="1"/>
    </xf>
    <xf numFmtId="3" fontId="7" fillId="13" borderId="173" xfId="0" applyNumberFormat="1" applyFont="1" applyFill="1" applyBorder="1" applyAlignment="1" applyProtection="1">
      <alignment horizontal="right" wrapText="1"/>
      <protection hidden="1"/>
    </xf>
    <xf numFmtId="167" fontId="21" fillId="13" borderId="78" xfId="0" applyNumberFormat="1" applyFont="1" applyFill="1" applyBorder="1" applyAlignment="1" applyProtection="1">
      <alignment horizontal="right" wrapText="1"/>
      <protection hidden="1"/>
    </xf>
    <xf numFmtId="3" fontId="4" fillId="13" borderId="72" xfId="0" applyNumberFormat="1" applyFont="1" applyFill="1" applyBorder="1" applyAlignment="1" applyProtection="1">
      <alignment horizontal="right" wrapText="1"/>
      <protection hidden="1"/>
    </xf>
    <xf numFmtId="3" fontId="6" fillId="13" borderId="85" xfId="0" applyNumberFormat="1" applyFont="1" applyFill="1" applyBorder="1" applyAlignment="1" applyProtection="1">
      <alignment horizontal="center" vertical="center" wrapText="1"/>
      <protection hidden="1"/>
    </xf>
    <xf numFmtId="3" fontId="4" fillId="13" borderId="90" xfId="0" applyNumberFormat="1" applyFont="1" applyFill="1" applyBorder="1" applyAlignment="1" applyProtection="1">
      <alignment horizontal="right" wrapText="1"/>
      <protection hidden="1"/>
    </xf>
    <xf numFmtId="3" fontId="7" fillId="13" borderId="100" xfId="0" applyNumberFormat="1" applyFont="1" applyFill="1" applyBorder="1" applyAlignment="1" applyProtection="1">
      <alignment horizontal="right" wrapText="1"/>
      <protection hidden="1"/>
    </xf>
    <xf numFmtId="3" fontId="7" fillId="13" borderId="108" xfId="0" applyNumberFormat="1" applyFont="1" applyFill="1" applyBorder="1" applyAlignment="1" applyProtection="1">
      <alignment horizontal="right" wrapText="1"/>
      <protection locked="0"/>
    </xf>
    <xf numFmtId="3" fontId="7" fillId="13" borderId="118" xfId="0" applyNumberFormat="1" applyFont="1" applyFill="1" applyBorder="1" applyAlignment="1" applyProtection="1">
      <alignment horizontal="right" wrapText="1"/>
      <protection locked="0"/>
    </xf>
    <xf numFmtId="3" fontId="7" fillId="13" borderId="132" xfId="0" applyNumberFormat="1" applyFont="1" applyFill="1" applyBorder="1" applyAlignment="1" applyProtection="1">
      <alignment wrapText="1"/>
      <protection hidden="1"/>
    </xf>
    <xf numFmtId="3" fontId="7" fillId="13" borderId="108" xfId="0" applyNumberFormat="1" applyFont="1" applyFill="1" applyBorder="1" applyAlignment="1" applyProtection="1">
      <alignment wrapText="1"/>
      <protection locked="0"/>
    </xf>
    <xf numFmtId="3" fontId="4" fillId="13" borderId="108" xfId="0" applyNumberFormat="1" applyFont="1" applyFill="1" applyBorder="1" applyAlignment="1" applyProtection="1">
      <alignment horizontal="right" wrapText="1"/>
      <protection locked="0"/>
    </xf>
    <xf numFmtId="3" fontId="7" fillId="13" borderId="118" xfId="0" applyNumberFormat="1" applyFont="1" applyFill="1" applyBorder="1" applyAlignment="1">
      <alignment wrapText="1"/>
    </xf>
    <xf numFmtId="3" fontId="7" fillId="13" borderId="121" xfId="0" applyNumberFormat="1" applyFont="1" applyFill="1" applyBorder="1" applyAlignment="1">
      <alignment wrapText="1"/>
    </xf>
    <xf numFmtId="3" fontId="4" fillId="13" borderId="118" xfId="0" applyNumberFormat="1" applyFont="1" applyFill="1" applyBorder="1" applyAlignment="1">
      <alignment wrapText="1"/>
    </xf>
    <xf numFmtId="3" fontId="4" fillId="13" borderId="121" xfId="0" applyNumberFormat="1" applyFont="1" applyFill="1" applyBorder="1" applyAlignment="1">
      <alignment wrapText="1"/>
    </xf>
    <xf numFmtId="3" fontId="4" fillId="13" borderId="96" xfId="0" applyNumberFormat="1" applyFont="1" applyFill="1" applyBorder="1" applyAlignment="1" applyProtection="1">
      <alignment horizontal="right" wrapText="1"/>
      <protection hidden="1"/>
    </xf>
    <xf numFmtId="3" fontId="4" fillId="13" borderId="118" xfId="0" applyNumberFormat="1" applyFont="1" applyFill="1" applyBorder="1" applyAlignment="1" applyProtection="1">
      <alignment horizontal="right" wrapText="1"/>
      <protection hidden="1"/>
    </xf>
    <xf numFmtId="3" fontId="4" fillId="13" borderId="132" xfId="0" applyNumberFormat="1" applyFont="1" applyFill="1" applyBorder="1" applyAlignment="1" applyProtection="1">
      <alignment horizontal="center" wrapText="1"/>
      <protection hidden="1"/>
    </xf>
    <xf numFmtId="3" fontId="4" fillId="13" borderId="108" xfId="0" applyNumberFormat="1" applyFont="1" applyFill="1" applyBorder="1" applyAlignment="1" applyProtection="1">
      <alignment horizontal="center" wrapText="1"/>
      <protection locked="0"/>
    </xf>
    <xf numFmtId="3" fontId="4" fillId="13" borderId="118" xfId="0" applyNumberFormat="1" applyFont="1" applyFill="1" applyBorder="1" applyAlignment="1" applyProtection="1">
      <alignment horizontal="center" wrapText="1"/>
      <protection locked="0"/>
    </xf>
    <xf numFmtId="3" fontId="4" fillId="13" borderId="132" xfId="0" applyNumberFormat="1" applyFont="1" applyFill="1" applyBorder="1" applyAlignment="1" applyProtection="1">
      <alignment horizontal="right" wrapText="1"/>
      <protection hidden="1"/>
    </xf>
    <xf numFmtId="3" fontId="4" fillId="13" borderId="132" xfId="0" applyNumberFormat="1" applyFont="1" applyFill="1" applyBorder="1" applyAlignment="1" applyProtection="1">
      <alignment horizontal="center" wrapText="1"/>
      <protection locked="0"/>
    </xf>
    <xf numFmtId="167" fontId="4" fillId="13" borderId="132" xfId="0" applyNumberFormat="1" applyFont="1" applyFill="1" applyBorder="1" applyAlignment="1" applyProtection="1">
      <alignment horizontal="right" wrapText="1"/>
      <protection locked="0"/>
    </xf>
    <xf numFmtId="167" fontId="4" fillId="13" borderId="108" xfId="0" applyNumberFormat="1" applyFont="1" applyFill="1" applyBorder="1" applyAlignment="1" applyProtection="1">
      <alignment horizontal="right" wrapText="1"/>
      <protection locked="0"/>
    </xf>
    <xf numFmtId="3" fontId="4" fillId="13" borderId="100" xfId="0" applyNumberFormat="1" applyFont="1" applyFill="1" applyBorder="1" applyAlignment="1" applyProtection="1">
      <alignment horizontal="right" wrapText="1"/>
      <protection locked="0"/>
    </xf>
    <xf numFmtId="3" fontId="4" fillId="13" borderId="100" xfId="0" applyNumberFormat="1" applyFont="1" applyFill="1" applyBorder="1" applyAlignment="1" applyProtection="1">
      <alignment horizontal="center" wrapText="1"/>
      <protection locked="0"/>
    </xf>
    <xf numFmtId="3" fontId="4" fillId="13" borderId="100" xfId="0" applyNumberFormat="1" applyFont="1" applyFill="1" applyBorder="1" applyAlignment="1" applyProtection="1">
      <alignment horizontal="right" wrapText="1"/>
      <protection hidden="1"/>
    </xf>
    <xf numFmtId="3" fontId="4" fillId="13" borderId="108" xfId="0" applyNumberFormat="1" applyFont="1" applyFill="1" applyBorder="1" applyAlignment="1" applyProtection="1">
      <alignment horizontal="right" wrapText="1"/>
      <protection hidden="1"/>
    </xf>
    <xf numFmtId="3" fontId="4" fillId="13" borderId="96" xfId="0" applyNumberFormat="1" applyFont="1" applyFill="1" applyBorder="1" applyAlignment="1" applyProtection="1">
      <alignment horizontal="center" wrapText="1"/>
      <protection locked="0"/>
    </xf>
    <xf numFmtId="3" fontId="4" fillId="13" borderId="97" xfId="0" applyNumberFormat="1" applyFont="1" applyFill="1" applyBorder="1" applyAlignment="1" applyProtection="1">
      <alignment horizontal="center" wrapText="1"/>
      <protection locked="0"/>
    </xf>
    <xf numFmtId="3" fontId="7" fillId="13" borderId="96" xfId="0" applyNumberFormat="1" applyFont="1" applyFill="1" applyBorder="1" applyAlignment="1" applyProtection="1">
      <alignment horizontal="right" wrapText="1"/>
      <protection hidden="1"/>
    </xf>
    <xf numFmtId="3" fontId="7" fillId="13" borderId="96" xfId="0" applyNumberFormat="1" applyFont="1" applyFill="1" applyBorder="1" applyAlignment="1" applyProtection="1">
      <alignment horizontal="right" wrapText="1"/>
      <protection locked="0"/>
    </xf>
    <xf numFmtId="3" fontId="7" fillId="13" borderId="118" xfId="0" applyNumberFormat="1" applyFont="1" applyFill="1" applyBorder="1" applyAlignment="1" applyProtection="1">
      <alignment horizontal="right" wrapText="1"/>
      <protection hidden="1"/>
    </xf>
    <xf numFmtId="3" fontId="4" fillId="13" borderId="100" xfId="0" applyNumberFormat="1" applyFont="1" applyFill="1" applyBorder="1" applyAlignment="1">
      <alignment wrapText="1"/>
    </xf>
    <xf numFmtId="3" fontId="4" fillId="13" borderId="108" xfId="0" applyNumberFormat="1" applyFont="1" applyFill="1" applyBorder="1" applyAlignment="1">
      <alignment wrapText="1"/>
    </xf>
    <xf numFmtId="3" fontId="4" fillId="13" borderId="100" xfId="0" applyNumberFormat="1" applyFont="1" applyFill="1" applyBorder="1" applyAlignment="1" applyProtection="1">
      <alignment horizontal="center" wrapText="1"/>
      <protection hidden="1"/>
    </xf>
    <xf numFmtId="3" fontId="6" fillId="13" borderId="87" xfId="0" applyNumberFormat="1" applyFont="1" applyFill="1" applyBorder="1" applyAlignment="1" applyProtection="1">
      <alignment horizontal="center" vertical="center" wrapText="1"/>
      <protection hidden="1"/>
    </xf>
    <xf numFmtId="3" fontId="6" fillId="13" borderId="60" xfId="0" applyNumberFormat="1" applyFont="1" applyFill="1" applyBorder="1" applyAlignment="1" applyProtection="1">
      <alignment horizontal="center" vertical="center" wrapText="1"/>
      <protection hidden="1"/>
    </xf>
    <xf numFmtId="3" fontId="4" fillId="13" borderId="92" xfId="0" applyNumberFormat="1" applyFont="1" applyFill="1" applyBorder="1" applyAlignment="1" applyProtection="1">
      <alignment horizontal="right" wrapText="1"/>
      <protection hidden="1"/>
    </xf>
    <xf numFmtId="3" fontId="4" fillId="13" borderId="61" xfId="0" applyNumberFormat="1" applyFont="1" applyFill="1" applyBorder="1" applyAlignment="1" applyProtection="1">
      <alignment horizontal="right" wrapText="1"/>
      <protection hidden="1"/>
    </xf>
    <xf numFmtId="167" fontId="7" fillId="13" borderId="154" xfId="0" applyNumberFormat="1" applyFont="1" applyFill="1" applyBorder="1" applyAlignment="1" applyProtection="1">
      <alignment horizontal="right" wrapText="1"/>
      <protection hidden="1"/>
    </xf>
    <xf numFmtId="167" fontId="7" fillId="13" borderId="101" xfId="0" applyNumberFormat="1" applyFont="1" applyFill="1" applyBorder="1" applyAlignment="1" applyProtection="1">
      <alignment horizontal="right" wrapText="1"/>
      <protection hidden="1"/>
    </xf>
    <xf numFmtId="167" fontId="7" fillId="13" borderId="146" xfId="0" applyNumberFormat="1" applyFont="1" applyFill="1" applyBorder="1" applyAlignment="1" applyProtection="1">
      <alignment horizontal="right" wrapText="1"/>
      <protection locked="0"/>
    </xf>
    <xf numFmtId="167" fontId="7" fillId="13" borderId="145" xfId="0" applyNumberFormat="1" applyFont="1" applyFill="1" applyBorder="1" applyAlignment="1" applyProtection="1">
      <alignment horizontal="right" wrapText="1"/>
      <protection locked="0"/>
    </xf>
    <xf numFmtId="3" fontId="4" fillId="13" borderId="125" xfId="0" applyNumberFormat="1" applyFont="1" applyFill="1" applyBorder="1" applyAlignment="1" applyProtection="1">
      <alignment wrapText="1"/>
      <protection hidden="1"/>
    </xf>
    <xf numFmtId="3" fontId="4" fillId="13" borderId="127" xfId="0" applyNumberFormat="1" applyFont="1" applyFill="1" applyBorder="1" applyAlignment="1" applyProtection="1">
      <alignment wrapText="1"/>
      <protection hidden="1"/>
    </xf>
    <xf numFmtId="167" fontId="7" fillId="13" borderId="156" xfId="0" applyNumberFormat="1" applyFont="1" applyFill="1" applyBorder="1" applyAlignment="1" applyProtection="1">
      <alignment wrapText="1"/>
      <protection hidden="1"/>
    </xf>
    <xf numFmtId="167" fontId="4" fillId="13" borderId="146" xfId="0" applyNumberFormat="1" applyFont="1" applyFill="1" applyBorder="1" applyAlignment="1" applyProtection="1">
      <alignment wrapText="1"/>
      <protection locked="0"/>
    </xf>
    <xf numFmtId="167" fontId="7" fillId="13" borderId="146" xfId="0" applyNumberFormat="1" applyFont="1" applyFill="1" applyBorder="1" applyAlignment="1" applyProtection="1">
      <alignment wrapText="1"/>
      <protection locked="0"/>
    </xf>
    <xf numFmtId="3" fontId="4" fillId="13" borderId="125" xfId="0" applyNumberFormat="1" applyFont="1" applyFill="1" applyBorder="1" applyAlignment="1" applyProtection="1">
      <alignment horizontal="right" wrapText="1"/>
      <protection hidden="1"/>
    </xf>
    <xf numFmtId="3" fontId="4" fillId="13" borderId="127" xfId="0" applyNumberFormat="1" applyFont="1" applyFill="1" applyBorder="1" applyAlignment="1" applyProtection="1">
      <alignment horizontal="right" wrapText="1"/>
      <protection hidden="1"/>
    </xf>
    <xf numFmtId="167" fontId="4" fillId="13" borderId="0" xfId="0" applyNumberFormat="1" applyFont="1" applyFill="1" applyBorder="1" applyAlignment="1" applyProtection="1">
      <alignment horizontal="right" wrapText="1"/>
      <protection hidden="1"/>
    </xf>
    <xf numFmtId="167" fontId="4" fillId="13" borderId="145" xfId="0" applyNumberFormat="1" applyFont="1" applyFill="1" applyBorder="1" applyAlignment="1" applyProtection="1">
      <alignment horizontal="right" wrapText="1"/>
      <protection hidden="1"/>
    </xf>
    <xf numFmtId="167" fontId="4" fillId="13" borderId="156" xfId="0" applyNumberFormat="1" applyFont="1" applyFill="1" applyBorder="1" applyAlignment="1" applyProtection="1">
      <alignment horizontal="center" wrapText="1"/>
      <protection hidden="1"/>
    </xf>
    <xf numFmtId="167" fontId="4" fillId="13" borderId="146" xfId="0" applyNumberFormat="1" applyFont="1" applyFill="1" applyBorder="1" applyAlignment="1" applyProtection="1">
      <alignment horizontal="center" wrapText="1"/>
      <protection locked="0"/>
    </xf>
    <xf numFmtId="167" fontId="4" fillId="13" borderId="145" xfId="0" applyNumberFormat="1" applyFont="1" applyFill="1" applyBorder="1" applyAlignment="1" applyProtection="1">
      <alignment horizontal="center" wrapText="1"/>
      <protection locked="0"/>
    </xf>
    <xf numFmtId="167" fontId="4" fillId="13" borderId="156" xfId="0" applyNumberFormat="1" applyFont="1" applyFill="1" applyBorder="1" applyAlignment="1" applyProtection="1">
      <alignment horizontal="right" wrapText="1"/>
      <protection hidden="1"/>
    </xf>
    <xf numFmtId="167" fontId="4" fillId="13" borderId="156" xfId="0" applyNumberFormat="1" applyFont="1" applyFill="1" applyBorder="1" applyAlignment="1" applyProtection="1">
      <alignment horizontal="center" wrapText="1"/>
      <protection locked="0"/>
    </xf>
    <xf numFmtId="3" fontId="4" fillId="13" borderId="125" xfId="0" applyNumberFormat="1" applyFont="1" applyFill="1" applyBorder="1" applyAlignment="1" applyProtection="1">
      <alignment horizontal="right" wrapText="1"/>
      <protection locked="0"/>
    </xf>
    <xf numFmtId="3" fontId="4" fillId="13" borderId="119" xfId="0" applyNumberFormat="1" applyFont="1" applyFill="1" applyBorder="1" applyAlignment="1" applyProtection="1">
      <alignment horizontal="right" wrapText="1"/>
      <protection locked="0"/>
    </xf>
    <xf numFmtId="3" fontId="21" fillId="13" borderId="166" xfId="0" applyNumberFormat="1" applyFont="1" applyFill="1" applyBorder="1" applyAlignment="1" applyProtection="1">
      <alignment horizontal="right" wrapText="1"/>
      <protection hidden="1"/>
    </xf>
    <xf numFmtId="3" fontId="21" fillId="13" borderId="39" xfId="0" applyNumberFormat="1" applyFont="1" applyFill="1" applyBorder="1" applyAlignment="1" applyProtection="1">
      <alignment horizontal="right" wrapText="1"/>
      <protection hidden="1"/>
    </xf>
    <xf numFmtId="167" fontId="4" fillId="13" borderId="125" xfId="0" applyNumberFormat="1" applyFont="1" applyFill="1" applyBorder="1" applyAlignment="1" applyProtection="1">
      <alignment horizontal="right" wrapText="1"/>
      <protection locked="0"/>
    </xf>
    <xf numFmtId="167" fontId="4" fillId="13" borderId="127" xfId="0" applyNumberFormat="1" applyFont="1" applyFill="1" applyBorder="1" applyAlignment="1" applyProtection="1">
      <alignment horizontal="right" wrapText="1"/>
      <protection locked="0"/>
    </xf>
    <xf numFmtId="167" fontId="4" fillId="13" borderId="154" xfId="0" applyNumberFormat="1" applyFont="1" applyFill="1" applyBorder="1" applyAlignment="1" applyProtection="1">
      <alignment horizontal="right" wrapText="1"/>
      <protection locked="0"/>
    </xf>
    <xf numFmtId="167" fontId="4" fillId="13" borderId="101" xfId="0" applyNumberFormat="1" applyFont="1" applyFill="1" applyBorder="1" applyAlignment="1" applyProtection="1">
      <alignment horizontal="right" wrapText="1"/>
      <protection locked="0"/>
    </xf>
    <xf numFmtId="167" fontId="20" fillId="13" borderId="146" xfId="0" applyNumberFormat="1" applyFont="1" applyFill="1" applyBorder="1" applyAlignment="1" applyProtection="1">
      <alignment horizontal="right" wrapText="1"/>
      <protection locked="0"/>
    </xf>
    <xf numFmtId="3" fontId="4" fillId="13" borderId="144" xfId="0" applyNumberFormat="1" applyFont="1" applyFill="1" applyBorder="1" applyAlignment="1" applyProtection="1">
      <alignment horizontal="right" wrapText="1"/>
      <protection locked="0"/>
    </xf>
    <xf numFmtId="3" fontId="4" fillId="13" borderId="115" xfId="0" applyNumberFormat="1" applyFont="1" applyFill="1" applyBorder="1" applyAlignment="1" applyProtection="1">
      <alignment horizontal="right" wrapText="1"/>
      <protection locked="0"/>
    </xf>
    <xf numFmtId="3" fontId="4" fillId="13" borderId="98" xfId="0" applyNumberFormat="1" applyFont="1" applyFill="1" applyBorder="1" applyAlignment="1" applyProtection="1">
      <alignment horizontal="right" wrapText="1"/>
      <protection locked="0"/>
    </xf>
    <xf numFmtId="3" fontId="4" fillId="13" borderId="39" xfId="0" applyNumberFormat="1" applyFont="1" applyFill="1" applyBorder="1" applyAlignment="1" applyProtection="1">
      <alignment horizontal="right" wrapText="1"/>
      <protection hidden="1"/>
    </xf>
    <xf numFmtId="167" fontId="4" fillId="13" borderId="154" xfId="0" applyNumberFormat="1" applyFont="1" applyFill="1" applyBorder="1" applyAlignment="1" applyProtection="1">
      <alignment horizontal="center" wrapText="1"/>
      <protection locked="0"/>
    </xf>
    <xf numFmtId="167" fontId="4" fillId="13" borderId="101" xfId="0" applyNumberFormat="1" applyFont="1" applyFill="1" applyBorder="1" applyAlignment="1" applyProtection="1">
      <alignment horizontal="center" wrapText="1"/>
      <protection locked="0"/>
    </xf>
    <xf numFmtId="167" fontId="4" fillId="13" borderId="154" xfId="0" applyNumberFormat="1" applyFont="1" applyFill="1" applyBorder="1" applyAlignment="1" applyProtection="1">
      <alignment horizontal="right" wrapText="1"/>
      <protection hidden="1"/>
    </xf>
    <xf numFmtId="167" fontId="4" fillId="13" borderId="101" xfId="0" applyNumberFormat="1" applyFont="1" applyFill="1" applyBorder="1" applyAlignment="1" applyProtection="1">
      <alignment horizontal="right" wrapText="1"/>
      <protection hidden="1"/>
    </xf>
    <xf numFmtId="167" fontId="4" fillId="13" borderId="146" xfId="0" applyNumberFormat="1" applyFont="1" applyFill="1" applyBorder="1" applyAlignment="1" applyProtection="1">
      <alignment horizontal="right" wrapText="1"/>
      <protection hidden="1"/>
    </xf>
    <xf numFmtId="167" fontId="4" fillId="13" borderId="66" xfId="0" applyNumberFormat="1" applyFont="1" applyFill="1" applyBorder="1" applyAlignment="1" applyProtection="1">
      <alignment horizontal="right" wrapText="1"/>
      <protection hidden="1"/>
    </xf>
    <xf numFmtId="3" fontId="4" fillId="13" borderId="115" xfId="0" applyNumberFormat="1" applyFont="1" applyFill="1" applyBorder="1" applyAlignment="1" applyProtection="1">
      <alignment horizontal="right" wrapText="1"/>
      <protection hidden="1"/>
    </xf>
    <xf numFmtId="3" fontId="4" fillId="13" borderId="119" xfId="0" applyNumberFormat="1" applyFont="1" applyFill="1" applyBorder="1" applyAlignment="1" applyProtection="1">
      <alignment horizontal="right" wrapText="1"/>
      <protection hidden="1"/>
    </xf>
    <xf numFmtId="167" fontId="7" fillId="13" borderId="146" xfId="0" applyNumberFormat="1" applyFont="1" applyFill="1" applyBorder="1" applyAlignment="1" applyProtection="1">
      <alignment horizontal="right" wrapText="1"/>
      <protection hidden="1"/>
    </xf>
    <xf numFmtId="167" fontId="4" fillId="13" borderId="125" xfId="0" applyNumberFormat="1" applyFont="1" applyFill="1" applyBorder="1" applyAlignment="1" applyProtection="1">
      <alignment horizontal="right" wrapText="1"/>
      <protection hidden="1"/>
    </xf>
    <xf numFmtId="167" fontId="4" fillId="13" borderId="127" xfId="0" applyNumberFormat="1" applyFont="1" applyFill="1" applyBorder="1" applyAlignment="1" applyProtection="1">
      <alignment horizontal="right" wrapText="1"/>
      <protection hidden="1"/>
    </xf>
    <xf numFmtId="167" fontId="7" fillId="13" borderId="0" xfId="0" applyNumberFormat="1" applyFont="1" applyFill="1" applyBorder="1" applyAlignment="1" applyProtection="1">
      <alignment horizontal="right" wrapText="1"/>
      <protection hidden="1"/>
    </xf>
    <xf numFmtId="167" fontId="7" fillId="13" borderId="99" xfId="0" applyNumberFormat="1" applyFont="1" applyFill="1" applyBorder="1" applyAlignment="1" applyProtection="1">
      <alignment horizontal="right" wrapText="1"/>
      <protection hidden="1"/>
    </xf>
    <xf numFmtId="167" fontId="7" fillId="13" borderId="0" xfId="0" applyNumberFormat="1" applyFont="1" applyFill="1" applyBorder="1" applyAlignment="1" applyProtection="1">
      <alignment horizontal="right" wrapText="1"/>
      <protection locked="0"/>
    </xf>
    <xf numFmtId="167" fontId="7" fillId="13" borderId="99" xfId="0" applyNumberFormat="1" applyFont="1" applyFill="1" applyBorder="1" applyAlignment="1" applyProtection="1">
      <alignment horizontal="right" wrapText="1"/>
      <protection locked="0"/>
    </xf>
    <xf numFmtId="167" fontId="7" fillId="13" borderId="145" xfId="0" applyNumberFormat="1" applyFont="1" applyFill="1" applyBorder="1" applyAlignment="1" applyProtection="1">
      <alignment horizontal="right" wrapText="1"/>
      <protection hidden="1"/>
    </xf>
    <xf numFmtId="167" fontId="4" fillId="13" borderId="154" xfId="0" applyNumberFormat="1" applyFont="1" applyFill="1" applyBorder="1" applyAlignment="1">
      <alignment wrapText="1"/>
    </xf>
    <xf numFmtId="167" fontId="4" fillId="13" borderId="101" xfId="0" applyNumberFormat="1" applyFont="1" applyFill="1" applyBorder="1" applyAlignment="1">
      <alignment wrapText="1"/>
    </xf>
    <xf numFmtId="167" fontId="4" fillId="13" borderId="146" xfId="0" applyNumberFormat="1" applyFont="1" applyFill="1" applyBorder="1" applyAlignment="1">
      <alignment wrapText="1"/>
    </xf>
    <xf numFmtId="167" fontId="4" fillId="13" borderId="154" xfId="0" applyNumberFormat="1" applyFont="1" applyFill="1" applyBorder="1" applyAlignment="1" applyProtection="1">
      <alignment horizontal="center" wrapText="1"/>
      <protection hidden="1"/>
    </xf>
    <xf numFmtId="167" fontId="4" fillId="13" borderId="101" xfId="0" applyNumberFormat="1" applyFont="1" applyFill="1" applyBorder="1" applyAlignment="1" applyProtection="1">
      <alignment horizontal="center" wrapText="1"/>
      <protection hidden="1"/>
    </xf>
    <xf numFmtId="3" fontId="4" fillId="13" borderId="99" xfId="0" applyNumberFormat="1" applyFont="1" applyFill="1" applyBorder="1" applyAlignment="1" applyProtection="1">
      <alignment horizontal="right" wrapText="1"/>
      <protection hidden="1"/>
    </xf>
    <xf numFmtId="3" fontId="4" fillId="13" borderId="66" xfId="0" applyNumberFormat="1" applyFont="1" applyFill="1" applyBorder="1" applyAlignment="1" applyProtection="1">
      <alignment horizontal="right" wrapText="1"/>
      <protection hidden="1"/>
    </xf>
    <xf numFmtId="3" fontId="7" fillId="13" borderId="145" xfId="0" applyNumberFormat="1" applyFont="1" applyFill="1" applyBorder="1" applyAlignment="1">
      <alignment wrapText="1"/>
    </xf>
    <xf numFmtId="3" fontId="4" fillId="13" borderId="145" xfId="0" applyNumberFormat="1" applyFont="1" applyFill="1" applyBorder="1" applyAlignment="1">
      <alignment wrapText="1"/>
    </xf>
    <xf numFmtId="3" fontId="4" fillId="13" borderId="124" xfId="0" applyNumberFormat="1" applyFont="1" applyFill="1" applyBorder="1" applyAlignment="1" applyProtection="1">
      <alignment wrapText="1"/>
      <protection hidden="1"/>
    </xf>
    <xf numFmtId="167" fontId="21" fillId="13" borderId="72" xfId="0" applyNumberFormat="1" applyFont="1" applyFill="1" applyBorder="1" applyAlignment="1" applyProtection="1">
      <alignment horizontal="right" wrapText="1"/>
      <protection hidden="1"/>
    </xf>
    <xf numFmtId="167" fontId="21" fillId="13" borderId="162" xfId="0" applyNumberFormat="1" applyFont="1" applyFill="1" applyBorder="1" applyAlignment="1" applyProtection="1">
      <alignment horizontal="right" wrapText="1"/>
      <protection hidden="1"/>
    </xf>
    <xf numFmtId="3" fontId="4" fillId="13" borderId="145" xfId="0" applyNumberFormat="1" applyFont="1" applyFill="1" applyBorder="1" applyAlignment="1" applyProtection="1">
      <alignment horizontal="right" wrapText="1"/>
      <protection locked="0"/>
    </xf>
    <xf numFmtId="3" fontId="6" fillId="13" borderId="45" xfId="0" applyNumberFormat="1" applyFont="1" applyFill="1" applyBorder="1" applyAlignment="1" applyProtection="1">
      <alignment horizontal="center" vertical="center" wrapText="1"/>
      <protection hidden="1"/>
    </xf>
    <xf numFmtId="3" fontId="6" fillId="13" borderId="24" xfId="0" applyNumberFormat="1" applyFont="1" applyFill="1" applyBorder="1" applyAlignment="1" applyProtection="1">
      <alignment horizontal="center" vertical="center" wrapText="1"/>
      <protection hidden="1"/>
    </xf>
    <xf numFmtId="167" fontId="20" fillId="13" borderId="154" xfId="0" applyNumberFormat="1" applyFont="1" applyFill="1" applyBorder="1" applyAlignment="1" applyProtection="1">
      <alignment horizontal="right" wrapText="1"/>
      <protection hidden="1"/>
    </xf>
    <xf numFmtId="167" fontId="20" fillId="13" borderId="145" xfId="0" applyNumberFormat="1" applyFont="1" applyFill="1" applyBorder="1" applyAlignment="1" applyProtection="1">
      <alignment horizontal="right" wrapText="1"/>
      <protection locked="0"/>
    </xf>
    <xf numFmtId="167" fontId="20" fillId="13" borderId="156" xfId="0" applyNumberFormat="1" applyFont="1" applyFill="1" applyBorder="1" applyAlignment="1" applyProtection="1">
      <alignment wrapText="1"/>
      <protection hidden="1"/>
    </xf>
    <xf numFmtId="167" fontId="21" fillId="13" borderId="146" xfId="0" applyNumberFormat="1" applyFont="1" applyFill="1" applyBorder="1" applyAlignment="1" applyProtection="1">
      <alignment wrapText="1"/>
      <protection locked="0"/>
    </xf>
    <xf numFmtId="167" fontId="20" fillId="13" borderId="146" xfId="0" applyNumberFormat="1" applyFont="1" applyFill="1" applyBorder="1" applyAlignment="1" applyProtection="1">
      <alignment wrapText="1"/>
      <protection locked="0"/>
    </xf>
    <xf numFmtId="167" fontId="21" fillId="13" borderId="146" xfId="0" applyNumberFormat="1" applyFont="1" applyFill="1" applyBorder="1" applyAlignment="1" applyProtection="1">
      <alignment horizontal="right" wrapText="1"/>
      <protection locked="0"/>
    </xf>
    <xf numFmtId="167" fontId="20" fillId="13" borderId="156" xfId="0" applyNumberFormat="1" applyFont="1" applyFill="1" applyBorder="1" applyAlignment="1" applyProtection="1">
      <alignment horizontal="right" wrapText="1"/>
      <protection locked="0"/>
    </xf>
    <xf numFmtId="167" fontId="21" fillId="13" borderId="0" xfId="0" applyNumberFormat="1" applyFont="1" applyFill="1" applyBorder="1" applyAlignment="1" applyProtection="1">
      <alignment horizontal="right" wrapText="1"/>
      <protection hidden="1"/>
    </xf>
    <xf numFmtId="167" fontId="21" fillId="13" borderId="145" xfId="0" applyNumberFormat="1" applyFont="1" applyFill="1" applyBorder="1" applyAlignment="1" applyProtection="1">
      <alignment horizontal="right" wrapText="1"/>
      <protection hidden="1"/>
    </xf>
    <xf numFmtId="167" fontId="21" fillId="13" borderId="112" xfId="0" applyNumberFormat="1" applyFont="1" applyFill="1" applyBorder="1" applyAlignment="1" applyProtection="1">
      <alignment horizontal="right" wrapText="1"/>
      <protection hidden="1"/>
    </xf>
    <xf numFmtId="3" fontId="4" fillId="13" borderId="124" xfId="0" applyNumberFormat="1" applyFont="1" applyFill="1" applyBorder="1" applyAlignment="1" applyProtection="1">
      <alignment horizontal="right" wrapText="1"/>
      <protection hidden="1"/>
    </xf>
    <xf numFmtId="167" fontId="21" fillId="13" borderId="156" xfId="0" applyNumberFormat="1" applyFont="1" applyFill="1" applyBorder="1" applyAlignment="1" applyProtection="1">
      <alignment horizontal="center" wrapText="1"/>
      <protection hidden="1"/>
    </xf>
    <xf numFmtId="167" fontId="21" fillId="13" borderId="146" xfId="0" applyNumberFormat="1" applyFont="1" applyFill="1" applyBorder="1" applyAlignment="1" applyProtection="1">
      <alignment horizontal="center" wrapText="1"/>
      <protection locked="0"/>
    </xf>
    <xf numFmtId="167" fontId="21" fillId="13" borderId="145" xfId="0" applyNumberFormat="1" applyFont="1" applyFill="1" applyBorder="1" applyAlignment="1" applyProtection="1">
      <alignment horizontal="center" wrapText="1"/>
      <protection locked="0"/>
    </xf>
    <xf numFmtId="167" fontId="21" fillId="13" borderId="156" xfId="0" applyNumberFormat="1" applyFont="1" applyFill="1" applyBorder="1" applyAlignment="1" applyProtection="1">
      <alignment horizontal="right" wrapText="1"/>
      <protection hidden="1"/>
    </xf>
    <xf numFmtId="167" fontId="21" fillId="13" borderId="156" xfId="0" applyNumberFormat="1" applyFont="1" applyFill="1" applyBorder="1" applyAlignment="1" applyProtection="1">
      <alignment horizontal="center" wrapText="1"/>
      <protection locked="0"/>
    </xf>
    <xf numFmtId="3" fontId="4" fillId="13" borderId="118" xfId="0" applyNumberFormat="1" applyFont="1" applyFill="1" applyBorder="1" applyAlignment="1" applyProtection="1">
      <alignment horizontal="right" wrapText="1"/>
      <protection locked="0"/>
    </xf>
    <xf numFmtId="3" fontId="21" fillId="13" borderId="149" xfId="0" applyNumberFormat="1" applyFont="1" applyFill="1" applyBorder="1" applyAlignment="1" applyProtection="1">
      <alignment horizontal="right" wrapText="1"/>
      <protection hidden="1"/>
    </xf>
    <xf numFmtId="167" fontId="4" fillId="13" borderId="124" xfId="0" applyNumberFormat="1" applyFont="1" applyFill="1" applyBorder="1" applyAlignment="1" applyProtection="1">
      <alignment horizontal="right" wrapText="1"/>
      <protection locked="0"/>
    </xf>
    <xf numFmtId="167" fontId="21" fillId="13" borderId="154" xfId="0" applyNumberFormat="1" applyFont="1" applyFill="1" applyBorder="1" applyAlignment="1" applyProtection="1">
      <alignment horizontal="right" wrapText="1"/>
      <protection locked="0"/>
    </xf>
    <xf numFmtId="167" fontId="21" fillId="13" borderId="0" xfId="0" applyNumberFormat="1" applyFont="1" applyFill="1" applyBorder="1" applyAlignment="1" applyProtection="1">
      <alignment horizontal="right" wrapText="1"/>
      <protection locked="0"/>
    </xf>
    <xf numFmtId="167" fontId="21" fillId="13" borderId="154" xfId="0" applyNumberFormat="1" applyFont="1" applyFill="1" applyBorder="1" applyAlignment="1" applyProtection="1">
      <alignment horizontal="center" wrapText="1"/>
      <protection locked="0"/>
    </xf>
    <xf numFmtId="167" fontId="20" fillId="13" borderId="0" xfId="0" applyNumberFormat="1" applyFont="1" applyFill="1" applyBorder="1" applyAlignment="1" applyProtection="1">
      <alignment horizontal="right" wrapText="1"/>
      <protection locked="0"/>
    </xf>
    <xf numFmtId="167" fontId="21" fillId="13" borderId="154" xfId="0" applyNumberFormat="1" applyFont="1" applyFill="1" applyBorder="1" applyAlignment="1" applyProtection="1">
      <alignment horizontal="right" wrapText="1"/>
      <protection hidden="1"/>
    </xf>
    <xf numFmtId="167" fontId="21" fillId="13" borderId="114" xfId="0" applyNumberFormat="1" applyFont="1" applyFill="1" applyBorder="1" applyAlignment="1" applyProtection="1">
      <alignment horizontal="right" wrapText="1"/>
      <protection hidden="1"/>
    </xf>
    <xf numFmtId="167" fontId="21" fillId="13" borderId="146" xfId="0" applyNumberFormat="1" applyFont="1" applyFill="1" applyBorder="1" applyAlignment="1" applyProtection="1">
      <alignment horizontal="right" wrapText="1"/>
      <protection hidden="1"/>
    </xf>
    <xf numFmtId="167" fontId="4" fillId="13" borderId="152" xfId="0" applyNumberFormat="1" applyFont="1" applyFill="1" applyBorder="1" applyAlignment="1" applyProtection="1">
      <alignment horizontal="right" wrapText="1"/>
      <protection hidden="1"/>
    </xf>
    <xf numFmtId="3" fontId="4" fillId="13" borderId="149" xfId="0" applyNumberFormat="1" applyFont="1" applyFill="1" applyBorder="1" applyAlignment="1" applyProtection="1">
      <alignment horizontal="right" wrapText="1"/>
      <protection hidden="1"/>
    </xf>
    <xf numFmtId="167" fontId="4" fillId="13" borderId="124" xfId="0" applyNumberFormat="1" applyFont="1" applyFill="1" applyBorder="1" applyAlignment="1" applyProtection="1">
      <alignment horizontal="right" wrapText="1"/>
      <protection hidden="1"/>
    </xf>
    <xf numFmtId="167" fontId="20" fillId="13" borderId="0" xfId="0" applyNumberFormat="1" applyFont="1" applyFill="1" applyBorder="1" applyAlignment="1" applyProtection="1">
      <alignment horizontal="right" wrapText="1"/>
      <protection hidden="1"/>
    </xf>
    <xf numFmtId="167" fontId="21" fillId="13" borderId="145" xfId="0" applyNumberFormat="1" applyFont="1" applyFill="1" applyBorder="1" applyAlignment="1" applyProtection="1">
      <alignment horizontal="right" wrapText="1"/>
      <protection locked="0"/>
    </xf>
    <xf numFmtId="167" fontId="20" fillId="13" borderId="145" xfId="0" applyNumberFormat="1" applyFont="1" applyFill="1" applyBorder="1" applyAlignment="1" applyProtection="1">
      <alignment horizontal="right" wrapText="1"/>
      <protection hidden="1"/>
    </xf>
    <xf numFmtId="3" fontId="4" fillId="13" borderId="152" xfId="0" applyNumberFormat="1" applyFont="1" applyFill="1" applyBorder="1" applyAlignment="1" applyProtection="1">
      <alignment horizontal="right" wrapText="1"/>
      <protection hidden="1"/>
    </xf>
    <xf numFmtId="167" fontId="21" fillId="13" borderId="154" xfId="0" applyNumberFormat="1" applyFont="1" applyFill="1" applyBorder="1" applyAlignment="1">
      <alignment wrapText="1"/>
    </xf>
    <xf numFmtId="167" fontId="21" fillId="13" borderId="146" xfId="0" applyNumberFormat="1" applyFont="1" applyFill="1" applyBorder="1" applyAlignment="1">
      <alignment wrapText="1"/>
    </xf>
    <xf numFmtId="167" fontId="21" fillId="13" borderId="154" xfId="0" applyNumberFormat="1" applyFont="1" applyFill="1" applyBorder="1" applyAlignment="1" applyProtection="1">
      <alignment horizontal="center" wrapText="1"/>
      <protection hidden="1"/>
    </xf>
    <xf numFmtId="167" fontId="21" fillId="13" borderId="56" xfId="0" applyNumberFormat="1" applyFont="1" applyFill="1" applyBorder="1" applyAlignment="1" applyProtection="1">
      <alignment horizontal="right" wrapText="1"/>
      <protection hidden="1"/>
    </xf>
    <xf numFmtId="167" fontId="4" fillId="13" borderId="123" xfId="0" applyNumberFormat="1" applyFont="1" applyFill="1" applyBorder="1" applyAlignment="1" applyProtection="1">
      <alignment horizontal="right" wrapText="1"/>
      <protection hidden="1"/>
    </xf>
    <xf numFmtId="167" fontId="4" fillId="13" borderId="43" xfId="0" applyNumberFormat="1" applyFont="1" applyFill="1" applyBorder="1" applyAlignment="1" applyProtection="1">
      <alignment horizontal="right" wrapText="1"/>
      <protection hidden="1"/>
    </xf>
    <xf numFmtId="3" fontId="7" fillId="13" borderId="156" xfId="0" applyNumberFormat="1" applyFont="1" applyFill="1" applyBorder="1" applyAlignment="1" applyProtection="1">
      <alignment horizontal="right" wrapText="1"/>
      <protection locked="0"/>
    </xf>
    <xf numFmtId="3" fontId="7" fillId="13" borderId="135" xfId="0" applyNumberFormat="1" applyFont="1" applyFill="1" applyBorder="1" applyAlignment="1" applyProtection="1">
      <alignment horizontal="right" wrapText="1"/>
      <protection locked="0"/>
    </xf>
    <xf numFmtId="3" fontId="7" fillId="13" borderId="146" xfId="0" applyNumberFormat="1" applyFont="1" applyFill="1" applyBorder="1" applyAlignment="1" applyProtection="1">
      <alignment horizontal="center" wrapText="1"/>
      <protection locked="0"/>
    </xf>
    <xf numFmtId="3" fontId="7" fillId="13" borderId="107" xfId="0" applyNumberFormat="1" applyFont="1" applyFill="1" applyBorder="1" applyAlignment="1" applyProtection="1">
      <alignment horizontal="center" wrapText="1"/>
      <protection locked="0"/>
    </xf>
    <xf numFmtId="3" fontId="7" fillId="13" borderId="145" xfId="0" applyNumberFormat="1" applyFont="1" applyFill="1" applyBorder="1" applyAlignment="1" applyProtection="1">
      <alignment horizontal="center" wrapText="1"/>
      <protection locked="0"/>
    </xf>
    <xf numFmtId="3" fontId="7" fillId="13" borderId="121" xfId="0" applyNumberFormat="1" applyFont="1" applyFill="1" applyBorder="1" applyAlignment="1" applyProtection="1">
      <alignment horizontal="center" wrapText="1"/>
      <protection locked="0"/>
    </xf>
    <xf numFmtId="3" fontId="4" fillId="13" borderId="0" xfId="0" applyNumberFormat="1" applyFont="1" applyFill="1" applyBorder="1" applyAlignment="1" applyProtection="1">
      <alignment horizontal="center" wrapText="1"/>
      <protection locked="0"/>
    </xf>
    <xf numFmtId="3" fontId="7" fillId="13" borderId="167" xfId="0" applyNumberFormat="1" applyFont="1" applyFill="1" applyBorder="1" applyAlignment="1" applyProtection="1">
      <alignment horizontal="right" wrapText="1"/>
      <protection hidden="1"/>
    </xf>
    <xf numFmtId="3" fontId="6" fillId="13" borderId="63" xfId="0" applyNumberFormat="1" applyFont="1" applyFill="1" applyBorder="1" applyAlignment="1" applyProtection="1">
      <alignment horizontal="center" vertical="center" wrapText="1"/>
      <protection hidden="1"/>
    </xf>
    <xf numFmtId="3" fontId="4" fillId="13" borderId="64" xfId="0" applyNumberFormat="1" applyFont="1" applyFill="1" applyBorder="1" applyAlignment="1" applyProtection="1">
      <alignment horizontal="right" wrapText="1"/>
      <protection hidden="1"/>
    </xf>
    <xf numFmtId="3" fontId="42" fillId="13" borderId="146" xfId="0" applyNumberFormat="1" applyFont="1" applyFill="1" applyBorder="1" applyAlignment="1" applyProtection="1">
      <alignment horizontal="right" wrapText="1"/>
      <protection locked="0"/>
    </xf>
    <xf numFmtId="3" fontId="42" fillId="13" borderId="107" xfId="0" applyNumberFormat="1" applyFont="1" applyFill="1" applyBorder="1" applyAlignment="1" applyProtection="1">
      <alignment horizontal="right" wrapText="1"/>
      <protection locked="0"/>
    </xf>
    <xf numFmtId="3" fontId="7" fillId="13" borderId="107" xfId="0" applyNumberFormat="1" applyFont="1" applyFill="1" applyBorder="1" applyAlignment="1" applyProtection="1">
      <alignment horizontal="right" wrapText="1"/>
      <protection hidden="1"/>
    </xf>
    <xf numFmtId="3" fontId="7" fillId="13" borderId="134" xfId="0" applyNumberFormat="1" applyFont="1" applyFill="1" applyBorder="1" applyAlignment="1" applyProtection="1">
      <alignment horizontal="right" wrapText="1"/>
      <protection hidden="1"/>
    </xf>
    <xf numFmtId="167" fontId="7" fillId="13" borderId="114" xfId="0" applyNumberFormat="1" applyFont="1" applyFill="1" applyBorder="1" applyAlignment="1" applyProtection="1">
      <alignment horizontal="right" wrapText="1"/>
      <protection locked="0"/>
    </xf>
    <xf numFmtId="3" fontId="7" fillId="13" borderId="111" xfId="0" applyNumberFormat="1" applyFont="1" applyFill="1" applyBorder="1" applyAlignment="1" applyProtection="1">
      <alignment horizontal="right" wrapText="1"/>
      <protection locked="0"/>
    </xf>
    <xf numFmtId="3" fontId="7" fillId="13" borderId="116" xfId="0" applyNumberFormat="1" applyFont="1" applyFill="1" applyBorder="1" applyAlignment="1" applyProtection="1">
      <alignment horizontal="right" wrapText="1"/>
      <protection locked="0"/>
    </xf>
    <xf numFmtId="167" fontId="4" fillId="13" borderId="130" xfId="0" applyNumberFormat="1" applyFont="1" applyFill="1" applyBorder="1" applyAlignment="1" applyProtection="1">
      <alignment wrapText="1"/>
      <protection hidden="1"/>
    </xf>
    <xf numFmtId="3" fontId="7" fillId="13" borderId="134" xfId="0" applyNumberFormat="1" applyFont="1" applyFill="1" applyBorder="1" applyAlignment="1" applyProtection="1">
      <alignment wrapText="1"/>
      <protection hidden="1"/>
    </xf>
    <xf numFmtId="167" fontId="7" fillId="13" borderId="114" xfId="0" applyNumberFormat="1" applyFont="1" applyFill="1" applyBorder="1" applyAlignment="1" applyProtection="1">
      <alignment wrapText="1"/>
      <protection locked="0"/>
    </xf>
    <xf numFmtId="3" fontId="7" fillId="13" borderId="111" xfId="0" applyNumberFormat="1" applyFont="1" applyFill="1" applyBorder="1" applyAlignment="1" applyProtection="1">
      <alignment wrapText="1"/>
      <protection locked="0"/>
    </xf>
    <xf numFmtId="167" fontId="7" fillId="13" borderId="138" xfId="0" applyNumberFormat="1" applyFont="1" applyFill="1" applyBorder="1" applyAlignment="1" applyProtection="1">
      <alignment wrapText="1"/>
      <protection hidden="1"/>
    </xf>
    <xf numFmtId="3" fontId="4" fillId="13" borderId="111" xfId="0" applyNumberFormat="1" applyFont="1" applyFill="1" applyBorder="1" applyAlignment="1" applyProtection="1">
      <alignment horizontal="right" wrapText="1"/>
      <protection locked="0"/>
    </xf>
    <xf numFmtId="3" fontId="7" fillId="13" borderId="111" xfId="0" applyNumberFormat="1" applyFont="1" applyFill="1" applyBorder="1" applyAlignment="1">
      <alignment wrapText="1"/>
    </xf>
    <xf numFmtId="3" fontId="4" fillId="13" borderId="111" xfId="0" applyNumberFormat="1" applyFont="1" applyFill="1" applyBorder="1" applyAlignment="1">
      <alignment wrapText="1"/>
    </xf>
    <xf numFmtId="3" fontId="7" fillId="13" borderId="134" xfId="0" applyNumberFormat="1" applyFont="1" applyFill="1" applyBorder="1" applyAlignment="1" applyProtection="1">
      <alignment horizontal="right" wrapText="1"/>
      <protection locked="0"/>
    </xf>
    <xf numFmtId="167" fontId="21" fillId="13" borderId="130" xfId="0" applyNumberFormat="1" applyFont="1" applyFill="1" applyBorder="1" applyAlignment="1" applyProtection="1">
      <alignment horizontal="right" wrapText="1"/>
      <protection hidden="1"/>
    </xf>
    <xf numFmtId="3" fontId="4" fillId="13" borderId="95" xfId="0" applyNumberFormat="1" applyFont="1" applyFill="1" applyBorder="1" applyAlignment="1" applyProtection="1">
      <alignment horizontal="right" wrapText="1"/>
      <protection hidden="1"/>
    </xf>
    <xf numFmtId="167" fontId="7" fillId="13" borderId="119" xfId="0" applyNumberFormat="1" applyFont="1" applyFill="1" applyBorder="1" applyAlignment="1" applyProtection="1">
      <alignment horizontal="right" wrapText="1"/>
      <protection hidden="1"/>
    </xf>
    <xf numFmtId="3" fontId="4" fillId="13" borderId="116" xfId="0" applyNumberFormat="1" applyFont="1" applyFill="1" applyBorder="1" applyAlignment="1" applyProtection="1">
      <alignment horizontal="right" wrapText="1"/>
      <protection hidden="1"/>
    </xf>
    <xf numFmtId="3" fontId="4" fillId="13" borderId="134" xfId="0" applyNumberFormat="1" applyFont="1" applyFill="1" applyBorder="1" applyAlignment="1" applyProtection="1">
      <alignment horizontal="center" wrapText="1"/>
      <protection hidden="1"/>
    </xf>
    <xf numFmtId="3" fontId="4" fillId="13" borderId="111" xfId="0" applyNumberFormat="1" applyFont="1" applyFill="1" applyBorder="1" applyAlignment="1" applyProtection="1">
      <alignment horizontal="center" wrapText="1"/>
      <protection locked="0"/>
    </xf>
    <xf numFmtId="3" fontId="4" fillId="13" borderId="116" xfId="0" applyNumberFormat="1" applyFont="1" applyFill="1" applyBorder="1" applyAlignment="1" applyProtection="1">
      <alignment horizontal="center" wrapText="1"/>
      <protection locked="0"/>
    </xf>
    <xf numFmtId="3" fontId="7" fillId="13" borderId="116" xfId="0" applyNumberFormat="1" applyFont="1" applyFill="1" applyBorder="1" applyAlignment="1" applyProtection="1">
      <alignment horizontal="right" wrapText="1"/>
      <protection hidden="1"/>
    </xf>
    <xf numFmtId="3" fontId="4" fillId="13" borderId="134" xfId="0" applyNumberFormat="1" applyFont="1" applyFill="1" applyBorder="1" applyAlignment="1" applyProtection="1">
      <alignment horizontal="center" wrapText="1"/>
      <protection locked="0"/>
    </xf>
    <xf numFmtId="167" fontId="21" fillId="13" borderId="150" xfId="0" applyNumberFormat="1" applyFont="1" applyFill="1" applyBorder="1" applyAlignment="1" applyProtection="1">
      <alignment horizontal="right" wrapText="1"/>
      <protection hidden="1"/>
    </xf>
    <xf numFmtId="167" fontId="4" fillId="13" borderId="134" xfId="0" applyNumberFormat="1" applyFont="1" applyFill="1" applyBorder="1" applyAlignment="1" applyProtection="1">
      <alignment horizontal="right" wrapText="1"/>
      <protection locked="0"/>
    </xf>
    <xf numFmtId="167" fontId="4" fillId="13" borderId="111" xfId="0" applyNumberFormat="1" applyFont="1" applyFill="1" applyBorder="1" applyAlignment="1" applyProtection="1">
      <alignment horizontal="right" wrapText="1"/>
      <protection locked="0"/>
    </xf>
    <xf numFmtId="3" fontId="4" fillId="13" borderId="134" xfId="0" applyNumberFormat="1" applyFont="1" applyFill="1" applyBorder="1" applyAlignment="1" applyProtection="1">
      <alignment horizontal="right" wrapText="1"/>
      <protection locked="0"/>
    </xf>
    <xf numFmtId="3" fontId="4" fillId="13" borderId="135" xfId="0" applyNumberFormat="1" applyFont="1" applyFill="1" applyBorder="1" applyAlignment="1" applyProtection="1">
      <alignment horizontal="right" wrapText="1"/>
      <protection locked="0"/>
    </xf>
    <xf numFmtId="167" fontId="4" fillId="13" borderId="97" xfId="0" applyNumberFormat="1" applyFont="1" applyFill="1" applyBorder="1" applyAlignment="1" applyProtection="1">
      <alignment horizontal="right" wrapText="1"/>
      <protection locked="0"/>
    </xf>
    <xf numFmtId="3" fontId="4" fillId="13" borderId="95" xfId="0" applyNumberFormat="1" applyFont="1" applyFill="1" applyBorder="1" applyAlignment="1" applyProtection="1">
      <alignment horizontal="center" wrapText="1"/>
      <protection hidden="1"/>
    </xf>
    <xf numFmtId="167" fontId="7" fillId="13" borderId="119" xfId="0" applyNumberFormat="1" applyFont="1" applyFill="1" applyBorder="1" applyAlignment="1" applyProtection="1">
      <alignment horizontal="right" wrapText="1"/>
      <protection locked="0"/>
    </xf>
    <xf numFmtId="3" fontId="4" fillId="13" borderId="95" xfId="0" applyNumberFormat="1" applyFont="1" applyFill="1" applyBorder="1" applyAlignment="1" applyProtection="1">
      <alignment horizontal="center" wrapText="1"/>
      <protection locked="0"/>
    </xf>
    <xf numFmtId="3" fontId="4" fillId="13" borderId="111" xfId="0" applyNumberFormat="1" applyFont="1" applyFill="1" applyBorder="1" applyAlignment="1" applyProtection="1">
      <alignment horizontal="right" wrapText="1"/>
      <protection hidden="1"/>
    </xf>
    <xf numFmtId="3" fontId="4" fillId="13" borderId="134" xfId="0" applyNumberFormat="1" applyFont="1" applyFill="1" applyBorder="1" applyAlignment="1" applyProtection="1">
      <alignment horizontal="right" wrapText="1"/>
      <protection hidden="1"/>
    </xf>
    <xf numFmtId="167" fontId="7" fillId="13" borderId="114" xfId="0" applyNumberFormat="1" applyFont="1" applyFill="1" applyBorder="1" applyAlignment="1" applyProtection="1">
      <alignment horizontal="right" wrapText="1"/>
      <protection hidden="1"/>
    </xf>
    <xf numFmtId="3" fontId="7" fillId="13" borderId="95" xfId="0" applyNumberFormat="1" applyFont="1" applyFill="1" applyBorder="1" applyAlignment="1" applyProtection="1">
      <alignment horizontal="right" wrapText="1"/>
      <protection hidden="1"/>
    </xf>
    <xf numFmtId="167" fontId="7" fillId="13" borderId="97" xfId="0" applyNumberFormat="1" applyFont="1" applyFill="1" applyBorder="1" applyAlignment="1" applyProtection="1">
      <alignment horizontal="right" wrapText="1"/>
      <protection hidden="1"/>
    </xf>
    <xf numFmtId="3" fontId="4" fillId="13" borderId="116" xfId="0" applyNumberFormat="1" applyFont="1" applyFill="1" applyBorder="1" applyAlignment="1" applyProtection="1">
      <alignment horizontal="right" wrapText="1"/>
      <protection locked="0"/>
    </xf>
    <xf numFmtId="3" fontId="7" fillId="13" borderId="95" xfId="0" applyNumberFormat="1" applyFont="1" applyFill="1" applyBorder="1" applyAlignment="1" applyProtection="1">
      <alignment horizontal="right" wrapText="1"/>
      <protection locked="0"/>
    </xf>
    <xf numFmtId="3" fontId="7" fillId="13" borderId="111" xfId="0" applyNumberFormat="1" applyFont="1" applyFill="1" applyBorder="1" applyAlignment="1" applyProtection="1">
      <alignment horizontal="right" wrapText="1"/>
      <protection hidden="1"/>
    </xf>
    <xf numFmtId="3" fontId="7" fillId="13" borderId="102" xfId="0" applyNumberFormat="1" applyFont="1" applyFill="1" applyBorder="1" applyAlignment="1" applyProtection="1">
      <alignment horizontal="right" wrapText="1"/>
      <protection hidden="1"/>
    </xf>
    <xf numFmtId="167" fontId="7" fillId="13" borderId="106" xfId="0" applyNumberFormat="1" applyFont="1" applyFill="1" applyBorder="1" applyAlignment="1" applyProtection="1">
      <alignment wrapText="1"/>
      <protection hidden="1"/>
    </xf>
    <xf numFmtId="167" fontId="7" fillId="13" borderId="103" xfId="0" applyNumberFormat="1" applyFont="1" applyFill="1" applyBorder="1" applyAlignment="1" applyProtection="1">
      <alignment wrapText="1"/>
      <protection hidden="1"/>
    </xf>
    <xf numFmtId="3" fontId="7" fillId="13" borderId="111" xfId="0" applyNumberFormat="1" applyFont="1" applyFill="1" applyBorder="1" applyAlignment="1" applyProtection="1">
      <alignment horizontal="center" wrapText="1"/>
      <protection locked="0"/>
    </xf>
    <xf numFmtId="3" fontId="7" fillId="13" borderId="116" xfId="0" applyNumberFormat="1" applyFont="1" applyFill="1" applyBorder="1" applyAlignment="1" applyProtection="1">
      <alignment horizontal="center" wrapText="1"/>
      <protection locked="0"/>
    </xf>
    <xf numFmtId="3" fontId="4" fillId="13" borderId="102" xfId="0" applyNumberFormat="1" applyFont="1" applyFill="1" applyBorder="1" applyAlignment="1" applyProtection="1">
      <alignment horizontal="right" wrapText="1"/>
      <protection hidden="1"/>
    </xf>
    <xf numFmtId="167" fontId="20" fillId="13" borderId="106" xfId="0" applyNumberFormat="1" applyFont="1" applyFill="1" applyBorder="1" applyAlignment="1" applyProtection="1">
      <alignment horizontal="right" wrapText="1"/>
      <protection hidden="1"/>
    </xf>
    <xf numFmtId="167" fontId="20" fillId="13" borderId="103" xfId="0" applyNumberFormat="1" applyFont="1" applyFill="1" applyBorder="1" applyAlignment="1" applyProtection="1">
      <alignment horizontal="right" wrapText="1"/>
      <protection hidden="1"/>
    </xf>
    <xf numFmtId="167" fontId="20" fillId="13" borderId="107" xfId="0" applyNumberFormat="1" applyFont="1" applyFill="1" applyBorder="1" applyAlignment="1" applyProtection="1">
      <alignment horizontal="right" wrapText="1"/>
      <protection hidden="1"/>
    </xf>
    <xf numFmtId="167" fontId="20" fillId="13" borderId="121" xfId="0" applyNumberFormat="1" applyFont="1" applyFill="1" applyBorder="1" applyAlignment="1" applyProtection="1">
      <alignment horizontal="right" wrapText="1"/>
      <protection hidden="1"/>
    </xf>
    <xf numFmtId="167" fontId="20" fillId="13" borderId="98" xfId="0" applyNumberFormat="1" applyFont="1" applyFill="1" applyBorder="1" applyAlignment="1" applyProtection="1">
      <alignment horizontal="right" wrapText="1"/>
      <protection hidden="1"/>
    </xf>
    <xf numFmtId="167" fontId="20" fillId="13" borderId="97" xfId="0" applyNumberFormat="1" applyFont="1" applyFill="1" applyBorder="1" applyAlignment="1" applyProtection="1">
      <alignment horizontal="right" wrapText="1"/>
      <protection hidden="1"/>
    </xf>
    <xf numFmtId="167" fontId="21" fillId="13" borderId="97" xfId="0" applyNumberFormat="1" applyFont="1" applyFill="1" applyBorder="1" applyAlignment="1" applyProtection="1">
      <alignment horizontal="right" wrapText="1"/>
      <protection hidden="1"/>
    </xf>
    <xf numFmtId="167" fontId="7" fillId="13" borderId="106" xfId="0" applyNumberFormat="1" applyFont="1" applyFill="1" applyBorder="1" applyAlignment="1" applyProtection="1">
      <alignment horizontal="right" wrapText="1"/>
      <protection hidden="1"/>
    </xf>
    <xf numFmtId="167" fontId="7" fillId="13" borderId="103" xfId="0" applyNumberFormat="1" applyFont="1" applyFill="1" applyBorder="1" applyAlignment="1" applyProtection="1">
      <alignment horizontal="right" wrapText="1"/>
      <protection hidden="1"/>
    </xf>
    <xf numFmtId="3" fontId="4" fillId="13" borderId="102" xfId="0" applyNumberFormat="1" applyFont="1" applyFill="1" applyBorder="1" applyAlignment="1">
      <alignment wrapText="1"/>
    </xf>
    <xf numFmtId="167" fontId="7" fillId="13" borderId="106" xfId="0" applyNumberFormat="1" applyFont="1" applyFill="1" applyBorder="1" applyAlignment="1">
      <alignment wrapText="1"/>
    </xf>
    <xf numFmtId="167" fontId="7" fillId="13" borderId="103" xfId="0" applyNumberFormat="1" applyFont="1" applyFill="1" applyBorder="1" applyAlignment="1">
      <alignment wrapText="1"/>
    </xf>
    <xf numFmtId="167" fontId="7" fillId="13" borderId="107" xfId="0" applyNumberFormat="1" applyFont="1" applyFill="1" applyBorder="1" applyAlignment="1">
      <alignment wrapText="1"/>
    </xf>
    <xf numFmtId="3" fontId="4" fillId="13" borderId="102" xfId="0" applyNumberFormat="1" applyFont="1" applyFill="1" applyBorder="1" applyAlignment="1" applyProtection="1">
      <alignment horizontal="center" wrapText="1"/>
      <protection hidden="1"/>
    </xf>
    <xf numFmtId="167" fontId="7" fillId="13" borderId="98" xfId="0" applyNumberFormat="1" applyFont="1" applyFill="1" applyBorder="1" applyAlignment="1" applyProtection="1">
      <alignment horizontal="right" wrapText="1"/>
      <protection hidden="1"/>
    </xf>
    <xf numFmtId="167" fontId="7" fillId="13" borderId="138" xfId="0" applyNumberFormat="1" applyFont="1" applyFill="1" applyBorder="1" applyAlignment="1" applyProtection="1">
      <alignment horizontal="right" wrapText="1"/>
      <protection hidden="1"/>
    </xf>
    <xf numFmtId="3" fontId="4" fillId="0" borderId="69" xfId="0" applyNumberFormat="1" applyFont="1" applyFill="1" applyBorder="1" applyAlignment="1" applyProtection="1">
      <alignment horizontal="right" wrapText="1"/>
      <protection hidden="1"/>
    </xf>
    <xf numFmtId="3" fontId="4" fillId="0" borderId="91" xfId="0" applyNumberFormat="1" applyFont="1" applyFill="1" applyBorder="1" applyAlignment="1" applyProtection="1">
      <alignment horizontal="right" wrapText="1"/>
      <protection hidden="1"/>
    </xf>
    <xf numFmtId="3" fontId="4" fillId="0" borderId="52" xfId="0" applyNumberFormat="1" applyFont="1" applyFill="1" applyBorder="1" applyAlignment="1" applyProtection="1">
      <alignment horizontal="right" wrapText="1"/>
      <protection hidden="1"/>
    </xf>
    <xf numFmtId="3" fontId="4" fillId="14" borderId="70" xfId="0" applyNumberFormat="1" applyFont="1" applyFill="1" applyBorder="1" applyAlignment="1" applyProtection="1">
      <alignment horizontal="center" wrapText="1"/>
      <protection hidden="1"/>
    </xf>
    <xf numFmtId="3" fontId="4" fillId="14" borderId="94" xfId="0" applyNumberFormat="1" applyFont="1" applyFill="1" applyBorder="1" applyAlignment="1" applyProtection="1">
      <alignment horizontal="center" wrapText="1"/>
      <protection hidden="1"/>
    </xf>
    <xf numFmtId="3" fontId="4" fillId="14" borderId="97" xfId="0" applyNumberFormat="1" applyFont="1" applyFill="1" applyBorder="1" applyAlignment="1" applyProtection="1">
      <alignment horizontal="center" wrapText="1"/>
      <protection hidden="1"/>
    </xf>
    <xf numFmtId="3" fontId="4" fillId="14" borderId="0" xfId="0" applyNumberFormat="1" applyFont="1" applyFill="1" applyBorder="1" applyAlignment="1" applyProtection="1">
      <alignment horizontal="center" wrapText="1"/>
      <protection hidden="1"/>
    </xf>
    <xf numFmtId="3" fontId="4" fillId="14" borderId="54" xfId="0" applyNumberFormat="1" applyFont="1" applyFill="1" applyBorder="1" applyAlignment="1" applyProtection="1">
      <alignment horizontal="center" wrapText="1"/>
      <protection hidden="1"/>
    </xf>
    <xf numFmtId="3" fontId="4" fillId="14" borderId="96" xfId="0" applyNumberFormat="1" applyFont="1" applyFill="1" applyBorder="1" applyAlignment="1" applyProtection="1">
      <alignment horizontal="center" wrapText="1"/>
      <protection hidden="1"/>
    </xf>
    <xf numFmtId="167" fontId="4" fillId="14" borderId="70" xfId="0" applyNumberFormat="1" applyFont="1" applyFill="1" applyBorder="1" applyAlignment="1" applyProtection="1">
      <alignment horizontal="center" wrapText="1"/>
      <protection hidden="1"/>
    </xf>
    <xf numFmtId="167" fontId="4" fillId="14" borderId="97" xfId="0" applyNumberFormat="1" applyFont="1" applyFill="1" applyBorder="1" applyAlignment="1" applyProtection="1">
      <alignment horizontal="center" wrapText="1"/>
      <protection hidden="1"/>
    </xf>
    <xf numFmtId="167" fontId="4" fillId="14" borderId="96" xfId="0" applyNumberFormat="1" applyFont="1" applyFill="1" applyBorder="1" applyAlignment="1" applyProtection="1">
      <alignment horizontal="center" wrapText="1"/>
      <protection hidden="1"/>
    </xf>
    <xf numFmtId="167" fontId="4" fillId="14" borderId="99" xfId="0" applyNumberFormat="1" applyFont="1" applyFill="1" applyBorder="1" applyAlignment="1" applyProtection="1">
      <alignment horizontal="center" wrapText="1"/>
      <protection hidden="1"/>
    </xf>
    <xf numFmtId="167" fontId="4" fillId="14" borderId="98" xfId="0" applyNumberFormat="1" applyFont="1" applyFill="1" applyBorder="1" applyAlignment="1" applyProtection="1">
      <alignment horizontal="center" wrapText="1"/>
      <protection hidden="1"/>
    </xf>
    <xf numFmtId="167" fontId="4" fillId="14" borderId="0" xfId="0" applyNumberFormat="1" applyFont="1" applyFill="1" applyBorder="1" applyAlignment="1" applyProtection="1">
      <alignment horizontal="center" wrapText="1"/>
      <protection hidden="1"/>
    </xf>
    <xf numFmtId="3" fontId="4" fillId="14" borderId="95" xfId="0" applyNumberFormat="1" applyFont="1" applyFill="1" applyBorder="1" applyAlignment="1" applyProtection="1">
      <alignment horizontal="center" wrapText="1"/>
      <protection hidden="1"/>
    </xf>
    <xf numFmtId="3" fontId="4" fillId="14" borderId="43" xfId="0" applyNumberFormat="1" applyFont="1" applyFill="1" applyBorder="1" applyAlignment="1" applyProtection="1">
      <alignment horizontal="center" wrapText="1"/>
      <protection hidden="1"/>
    </xf>
    <xf numFmtId="167" fontId="4" fillId="14" borderId="150" xfId="0" applyNumberFormat="1" applyFont="1" applyFill="1" applyBorder="1" applyAlignment="1" applyProtection="1">
      <alignment horizontal="center" wrapText="1"/>
      <protection hidden="1"/>
    </xf>
    <xf numFmtId="3" fontId="4" fillId="14" borderId="36" xfId="0" applyNumberFormat="1" applyFont="1" applyFill="1" applyBorder="1" applyAlignment="1" applyProtection="1">
      <alignment horizontal="center" wrapText="1"/>
      <protection hidden="1"/>
    </xf>
    <xf numFmtId="3" fontId="4" fillId="14" borderId="0" xfId="0" applyNumberFormat="1" applyFont="1" applyFill="1" applyAlignment="1">
      <alignment horizontal="center"/>
    </xf>
    <xf numFmtId="3" fontId="4" fillId="0" borderId="92" xfId="0" applyNumberFormat="1" applyFont="1" applyFill="1" applyBorder="1" applyAlignment="1" applyProtection="1">
      <alignment horizontal="right" wrapText="1"/>
      <protection hidden="1"/>
    </xf>
    <xf numFmtId="3" fontId="4" fillId="0" borderId="61" xfId="0" applyNumberFormat="1" applyFont="1" applyFill="1" applyBorder="1" applyAlignment="1" applyProtection="1">
      <alignment horizontal="right" wrapText="1"/>
      <protection hidden="1"/>
    </xf>
    <xf numFmtId="3" fontId="4" fillId="0" borderId="176" xfId="0" applyNumberFormat="1" applyFont="1" applyFill="1" applyBorder="1" applyAlignment="1" applyProtection="1">
      <alignment horizontal="right" wrapText="1"/>
      <protection hidden="1"/>
    </xf>
    <xf numFmtId="2" fontId="23" fillId="4" borderId="6" xfId="0" applyNumberFormat="1" applyFont="1" applyFill="1" applyBorder="1" applyAlignment="1">
      <alignment vertical="center" wrapText="1"/>
    </xf>
    <xf numFmtId="3" fontId="22" fillId="0" borderId="70" xfId="0" applyNumberFormat="1" applyFont="1" applyFill="1" applyBorder="1" applyAlignment="1">
      <alignment vertical="center" wrapText="1"/>
    </xf>
    <xf numFmtId="3" fontId="22" fillId="4" borderId="70" xfId="0" applyNumberFormat="1" applyFont="1" applyFill="1" applyBorder="1" applyAlignment="1">
      <alignment vertical="center" wrapText="1"/>
    </xf>
    <xf numFmtId="3" fontId="7" fillId="0" borderId="70" xfId="0" applyNumberFormat="1" applyFont="1" applyBorder="1"/>
    <xf numFmtId="3" fontId="4" fillId="0" borderId="70" xfId="0" applyNumberFormat="1" applyFont="1" applyBorder="1"/>
    <xf numFmtId="3" fontId="24" fillId="4" borderId="70" xfId="0" applyNumberFormat="1" applyFont="1" applyFill="1" applyBorder="1" applyAlignment="1">
      <alignment vertical="center" wrapText="1"/>
    </xf>
    <xf numFmtId="3" fontId="24" fillId="0" borderId="70" xfId="0" applyNumberFormat="1" applyFont="1" applyFill="1" applyBorder="1" applyAlignment="1">
      <alignment vertical="center" wrapText="1"/>
    </xf>
    <xf numFmtId="3" fontId="4" fillId="0" borderId="0" xfId="0" applyNumberFormat="1" applyFont="1" applyBorder="1" applyAlignment="1">
      <alignment horizontal="center" vertical="center"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0" xfId="0" applyFont="1" applyBorder="1" applyAlignment="1">
      <alignment horizontal="center" vertical="center" wrapText="1"/>
    </xf>
    <xf numFmtId="3" fontId="4" fillId="0" borderId="166" xfId="0" applyNumberFormat="1" applyFont="1" applyBorder="1" applyAlignment="1" applyProtection="1">
      <alignment horizontal="center" wrapText="1"/>
      <protection hidden="1"/>
    </xf>
    <xf numFmtId="3" fontId="4" fillId="0" borderId="149" xfId="0" applyNumberFormat="1" applyFont="1" applyBorder="1" applyAlignment="1" applyProtection="1">
      <alignment horizontal="center" wrapText="1"/>
      <protection hidden="1"/>
    </xf>
    <xf numFmtId="3" fontId="4" fillId="0" borderId="105" xfId="0" applyNumberFormat="1" applyFont="1" applyBorder="1" applyAlignment="1" applyProtection="1">
      <alignment horizontal="center" wrapText="1"/>
      <protection hidden="1"/>
    </xf>
    <xf numFmtId="3" fontId="6" fillId="13" borderId="101" xfId="0" applyNumberFormat="1" applyFont="1" applyFill="1" applyBorder="1" applyAlignment="1" applyProtection="1">
      <alignment horizontal="center" vertical="center" wrapText="1"/>
      <protection hidden="1"/>
    </xf>
    <xf numFmtId="3" fontId="6" fillId="0" borderId="101" xfId="0" applyNumberFormat="1" applyFont="1" applyFill="1" applyBorder="1" applyAlignment="1" applyProtection="1">
      <alignment horizontal="center" vertical="center" wrapText="1"/>
      <protection hidden="1"/>
    </xf>
    <xf numFmtId="3" fontId="42" fillId="0" borderId="6" xfId="0" applyNumberFormat="1" applyFont="1" applyBorder="1"/>
    <xf numFmtId="3" fontId="7" fillId="0" borderId="21" xfId="0" applyNumberFormat="1" applyFont="1" applyFill="1" applyBorder="1" applyAlignment="1">
      <alignment vertical="center" wrapText="1"/>
    </xf>
    <xf numFmtId="3" fontId="4" fillId="0" borderId="15" xfId="0" applyNumberFormat="1" applyFont="1" applyFill="1" applyBorder="1"/>
    <xf numFmtId="3" fontId="4" fillId="0" borderId="3" xfId="0" applyNumberFormat="1" applyFont="1" applyFill="1" applyBorder="1"/>
    <xf numFmtId="3" fontId="4" fillId="0" borderId="4" xfId="0" applyNumberFormat="1" applyFont="1" applyFill="1" applyBorder="1"/>
    <xf numFmtId="3" fontId="7" fillId="0" borderId="41" xfId="0" applyNumberFormat="1" applyFont="1" applyFill="1" applyBorder="1"/>
    <xf numFmtId="3" fontId="4" fillId="0" borderId="6" xfId="0" applyNumberFormat="1" applyFont="1" applyFill="1" applyBorder="1"/>
    <xf numFmtId="3" fontId="4" fillId="0" borderId="24" xfId="0" applyNumberFormat="1" applyFont="1" applyFill="1" applyBorder="1"/>
    <xf numFmtId="3" fontId="7" fillId="0" borderId="19" xfId="0" applyNumberFormat="1" applyFont="1" applyFill="1" applyBorder="1"/>
    <xf numFmtId="3" fontId="7" fillId="0" borderId="14" xfId="0" applyNumberFormat="1" applyFont="1" applyFill="1" applyBorder="1"/>
    <xf numFmtId="3" fontId="4" fillId="0" borderId="14" xfId="0" applyNumberFormat="1" applyFont="1" applyFill="1" applyBorder="1"/>
    <xf numFmtId="3" fontId="4" fillId="0" borderId="28" xfId="0" applyNumberFormat="1" applyFont="1" applyFill="1" applyBorder="1"/>
    <xf numFmtId="0" fontId="48" fillId="0" borderId="40" xfId="30" applyFont="1" applyFill="1" applyBorder="1" applyAlignment="1">
      <alignment horizontal="left" vertical="center" wrapText="1"/>
    </xf>
    <xf numFmtId="3" fontId="4" fillId="0" borderId="19" xfId="0" applyNumberFormat="1" applyFont="1" applyBorder="1"/>
    <xf numFmtId="167" fontId="45" fillId="13" borderId="110" xfId="0" applyNumberFormat="1" applyFont="1" applyFill="1" applyBorder="1" applyAlignment="1" applyProtection="1">
      <alignment horizontal="right" wrapText="1"/>
      <protection locked="0"/>
    </xf>
    <xf numFmtId="167" fontId="45" fillId="13" borderId="110" xfId="0" applyNumberFormat="1" applyFont="1" applyFill="1" applyBorder="1" applyAlignment="1" applyProtection="1">
      <alignment wrapText="1"/>
      <protection locked="0"/>
    </xf>
    <xf numFmtId="3" fontId="42" fillId="13" borderId="146" xfId="0" applyNumberFormat="1" applyFont="1" applyFill="1" applyBorder="1" applyAlignment="1" applyProtection="1">
      <alignment wrapText="1"/>
      <protection locked="0"/>
    </xf>
    <xf numFmtId="3" fontId="42" fillId="13" borderId="107" xfId="0" applyNumberFormat="1" applyFont="1" applyFill="1" applyBorder="1" applyAlignment="1" applyProtection="1">
      <alignment wrapText="1"/>
      <protection locked="0"/>
    </xf>
    <xf numFmtId="3" fontId="42" fillId="13" borderId="145" xfId="0" applyNumberFormat="1" applyFont="1" applyFill="1" applyBorder="1" applyAlignment="1" applyProtection="1">
      <alignment horizontal="right" wrapText="1"/>
      <protection locked="0"/>
    </xf>
    <xf numFmtId="3" fontId="4" fillId="13" borderId="126" xfId="0" applyNumberFormat="1" applyFont="1" applyFill="1" applyBorder="1" applyAlignment="1" applyProtection="1">
      <alignment horizontal="right" wrapText="1"/>
      <protection hidden="1"/>
    </xf>
    <xf numFmtId="3" fontId="7" fillId="0" borderId="107" xfId="0" applyNumberFormat="1" applyFont="1" applyBorder="1" applyAlignment="1" applyProtection="1">
      <alignment wrapText="1"/>
      <protection locked="0"/>
    </xf>
    <xf numFmtId="0" fontId="13" fillId="0" borderId="177" xfId="6" applyFont="1" applyBorder="1" applyAlignment="1">
      <alignment wrapText="1"/>
    </xf>
    <xf numFmtId="3" fontId="7" fillId="0" borderId="123" xfId="0" applyNumberFormat="1" applyFont="1" applyFill="1" applyBorder="1" applyAlignment="1" applyProtection="1">
      <alignment horizontal="center" wrapText="1"/>
      <protection locked="0"/>
    </xf>
    <xf numFmtId="3" fontId="25" fillId="4" borderId="14" xfId="0" applyNumberFormat="1" applyFont="1" applyFill="1" applyBorder="1" applyAlignment="1">
      <alignment vertical="center" wrapText="1"/>
    </xf>
    <xf numFmtId="3" fontId="25" fillId="4" borderId="41" xfId="0" applyNumberFormat="1" applyFont="1" applyFill="1" applyBorder="1" applyAlignment="1">
      <alignment vertical="center" wrapText="1"/>
    </xf>
    <xf numFmtId="3" fontId="7" fillId="0" borderId="6" xfId="9" applyNumberFormat="1" applyFont="1" applyBorder="1" applyAlignment="1">
      <alignment horizontal="right" vertical="center" wrapText="1"/>
    </xf>
    <xf numFmtId="0" fontId="7" fillId="0" borderId="27" xfId="0" applyFont="1" applyBorder="1" applyAlignment="1">
      <alignment horizontal="justify" vertical="center"/>
    </xf>
    <xf numFmtId="0" fontId="7" fillId="0" borderId="14" xfId="0" applyFont="1" applyBorder="1" applyAlignment="1">
      <alignment horizontal="center" vertical="center"/>
    </xf>
    <xf numFmtId="164" fontId="7" fillId="0" borderId="14" xfId="0" applyNumberFormat="1" applyFont="1" applyBorder="1" applyAlignment="1">
      <alignment horizontal="right"/>
    </xf>
    <xf numFmtId="0" fontId="7" fillId="0" borderId="28" xfId="0" applyFont="1" applyBorder="1" applyAlignment="1">
      <alignment horizontal="center" vertical="center"/>
    </xf>
    <xf numFmtId="0" fontId="7" fillId="0" borderId="28" xfId="0" applyFont="1" applyBorder="1" applyAlignment="1">
      <alignment horizontal="center" vertical="center" wrapText="1"/>
    </xf>
    <xf numFmtId="167" fontId="6" fillId="13" borderId="61" xfId="0" applyNumberFormat="1" applyFont="1" applyFill="1" applyBorder="1" applyAlignment="1" applyProtection="1">
      <alignment horizontal="right" wrapText="1"/>
      <protection hidden="1"/>
    </xf>
    <xf numFmtId="167" fontId="6" fillId="13" borderId="107" xfId="0" applyNumberFormat="1" applyFont="1" applyFill="1" applyBorder="1" applyAlignment="1" applyProtection="1">
      <alignment horizontal="right" wrapText="1"/>
      <protection locked="0"/>
    </xf>
    <xf numFmtId="3" fontId="6" fillId="13" borderId="150" xfId="0" applyNumberFormat="1" applyFont="1" applyFill="1" applyBorder="1" applyAlignment="1" applyProtection="1">
      <alignment horizontal="right" wrapText="1"/>
      <protection hidden="1"/>
    </xf>
    <xf numFmtId="167" fontId="6" fillId="13" borderId="150" xfId="0" applyNumberFormat="1" applyFont="1" applyFill="1" applyBorder="1" applyAlignment="1" applyProtection="1">
      <alignment horizontal="right" wrapText="1"/>
      <protection hidden="1"/>
    </xf>
    <xf numFmtId="167" fontId="5" fillId="13" borderId="94" xfId="0" applyNumberFormat="1" applyFont="1" applyFill="1" applyBorder="1" applyAlignment="1" applyProtection="1">
      <alignment horizontal="right" wrapText="1"/>
      <protection hidden="1"/>
    </xf>
    <xf numFmtId="167" fontId="5" fillId="13" borderId="99" xfId="0" applyNumberFormat="1" applyFont="1" applyFill="1" applyBorder="1" applyAlignment="1" applyProtection="1">
      <alignment horizontal="right" wrapText="1"/>
      <protection hidden="1"/>
    </xf>
    <xf numFmtId="167" fontId="5" fillId="13" borderId="95" xfId="0" applyNumberFormat="1" applyFont="1" applyFill="1" applyBorder="1" applyAlignment="1" applyProtection="1">
      <alignment horizontal="right" wrapText="1"/>
      <protection hidden="1"/>
    </xf>
    <xf numFmtId="0" fontId="4" fillId="0" borderId="38" xfId="0" applyFont="1" applyBorder="1" applyAlignment="1">
      <alignment horizontal="center" vertical="center" wrapText="1"/>
    </xf>
    <xf numFmtId="3" fontId="4" fillId="0" borderId="6" xfId="0" applyNumberFormat="1" applyFont="1" applyBorder="1"/>
    <xf numFmtId="3" fontId="4" fillId="0" borderId="23" xfId="0" applyNumberFormat="1" applyFont="1" applyFill="1" applyBorder="1" applyAlignment="1">
      <alignment horizontal="right" vertical="center" wrapText="1"/>
    </xf>
    <xf numFmtId="0" fontId="7" fillId="0" borderId="2" xfId="0" applyFont="1" applyFill="1" applyBorder="1" applyAlignment="1">
      <alignment vertical="center" wrapText="1"/>
    </xf>
    <xf numFmtId="3" fontId="7" fillId="0" borderId="15" xfId="0" applyNumberFormat="1" applyFont="1" applyBorder="1" applyAlignment="1"/>
    <xf numFmtId="3" fontId="7" fillId="0" borderId="3" xfId="0" applyNumberFormat="1" applyFont="1" applyBorder="1" applyAlignment="1"/>
    <xf numFmtId="3" fontId="18" fillId="0" borderId="73" xfId="0" applyNumberFormat="1" applyFont="1" applyBorder="1" applyAlignment="1">
      <alignment horizontal="center" vertical="center" wrapText="1"/>
    </xf>
    <xf numFmtId="3" fontId="4" fillId="0" borderId="16" xfId="0" applyNumberFormat="1" applyFont="1" applyBorder="1"/>
    <xf numFmtId="3" fontId="4" fillId="0" borderId="16" xfId="0" applyNumberFormat="1" applyFont="1" applyBorder="1" applyAlignment="1"/>
    <xf numFmtId="3" fontId="7" fillId="0" borderId="2" xfId="0" applyNumberFormat="1" applyFont="1" applyBorder="1"/>
    <xf numFmtId="0" fontId="4" fillId="0" borderId="25" xfId="0" applyFont="1" applyBorder="1" applyAlignment="1">
      <alignment horizontal="center" vertical="center"/>
    </xf>
    <xf numFmtId="0" fontId="4" fillId="0" borderId="26" xfId="0" applyFont="1" applyBorder="1" applyAlignment="1">
      <alignment horizontal="center" vertical="center"/>
    </xf>
    <xf numFmtId="3" fontId="4" fillId="0" borderId="38" xfId="0" applyNumberFormat="1" applyFont="1" applyFill="1" applyBorder="1" applyAlignment="1">
      <alignment wrapText="1"/>
    </xf>
    <xf numFmtId="3" fontId="4" fillId="0" borderId="25" xfId="0" applyNumberFormat="1" applyFont="1" applyFill="1" applyBorder="1" applyAlignment="1">
      <alignment wrapText="1"/>
    </xf>
    <xf numFmtId="3" fontId="4" fillId="0" borderId="26" xfId="0" applyNumberFormat="1" applyFont="1" applyFill="1" applyBorder="1" applyAlignment="1">
      <alignment wrapText="1"/>
    </xf>
    <xf numFmtId="3" fontId="7" fillId="0" borderId="5" xfId="0" applyNumberFormat="1" applyFont="1" applyBorder="1" applyAlignment="1"/>
    <xf numFmtId="3" fontId="7" fillId="0" borderId="41" xfId="0" applyNumberFormat="1" applyFont="1" applyBorder="1" applyAlignment="1"/>
    <xf numFmtId="3" fontId="4" fillId="0" borderId="63" xfId="0" applyNumberFormat="1" applyFont="1" applyBorder="1" applyAlignment="1"/>
    <xf numFmtId="3" fontId="7" fillId="0" borderId="27" xfId="0" applyNumberFormat="1" applyFont="1" applyBorder="1" applyAlignment="1"/>
    <xf numFmtId="3" fontId="4" fillId="0" borderId="37" xfId="0" applyNumberFormat="1" applyFont="1" applyBorder="1" applyAlignment="1"/>
    <xf numFmtId="3" fontId="4" fillId="0" borderId="73" xfId="0" applyNumberFormat="1" applyFont="1" applyBorder="1" applyAlignment="1"/>
    <xf numFmtId="3" fontId="4" fillId="0" borderId="25" xfId="0" applyNumberFormat="1" applyFont="1" applyBorder="1" applyAlignment="1"/>
    <xf numFmtId="3" fontId="7" fillId="0" borderId="2" xfId="0" applyNumberFormat="1" applyFont="1" applyBorder="1" applyAlignment="1"/>
    <xf numFmtId="3" fontId="7" fillId="0" borderId="22" xfId="0" applyNumberFormat="1" applyFont="1" applyBorder="1" applyAlignment="1"/>
    <xf numFmtId="3" fontId="7" fillId="0" borderId="20" xfId="0" applyNumberFormat="1" applyFont="1" applyBorder="1" applyAlignment="1"/>
    <xf numFmtId="3" fontId="7" fillId="0" borderId="19" xfId="0" applyNumberFormat="1" applyFont="1" applyBorder="1" applyAlignment="1"/>
    <xf numFmtId="3" fontId="4" fillId="0" borderId="79" xfId="0" applyNumberFormat="1" applyFont="1" applyBorder="1" applyAlignment="1"/>
    <xf numFmtId="3" fontId="4" fillId="0" borderId="57" xfId="0" applyNumberFormat="1" applyFont="1" applyBorder="1" applyAlignment="1"/>
    <xf numFmtId="3" fontId="4" fillId="0" borderId="1" xfId="0" applyNumberFormat="1" applyFont="1" applyBorder="1" applyAlignment="1"/>
    <xf numFmtId="3" fontId="4" fillId="0" borderId="64" xfId="0" applyNumberFormat="1" applyFont="1" applyBorder="1" applyAlignment="1"/>
    <xf numFmtId="3" fontId="7" fillId="0" borderId="23" xfId="0" applyNumberFormat="1" applyFont="1" applyFill="1" applyBorder="1" applyAlignment="1">
      <alignment wrapText="1"/>
    </xf>
    <xf numFmtId="3" fontId="7" fillId="0" borderId="3" xfId="0" applyNumberFormat="1" applyFont="1" applyFill="1" applyBorder="1" applyAlignment="1">
      <alignment wrapText="1"/>
    </xf>
    <xf numFmtId="3" fontId="7" fillId="0" borderId="17" xfId="9" applyNumberFormat="1" applyFont="1" applyFill="1" applyBorder="1" applyAlignment="1">
      <alignment wrapText="1"/>
    </xf>
    <xf numFmtId="3" fontId="7" fillId="0" borderId="6" xfId="9" applyNumberFormat="1" applyFont="1" applyFill="1" applyBorder="1" applyAlignment="1">
      <alignment wrapText="1"/>
    </xf>
    <xf numFmtId="3" fontId="4" fillId="0" borderId="23" xfId="0" applyNumberFormat="1" applyFont="1" applyFill="1" applyBorder="1" applyAlignment="1">
      <alignment wrapText="1"/>
    </xf>
    <xf numFmtId="3" fontId="4" fillId="0" borderId="3" xfId="0" applyNumberFormat="1" applyFont="1" applyFill="1" applyBorder="1" applyAlignment="1">
      <alignment wrapText="1"/>
    </xf>
    <xf numFmtId="3" fontId="7" fillId="0" borderId="17" xfId="9" applyNumberFormat="1" applyFont="1" applyBorder="1" applyAlignment="1">
      <alignment wrapText="1"/>
    </xf>
    <xf numFmtId="3" fontId="7" fillId="0" borderId="6" xfId="9" applyNumberFormat="1" applyFont="1" applyBorder="1" applyAlignment="1">
      <alignment wrapText="1"/>
    </xf>
    <xf numFmtId="3" fontId="7" fillId="0" borderId="21" xfId="9" applyNumberFormat="1" applyFont="1" applyBorder="1" applyAlignment="1">
      <alignment wrapText="1"/>
    </xf>
    <xf numFmtId="3" fontId="7" fillId="0" borderId="20" xfId="9" applyNumberFormat="1" applyFont="1" applyBorder="1" applyAlignment="1">
      <alignment wrapText="1"/>
    </xf>
    <xf numFmtId="3" fontId="7" fillId="0" borderId="18" xfId="9" applyNumberFormat="1" applyFont="1" applyBorder="1" applyAlignment="1">
      <alignment wrapText="1"/>
    </xf>
    <xf numFmtId="3" fontId="7" fillId="0" borderId="14" xfId="9" applyNumberFormat="1" applyFont="1" applyBorder="1" applyAlignment="1">
      <alignment wrapText="1"/>
    </xf>
    <xf numFmtId="3" fontId="4" fillId="0" borderId="0"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7" fillId="0" borderId="0" xfId="0" applyFont="1" applyAlignment="1">
      <alignment horizontal="center" vertical="center" wrapText="1"/>
    </xf>
    <xf numFmtId="0" fontId="4" fillId="0" borderId="0" xfId="0" applyFont="1" applyAlignment="1">
      <alignment horizontal="center" vertical="center" wrapText="1"/>
    </xf>
    <xf numFmtId="3" fontId="4" fillId="0" borderId="6" xfId="0" applyNumberFormat="1" applyFont="1" applyBorder="1" applyAlignment="1">
      <alignment horizontal="center" vertical="center" wrapText="1"/>
    </xf>
    <xf numFmtId="3" fontId="4" fillId="0" borderId="6" xfId="0" applyNumberFormat="1" applyFont="1" applyBorder="1" applyAlignment="1">
      <alignment horizontal="right"/>
    </xf>
    <xf numFmtId="0" fontId="4" fillId="0" borderId="6" xfId="0" applyFont="1" applyBorder="1" applyAlignment="1">
      <alignment vertical="center" wrapText="1"/>
    </xf>
    <xf numFmtId="16" fontId="7" fillId="0" borderId="6" xfId="0" applyNumberFormat="1" applyFont="1" applyBorder="1" applyAlignment="1">
      <alignment horizontal="center" vertical="center" wrapText="1"/>
    </xf>
    <xf numFmtId="3" fontId="4" fillId="0" borderId="0" xfId="0" applyNumberFormat="1" applyFont="1" applyAlignment="1">
      <alignment horizontal="left" vertical="center" wrapText="1"/>
    </xf>
    <xf numFmtId="3" fontId="4" fillId="0" borderId="0" xfId="0" applyNumberFormat="1" applyFont="1" applyAlignment="1">
      <alignment horizontal="right" vertical="center" wrapText="1"/>
    </xf>
    <xf numFmtId="3" fontId="4" fillId="0" borderId="0" xfId="0" applyNumberFormat="1" applyFont="1" applyBorder="1" applyAlignment="1">
      <alignment horizontal="left" vertical="center" wrapText="1"/>
    </xf>
    <xf numFmtId="3" fontId="7" fillId="0" borderId="0" xfId="0" applyNumberFormat="1" applyFont="1" applyBorder="1" applyAlignment="1">
      <alignment horizontal="left" vertical="center" wrapText="1"/>
    </xf>
    <xf numFmtId="3" fontId="7" fillId="0" borderId="0" xfId="0" applyNumberFormat="1" applyFont="1" applyAlignment="1">
      <alignment horizontal="left" vertical="center" wrapText="1"/>
    </xf>
    <xf numFmtId="2" fontId="4" fillId="0" borderId="37" xfId="0" applyNumberFormat="1" applyFont="1" applyFill="1" applyBorder="1" applyAlignment="1">
      <alignment horizontal="center" vertical="center" wrapText="1"/>
    </xf>
    <xf numFmtId="2" fontId="4" fillId="0" borderId="13" xfId="0" applyNumberFormat="1" applyFont="1" applyFill="1" applyBorder="1" applyAlignment="1">
      <alignment horizontal="center" vertical="center" wrapText="1"/>
    </xf>
    <xf numFmtId="164" fontId="18" fillId="0" borderId="25" xfId="0" applyNumberFormat="1" applyFont="1" applyFill="1" applyBorder="1" applyAlignment="1">
      <alignment horizontal="center" vertical="center" wrapText="1"/>
    </xf>
    <xf numFmtId="164" fontId="18" fillId="0" borderId="13" xfId="0" applyNumberFormat="1" applyFont="1" applyFill="1" applyBorder="1" applyAlignment="1">
      <alignment horizontal="center" vertical="center" wrapText="1"/>
    </xf>
    <xf numFmtId="164" fontId="18" fillId="0" borderId="26" xfId="0" applyNumberFormat="1" applyFont="1" applyFill="1" applyBorder="1" applyAlignment="1">
      <alignment horizontal="center" vertical="center" wrapText="1"/>
    </xf>
    <xf numFmtId="164" fontId="18" fillId="0" borderId="57" xfId="0" applyNumberFormat="1" applyFont="1" applyFill="1" applyBorder="1" applyAlignment="1">
      <alignment horizontal="center" vertical="center" wrapText="1"/>
    </xf>
    <xf numFmtId="164" fontId="18" fillId="0" borderId="1" xfId="0" applyNumberFormat="1" applyFont="1" applyFill="1" applyBorder="1" applyAlignment="1">
      <alignment horizontal="center" vertical="center" wrapText="1"/>
    </xf>
    <xf numFmtId="0" fontId="15" fillId="0" borderId="25" xfId="0" applyFont="1" applyFill="1" applyBorder="1" applyAlignment="1">
      <alignment horizontal="center" vertical="center" wrapText="1"/>
    </xf>
    <xf numFmtId="2" fontId="6" fillId="0" borderId="37" xfId="0" applyNumberFormat="1" applyFont="1" applyFill="1" applyBorder="1"/>
    <xf numFmtId="0" fontId="15" fillId="0" borderId="56" xfId="0" applyFont="1" applyBorder="1" applyAlignment="1">
      <alignment horizontal="center" vertical="center"/>
    </xf>
    <xf numFmtId="0" fontId="15" fillId="0" borderId="2" xfId="0" applyFont="1" applyBorder="1" applyAlignment="1">
      <alignment horizontal="center" vertical="center"/>
    </xf>
    <xf numFmtId="2" fontId="15" fillId="0" borderId="48" xfId="0" applyNumberFormat="1" applyFont="1" applyFill="1" applyBorder="1"/>
    <xf numFmtId="0" fontId="15" fillId="0" borderId="5" xfId="0" applyFont="1" applyBorder="1" applyAlignment="1">
      <alignment horizontal="center" vertical="center" wrapText="1"/>
    </xf>
    <xf numFmtId="2" fontId="15" fillId="0" borderId="6" xfId="0" applyNumberFormat="1" applyFont="1" applyFill="1" applyBorder="1"/>
    <xf numFmtId="0" fontId="15" fillId="0" borderId="42" xfId="0" applyFont="1" applyBorder="1" applyAlignment="1">
      <alignment vertical="center" wrapText="1"/>
    </xf>
    <xf numFmtId="165" fontId="6" fillId="0" borderId="20" xfId="0" applyNumberFormat="1" applyFont="1" applyFill="1" applyBorder="1"/>
    <xf numFmtId="2" fontId="15" fillId="0" borderId="22" xfId="0" applyNumberFormat="1" applyFont="1" applyFill="1" applyBorder="1"/>
    <xf numFmtId="0" fontId="15" fillId="0" borderId="7" xfId="0" applyFont="1" applyBorder="1" applyAlignment="1">
      <alignment horizontal="center" vertical="center"/>
    </xf>
    <xf numFmtId="0" fontId="15" fillId="0" borderId="56" xfId="0" applyFont="1" applyBorder="1" applyAlignment="1">
      <alignment horizontal="center" vertical="center" wrapText="1"/>
    </xf>
    <xf numFmtId="2" fontId="6" fillId="0" borderId="13" xfId="0" applyNumberFormat="1" applyFont="1" applyFill="1" applyBorder="1"/>
    <xf numFmtId="0" fontId="15" fillId="0" borderId="2" xfId="0" applyFont="1" applyFill="1" applyBorder="1" applyAlignment="1">
      <alignment horizontal="center" vertical="center"/>
    </xf>
    <xf numFmtId="0" fontId="15" fillId="0" borderId="7" xfId="0" applyFont="1" applyFill="1" applyBorder="1" applyAlignment="1">
      <alignment horizontal="center" vertical="center"/>
    </xf>
    <xf numFmtId="2" fontId="15" fillId="0" borderId="8" xfId="0" applyNumberFormat="1" applyFont="1" applyFill="1" applyBorder="1"/>
    <xf numFmtId="2" fontId="6" fillId="0" borderId="57" xfId="0" applyNumberFormat="1" applyFont="1" applyFill="1" applyBorder="1"/>
    <xf numFmtId="2" fontId="6" fillId="0" borderId="48" xfId="0" applyNumberFormat="1" applyFont="1" applyFill="1" applyBorder="1"/>
    <xf numFmtId="165" fontId="6" fillId="0" borderId="34" xfId="0" applyNumberFormat="1" applyFont="1" applyFill="1" applyBorder="1"/>
    <xf numFmtId="0" fontId="6" fillId="0" borderId="5" xfId="0" applyFont="1" applyBorder="1" applyAlignment="1">
      <alignment horizontal="center" vertical="center"/>
    </xf>
    <xf numFmtId="0" fontId="15" fillId="0" borderId="5" xfId="0" applyFont="1" applyBorder="1" applyAlignment="1">
      <alignment horizontal="center" vertical="center"/>
    </xf>
    <xf numFmtId="165" fontId="15" fillId="0" borderId="24" xfId="0" applyNumberFormat="1" applyFont="1" applyFill="1" applyBorder="1"/>
    <xf numFmtId="2" fontId="15" fillId="0" borderId="41" xfId="0" applyNumberFormat="1" applyFont="1" applyFill="1" applyBorder="1"/>
    <xf numFmtId="0" fontId="16" fillId="0" borderId="7" xfId="0" applyFont="1" applyBorder="1" applyAlignment="1">
      <alignment horizontal="center" vertical="center"/>
    </xf>
    <xf numFmtId="165" fontId="6" fillId="0" borderId="37" xfId="0" applyNumberFormat="1" applyFont="1" applyFill="1" applyBorder="1"/>
    <xf numFmtId="2" fontId="15" fillId="0" borderId="13" xfId="0" applyNumberFormat="1" applyFont="1" applyFill="1" applyBorder="1"/>
    <xf numFmtId="165" fontId="6" fillId="0" borderId="47" xfId="0" applyNumberFormat="1" applyFont="1" applyFill="1" applyBorder="1"/>
    <xf numFmtId="2" fontId="15" fillId="0" borderId="47" xfId="0" applyNumberFormat="1" applyFont="1" applyFill="1" applyBorder="1"/>
    <xf numFmtId="165" fontId="15" fillId="0" borderId="47" xfId="0" applyNumberFormat="1" applyFont="1" applyFill="1" applyBorder="1"/>
    <xf numFmtId="164" fontId="18" fillId="0" borderId="59" xfId="0" applyNumberFormat="1" applyFont="1" applyFill="1" applyBorder="1" applyAlignment="1">
      <alignment horizontal="center" vertical="center" wrapText="1"/>
    </xf>
    <xf numFmtId="165" fontId="6" fillId="0" borderId="31" xfId="0" applyNumberFormat="1" applyFont="1" applyFill="1" applyBorder="1"/>
    <xf numFmtId="165" fontId="7" fillId="0" borderId="17" xfId="0" applyNumberFormat="1" applyFont="1" applyFill="1" applyBorder="1"/>
    <xf numFmtId="165" fontId="7" fillId="0" borderId="18" xfId="0" applyNumberFormat="1" applyFont="1" applyFill="1" applyBorder="1"/>
    <xf numFmtId="165" fontId="4" fillId="0" borderId="38" xfId="0" applyNumberFormat="1" applyFont="1" applyFill="1" applyBorder="1"/>
    <xf numFmtId="165" fontId="7" fillId="0" borderId="44" xfId="0" applyNumberFormat="1" applyFont="1" applyFill="1" applyBorder="1"/>
    <xf numFmtId="165" fontId="7" fillId="0" borderId="58" xfId="0" applyNumberFormat="1" applyFont="1" applyFill="1" applyBorder="1"/>
    <xf numFmtId="165" fontId="4" fillId="0" borderId="23" xfId="0" applyNumberFormat="1" applyFont="1" applyFill="1" applyBorder="1"/>
    <xf numFmtId="0" fontId="4" fillId="0" borderId="15" xfId="0" applyFont="1" applyBorder="1" applyAlignment="1">
      <alignment vertical="center" wrapText="1"/>
    </xf>
    <xf numFmtId="0" fontId="4" fillId="0" borderId="19" xfId="0" applyFont="1" applyBorder="1" applyAlignment="1">
      <alignment vertical="center" wrapText="1"/>
    </xf>
    <xf numFmtId="0" fontId="7" fillId="0" borderId="41" xfId="0" applyFont="1" applyBorder="1" applyAlignment="1">
      <alignment vertical="center" wrapText="1"/>
    </xf>
    <xf numFmtId="3" fontId="4" fillId="0" borderId="11"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7" fillId="0" borderId="178" xfId="0" applyNumberFormat="1" applyFont="1" applyBorder="1" applyAlignment="1" applyProtection="1">
      <alignment wrapText="1"/>
      <protection locked="0"/>
    </xf>
    <xf numFmtId="0" fontId="43" fillId="0" borderId="107" xfId="0" applyFont="1" applyFill="1" applyBorder="1"/>
    <xf numFmtId="0" fontId="7" fillId="0" borderId="63" xfId="0" applyFont="1" applyFill="1" applyBorder="1" applyAlignment="1">
      <alignment horizontal="left" wrapText="1"/>
    </xf>
    <xf numFmtId="0" fontId="7" fillId="0" borderId="5" xfId="0" applyFont="1" applyBorder="1" applyAlignment="1">
      <alignment horizontal="left"/>
    </xf>
    <xf numFmtId="0" fontId="4" fillId="0" borderId="63" xfId="0" applyFont="1" applyBorder="1" applyAlignment="1">
      <alignment horizontal="left" wrapText="1"/>
    </xf>
    <xf numFmtId="0" fontId="4" fillId="0" borderId="63" xfId="0" applyFont="1" applyFill="1" applyBorder="1" applyAlignment="1">
      <alignment horizontal="left" wrapText="1"/>
    </xf>
    <xf numFmtId="0" fontId="7" fillId="0" borderId="63" xfId="0" applyFont="1" applyFill="1" applyBorder="1" applyAlignment="1">
      <alignment horizontal="left" wrapText="1"/>
    </xf>
    <xf numFmtId="0" fontId="7" fillId="0" borderId="5" xfId="0" applyFont="1" applyBorder="1" applyAlignment="1">
      <alignment horizontal="left"/>
    </xf>
    <xf numFmtId="0" fontId="4" fillId="0" borderId="63" xfId="0" applyFont="1" applyBorder="1" applyAlignment="1">
      <alignment horizontal="left" wrapText="1"/>
    </xf>
    <xf numFmtId="3" fontId="7" fillId="0" borderId="17" xfId="0" applyNumberFormat="1" applyFont="1" applyBorder="1"/>
    <xf numFmtId="3" fontId="4" fillId="0" borderId="39" xfId="0" applyNumberFormat="1" applyFont="1" applyFill="1" applyBorder="1"/>
    <xf numFmtId="0" fontId="19" fillId="0" borderId="24" xfId="0" applyFont="1" applyBorder="1" applyAlignment="1">
      <alignment vertical="center" wrapText="1"/>
    </xf>
    <xf numFmtId="0" fontId="15" fillId="0" borderId="24" xfId="0" applyFont="1" applyFill="1" applyBorder="1"/>
    <xf numFmtId="0" fontId="49" fillId="0" borderId="24" xfId="0" quotePrefix="1" applyFont="1" applyBorder="1"/>
    <xf numFmtId="0" fontId="17" fillId="0" borderId="24" xfId="0" applyFont="1" applyBorder="1"/>
    <xf numFmtId="0" fontId="15" fillId="0" borderId="24" xfId="0" applyFont="1" applyBorder="1"/>
    <xf numFmtId="0" fontId="20" fillId="0" borderId="24" xfId="0" applyFont="1" applyBorder="1" applyAlignment="1">
      <alignment wrapText="1"/>
    </xf>
    <xf numFmtId="0" fontId="15" fillId="0" borderId="24" xfId="0" applyFont="1" applyFill="1" applyBorder="1" applyAlignment="1">
      <alignment wrapText="1"/>
    </xf>
    <xf numFmtId="0" fontId="6" fillId="0" borderId="24" xfId="0" applyFont="1" applyFill="1" applyBorder="1"/>
    <xf numFmtId="0" fontId="6" fillId="0" borderId="24" xfId="0" applyFont="1" applyBorder="1"/>
    <xf numFmtId="0" fontId="16" fillId="0" borderId="26" xfId="0" applyFont="1" applyBorder="1"/>
    <xf numFmtId="49" fontId="7" fillId="0" borderId="20" xfId="0" applyNumberFormat="1" applyFont="1" applyBorder="1" applyAlignment="1">
      <alignment horizontal="center" vertical="center" wrapText="1"/>
    </xf>
    <xf numFmtId="0" fontId="15" fillId="0" borderId="70" xfId="0" applyFont="1" applyBorder="1" applyAlignment="1">
      <alignment wrapText="1"/>
    </xf>
    <xf numFmtId="0" fontId="7" fillId="0" borderId="165" xfId="0" applyFont="1" applyBorder="1" applyAlignment="1">
      <alignment vertical="center" wrapText="1"/>
    </xf>
    <xf numFmtId="3" fontId="6" fillId="0" borderId="13" xfId="0" applyNumberFormat="1" applyFont="1" applyBorder="1" applyAlignment="1">
      <alignment horizontal="right"/>
    </xf>
    <xf numFmtId="3" fontId="6" fillId="0" borderId="37" xfId="0" applyNumberFormat="1" applyFont="1" applyBorder="1" applyAlignment="1">
      <alignment horizontal="right"/>
    </xf>
    <xf numFmtId="3" fontId="6" fillId="0" borderId="39" xfId="0" applyNumberFormat="1" applyFont="1" applyBorder="1" applyAlignment="1">
      <alignment horizontal="right"/>
    </xf>
    <xf numFmtId="3" fontId="4" fillId="0" borderId="13" xfId="0" applyNumberFormat="1" applyFont="1" applyFill="1" applyBorder="1" applyAlignment="1">
      <alignment wrapText="1"/>
    </xf>
    <xf numFmtId="0" fontId="23" fillId="0" borderId="6" xfId="0" applyFont="1" applyBorder="1" applyAlignment="1">
      <alignment wrapText="1"/>
    </xf>
    <xf numFmtId="3" fontId="7" fillId="0" borderId="6" xfId="0" applyNumberFormat="1" applyFont="1" applyBorder="1" applyAlignment="1">
      <alignment horizontal="center" wrapText="1"/>
    </xf>
    <xf numFmtId="0" fontId="7" fillId="0" borderId="6" xfId="0" applyFont="1" applyBorder="1" applyAlignment="1">
      <alignment horizontal="center" wrapText="1"/>
    </xf>
    <xf numFmtId="3" fontId="6" fillId="7" borderId="11" xfId="14" applyNumberFormat="1" applyFont="1" applyFill="1" applyBorder="1" applyAlignment="1">
      <alignment horizontal="center" vertical="center" wrapText="1"/>
    </xf>
    <xf numFmtId="3" fontId="4" fillId="0" borderId="22" xfId="0" applyNumberFormat="1" applyFont="1" applyBorder="1" applyAlignment="1">
      <alignment horizontal="right" wrapText="1"/>
    </xf>
    <xf numFmtId="3" fontId="7" fillId="0" borderId="22" xfId="0" applyNumberFormat="1" applyFont="1" applyBorder="1" applyAlignment="1">
      <alignment horizontal="right" wrapText="1"/>
    </xf>
    <xf numFmtId="3" fontId="4" fillId="0" borderId="98" xfId="0" applyNumberFormat="1" applyFont="1" applyBorder="1" applyAlignment="1">
      <alignment horizontal="right" wrapText="1"/>
    </xf>
    <xf numFmtId="0" fontId="4" fillId="0" borderId="68" xfId="0" applyFont="1" applyFill="1" applyBorder="1" applyAlignment="1">
      <alignment vertical="center" wrapText="1"/>
    </xf>
    <xf numFmtId="3" fontId="4" fillId="0" borderId="41" xfId="0" applyNumberFormat="1" applyFont="1" applyBorder="1" applyAlignment="1">
      <alignment horizontal="right" wrapText="1"/>
    </xf>
    <xf numFmtId="3" fontId="15" fillId="7" borderId="28" xfId="14" applyNumberFormat="1" applyFont="1" applyFill="1" applyBorder="1"/>
    <xf numFmtId="3" fontId="31" fillId="7" borderId="28" xfId="15" applyNumberFormat="1" applyFont="1" applyFill="1" applyBorder="1"/>
    <xf numFmtId="0" fontId="6" fillId="7" borderId="46" xfId="14" applyFont="1" applyFill="1" applyBorder="1" applyAlignment="1">
      <alignment vertical="center" wrapText="1"/>
    </xf>
    <xf numFmtId="164" fontId="30" fillId="7" borderId="34" xfId="15" applyNumberFormat="1" applyFont="1" applyFill="1" applyBorder="1"/>
    <xf numFmtId="3" fontId="30" fillId="7" borderId="34" xfId="15" applyNumberFormat="1" applyFont="1" applyFill="1" applyBorder="1"/>
    <xf numFmtId="3" fontId="30" fillId="7" borderId="45" xfId="15" applyNumberFormat="1" applyFont="1" applyFill="1" applyBorder="1"/>
    <xf numFmtId="0" fontId="30" fillId="7" borderId="25" xfId="15" applyFont="1" applyFill="1" applyBorder="1" applyAlignment="1">
      <alignment wrapText="1"/>
    </xf>
    <xf numFmtId="0" fontId="2" fillId="7" borderId="13" xfId="15" applyFill="1" applyBorder="1"/>
    <xf numFmtId="164" fontId="15" fillId="7" borderId="13" xfId="14" applyNumberFormat="1" applyFont="1" applyFill="1" applyBorder="1"/>
    <xf numFmtId="3" fontId="2" fillId="7" borderId="13" xfId="15" applyNumberFormat="1" applyFill="1" applyBorder="1"/>
    <xf numFmtId="3" fontId="2" fillId="7" borderId="26" xfId="15" applyNumberFormat="1" applyFill="1" applyBorder="1"/>
    <xf numFmtId="3" fontId="15" fillId="7" borderId="13" xfId="14" applyNumberFormat="1" applyFont="1" applyFill="1" applyBorder="1"/>
    <xf numFmtId="3" fontId="15" fillId="7" borderId="26" xfId="14" applyNumberFormat="1" applyFont="1" applyFill="1" applyBorder="1"/>
    <xf numFmtId="164" fontId="7" fillId="0" borderId="17" xfId="0" applyNumberFormat="1" applyFont="1" applyBorder="1" applyAlignment="1">
      <alignment wrapText="1"/>
    </xf>
    <xf numFmtId="9" fontId="29" fillId="0" borderId="0" xfId="0" applyNumberFormat="1" applyFont="1" applyFill="1" applyAlignment="1">
      <alignment horizontal="center" vertical="center"/>
    </xf>
    <xf numFmtId="164" fontId="7" fillId="0" borderId="14" xfId="0" applyNumberFormat="1" applyFont="1" applyFill="1" applyBorder="1" applyAlignment="1">
      <alignment horizontal="right"/>
    </xf>
    <xf numFmtId="0" fontId="7" fillId="0" borderId="17" xfId="0" applyFont="1" applyBorder="1" applyAlignment="1">
      <alignment horizontal="left"/>
    </xf>
    <xf numFmtId="0" fontId="33" fillId="0" borderId="6" xfId="0" applyFont="1" applyFill="1" applyBorder="1" applyAlignment="1">
      <alignment vertical="center" wrapText="1"/>
    </xf>
    <xf numFmtId="164" fontId="4" fillId="0" borderId="9" xfId="0" applyNumberFormat="1" applyFont="1" applyBorder="1" applyAlignment="1">
      <alignment wrapText="1"/>
    </xf>
    <xf numFmtId="3" fontId="4" fillId="6" borderId="166" xfId="0" applyNumberFormat="1" applyFont="1" applyFill="1" applyBorder="1" applyAlignment="1" applyProtection="1">
      <alignment horizontal="center" wrapText="1"/>
      <protection hidden="1"/>
    </xf>
    <xf numFmtId="3" fontId="4" fillId="0" borderId="152" xfId="0" applyNumberFormat="1" applyFont="1" applyBorder="1" applyAlignment="1" applyProtection="1">
      <alignment horizontal="center" wrapText="1"/>
      <protection hidden="1"/>
    </xf>
    <xf numFmtId="3" fontId="4" fillId="0" borderId="170" xfId="0" applyNumberFormat="1" applyFont="1" applyBorder="1" applyAlignment="1" applyProtection="1">
      <alignment horizontal="center" wrapText="1"/>
      <protection hidden="1"/>
    </xf>
    <xf numFmtId="3" fontId="4" fillId="6" borderId="149" xfId="0" applyNumberFormat="1" applyFont="1" applyFill="1" applyBorder="1" applyAlignment="1" applyProtection="1">
      <alignment horizontal="center" wrapText="1"/>
      <protection hidden="1"/>
    </xf>
    <xf numFmtId="3" fontId="4" fillId="9" borderId="166" xfId="0" applyNumberFormat="1" applyFont="1" applyFill="1" applyBorder="1" applyAlignment="1" applyProtection="1">
      <alignment horizontal="center" wrapText="1"/>
      <protection hidden="1"/>
    </xf>
    <xf numFmtId="3" fontId="4" fillId="12" borderId="149" xfId="0" applyNumberFormat="1" applyFont="1" applyFill="1" applyBorder="1" applyAlignment="1" applyProtection="1">
      <alignment horizontal="center" wrapText="1"/>
      <protection hidden="1"/>
    </xf>
    <xf numFmtId="3" fontId="4" fillId="12" borderId="166" xfId="0" applyNumberFormat="1" applyFont="1" applyFill="1" applyBorder="1" applyAlignment="1" applyProtection="1">
      <alignment horizontal="center" wrapText="1"/>
      <protection hidden="1"/>
    </xf>
    <xf numFmtId="3" fontId="4" fillId="9" borderId="149" xfId="0" applyNumberFormat="1" applyFont="1" applyFill="1" applyBorder="1" applyAlignment="1" applyProtection="1">
      <alignment horizontal="center" wrapText="1"/>
      <protection hidden="1"/>
    </xf>
    <xf numFmtId="3" fontId="4" fillId="0" borderId="166" xfId="0" applyNumberFormat="1" applyFont="1" applyBorder="1" applyAlignment="1" applyProtection="1">
      <alignment horizontal="center" wrapText="1"/>
      <protection hidden="1"/>
    </xf>
    <xf numFmtId="3" fontId="4" fillId="0" borderId="149" xfId="0" applyNumberFormat="1" applyFont="1" applyBorder="1" applyAlignment="1" applyProtection="1">
      <alignment horizontal="center" wrapText="1"/>
      <protection hidden="1"/>
    </xf>
    <xf numFmtId="3" fontId="4" fillId="9" borderId="96" xfId="0" applyNumberFormat="1" applyFont="1" applyFill="1" applyBorder="1" applyAlignment="1" applyProtection="1">
      <alignment horizontal="center"/>
      <protection hidden="1"/>
    </xf>
    <xf numFmtId="3" fontId="4" fillId="9" borderId="99" xfId="0" applyNumberFormat="1" applyFont="1" applyFill="1" applyBorder="1" applyAlignment="1" applyProtection="1">
      <alignment horizontal="center"/>
      <protection hidden="1"/>
    </xf>
    <xf numFmtId="3" fontId="4" fillId="9" borderId="99" xfId="0" applyNumberFormat="1" applyFont="1" applyFill="1" applyBorder="1" applyAlignment="1" applyProtection="1">
      <alignment horizontal="center" wrapText="1"/>
      <protection hidden="1"/>
    </xf>
    <xf numFmtId="3" fontId="4" fillId="12" borderId="36" xfId="0" applyNumberFormat="1" applyFont="1" applyFill="1" applyBorder="1" applyAlignment="1" applyProtection="1">
      <alignment horizontal="center" wrapText="1"/>
      <protection hidden="1"/>
    </xf>
    <xf numFmtId="3" fontId="4" fillId="12" borderId="147" xfId="0" applyNumberFormat="1" applyFont="1" applyFill="1" applyBorder="1" applyAlignment="1" applyProtection="1">
      <alignment horizontal="center" wrapText="1"/>
      <protection hidden="1"/>
    </xf>
    <xf numFmtId="3" fontId="4" fillId="12" borderId="148" xfId="0" applyNumberFormat="1" applyFont="1" applyFill="1" applyBorder="1" applyAlignment="1" applyProtection="1">
      <alignment horizontal="center" wrapText="1"/>
      <protection hidden="1"/>
    </xf>
    <xf numFmtId="3" fontId="4" fillId="0" borderId="102" xfId="0" applyNumberFormat="1" applyFont="1" applyBorder="1" applyAlignment="1" applyProtection="1">
      <alignment horizontal="center" wrapText="1"/>
      <protection hidden="1"/>
    </xf>
    <xf numFmtId="3" fontId="4" fillId="0" borderId="105" xfId="0" applyNumberFormat="1" applyFont="1" applyBorder="1" applyAlignment="1" applyProtection="1">
      <alignment horizontal="center" wrapText="1"/>
      <protection hidden="1"/>
    </xf>
    <xf numFmtId="3" fontId="4" fillId="0" borderId="171" xfId="0" applyNumberFormat="1" applyFont="1" applyBorder="1" applyAlignment="1" applyProtection="1">
      <alignment horizontal="center" wrapText="1"/>
      <protection hidden="1"/>
    </xf>
    <xf numFmtId="3" fontId="46" fillId="14" borderId="147" xfId="0" applyNumberFormat="1" applyFont="1" applyFill="1" applyBorder="1" applyAlignment="1" applyProtection="1">
      <alignment horizontal="center" vertical="center"/>
      <protection hidden="1"/>
    </xf>
    <xf numFmtId="3" fontId="46" fillId="14" borderId="166" xfId="0" applyNumberFormat="1" applyFont="1" applyFill="1" applyBorder="1" applyAlignment="1" applyProtection="1">
      <alignment horizontal="center" vertical="center"/>
      <protection hidden="1"/>
    </xf>
    <xf numFmtId="3" fontId="46" fillId="14" borderId="148" xfId="0" applyNumberFormat="1" applyFont="1" applyFill="1" applyBorder="1" applyAlignment="1" applyProtection="1">
      <alignment horizontal="center" vertical="center"/>
      <protection hidden="1"/>
    </xf>
    <xf numFmtId="3" fontId="6" fillId="14" borderId="149" xfId="0" applyNumberFormat="1" applyFont="1" applyFill="1" applyBorder="1" applyAlignment="1" applyProtection="1">
      <alignment horizontal="center" vertical="center"/>
      <protection hidden="1"/>
    </xf>
    <xf numFmtId="3" fontId="6" fillId="14" borderId="166" xfId="0" applyNumberFormat="1" applyFont="1" applyFill="1" applyBorder="1" applyAlignment="1" applyProtection="1">
      <alignment horizontal="center" vertical="center"/>
      <protection hidden="1"/>
    </xf>
    <xf numFmtId="3" fontId="6" fillId="14" borderId="150" xfId="0" applyNumberFormat="1" applyFont="1" applyFill="1" applyBorder="1" applyAlignment="1" applyProtection="1">
      <alignment horizontal="center" vertical="center"/>
      <protection hidden="1"/>
    </xf>
    <xf numFmtId="3" fontId="6" fillId="13" borderId="105" xfId="0" applyNumberFormat="1" applyFont="1" applyFill="1" applyBorder="1" applyAlignment="1" applyProtection="1">
      <alignment horizontal="center" vertical="center" wrapText="1"/>
      <protection hidden="1"/>
    </xf>
    <xf numFmtId="3" fontId="6" fillId="13" borderId="101" xfId="0" applyNumberFormat="1" applyFont="1" applyFill="1" applyBorder="1" applyAlignment="1" applyProtection="1">
      <alignment horizontal="center" vertical="center" wrapText="1"/>
      <protection hidden="1"/>
    </xf>
    <xf numFmtId="3" fontId="6" fillId="13" borderId="102" xfId="0" applyNumberFormat="1" applyFont="1" applyFill="1" applyBorder="1" applyAlignment="1" applyProtection="1">
      <alignment horizontal="center" vertical="center" wrapText="1"/>
      <protection hidden="1"/>
    </xf>
    <xf numFmtId="3" fontId="6" fillId="0" borderId="100" xfId="0" applyNumberFormat="1" applyFont="1" applyFill="1" applyBorder="1" applyAlignment="1" applyProtection="1">
      <alignment horizontal="center" vertical="center" wrapText="1"/>
      <protection hidden="1"/>
    </xf>
    <xf numFmtId="3" fontId="6" fillId="0" borderId="101" xfId="0" applyNumberFormat="1" applyFont="1" applyFill="1" applyBorder="1" applyAlignment="1" applyProtection="1">
      <alignment horizontal="center" vertical="center" wrapText="1"/>
      <protection hidden="1"/>
    </xf>
    <xf numFmtId="3" fontId="6" fillId="0" borderId="103" xfId="0" applyNumberFormat="1" applyFont="1" applyFill="1" applyBorder="1" applyAlignment="1" applyProtection="1">
      <alignment horizontal="center" vertical="center" wrapText="1"/>
      <protection hidden="1"/>
    </xf>
    <xf numFmtId="3" fontId="6" fillId="13" borderId="103" xfId="0" applyNumberFormat="1" applyFont="1" applyFill="1" applyBorder="1" applyAlignment="1" applyProtection="1">
      <alignment horizontal="center" vertical="center" wrapText="1"/>
      <protection hidden="1"/>
    </xf>
    <xf numFmtId="3" fontId="4" fillId="0" borderId="101" xfId="0" applyNumberFormat="1" applyFont="1" applyFill="1" applyBorder="1" applyAlignment="1" applyProtection="1">
      <alignment horizontal="center" vertical="center" wrapText="1"/>
      <protection hidden="1"/>
    </xf>
    <xf numFmtId="3" fontId="4" fillId="0" borderId="125" xfId="0" applyNumberFormat="1" applyFont="1" applyFill="1" applyBorder="1" applyAlignment="1" applyProtection="1">
      <alignment horizontal="center" vertical="center" wrapText="1"/>
      <protection hidden="1"/>
    </xf>
    <xf numFmtId="3" fontId="4" fillId="13" borderId="101" xfId="0" applyNumberFormat="1" applyFont="1" applyFill="1" applyBorder="1" applyAlignment="1" applyProtection="1">
      <alignment horizontal="center" vertical="center" wrapText="1"/>
      <protection hidden="1"/>
    </xf>
    <xf numFmtId="3" fontId="4" fillId="0" borderId="101" xfId="0" applyNumberFormat="1" applyFont="1" applyBorder="1" applyAlignment="1" applyProtection="1">
      <alignment horizontal="center" vertical="center" wrapText="1"/>
      <protection hidden="1"/>
    </xf>
    <xf numFmtId="3" fontId="4" fillId="0" borderId="125" xfId="0" applyNumberFormat="1" applyFont="1" applyBorder="1" applyAlignment="1" applyProtection="1">
      <alignment horizontal="center" vertical="center" wrapText="1"/>
      <protection hidden="1"/>
    </xf>
    <xf numFmtId="3" fontId="4" fillId="0" borderId="100" xfId="0" applyNumberFormat="1" applyFont="1" applyBorder="1" applyAlignment="1" applyProtection="1">
      <alignment horizontal="center" vertical="center" wrapText="1"/>
      <protection hidden="1"/>
    </xf>
    <xf numFmtId="3" fontId="4" fillId="0" borderId="124" xfId="0" applyNumberFormat="1" applyFont="1" applyBorder="1" applyAlignment="1" applyProtection="1">
      <alignment horizontal="center" vertical="center" wrapText="1"/>
      <protection hidden="1"/>
    </xf>
    <xf numFmtId="3" fontId="6" fillId="13" borderId="65" xfId="0" applyNumberFormat="1" applyFont="1" applyFill="1" applyBorder="1" applyAlignment="1" applyProtection="1">
      <alignment horizontal="center" vertical="center" wrapText="1"/>
      <protection hidden="1"/>
    </xf>
    <xf numFmtId="3" fontId="6" fillId="13" borderId="62" xfId="0" applyNumberFormat="1" applyFont="1" applyFill="1" applyBorder="1" applyAlignment="1" applyProtection="1">
      <alignment horizontal="center" vertical="center" wrapText="1"/>
      <protection hidden="1"/>
    </xf>
    <xf numFmtId="3" fontId="6" fillId="13" borderId="83" xfId="0" applyNumberFormat="1" applyFont="1" applyFill="1" applyBorder="1" applyAlignment="1" applyProtection="1">
      <alignment horizontal="center" vertical="center" wrapText="1"/>
      <protection hidden="1"/>
    </xf>
    <xf numFmtId="3" fontId="4" fillId="0" borderId="72" xfId="0" applyNumberFormat="1" applyFont="1" applyBorder="1" applyAlignment="1" applyProtection="1">
      <alignment horizontal="center" wrapText="1"/>
      <protection hidden="1"/>
    </xf>
    <xf numFmtId="3" fontId="4" fillId="0" borderId="153" xfId="0" applyNumberFormat="1" applyFont="1" applyBorder="1" applyAlignment="1" applyProtection="1">
      <alignment horizontal="center" wrapText="1"/>
      <protection hidden="1"/>
    </xf>
    <xf numFmtId="3" fontId="4" fillId="0" borderId="16" xfId="0" applyNumberFormat="1" applyFont="1" applyBorder="1" applyAlignment="1" applyProtection="1">
      <alignment horizontal="center" wrapText="1"/>
      <protection hidden="1"/>
    </xf>
    <xf numFmtId="3" fontId="4" fillId="0" borderId="84" xfId="0" applyNumberFormat="1" applyFont="1" applyBorder="1" applyAlignment="1" applyProtection="1">
      <alignment horizontal="center" wrapText="1"/>
      <protection hidden="1"/>
    </xf>
    <xf numFmtId="3" fontId="4" fillId="9" borderId="36" xfId="0" applyNumberFormat="1" applyFont="1" applyFill="1" applyBorder="1" applyAlignment="1" applyProtection="1">
      <alignment horizontal="center" wrapText="1"/>
      <protection hidden="1"/>
    </xf>
    <xf numFmtId="3" fontId="4" fillId="9" borderId="147" xfId="0" applyNumberFormat="1" applyFont="1" applyFill="1" applyBorder="1" applyAlignment="1" applyProtection="1">
      <alignment horizontal="center" wrapText="1"/>
      <protection hidden="1"/>
    </xf>
    <xf numFmtId="3" fontId="4" fillId="9" borderId="73" xfId="0" applyNumberFormat="1" applyFont="1" applyFill="1" applyBorder="1" applyAlignment="1" applyProtection="1">
      <alignment horizontal="center" wrapText="1"/>
      <protection hidden="1"/>
    </xf>
    <xf numFmtId="3" fontId="4" fillId="0" borderId="165" xfId="0" applyNumberFormat="1" applyFont="1" applyBorder="1" applyAlignment="1" applyProtection="1">
      <alignment horizontal="center" wrapText="1"/>
      <protection hidden="1"/>
    </xf>
    <xf numFmtId="3" fontId="4" fillId="0" borderId="36" xfId="0" applyNumberFormat="1" applyFont="1" applyBorder="1" applyAlignment="1" applyProtection="1">
      <alignment horizontal="center" wrapText="1"/>
      <protection hidden="1"/>
    </xf>
    <xf numFmtId="3" fontId="4" fillId="0" borderId="147" xfId="0" applyNumberFormat="1" applyFont="1" applyBorder="1" applyAlignment="1" applyProtection="1">
      <alignment horizontal="center" wrapText="1"/>
      <protection hidden="1"/>
    </xf>
    <xf numFmtId="3" fontId="4" fillId="0" borderId="73" xfId="0" applyNumberFormat="1" applyFont="1" applyBorder="1" applyAlignment="1" applyProtection="1">
      <alignment horizontal="center" wrapText="1"/>
      <protection hidden="1"/>
    </xf>
    <xf numFmtId="3" fontId="4" fillId="15" borderId="69" xfId="0" applyNumberFormat="1" applyFont="1" applyFill="1" applyBorder="1" applyAlignment="1" applyProtection="1">
      <alignment horizontal="center" wrapText="1"/>
      <protection hidden="1"/>
    </xf>
    <xf numFmtId="3" fontId="4" fillId="15" borderId="64" xfId="0" applyNumberFormat="1" applyFont="1" applyFill="1" applyBorder="1" applyAlignment="1" applyProtection="1">
      <alignment horizontal="center" wrapText="1"/>
      <protection hidden="1"/>
    </xf>
    <xf numFmtId="3" fontId="4" fillId="15" borderId="89" xfId="0" applyNumberFormat="1" applyFont="1" applyFill="1" applyBorder="1" applyAlignment="1" applyProtection="1">
      <alignment horizontal="center" wrapText="1"/>
      <protection hidden="1"/>
    </xf>
    <xf numFmtId="167" fontId="5" fillId="14" borderId="73" xfId="0" applyNumberFormat="1" applyFont="1" applyFill="1" applyBorder="1" applyAlignment="1" applyProtection="1">
      <alignment horizontal="center" wrapText="1"/>
      <protection hidden="1"/>
    </xf>
    <xf numFmtId="167" fontId="5" fillId="14" borderId="39" xfId="0" applyNumberFormat="1" applyFont="1" applyFill="1" applyBorder="1" applyAlignment="1" applyProtection="1">
      <alignment horizontal="center" wrapText="1"/>
      <protection hidden="1"/>
    </xf>
    <xf numFmtId="167" fontId="4" fillId="14" borderId="36" xfId="0" applyNumberFormat="1" applyFont="1" applyFill="1" applyBorder="1" applyAlignment="1" applyProtection="1">
      <alignment horizontal="center" wrapText="1"/>
      <protection hidden="1"/>
    </xf>
    <xf numFmtId="167" fontId="4" fillId="14" borderId="73" xfId="0" applyNumberFormat="1" applyFont="1" applyFill="1" applyBorder="1" applyAlignment="1" applyProtection="1">
      <alignment horizontal="center" wrapText="1"/>
      <protection hidden="1"/>
    </xf>
    <xf numFmtId="167" fontId="4" fillId="14" borderId="39" xfId="0" applyNumberFormat="1" applyFont="1" applyFill="1" applyBorder="1" applyAlignment="1" applyProtection="1">
      <alignment horizontal="center" wrapText="1"/>
      <protection hidden="1"/>
    </xf>
    <xf numFmtId="3" fontId="46" fillId="13" borderId="32" xfId="0" applyNumberFormat="1" applyFont="1" applyFill="1" applyBorder="1" applyAlignment="1" applyProtection="1">
      <alignment horizontal="center" vertical="center" wrapText="1"/>
      <protection hidden="1"/>
    </xf>
    <xf numFmtId="3" fontId="46" fillId="13" borderId="62" xfId="0" applyNumberFormat="1" applyFont="1" applyFill="1" applyBorder="1" applyAlignment="1" applyProtection="1">
      <alignment horizontal="center" vertical="center" wrapText="1"/>
      <protection hidden="1"/>
    </xf>
    <xf numFmtId="3" fontId="4" fillId="0" borderId="65" xfId="0" applyNumberFormat="1" applyFont="1" applyFill="1" applyBorder="1" applyAlignment="1" applyProtection="1">
      <alignment horizontal="center" vertical="center" wrapText="1"/>
      <protection hidden="1"/>
    </xf>
    <xf numFmtId="3" fontId="4" fillId="0" borderId="32" xfId="0" applyNumberFormat="1" applyFont="1" applyFill="1" applyBorder="1" applyAlignment="1" applyProtection="1">
      <alignment horizontal="center" vertical="center" wrapText="1"/>
      <protection hidden="1"/>
    </xf>
    <xf numFmtId="3" fontId="4" fillId="0" borderId="62" xfId="0" applyNumberFormat="1" applyFont="1" applyFill="1" applyBorder="1" applyAlignment="1" applyProtection="1">
      <alignment horizontal="center" vertical="center" wrapText="1"/>
      <protection hidden="1"/>
    </xf>
    <xf numFmtId="3" fontId="6" fillId="0" borderId="65" xfId="0" applyNumberFormat="1" applyFont="1" applyFill="1" applyBorder="1" applyAlignment="1" applyProtection="1">
      <alignment horizontal="center" vertical="center" wrapText="1"/>
      <protection hidden="1"/>
    </xf>
    <xf numFmtId="3" fontId="6" fillId="0" borderId="62" xfId="0" applyNumberFormat="1" applyFont="1" applyFill="1" applyBorder="1" applyAlignment="1" applyProtection="1">
      <alignment horizontal="center" vertical="center" wrapText="1"/>
      <protection hidden="1"/>
    </xf>
    <xf numFmtId="3" fontId="4" fillId="0" borderId="35" xfId="0" applyNumberFormat="1" applyFont="1" applyBorder="1" applyAlignment="1" applyProtection="1">
      <alignment horizontal="center" vertical="center" wrapText="1"/>
      <protection hidden="1"/>
    </xf>
    <xf numFmtId="3" fontId="4" fillId="0" borderId="81" xfId="0" applyNumberFormat="1" applyFont="1" applyBorder="1" applyAlignment="1" applyProtection="1">
      <alignment horizontal="center" vertical="center" wrapText="1"/>
      <protection hidden="1"/>
    </xf>
    <xf numFmtId="3" fontId="4" fillId="0" borderId="67" xfId="0" applyNumberFormat="1" applyFont="1" applyBorder="1" applyAlignment="1" applyProtection="1">
      <alignment horizontal="center" vertical="center" wrapText="1"/>
      <protection hidden="1"/>
    </xf>
    <xf numFmtId="3" fontId="4" fillId="0" borderId="84" xfId="0" applyNumberFormat="1" applyFont="1" applyBorder="1" applyAlignment="1" applyProtection="1">
      <alignment horizontal="center" vertical="center" wrapText="1"/>
      <protection hidden="1"/>
    </xf>
    <xf numFmtId="3" fontId="4" fillId="0" borderId="47" xfId="0" applyNumberFormat="1" applyFont="1" applyBorder="1" applyAlignment="1" applyProtection="1">
      <alignment horizontal="center" vertical="center" wrapText="1"/>
      <protection hidden="1"/>
    </xf>
    <xf numFmtId="3" fontId="4" fillId="0" borderId="16" xfId="0" applyNumberFormat="1" applyFont="1" applyBorder="1" applyAlignment="1" applyProtection="1">
      <alignment horizontal="center" vertical="center" wrapText="1"/>
      <protection hidden="1"/>
    </xf>
    <xf numFmtId="3" fontId="4" fillId="0" borderId="0" xfId="0" applyNumberFormat="1" applyFont="1" applyBorder="1" applyAlignment="1" applyProtection="1">
      <alignment horizontal="center" vertical="center" wrapText="1"/>
      <protection hidden="1"/>
    </xf>
    <xf numFmtId="3" fontId="6" fillId="13" borderId="174" xfId="0" applyNumberFormat="1" applyFont="1" applyFill="1" applyBorder="1" applyAlignment="1" applyProtection="1">
      <alignment horizontal="center" vertical="center" wrapText="1"/>
      <protection hidden="1"/>
    </xf>
    <xf numFmtId="3" fontId="6" fillId="13" borderId="175" xfId="0" applyNumberFormat="1" applyFont="1" applyFill="1" applyBorder="1" applyAlignment="1" applyProtection="1">
      <alignment horizontal="center" vertical="center" wrapText="1"/>
      <protection hidden="1"/>
    </xf>
    <xf numFmtId="3" fontId="6" fillId="0" borderId="83" xfId="0" applyNumberFormat="1" applyFont="1" applyFill="1" applyBorder="1" applyAlignment="1" applyProtection="1">
      <alignment horizontal="center" vertical="center" wrapText="1"/>
      <protection hidden="1"/>
    </xf>
    <xf numFmtId="3" fontId="4" fillId="0" borderId="35" xfId="0" applyNumberFormat="1" applyFont="1" applyFill="1" applyBorder="1" applyAlignment="1" applyProtection="1">
      <alignment horizontal="center" vertical="center" wrapText="1"/>
      <protection hidden="1"/>
    </xf>
    <xf numFmtId="3" fontId="4" fillId="0" borderId="81" xfId="0" applyNumberFormat="1" applyFont="1" applyFill="1" applyBorder="1" applyAlignment="1" applyProtection="1">
      <alignment horizontal="center" vertical="center" wrapText="1"/>
      <protection hidden="1"/>
    </xf>
    <xf numFmtId="3" fontId="4" fillId="0" borderId="67" xfId="0" applyNumberFormat="1" applyFont="1" applyFill="1" applyBorder="1" applyAlignment="1" applyProtection="1">
      <alignment horizontal="center" vertical="center" wrapText="1"/>
      <protection hidden="1"/>
    </xf>
    <xf numFmtId="3" fontId="4" fillId="0" borderId="84" xfId="0" applyNumberFormat="1" applyFont="1" applyFill="1" applyBorder="1" applyAlignment="1" applyProtection="1">
      <alignment horizontal="center" vertical="center" wrapText="1"/>
      <protection hidden="1"/>
    </xf>
    <xf numFmtId="0" fontId="6" fillId="0" borderId="0" xfId="0" applyFont="1" applyBorder="1" applyAlignment="1">
      <alignment horizontal="center"/>
    </xf>
    <xf numFmtId="0" fontId="7" fillId="0" borderId="29" xfId="0" applyFont="1" applyBorder="1" applyAlignment="1">
      <alignment horizontal="center" vertical="center" wrapText="1"/>
    </xf>
    <xf numFmtId="0" fontId="7" fillId="0" borderId="2" xfId="0" applyFont="1" applyBorder="1" applyAlignment="1">
      <alignment horizontal="center" vertical="center" wrapText="1"/>
    </xf>
    <xf numFmtId="1" fontId="4" fillId="0" borderId="44" xfId="0" applyNumberFormat="1" applyFont="1" applyBorder="1" applyAlignment="1">
      <alignment horizontal="center" wrapText="1"/>
    </xf>
    <xf numFmtId="1" fontId="4" fillId="0" borderId="47" xfId="0" applyNumberFormat="1" applyFont="1" applyBorder="1" applyAlignment="1">
      <alignment horizontal="center" wrapText="1"/>
    </xf>
    <xf numFmtId="1" fontId="4" fillId="0" borderId="48" xfId="0" applyNumberFormat="1" applyFont="1" applyBorder="1" applyAlignment="1">
      <alignment horizontal="center" wrapText="1"/>
    </xf>
    <xf numFmtId="3" fontId="4" fillId="0" borderId="23" xfId="0" applyNumberFormat="1" applyFont="1" applyBorder="1" applyAlignment="1">
      <alignment horizontal="center" vertical="center" wrapText="1"/>
    </xf>
    <xf numFmtId="3" fontId="4" fillId="0" borderId="16" xfId="0" applyNumberFormat="1" applyFont="1" applyBorder="1" applyAlignment="1">
      <alignment horizontal="center" vertical="center" wrapText="1"/>
    </xf>
    <xf numFmtId="3" fontId="4" fillId="0" borderId="15" xfId="0" applyNumberFormat="1" applyFont="1" applyBorder="1" applyAlignment="1">
      <alignment horizontal="center" vertical="center" wrapText="1"/>
    </xf>
    <xf numFmtId="3" fontId="6" fillId="0" borderId="44" xfId="0" applyNumberFormat="1" applyFont="1" applyFill="1" applyBorder="1" applyAlignment="1">
      <alignment horizontal="center" vertical="center" wrapText="1"/>
    </xf>
    <xf numFmtId="3" fontId="6" fillId="0" borderId="47" xfId="0" applyNumberFormat="1" applyFont="1" applyFill="1" applyBorder="1" applyAlignment="1">
      <alignment horizontal="center" vertical="center" wrapText="1"/>
    </xf>
    <xf numFmtId="3" fontId="6" fillId="0" borderId="48" xfId="0" applyNumberFormat="1" applyFont="1" applyFill="1" applyBorder="1" applyAlignment="1">
      <alignment horizontal="center" vertical="center" wrapText="1"/>
    </xf>
    <xf numFmtId="3" fontId="6" fillId="0" borderId="23" xfId="0" applyNumberFormat="1" applyFont="1" applyFill="1" applyBorder="1" applyAlignment="1">
      <alignment horizontal="center" vertical="center" wrapText="1"/>
    </xf>
    <xf numFmtId="3" fontId="6" fillId="0" borderId="16" xfId="0" applyNumberFormat="1" applyFont="1" applyFill="1" applyBorder="1" applyAlignment="1">
      <alignment horizontal="center" vertical="center" wrapText="1"/>
    </xf>
    <xf numFmtId="3" fontId="6" fillId="0" borderId="15" xfId="0" applyNumberFormat="1" applyFont="1" applyFill="1" applyBorder="1" applyAlignment="1">
      <alignment horizontal="center" vertical="center" wrapText="1"/>
    </xf>
    <xf numFmtId="3" fontId="4" fillId="0" borderId="44" xfId="0" applyNumberFormat="1" applyFont="1" applyFill="1" applyBorder="1" applyAlignment="1">
      <alignment horizontal="center" vertical="center" wrapText="1"/>
    </xf>
    <xf numFmtId="3" fontId="4" fillId="0" borderId="47" xfId="0" applyNumberFormat="1" applyFont="1" applyFill="1" applyBorder="1" applyAlignment="1">
      <alignment horizontal="center" vertical="center" wrapText="1"/>
    </xf>
    <xf numFmtId="3" fontId="4" fillId="0" borderId="49" xfId="0" applyNumberFormat="1" applyFont="1" applyFill="1" applyBorder="1" applyAlignment="1">
      <alignment horizontal="center" vertical="center" wrapText="1"/>
    </xf>
    <xf numFmtId="3" fontId="4" fillId="0" borderId="23" xfId="0" applyNumberFormat="1" applyFont="1" applyFill="1" applyBorder="1" applyAlignment="1">
      <alignment horizontal="center" vertical="center" wrapText="1"/>
    </xf>
    <xf numFmtId="3" fontId="4" fillId="0" borderId="16" xfId="0" applyNumberFormat="1" applyFont="1" applyFill="1" applyBorder="1" applyAlignment="1">
      <alignment horizontal="center" vertical="center" wrapText="1"/>
    </xf>
    <xf numFmtId="3" fontId="4" fillId="0" borderId="50" xfId="0" applyNumberFormat="1" applyFont="1" applyFill="1" applyBorder="1" applyAlignment="1">
      <alignment horizontal="center" vertical="center" wrapText="1"/>
    </xf>
    <xf numFmtId="3" fontId="4" fillId="0" borderId="15" xfId="0" applyNumberFormat="1" applyFont="1" applyFill="1" applyBorder="1" applyAlignment="1">
      <alignment horizontal="center" vertical="center" wrapText="1"/>
    </xf>
    <xf numFmtId="1" fontId="4" fillId="0" borderId="44" xfId="0" applyNumberFormat="1" applyFont="1" applyFill="1" applyBorder="1" applyAlignment="1">
      <alignment horizontal="center" wrapText="1"/>
    </xf>
    <xf numFmtId="1" fontId="4" fillId="0" borderId="47" xfId="0" applyNumberFormat="1" applyFont="1" applyFill="1" applyBorder="1" applyAlignment="1">
      <alignment horizontal="center" wrapText="1"/>
    </xf>
    <xf numFmtId="1" fontId="4" fillId="0" borderId="48" xfId="0" applyNumberFormat="1" applyFont="1" applyFill="1" applyBorder="1" applyAlignment="1">
      <alignment horizontal="center" wrapText="1"/>
    </xf>
    <xf numFmtId="3" fontId="4" fillId="0" borderId="48" xfId="0" applyNumberFormat="1" applyFont="1" applyFill="1" applyBorder="1" applyAlignment="1">
      <alignment horizontal="center" vertical="center" wrapText="1"/>
    </xf>
    <xf numFmtId="0" fontId="4" fillId="0" borderId="2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5" xfId="0"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0" xfId="0" applyNumberFormat="1" applyFont="1" applyBorder="1" applyAlignment="1">
      <alignment horizontal="center" vertical="center" wrapText="1"/>
    </xf>
    <xf numFmtId="3" fontId="4" fillId="0" borderId="22"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3" fontId="4" fillId="0" borderId="11" xfId="0" applyNumberFormat="1" applyFont="1" applyBorder="1" applyAlignment="1">
      <alignment horizontal="center" vertical="center"/>
    </xf>
    <xf numFmtId="3" fontId="4" fillId="0" borderId="12" xfId="0" applyNumberFormat="1" applyFont="1" applyBorder="1" applyAlignment="1">
      <alignment horizontal="center" vertical="center"/>
    </xf>
    <xf numFmtId="0" fontId="4" fillId="0" borderId="65" xfId="0" applyFont="1" applyFill="1" applyBorder="1" applyAlignment="1">
      <alignment horizontal="left" wrapText="1"/>
    </xf>
    <xf numFmtId="0" fontId="4" fillId="0" borderId="32" xfId="0" applyFont="1" applyFill="1" applyBorder="1" applyAlignment="1">
      <alignment horizontal="left" wrapText="1"/>
    </xf>
    <xf numFmtId="0" fontId="4" fillId="0" borderId="33" xfId="0" applyFont="1" applyFill="1" applyBorder="1" applyAlignment="1">
      <alignment horizontal="left" wrapText="1"/>
    </xf>
    <xf numFmtId="0" fontId="7" fillId="0" borderId="68" xfId="0" applyFont="1" applyFill="1" applyBorder="1" applyAlignment="1">
      <alignment horizontal="left" wrapText="1"/>
    </xf>
    <xf numFmtId="0" fontId="7" fillId="0" borderId="63" xfId="0" applyFont="1" applyFill="1" applyBorder="1" applyAlignment="1">
      <alignment horizontal="left" wrapText="1"/>
    </xf>
    <xf numFmtId="0" fontId="7" fillId="0" borderId="41" xfId="0" applyFont="1" applyFill="1" applyBorder="1" applyAlignment="1">
      <alignment horizontal="left" wrapText="1"/>
    </xf>
    <xf numFmtId="0" fontId="7" fillId="0" borderId="69" xfId="0" applyFont="1" applyFill="1" applyBorder="1" applyAlignment="1">
      <alignment horizontal="left" wrapText="1"/>
    </xf>
    <xf numFmtId="0" fontId="7" fillId="0" borderId="64" xfId="0" applyFont="1" applyFill="1" applyBorder="1" applyAlignment="1">
      <alignment horizontal="left" wrapText="1"/>
    </xf>
    <xf numFmtId="0" fontId="7" fillId="0" borderId="42" xfId="0" applyFont="1" applyFill="1" applyBorder="1" applyAlignment="1">
      <alignment horizontal="left" wrapText="1"/>
    </xf>
    <xf numFmtId="0" fontId="4" fillId="0" borderId="46"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11" xfId="0" applyFont="1" applyBorder="1" applyAlignment="1">
      <alignment horizontal="center" vertical="center"/>
    </xf>
    <xf numFmtId="0" fontId="4" fillId="0" borderId="8" xfId="0" applyFont="1" applyBorder="1" applyAlignment="1">
      <alignment horizontal="center" vertical="center"/>
    </xf>
    <xf numFmtId="3" fontId="4" fillId="0" borderId="31" xfId="0" applyNumberFormat="1"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0" fontId="7" fillId="0" borderId="7" xfId="0" applyFont="1" applyBorder="1" applyAlignment="1">
      <alignment horizontal="left"/>
    </xf>
    <xf numFmtId="0" fontId="7" fillId="0" borderId="8" xfId="0" applyFont="1" applyBorder="1" applyAlignment="1">
      <alignment horizontal="left"/>
    </xf>
    <xf numFmtId="0" fontId="4" fillId="0" borderId="56" xfId="0" applyFont="1" applyBorder="1" applyAlignment="1">
      <alignment horizontal="left"/>
    </xf>
    <xf numFmtId="0" fontId="4" fillId="0" borderId="1" xfId="0" applyFont="1" applyBorder="1" applyAlignment="1">
      <alignment horizontal="left"/>
    </xf>
    <xf numFmtId="0" fontId="7" fillId="0" borderId="2" xfId="0" applyFont="1" applyBorder="1" applyAlignment="1">
      <alignment horizontal="left"/>
    </xf>
    <xf numFmtId="0" fontId="7" fillId="0" borderId="3" xfId="0" applyFont="1" applyBorder="1" applyAlignment="1">
      <alignment horizontal="left"/>
    </xf>
    <xf numFmtId="0" fontId="7" fillId="0" borderId="27" xfId="0" applyFont="1" applyBorder="1" applyAlignment="1">
      <alignment horizontal="left"/>
    </xf>
    <xf numFmtId="0" fontId="7" fillId="0" borderId="14" xfId="0" applyFont="1" applyBorder="1" applyAlignment="1">
      <alignment horizontal="left"/>
    </xf>
    <xf numFmtId="0" fontId="4" fillId="0" borderId="10" xfId="0" applyFont="1" applyBorder="1" applyAlignment="1">
      <alignment horizontal="left"/>
    </xf>
    <xf numFmtId="0" fontId="4" fillId="0" borderId="11" xfId="0" applyFont="1" applyBorder="1" applyAlignment="1">
      <alignment horizontal="left"/>
    </xf>
    <xf numFmtId="0" fontId="7" fillId="0" borderId="5" xfId="0" applyFont="1" applyBorder="1" applyAlignment="1">
      <alignment horizontal="left"/>
    </xf>
    <xf numFmtId="0" fontId="7" fillId="0" borderId="6" xfId="0" applyFont="1" applyBorder="1" applyAlignment="1">
      <alignment horizontal="left"/>
    </xf>
    <xf numFmtId="0" fontId="24" fillId="0" borderId="35"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49" xfId="0" applyFont="1" applyBorder="1" applyAlignment="1">
      <alignment horizontal="center" vertical="center" wrapText="1"/>
    </xf>
    <xf numFmtId="0" fontId="24" fillId="0" borderId="0" xfId="0" applyFont="1" applyBorder="1" applyAlignment="1">
      <alignment horizontal="center" vertical="center" wrapText="1"/>
    </xf>
    <xf numFmtId="0" fontId="6" fillId="0" borderId="73" xfId="0" applyFont="1" applyFill="1" applyBorder="1" applyAlignment="1">
      <alignment horizontal="left" wrapText="1"/>
    </xf>
    <xf numFmtId="0" fontId="6" fillId="0" borderId="37" xfId="0" applyFont="1" applyFill="1" applyBorder="1" applyAlignment="1">
      <alignment horizontal="left" wrapText="1"/>
    </xf>
    <xf numFmtId="0" fontId="6" fillId="0" borderId="32" xfId="0" applyFont="1" applyFill="1" applyBorder="1" applyAlignment="1">
      <alignment horizontal="center" wrapText="1"/>
    </xf>
    <xf numFmtId="3" fontId="4" fillId="0" borderId="63" xfId="0" applyNumberFormat="1" applyFont="1" applyBorder="1" applyAlignment="1">
      <alignment horizontal="left" wrapText="1"/>
    </xf>
    <xf numFmtId="3" fontId="4" fillId="0" borderId="41" xfId="0" applyNumberFormat="1" applyFont="1" applyBorder="1" applyAlignment="1">
      <alignment horizontal="left"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63" xfId="0" applyFont="1" applyBorder="1" applyAlignment="1">
      <alignment horizontal="left" wrapText="1"/>
    </xf>
    <xf numFmtId="0" fontId="4" fillId="0" borderId="41" xfId="0" applyFont="1" applyBorder="1" applyAlignment="1">
      <alignment horizontal="left" wrapText="1"/>
    </xf>
    <xf numFmtId="0" fontId="4" fillId="0" borderId="63" xfId="0" applyFont="1" applyFill="1" applyBorder="1" applyAlignment="1">
      <alignment horizontal="left" wrapText="1"/>
    </xf>
    <xf numFmtId="0" fontId="4" fillId="0" borderId="41" xfId="0" applyFont="1" applyFill="1" applyBorder="1" applyAlignment="1">
      <alignment horizontal="left" wrapText="1"/>
    </xf>
    <xf numFmtId="0" fontId="6" fillId="0" borderId="39" xfId="0" applyFont="1" applyFill="1" applyBorder="1" applyAlignment="1">
      <alignment horizontal="left" wrapText="1"/>
    </xf>
    <xf numFmtId="0" fontId="4" fillId="0" borderId="0" xfId="0" applyFont="1" applyBorder="1" applyAlignment="1">
      <alignment horizontal="center" vertical="center" wrapText="1"/>
    </xf>
    <xf numFmtId="0" fontId="6" fillId="0" borderId="45" xfId="0" applyFont="1" applyBorder="1" applyAlignment="1">
      <alignment horizontal="center" vertical="center"/>
    </xf>
    <xf numFmtId="0" fontId="6" fillId="0" borderId="4" xfId="0" applyFont="1" applyBorder="1" applyAlignment="1">
      <alignment horizontal="center" vertical="center"/>
    </xf>
    <xf numFmtId="2" fontId="18" fillId="0" borderId="13" xfId="0" applyNumberFormat="1" applyFont="1" applyFill="1" applyBorder="1" applyAlignment="1">
      <alignment horizontal="center" vertical="center" wrapText="1"/>
    </xf>
    <xf numFmtId="2" fontId="4" fillId="0" borderId="34" xfId="0" applyNumberFormat="1" applyFont="1" applyBorder="1" applyAlignment="1">
      <alignment horizontal="center" vertical="center" wrapText="1"/>
    </xf>
    <xf numFmtId="2" fontId="4" fillId="0" borderId="20" xfId="0" applyNumberFormat="1" applyFont="1" applyBorder="1" applyAlignment="1">
      <alignment horizontal="center" vertical="center" wrapText="1"/>
    </xf>
    <xf numFmtId="2" fontId="4" fillId="0" borderId="34" xfId="0" applyNumberFormat="1" applyFont="1" applyFill="1" applyBorder="1" applyAlignment="1">
      <alignment horizontal="center" vertical="center" wrapText="1"/>
    </xf>
    <xf numFmtId="2" fontId="4" fillId="0" borderId="20" xfId="0" applyNumberFormat="1" applyFont="1" applyFill="1" applyBorder="1" applyAlignment="1">
      <alignment horizontal="center" vertical="center" wrapText="1"/>
    </xf>
    <xf numFmtId="2" fontId="4" fillId="0" borderId="44" xfId="0" applyNumberFormat="1" applyFont="1" applyFill="1" applyBorder="1" applyAlignment="1">
      <alignment horizontal="center" vertical="center" wrapText="1"/>
    </xf>
    <xf numFmtId="2" fontId="4" fillId="0" borderId="21" xfId="0" applyNumberFormat="1" applyFont="1" applyFill="1" applyBorder="1" applyAlignment="1">
      <alignment horizontal="center" vertical="center" wrapText="1"/>
    </xf>
    <xf numFmtId="164" fontId="4" fillId="0" borderId="46" xfId="0" applyNumberFormat="1" applyFont="1" applyFill="1" applyBorder="1" applyAlignment="1">
      <alignment horizontal="center" vertical="center" wrapText="1"/>
    </xf>
    <xf numFmtId="164" fontId="4" fillId="0" borderId="34" xfId="0" applyNumberFormat="1" applyFont="1" applyFill="1" applyBorder="1" applyAlignment="1">
      <alignment horizontal="center" vertical="center" wrapText="1"/>
    </xf>
    <xf numFmtId="164" fontId="4" fillId="0" borderId="45" xfId="0" applyNumberFormat="1" applyFont="1" applyFill="1" applyBorder="1" applyAlignment="1">
      <alignment horizontal="center" vertical="center" wrapText="1"/>
    </xf>
    <xf numFmtId="164" fontId="4" fillId="0" borderId="29" xfId="0" applyNumberFormat="1" applyFont="1" applyFill="1" applyBorder="1" applyAlignment="1">
      <alignment horizontal="center" vertical="center" wrapText="1"/>
    </xf>
    <xf numFmtId="164" fontId="4" fillId="0" borderId="20" xfId="0" applyNumberFormat="1" applyFont="1" applyFill="1" applyBorder="1" applyAlignment="1">
      <alignment horizontal="center" vertical="center" wrapText="1"/>
    </xf>
    <xf numFmtId="164" fontId="4" fillId="0" borderId="30" xfId="0" applyNumberFormat="1" applyFont="1" applyFill="1" applyBorder="1" applyAlignment="1">
      <alignment horizontal="center" vertical="center" wrapText="1"/>
    </xf>
    <xf numFmtId="164" fontId="6" fillId="0" borderId="73" xfId="0" applyNumberFormat="1" applyFont="1" applyFill="1" applyBorder="1" applyAlignment="1">
      <alignment horizontal="center"/>
    </xf>
    <xf numFmtId="164" fontId="6" fillId="0" borderId="37" xfId="0" applyNumberFormat="1" applyFont="1" applyFill="1" applyBorder="1" applyAlignment="1">
      <alignment horizontal="center"/>
    </xf>
    <xf numFmtId="0" fontId="4" fillId="0" borderId="44"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165" xfId="0" applyFont="1" applyBorder="1" applyAlignment="1">
      <alignment horizontal="center" vertical="center" wrapText="1"/>
    </xf>
    <xf numFmtId="2" fontId="18" fillId="0" borderId="38" xfId="0" applyNumberFormat="1" applyFont="1" applyFill="1" applyBorder="1" applyAlignment="1">
      <alignment horizontal="center" vertical="center" wrapText="1"/>
    </xf>
    <xf numFmtId="2" fontId="18" fillId="0" borderId="73" xfId="0" applyNumberFormat="1" applyFont="1" applyFill="1" applyBorder="1" applyAlignment="1">
      <alignment horizontal="center" vertical="center" wrapText="1"/>
    </xf>
    <xf numFmtId="2" fontId="18" fillId="0" borderId="37"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1" xfId="0" applyFont="1" applyBorder="1" applyAlignment="1">
      <alignment horizontal="center" vertical="center" wrapText="1"/>
    </xf>
    <xf numFmtId="2" fontId="18" fillId="0" borderId="13" xfId="0" applyNumberFormat="1" applyFont="1" applyBorder="1" applyAlignment="1">
      <alignment horizontal="center" vertical="center" wrapText="1"/>
    </xf>
    <xf numFmtId="3" fontId="6" fillId="7" borderId="11" xfId="14" applyNumberFormat="1" applyFont="1" applyFill="1" applyBorder="1" applyAlignment="1">
      <alignment horizontal="center" vertical="center" wrapText="1"/>
    </xf>
    <xf numFmtId="3" fontId="6" fillId="6" borderId="34" xfId="0" applyNumberFormat="1" applyFont="1" applyFill="1" applyBorder="1" applyAlignment="1">
      <alignment horizontal="center" vertical="center" wrapText="1"/>
    </xf>
    <xf numFmtId="3" fontId="6" fillId="6" borderId="20" xfId="0" applyNumberFormat="1" applyFont="1" applyFill="1" applyBorder="1" applyAlignment="1">
      <alignment horizontal="center" vertical="center" wrapText="1"/>
    </xf>
    <xf numFmtId="3" fontId="4" fillId="0" borderId="34" xfId="0" applyNumberFormat="1" applyFont="1" applyFill="1" applyBorder="1" applyAlignment="1">
      <alignment horizontal="center" vertical="center" wrapText="1"/>
    </xf>
    <xf numFmtId="3" fontId="4" fillId="0" borderId="20" xfId="0" applyNumberFormat="1" applyFont="1" applyFill="1" applyBorder="1" applyAlignment="1">
      <alignment horizontal="center" vertical="center" wrapText="1"/>
    </xf>
    <xf numFmtId="3" fontId="4" fillId="0" borderId="45" xfId="0" applyNumberFormat="1" applyFont="1" applyFill="1" applyBorder="1" applyAlignment="1">
      <alignment horizontal="center" vertical="center" wrapText="1"/>
    </xf>
    <xf numFmtId="3" fontId="4" fillId="0" borderId="30" xfId="0" applyNumberFormat="1" applyFont="1" applyFill="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3" fontId="3" fillId="0" borderId="0" xfId="0" applyNumberFormat="1" applyFont="1" applyAlignment="1">
      <alignment horizontal="center"/>
    </xf>
    <xf numFmtId="0" fontId="6" fillId="0" borderId="34" xfId="0" applyFont="1" applyBorder="1" applyAlignment="1">
      <alignment horizontal="center" vertical="center" wrapText="1"/>
    </xf>
    <xf numFmtId="0" fontId="6" fillId="0" borderId="1" xfId="0" applyFont="1" applyBorder="1" applyAlignment="1">
      <alignment horizontal="center" vertical="center" wrapText="1"/>
    </xf>
    <xf numFmtId="3" fontId="4" fillId="0" borderId="11"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5" fillId="0" borderId="5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7" xfId="0" applyFont="1" applyBorder="1" applyAlignment="1">
      <alignment horizontal="center" vertical="center" wrapText="1"/>
    </xf>
    <xf numFmtId="0" fontId="7" fillId="0" borderId="0" xfId="0" applyFont="1" applyAlignment="1">
      <alignment horizontal="center" vertical="center" wrapText="1"/>
    </xf>
    <xf numFmtId="0" fontId="4" fillId="0" borderId="0" xfId="0" applyFont="1" applyAlignment="1">
      <alignment horizontal="center" vertical="center" wrapText="1"/>
    </xf>
    <xf numFmtId="3" fontId="4" fillId="0" borderId="0" xfId="0" applyNumberFormat="1" applyFont="1" applyAlignment="1">
      <alignment horizontal="center"/>
    </xf>
  </cellXfs>
  <cellStyles count="42">
    <cellStyle name="Ezres" xfId="12" builtinId="3"/>
    <cellStyle name="Ezres 2" xfId="8"/>
    <cellStyle name="Ezres 3" xfId="10"/>
    <cellStyle name="Ezres 4" xfId="16"/>
    <cellStyle name="Ezres 5" xfId="17"/>
    <cellStyle name="Ezres 5 2" xfId="34"/>
    <cellStyle name="Ezres 6" xfId="18"/>
    <cellStyle name="Ezres 6 2" xfId="35"/>
    <cellStyle name="Ezres 7" xfId="19"/>
    <cellStyle name="Ezres 8" xfId="31"/>
    <cellStyle name="Hiperhivatkozás" xfId="2"/>
    <cellStyle name="Már látott hiperhivatkozás" xfId="3"/>
    <cellStyle name="Normál" xfId="0" builtinId="0"/>
    <cellStyle name="Normál 10" xfId="15"/>
    <cellStyle name="Normál 10 2" xfId="33"/>
    <cellStyle name="Normál 11" xfId="20"/>
    <cellStyle name="Normál 11 2" xfId="36"/>
    <cellStyle name="Normál 12" xfId="21"/>
    <cellStyle name="Normál 12 2" xfId="37"/>
    <cellStyle name="Normál 13" xfId="22"/>
    <cellStyle name="Normál 13 2" xfId="38"/>
    <cellStyle name="Normál 14" xfId="30"/>
    <cellStyle name="Normál 2" xfId="4"/>
    <cellStyle name="Normál 2 2" xfId="5"/>
    <cellStyle name="Normál 3" xfId="6"/>
    <cellStyle name="Normál 4" xfId="1"/>
    <cellStyle name="Normál 5" xfId="23"/>
    <cellStyle name="Normál 5 2" xfId="14"/>
    <cellStyle name="Normál 5 3" xfId="39"/>
    <cellStyle name="Normál 6" xfId="7"/>
    <cellStyle name="Normál 6 2" xfId="24"/>
    <cellStyle name="Normál 7" xfId="25"/>
    <cellStyle name="Normál 7 2" xfId="40"/>
    <cellStyle name="Normál 8" xfId="26"/>
    <cellStyle name="Normál 9" xfId="27"/>
    <cellStyle name="Normál 9 2" xfId="41"/>
    <cellStyle name="Normál_Munka1" xfId="9"/>
    <cellStyle name="Normál_több éves" xfId="11"/>
    <cellStyle name="Pénznem 2" xfId="28"/>
    <cellStyle name="Pénznem 3" xfId="29"/>
    <cellStyle name="Százalék" xfId="13" builtinId="5"/>
    <cellStyle name="Százalék 2" xfId="32"/>
  </cellStyles>
  <dxfs count="0"/>
  <tableStyles count="0" defaultTableStyle="TableStyleMedium2" defaultPivotStyle="PivotStyleLight16"/>
  <colors>
    <mruColors>
      <color rgb="FF99CCFF"/>
      <color rgb="FFCCFF99"/>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0k&#246;lts&#233;gvet&#233;s/test&#252;leti/2019.%20&#233;vi%20c&#237;mrendes%20jav&#237;tot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ímrend"/>
      <sheetName val="címrendösszesen"/>
      <sheetName val="összesített önk.- köt.-államig."/>
      <sheetName val="mérleg"/>
      <sheetName val="rendfeladattalterhpézmaradv"/>
      <sheetName val="tartalékok"/>
      <sheetName val="felhalmozás-felújítás"/>
      <sheetName val="bevétel 11601 cím "/>
      <sheetName val="kiadás 11601"/>
      <sheetName val="bevétel 11602"/>
      <sheetName val="kiadás11602"/>
      <sheetName val="kiadás 11603"/>
      <sheetName val="bevétel 11604 cím  "/>
      <sheetName val="kiadás 11604 "/>
      <sheetName val="bevétel 11605 cím  "/>
      <sheetName val="kiadás11605projektek"/>
      <sheetName val="eng.létszám"/>
      <sheetName val="céljellegű"/>
      <sheetName val="EU-s projekt"/>
      <sheetName val="címrend kötelező"/>
      <sheetName val="címrend önként"/>
      <sheetName val="címrend államig"/>
      <sheetName val="ütemterv"/>
      <sheetName val="előzeteskötváll."/>
      <sheetName val="előterközvetett támogatások"/>
      <sheetName val="előterjállamitám"/>
      <sheetName val="3 éves"/>
      <sheetName val="stb29A"/>
      <sheetName val="Munk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8">
          <cell r="D58">
            <v>4600000</v>
          </cell>
        </row>
        <row r="59">
          <cell r="D59">
            <v>2500000</v>
          </cell>
        </row>
        <row r="60">
          <cell r="D60">
            <v>45000</v>
          </cell>
        </row>
        <row r="61">
          <cell r="D61">
            <v>400000</v>
          </cell>
        </row>
        <row r="62">
          <cell r="D62">
            <v>70000</v>
          </cell>
        </row>
        <row r="63">
          <cell r="D63">
            <v>180000</v>
          </cell>
        </row>
        <row r="64">
          <cell r="D64">
            <v>12000</v>
          </cell>
        </row>
      </sheetData>
      <sheetData sheetId="26"/>
      <sheetData sheetId="27"/>
      <sheetData sheetId="28"/>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D360"/>
  <sheetViews>
    <sheetView workbookViewId="0">
      <pane xSplit="2" ySplit="4" topLeftCell="N215" activePane="bottomRight" state="frozen"/>
      <selection pane="topRight" activeCell="C1" sqref="C1"/>
      <selection pane="bottomLeft" activeCell="A5" sqref="A5"/>
      <selection pane="bottomRight" activeCell="AL61" sqref="AL61"/>
    </sheetView>
  </sheetViews>
  <sheetFormatPr defaultRowHeight="13.2" x14ac:dyDescent="0.25"/>
  <cols>
    <col min="1" max="1" width="2.6640625" style="128" customWidth="1"/>
    <col min="2" max="2" width="40.6640625" style="128" customWidth="1"/>
    <col min="3" max="4" width="12.6640625" style="369" customWidth="1"/>
    <col min="5" max="5" width="2.6640625" style="128" customWidth="1"/>
    <col min="6" max="6" width="40.6640625" style="128" customWidth="1"/>
    <col min="7" max="8" width="12.6640625" style="369" customWidth="1"/>
    <col min="9" max="9" width="2.6640625" style="128" customWidth="1"/>
    <col min="10" max="10" width="40.6640625" style="128" customWidth="1"/>
    <col min="11" max="12" width="12.6640625" style="369" customWidth="1"/>
    <col min="13" max="13" width="2.6640625" style="128" customWidth="1"/>
    <col min="14" max="14" width="40.6640625" style="128" customWidth="1"/>
    <col min="15" max="20" width="9.6640625" style="369" customWidth="1"/>
    <col min="21" max="26" width="12.6640625" style="369" customWidth="1"/>
    <col min="27" max="27" width="2.6640625" style="350" customWidth="1"/>
    <col min="28" max="28" width="40.6640625" style="350" customWidth="1"/>
    <col min="29" max="32" width="12.6640625" style="1205" customWidth="1"/>
    <col min="33" max="33" width="2.6640625" style="128" customWidth="1"/>
    <col min="34" max="34" width="40.6640625" style="128" customWidth="1"/>
    <col min="35" max="39" width="10.6640625" style="369" customWidth="1"/>
    <col min="40" max="40" width="11.88671875" style="369" customWidth="1"/>
    <col min="41" max="41" width="2.6640625" style="350" customWidth="1"/>
    <col min="42" max="42" width="40.6640625" style="350" customWidth="1"/>
    <col min="43" max="46" width="9.6640625" style="1205" customWidth="1"/>
    <col min="47" max="50" width="12.6640625" style="128" customWidth="1"/>
    <col min="51" max="54" width="9.6640625" style="369" customWidth="1"/>
  </cols>
  <sheetData>
    <row r="1" spans="1:54" s="1208" customFormat="1" ht="125.25" customHeight="1" x14ac:dyDescent="0.25">
      <c r="A1" s="2536" t="s">
        <v>497</v>
      </c>
      <c r="B1" s="2534"/>
      <c r="C1" s="2300" t="s">
        <v>1816</v>
      </c>
      <c r="D1" s="2299" t="s">
        <v>2030</v>
      </c>
      <c r="E1" s="2531" t="s">
        <v>497</v>
      </c>
      <c r="F1" s="2531"/>
      <c r="G1" s="2300" t="s">
        <v>1817</v>
      </c>
      <c r="H1" s="2299" t="s">
        <v>2031</v>
      </c>
      <c r="I1" s="2531" t="s">
        <v>497</v>
      </c>
      <c r="J1" s="2531"/>
      <c r="K1" s="2300" t="s">
        <v>1818</v>
      </c>
      <c r="L1" s="2299" t="s">
        <v>2032</v>
      </c>
      <c r="M1" s="2534" t="s">
        <v>497</v>
      </c>
      <c r="N1" s="2534"/>
      <c r="O1" s="2528" t="s">
        <v>1819</v>
      </c>
      <c r="P1" s="2528"/>
      <c r="Q1" s="2528"/>
      <c r="R1" s="2525" t="s">
        <v>2033</v>
      </c>
      <c r="S1" s="2525"/>
      <c r="T1" s="2525"/>
      <c r="U1" s="2300" t="s">
        <v>1820</v>
      </c>
      <c r="V1" s="2299" t="s">
        <v>2035</v>
      </c>
      <c r="W1" s="2300" t="s">
        <v>1820</v>
      </c>
      <c r="X1" s="2299" t="s">
        <v>2035</v>
      </c>
      <c r="Y1" s="2300" t="s">
        <v>1821</v>
      </c>
      <c r="Z1" s="2299" t="s">
        <v>2036</v>
      </c>
      <c r="AA1" s="2531" t="s">
        <v>497</v>
      </c>
      <c r="AB1" s="2531"/>
      <c r="AC1" s="2531" t="s">
        <v>1822</v>
      </c>
      <c r="AD1" s="2531"/>
      <c r="AE1" s="2533" t="s">
        <v>2038</v>
      </c>
      <c r="AF1" s="2533"/>
      <c r="AG1" s="2531" t="s">
        <v>497</v>
      </c>
      <c r="AH1" s="2531"/>
      <c r="AI1" s="2528" t="s">
        <v>1823</v>
      </c>
      <c r="AJ1" s="2528"/>
      <c r="AK1" s="2528"/>
      <c r="AL1" s="2525" t="s">
        <v>2039</v>
      </c>
      <c r="AM1" s="2525"/>
      <c r="AN1" s="2525"/>
      <c r="AO1" s="2531" t="s">
        <v>497</v>
      </c>
      <c r="AP1" s="2531"/>
      <c r="AQ1" s="2528" t="s">
        <v>1824</v>
      </c>
      <c r="AR1" s="2528"/>
      <c r="AS1" s="2525" t="s">
        <v>2040</v>
      </c>
      <c r="AT1" s="2530"/>
      <c r="AU1" s="2524" t="s">
        <v>1825</v>
      </c>
      <c r="AV1" s="2525"/>
      <c r="AW1" s="2525"/>
      <c r="AX1" s="2526"/>
      <c r="AY1" s="2527" t="s">
        <v>1825</v>
      </c>
      <c r="AZ1" s="2528"/>
      <c r="BA1" s="2528"/>
      <c r="BB1" s="2529"/>
    </row>
    <row r="2" spans="1:54" s="1208" customFormat="1" ht="14.4" thickBot="1" x14ac:dyDescent="0.3">
      <c r="A2" s="2537"/>
      <c r="B2" s="2535"/>
      <c r="C2" s="1209" t="s">
        <v>1266</v>
      </c>
      <c r="D2" s="1419" t="s">
        <v>1266</v>
      </c>
      <c r="E2" s="2532"/>
      <c r="F2" s="2532"/>
      <c r="G2" s="1209" t="s">
        <v>1266</v>
      </c>
      <c r="H2" s="1419" t="s">
        <v>1266</v>
      </c>
      <c r="I2" s="2532"/>
      <c r="J2" s="2532"/>
      <c r="K2" s="1209" t="s">
        <v>1266</v>
      </c>
      <c r="L2" s="1419" t="s">
        <v>1266</v>
      </c>
      <c r="M2" s="2535"/>
      <c r="N2" s="2535"/>
      <c r="O2" s="1209" t="s">
        <v>809</v>
      </c>
      <c r="P2" s="1209" t="s">
        <v>1265</v>
      </c>
      <c r="Q2" s="1209" t="s">
        <v>1266</v>
      </c>
      <c r="R2" s="1419" t="s">
        <v>809</v>
      </c>
      <c r="S2" s="1419" t="s">
        <v>1265</v>
      </c>
      <c r="T2" s="1419" t="s">
        <v>1266</v>
      </c>
      <c r="U2" s="1209" t="s">
        <v>809</v>
      </c>
      <c r="V2" s="1419" t="s">
        <v>809</v>
      </c>
      <c r="W2" s="1209" t="s">
        <v>1266</v>
      </c>
      <c r="X2" s="1419" t="s">
        <v>1266</v>
      </c>
      <c r="Y2" s="1209" t="s">
        <v>809</v>
      </c>
      <c r="Z2" s="1419" t="s">
        <v>809</v>
      </c>
      <c r="AA2" s="2532"/>
      <c r="AB2" s="2532"/>
      <c r="AC2" s="1209" t="s">
        <v>809</v>
      </c>
      <c r="AD2" s="1209" t="s">
        <v>1265</v>
      </c>
      <c r="AE2" s="1419" t="s">
        <v>809</v>
      </c>
      <c r="AF2" s="1419" t="s">
        <v>1265</v>
      </c>
      <c r="AG2" s="2532"/>
      <c r="AH2" s="2532"/>
      <c r="AI2" s="1209" t="s">
        <v>809</v>
      </c>
      <c r="AJ2" s="1209" t="s">
        <v>1265</v>
      </c>
      <c r="AK2" s="1209" t="s">
        <v>1266</v>
      </c>
      <c r="AL2" s="1419" t="s">
        <v>809</v>
      </c>
      <c r="AM2" s="1419" t="s">
        <v>1265</v>
      </c>
      <c r="AN2" s="1419" t="s">
        <v>1266</v>
      </c>
      <c r="AO2" s="2532"/>
      <c r="AP2" s="2532"/>
      <c r="AQ2" s="1209" t="s">
        <v>1267</v>
      </c>
      <c r="AR2" s="1209" t="s">
        <v>1268</v>
      </c>
      <c r="AS2" s="1419" t="s">
        <v>1267</v>
      </c>
      <c r="AT2" s="1582" t="s">
        <v>1268</v>
      </c>
      <c r="AU2" s="1559" t="s">
        <v>809</v>
      </c>
      <c r="AV2" s="1419" t="s">
        <v>1265</v>
      </c>
      <c r="AW2" s="1419" t="s">
        <v>1266</v>
      </c>
      <c r="AX2" s="1420" t="s">
        <v>581</v>
      </c>
      <c r="AY2" s="1390" t="s">
        <v>809</v>
      </c>
      <c r="AZ2" s="1209" t="s">
        <v>1265</v>
      </c>
      <c r="BA2" s="1209" t="s">
        <v>1266</v>
      </c>
      <c r="BB2" s="1384" t="s">
        <v>581</v>
      </c>
    </row>
    <row r="3" spans="1:54" ht="16.2" thickBot="1" x14ac:dyDescent="0.35">
      <c r="A3" s="2509" t="s">
        <v>1269</v>
      </c>
      <c r="B3" s="2510"/>
      <c r="C3" s="1329">
        <f>C267</f>
        <v>17608</v>
      </c>
      <c r="D3" s="1485">
        <f>D267</f>
        <v>12303</v>
      </c>
      <c r="E3" s="2510" t="s">
        <v>1269</v>
      </c>
      <c r="F3" s="2510"/>
      <c r="G3" s="1210">
        <f>G267</f>
        <v>5811</v>
      </c>
      <c r="H3" s="1510">
        <f>H267</f>
        <v>5789</v>
      </c>
      <c r="I3" s="2510" t="s">
        <v>1269</v>
      </c>
      <c r="J3" s="2510"/>
      <c r="K3" s="1329">
        <f>K267</f>
        <v>5832</v>
      </c>
      <c r="L3" s="1485">
        <f>L267</f>
        <v>5440</v>
      </c>
      <c r="M3" s="2510" t="s">
        <v>1269</v>
      </c>
      <c r="N3" s="2510"/>
      <c r="O3" s="1348">
        <f t="shared" ref="O3:X3" si="0">O267</f>
        <v>319011</v>
      </c>
      <c r="P3" s="1348">
        <f t="shared" si="0"/>
        <v>9991</v>
      </c>
      <c r="Q3" s="1348">
        <f t="shared" si="0"/>
        <v>1500</v>
      </c>
      <c r="R3" s="1512">
        <f t="shared" si="0"/>
        <v>247170</v>
      </c>
      <c r="S3" s="1512">
        <f t="shared" si="0"/>
        <v>11823</v>
      </c>
      <c r="T3" s="1512">
        <f t="shared" si="0"/>
        <v>1500</v>
      </c>
      <c r="U3" s="1348">
        <f t="shared" si="0"/>
        <v>115546</v>
      </c>
      <c r="V3" s="1512">
        <f t="shared" si="0"/>
        <v>76026</v>
      </c>
      <c r="W3" s="1348">
        <f t="shared" si="0"/>
        <v>500</v>
      </c>
      <c r="X3" s="1512">
        <f t="shared" si="0"/>
        <v>500</v>
      </c>
      <c r="Y3" s="1348">
        <f>Y267</f>
        <v>14410</v>
      </c>
      <c r="Z3" s="1512">
        <f>Z267</f>
        <v>14264</v>
      </c>
      <c r="AA3" s="2511" t="s">
        <v>1269</v>
      </c>
      <c r="AB3" s="2511"/>
      <c r="AC3" s="1210">
        <f t="shared" ref="AC3:AF3" si="1">AC267</f>
        <v>56977</v>
      </c>
      <c r="AD3" s="1210">
        <f t="shared" si="1"/>
        <v>22782</v>
      </c>
      <c r="AE3" s="1510">
        <f t="shared" si="1"/>
        <v>16825</v>
      </c>
      <c r="AF3" s="1510">
        <f t="shared" si="1"/>
        <v>20293</v>
      </c>
      <c r="AG3" s="2510" t="s">
        <v>1269</v>
      </c>
      <c r="AH3" s="2510"/>
      <c r="AI3" s="1210">
        <f t="shared" ref="AI3:AN3" si="2">AI267</f>
        <v>1132181</v>
      </c>
      <c r="AJ3" s="1210">
        <f t="shared" si="2"/>
        <v>36081</v>
      </c>
      <c r="AK3" s="1210">
        <f t="shared" si="2"/>
        <v>276970</v>
      </c>
      <c r="AL3" s="1510">
        <f t="shared" si="2"/>
        <v>1193328</v>
      </c>
      <c r="AM3" s="1510">
        <f t="shared" si="2"/>
        <v>33954</v>
      </c>
      <c r="AN3" s="1510">
        <f t="shared" si="2"/>
        <v>244610</v>
      </c>
      <c r="AO3" s="2511" t="s">
        <v>1269</v>
      </c>
      <c r="AP3" s="2511"/>
      <c r="AQ3" s="1154">
        <f>AQ267</f>
        <v>532481</v>
      </c>
      <c r="AR3" s="1154">
        <f>AR267</f>
        <v>2487</v>
      </c>
      <c r="AS3" s="1421">
        <f>AS267</f>
        <v>510265</v>
      </c>
      <c r="AT3" s="1583">
        <f>AT267</f>
        <v>28485</v>
      </c>
      <c r="AU3" s="2336">
        <f t="shared" ref="AU3:BB3" si="3">AU267</f>
        <v>2057878</v>
      </c>
      <c r="AV3" s="2337">
        <f t="shared" si="3"/>
        <v>94555</v>
      </c>
      <c r="AW3" s="2337">
        <f t="shared" si="3"/>
        <v>270142</v>
      </c>
      <c r="AX3" s="2338">
        <f t="shared" si="3"/>
        <v>2422575</v>
      </c>
      <c r="AY3" s="1153">
        <f t="shared" si="3"/>
        <v>2170606</v>
      </c>
      <c r="AZ3" s="1154">
        <f t="shared" si="3"/>
        <v>71341</v>
      </c>
      <c r="BA3" s="1154">
        <f t="shared" si="3"/>
        <v>308221</v>
      </c>
      <c r="BB3" s="1391">
        <f t="shared" si="3"/>
        <v>2550168</v>
      </c>
    </row>
    <row r="4" spans="1:54" s="1388" customFormat="1" ht="18" thickBot="1" x14ac:dyDescent="0.3">
      <c r="A4" s="1344"/>
      <c r="B4" s="1345"/>
      <c r="C4" s="1345">
        <v>2019</v>
      </c>
      <c r="D4" s="1345">
        <v>2020</v>
      </c>
      <c r="E4" s="1345"/>
      <c r="F4" s="1345"/>
      <c r="G4" s="1345">
        <v>2019</v>
      </c>
      <c r="H4" s="1345">
        <v>2020</v>
      </c>
      <c r="I4" s="1345"/>
      <c r="J4" s="1345"/>
      <c r="K4" s="1345">
        <v>2019</v>
      </c>
      <c r="L4" s="1345">
        <v>2020</v>
      </c>
      <c r="M4" s="1345"/>
      <c r="N4" s="1345"/>
      <c r="O4" s="1345">
        <v>2019</v>
      </c>
      <c r="P4" s="1345">
        <v>2019</v>
      </c>
      <c r="Q4" s="1345">
        <v>2019</v>
      </c>
      <c r="R4" s="1345">
        <v>2020</v>
      </c>
      <c r="S4" s="1345">
        <v>2020</v>
      </c>
      <c r="T4" s="1345">
        <v>2020</v>
      </c>
      <c r="U4" s="1345">
        <v>2019</v>
      </c>
      <c r="V4" s="1345">
        <v>2020</v>
      </c>
      <c r="W4" s="1345">
        <v>2019</v>
      </c>
      <c r="X4" s="1345">
        <v>2020</v>
      </c>
      <c r="Y4" s="1345">
        <v>2019</v>
      </c>
      <c r="Z4" s="1345">
        <v>2020</v>
      </c>
      <c r="AA4" s="1346"/>
      <c r="AB4" s="1346"/>
      <c r="AC4" s="1346">
        <v>2019</v>
      </c>
      <c r="AD4" s="1346">
        <v>2019</v>
      </c>
      <c r="AE4" s="1346">
        <v>2020</v>
      </c>
      <c r="AF4" s="1346">
        <v>2020</v>
      </c>
      <c r="AG4" s="1345"/>
      <c r="AH4" s="1345"/>
      <c r="AI4" s="1345">
        <v>2019</v>
      </c>
      <c r="AJ4" s="1345">
        <v>2019</v>
      </c>
      <c r="AK4" s="1345">
        <v>2019</v>
      </c>
      <c r="AL4" s="1345">
        <v>2020</v>
      </c>
      <c r="AM4" s="1345">
        <v>2020</v>
      </c>
      <c r="AN4" s="1345">
        <v>2020</v>
      </c>
      <c r="AO4" s="1346"/>
      <c r="AP4" s="1346"/>
      <c r="AQ4" s="1346">
        <v>2019</v>
      </c>
      <c r="AR4" s="1346">
        <v>2019</v>
      </c>
      <c r="AS4" s="1346">
        <v>2020</v>
      </c>
      <c r="AT4" s="1618">
        <v>2020</v>
      </c>
      <c r="AU4" s="2518">
        <v>2020</v>
      </c>
      <c r="AV4" s="2519"/>
      <c r="AW4" s="2519"/>
      <c r="AX4" s="2520"/>
      <c r="AY4" s="2521">
        <v>2019</v>
      </c>
      <c r="AZ4" s="2522"/>
      <c r="BA4" s="2522"/>
      <c r="BB4" s="2523"/>
    </row>
    <row r="5" spans="1:54" s="1371" customFormat="1" ht="15" customHeight="1" x14ac:dyDescent="0.25">
      <c r="A5" s="2517" t="s">
        <v>87</v>
      </c>
      <c r="B5" s="2516"/>
      <c r="C5" s="1215"/>
      <c r="D5" s="1486"/>
      <c r="E5" s="2515" t="s">
        <v>87</v>
      </c>
      <c r="F5" s="2516"/>
      <c r="G5" s="1215"/>
      <c r="H5" s="1486"/>
      <c r="I5" s="2515" t="s">
        <v>87</v>
      </c>
      <c r="J5" s="2516"/>
      <c r="K5" s="1215"/>
      <c r="L5" s="1486"/>
      <c r="M5" s="2515" t="s">
        <v>87</v>
      </c>
      <c r="N5" s="2516"/>
      <c r="O5" s="1214"/>
      <c r="P5" s="1214"/>
      <c r="Q5" s="1214"/>
      <c r="R5" s="1422"/>
      <c r="S5" s="1422"/>
      <c r="T5" s="1422"/>
      <c r="U5" s="1215"/>
      <c r="V5" s="1486"/>
      <c r="W5" s="1215"/>
      <c r="X5" s="1486"/>
      <c r="Y5" s="1215"/>
      <c r="Z5" s="1486"/>
      <c r="AA5" s="2515" t="s">
        <v>87</v>
      </c>
      <c r="AB5" s="2516"/>
      <c r="AC5" s="1214"/>
      <c r="AD5" s="1214"/>
      <c r="AE5" s="1422"/>
      <c r="AF5" s="1422"/>
      <c r="AG5" s="2515" t="s">
        <v>87</v>
      </c>
      <c r="AH5" s="2516"/>
      <c r="AI5" s="1215"/>
      <c r="AJ5" s="1215"/>
      <c r="AK5" s="1215"/>
      <c r="AL5" s="1486"/>
      <c r="AM5" s="1486"/>
      <c r="AN5" s="1486"/>
      <c r="AO5" s="2515" t="s">
        <v>87</v>
      </c>
      <c r="AP5" s="2516"/>
      <c r="AQ5" s="1215"/>
      <c r="AR5" s="1215"/>
      <c r="AS5" s="1486"/>
      <c r="AT5" s="1584"/>
      <c r="AU5" s="1560"/>
      <c r="AV5" s="1422"/>
      <c r="AW5" s="1422"/>
      <c r="AX5" s="1423"/>
      <c r="AY5" s="1392"/>
      <c r="AZ5" s="1214"/>
      <c r="BA5" s="1214"/>
      <c r="BB5" s="1382"/>
    </row>
    <row r="6" spans="1:54" ht="27" customHeight="1" x14ac:dyDescent="0.3">
      <c r="A6" s="1216">
        <v>1</v>
      </c>
      <c r="B6" s="954" t="s">
        <v>2041</v>
      </c>
      <c r="C6" s="1223">
        <v>5400</v>
      </c>
      <c r="D6" s="1487">
        <f>5400-4500</f>
        <v>900</v>
      </c>
      <c r="E6" s="1217">
        <v>1</v>
      </c>
      <c r="F6" s="956" t="s">
        <v>1826</v>
      </c>
      <c r="G6" s="1223">
        <v>1200</v>
      </c>
      <c r="H6" s="1487">
        <v>1200</v>
      </c>
      <c r="I6" s="1217">
        <v>1</v>
      </c>
      <c r="J6" s="1218"/>
      <c r="K6" s="1223"/>
      <c r="L6" s="1487"/>
      <c r="M6" s="1217">
        <v>1</v>
      </c>
      <c r="N6" s="1218" t="s">
        <v>1320</v>
      </c>
      <c r="O6" s="1247"/>
      <c r="P6" s="1247"/>
      <c r="Q6" s="1247"/>
      <c r="R6" s="1424"/>
      <c r="S6" s="1424"/>
      <c r="T6" s="1424"/>
      <c r="U6" s="1223"/>
      <c r="V6" s="1487"/>
      <c r="W6" s="1223"/>
      <c r="X6" s="1487"/>
      <c r="Y6" s="1223"/>
      <c r="Z6" s="1487"/>
      <c r="AA6" s="1149">
        <v>1</v>
      </c>
      <c r="AB6" s="954" t="s">
        <v>1274</v>
      </c>
      <c r="AC6" s="1219"/>
      <c r="AD6" s="1219"/>
      <c r="AE6" s="1528"/>
      <c r="AF6" s="1528"/>
      <c r="AG6" s="1217">
        <v>1</v>
      </c>
      <c r="AH6" s="1220" t="s">
        <v>1272</v>
      </c>
      <c r="AI6" s="1222"/>
      <c r="AJ6" s="1222"/>
      <c r="AK6" s="1222"/>
      <c r="AL6" s="1505"/>
      <c r="AM6" s="1505"/>
      <c r="AN6" s="1505"/>
      <c r="AO6" s="1149">
        <v>1</v>
      </c>
      <c r="AP6" s="953" t="s">
        <v>1272</v>
      </c>
      <c r="AQ6" s="989"/>
      <c r="AR6" s="989"/>
      <c r="AS6" s="1544"/>
      <c r="AT6" s="1585"/>
      <c r="AU6" s="1561">
        <f>R6+V6+Z6+AE6+AL6+AS6</f>
        <v>0</v>
      </c>
      <c r="AV6" s="1447">
        <f>S6+AF6+AM6+AT6</f>
        <v>0</v>
      </c>
      <c r="AW6" s="1447">
        <f>D6+H6+L6+T6+X6+AN6</f>
        <v>2100</v>
      </c>
      <c r="AX6" s="1450">
        <f>SUM(AU6:AW6)</f>
        <v>2100</v>
      </c>
      <c r="AY6" s="1393">
        <f t="shared" ref="AY6:AY58" si="4">SUM(O6+U6+Y6+AC6+AI6+AQ6)</f>
        <v>0</v>
      </c>
      <c r="AZ6" s="1247">
        <f t="shared" ref="AZ6:AZ58" si="5">SUM(P6+AD6+AJ6+AR6)</f>
        <v>0</v>
      </c>
      <c r="BA6" s="1247">
        <f t="shared" ref="BA6:BA58" si="6">SUM(C6+G6+K6+Q6+W6+AK6)</f>
        <v>6600</v>
      </c>
      <c r="BB6" s="1385">
        <f>SUM(AY6:BA6)</f>
        <v>6600</v>
      </c>
    </row>
    <row r="7" spans="1:54" ht="27" x14ac:dyDescent="0.3">
      <c r="A7" s="1216">
        <v>2</v>
      </c>
      <c r="B7" s="956"/>
      <c r="C7" s="1223"/>
      <c r="D7" s="1487"/>
      <c r="E7" s="1217">
        <v>2</v>
      </c>
      <c r="F7" s="956"/>
      <c r="G7" s="1223"/>
      <c r="H7" s="1487"/>
      <c r="I7" s="1217">
        <v>2</v>
      </c>
      <c r="J7" s="956"/>
      <c r="K7" s="1223"/>
      <c r="L7" s="1487"/>
      <c r="M7" s="1217">
        <v>2</v>
      </c>
      <c r="N7" s="954" t="s">
        <v>1827</v>
      </c>
      <c r="O7" s="1247"/>
      <c r="P7" s="1247">
        <v>1100</v>
      </c>
      <c r="Q7" s="1247"/>
      <c r="R7" s="1424"/>
      <c r="S7" s="1424">
        <v>1100</v>
      </c>
      <c r="T7" s="1424"/>
      <c r="U7" s="1223"/>
      <c r="V7" s="1487"/>
      <c r="W7" s="1223"/>
      <c r="X7" s="1487"/>
      <c r="Y7" s="1223"/>
      <c r="Z7" s="1487"/>
      <c r="AA7" s="1149">
        <v>2</v>
      </c>
      <c r="AB7" s="954" t="s">
        <v>1278</v>
      </c>
      <c r="AC7" s="1219"/>
      <c r="AD7" s="1219"/>
      <c r="AE7" s="1528"/>
      <c r="AF7" s="1528"/>
      <c r="AG7" s="1217">
        <v>2</v>
      </c>
      <c r="AH7" s="1221" t="s">
        <v>2086</v>
      </c>
      <c r="AI7" s="1222"/>
      <c r="AJ7" s="1222"/>
      <c r="AK7" s="1222">
        <v>189049</v>
      </c>
      <c r="AL7" s="1505"/>
      <c r="AM7" s="1505"/>
      <c r="AN7" s="1505">
        <v>162633</v>
      </c>
      <c r="AO7" s="1149">
        <v>2</v>
      </c>
      <c r="AP7" s="954" t="s">
        <v>2087</v>
      </c>
      <c r="AQ7" s="989">
        <v>245347</v>
      </c>
      <c r="AR7" s="989"/>
      <c r="AS7" s="1544">
        <v>255481</v>
      </c>
      <c r="AT7" s="1585"/>
      <c r="AU7" s="1561">
        <f t="shared" ref="AU7:AU58" si="7">R7+V7+Z7+AE7+AL7+AS7</f>
        <v>255481</v>
      </c>
      <c r="AV7" s="1447">
        <f t="shared" ref="AV7:AV58" si="8">S7+AF7+AM7+AT7</f>
        <v>1100</v>
      </c>
      <c r="AW7" s="1447">
        <f t="shared" ref="AW7:AW58" si="9">D7+H7+L7+T7+X7+AN7</f>
        <v>162633</v>
      </c>
      <c r="AX7" s="1450">
        <f t="shared" ref="AX7:AX70" si="10">SUM(AU7:AW7)</f>
        <v>419214</v>
      </c>
      <c r="AY7" s="1393">
        <f t="shared" si="4"/>
        <v>245347</v>
      </c>
      <c r="AZ7" s="1247">
        <f t="shared" si="5"/>
        <v>1100</v>
      </c>
      <c r="BA7" s="1247">
        <f t="shared" si="6"/>
        <v>189049</v>
      </c>
      <c r="BB7" s="1385">
        <f t="shared" ref="BB7:BB70" si="11">SUM(AY7:BA7)</f>
        <v>435496</v>
      </c>
    </row>
    <row r="8" spans="1:54" ht="15.6" x14ac:dyDescent="0.3">
      <c r="A8" s="1216">
        <v>3</v>
      </c>
      <c r="B8" s="1221"/>
      <c r="C8" s="1223"/>
      <c r="D8" s="1487"/>
      <c r="E8" s="1217">
        <v>3</v>
      </c>
      <c r="F8" s="1221"/>
      <c r="G8" s="1223"/>
      <c r="H8" s="1487"/>
      <c r="I8" s="1217">
        <v>3</v>
      </c>
      <c r="J8" s="1221"/>
      <c r="K8" s="1223"/>
      <c r="L8" s="1487"/>
      <c r="M8" s="1217">
        <v>3</v>
      </c>
      <c r="N8" s="1221" t="s">
        <v>1828</v>
      </c>
      <c r="O8" s="1247"/>
      <c r="P8" s="1247">
        <v>6000</v>
      </c>
      <c r="Q8" s="1247"/>
      <c r="R8" s="1424"/>
      <c r="S8" s="1424">
        <v>6000</v>
      </c>
      <c r="T8" s="1424"/>
      <c r="U8" s="1223"/>
      <c r="V8" s="1487"/>
      <c r="W8" s="1223"/>
      <c r="X8" s="1487"/>
      <c r="Y8" s="1223"/>
      <c r="Z8" s="1487"/>
      <c r="AA8" s="1149">
        <v>3</v>
      </c>
      <c r="AB8" s="954" t="s">
        <v>2037</v>
      </c>
      <c r="AC8" s="1219">
        <f>11700-4184</f>
        <v>7516</v>
      </c>
      <c r="AD8" s="1219"/>
      <c r="AE8" s="1528"/>
      <c r="AF8" s="1528"/>
      <c r="AG8" s="1217">
        <v>3</v>
      </c>
      <c r="AH8" s="1221" t="s">
        <v>1829</v>
      </c>
      <c r="AI8" s="1223"/>
      <c r="AJ8" s="1223"/>
      <c r="AK8" s="1223"/>
      <c r="AL8" s="1487"/>
      <c r="AM8" s="1487"/>
      <c r="AN8" s="1487"/>
      <c r="AO8" s="1149">
        <v>3</v>
      </c>
      <c r="AP8" s="954" t="s">
        <v>1280</v>
      </c>
      <c r="AQ8" s="989">
        <v>2516</v>
      </c>
      <c r="AR8" s="989"/>
      <c r="AS8" s="1544">
        <v>1956</v>
      </c>
      <c r="AT8" s="1585"/>
      <c r="AU8" s="1561">
        <f t="shared" si="7"/>
        <v>1956</v>
      </c>
      <c r="AV8" s="1447">
        <f t="shared" si="8"/>
        <v>6000</v>
      </c>
      <c r="AW8" s="1447">
        <f t="shared" si="9"/>
        <v>0</v>
      </c>
      <c r="AX8" s="1450">
        <f t="shared" si="10"/>
        <v>7956</v>
      </c>
      <c r="AY8" s="1393">
        <f t="shared" si="4"/>
        <v>10032</v>
      </c>
      <c r="AZ8" s="1247">
        <f t="shared" si="5"/>
        <v>6000</v>
      </c>
      <c r="BA8" s="1247">
        <f t="shared" si="6"/>
        <v>0</v>
      </c>
      <c r="BB8" s="1385">
        <f t="shared" si="11"/>
        <v>16032</v>
      </c>
    </row>
    <row r="9" spans="1:54" ht="15.6" x14ac:dyDescent="0.3">
      <c r="A9" s="1216">
        <v>4</v>
      </c>
      <c r="B9" s="1218"/>
      <c r="C9" s="1223"/>
      <c r="D9" s="1487"/>
      <c r="E9" s="1217">
        <v>4</v>
      </c>
      <c r="F9" s="1218"/>
      <c r="G9" s="1223"/>
      <c r="H9" s="1487"/>
      <c r="I9" s="1217">
        <v>4</v>
      </c>
      <c r="J9" s="1218"/>
      <c r="K9" s="1223"/>
      <c r="L9" s="1487"/>
      <c r="M9" s="1217">
        <v>4</v>
      </c>
      <c r="N9" s="1221" t="s">
        <v>1830</v>
      </c>
      <c r="O9" s="1247"/>
      <c r="P9" s="1247"/>
      <c r="Q9" s="1247"/>
      <c r="R9" s="1424"/>
      <c r="S9" s="1424"/>
      <c r="T9" s="1424"/>
      <c r="U9" s="1223"/>
      <c r="V9" s="1487"/>
      <c r="W9" s="1223"/>
      <c r="X9" s="1487"/>
      <c r="Y9" s="1223"/>
      <c r="Z9" s="1487"/>
      <c r="AA9" s="1149">
        <v>4</v>
      </c>
      <c r="AB9" s="954" t="s">
        <v>1831</v>
      </c>
      <c r="AC9" s="1219">
        <f>11700-4184</f>
        <v>7516</v>
      </c>
      <c r="AD9" s="1219"/>
      <c r="AE9" s="1528"/>
      <c r="AF9" s="1528"/>
      <c r="AG9" s="1217">
        <v>4</v>
      </c>
      <c r="AH9" s="1221" t="s">
        <v>2088</v>
      </c>
      <c r="AI9" s="1223"/>
      <c r="AJ9" s="1223"/>
      <c r="AK9" s="1223">
        <f>3971-3971</f>
        <v>0</v>
      </c>
      <c r="AL9" s="1487"/>
      <c r="AM9" s="1487"/>
      <c r="AN9" s="1487">
        <v>1386</v>
      </c>
      <c r="AO9" s="1149">
        <v>4</v>
      </c>
      <c r="AP9" s="954" t="s">
        <v>1283</v>
      </c>
      <c r="AQ9" s="989"/>
      <c r="AR9" s="989"/>
      <c r="AS9" s="1544"/>
      <c r="AT9" s="1585"/>
      <c r="AU9" s="1561">
        <f t="shared" si="7"/>
        <v>0</v>
      </c>
      <c r="AV9" s="1447">
        <f t="shared" si="8"/>
        <v>0</v>
      </c>
      <c r="AW9" s="1447">
        <f t="shared" si="9"/>
        <v>1386</v>
      </c>
      <c r="AX9" s="1450">
        <f t="shared" si="10"/>
        <v>1386</v>
      </c>
      <c r="AY9" s="1393">
        <f t="shared" si="4"/>
        <v>7516</v>
      </c>
      <c r="AZ9" s="1247">
        <f t="shared" si="5"/>
        <v>0</v>
      </c>
      <c r="BA9" s="1247">
        <f t="shared" si="6"/>
        <v>0</v>
      </c>
      <c r="BB9" s="1385">
        <f t="shared" si="11"/>
        <v>7516</v>
      </c>
    </row>
    <row r="10" spans="1:54" ht="27" x14ac:dyDescent="0.3">
      <c r="A10" s="1216">
        <v>5</v>
      </c>
      <c r="B10" s="1218"/>
      <c r="C10" s="1223"/>
      <c r="D10" s="1487"/>
      <c r="E10" s="1217">
        <v>5</v>
      </c>
      <c r="F10" s="1218"/>
      <c r="G10" s="1223"/>
      <c r="H10" s="1487"/>
      <c r="I10" s="1217">
        <v>5</v>
      </c>
      <c r="J10" s="1218"/>
      <c r="K10" s="1223"/>
      <c r="L10" s="1487"/>
      <c r="M10" s="1217">
        <v>5</v>
      </c>
      <c r="N10" s="1221" t="s">
        <v>1832</v>
      </c>
      <c r="O10" s="1247"/>
      <c r="P10" s="1247"/>
      <c r="Q10" s="1247"/>
      <c r="R10" s="1424"/>
      <c r="S10" s="1424"/>
      <c r="T10" s="1424"/>
      <c r="U10" s="1223"/>
      <c r="V10" s="1487"/>
      <c r="W10" s="1223"/>
      <c r="X10" s="1487"/>
      <c r="Y10" s="1223">
        <v>8064</v>
      </c>
      <c r="Z10" s="1487">
        <v>8064</v>
      </c>
      <c r="AA10" s="1149">
        <v>5</v>
      </c>
      <c r="AB10" s="956" t="s">
        <v>1833</v>
      </c>
      <c r="AC10" s="1219"/>
      <c r="AD10" s="1219"/>
      <c r="AE10" s="1528"/>
      <c r="AF10" s="1528"/>
      <c r="AG10" s="1217">
        <v>5</v>
      </c>
      <c r="AH10" s="1221" t="s">
        <v>1834</v>
      </c>
      <c r="AI10" s="1223"/>
      <c r="AJ10" s="1223"/>
      <c r="AK10" s="1223">
        <v>360</v>
      </c>
      <c r="AL10" s="1487"/>
      <c r="AM10" s="1487"/>
      <c r="AN10" s="1487">
        <v>1520</v>
      </c>
      <c r="AO10" s="1149">
        <v>5</v>
      </c>
      <c r="AP10" s="954" t="s">
        <v>1284</v>
      </c>
      <c r="AQ10" s="989">
        <v>470</v>
      </c>
      <c r="AR10" s="989"/>
      <c r="AS10" s="1544">
        <v>572</v>
      </c>
      <c r="AT10" s="1585"/>
      <c r="AU10" s="1561">
        <f t="shared" si="7"/>
        <v>8636</v>
      </c>
      <c r="AV10" s="1447">
        <f t="shared" si="8"/>
        <v>0</v>
      </c>
      <c r="AW10" s="1447">
        <f t="shared" si="9"/>
        <v>1520</v>
      </c>
      <c r="AX10" s="1450">
        <f t="shared" si="10"/>
        <v>10156</v>
      </c>
      <c r="AY10" s="1393">
        <f t="shared" si="4"/>
        <v>8534</v>
      </c>
      <c r="AZ10" s="1247">
        <f t="shared" si="5"/>
        <v>0</v>
      </c>
      <c r="BA10" s="1247">
        <f t="shared" si="6"/>
        <v>360</v>
      </c>
      <c r="BB10" s="1385">
        <f t="shared" si="11"/>
        <v>8894</v>
      </c>
    </row>
    <row r="11" spans="1:54" ht="15.6" x14ac:dyDescent="0.3">
      <c r="A11" s="1216">
        <v>6</v>
      </c>
      <c r="B11" s="1218"/>
      <c r="C11" s="1223"/>
      <c r="D11" s="1487"/>
      <c r="E11" s="1217">
        <v>6</v>
      </c>
      <c r="F11" s="1218"/>
      <c r="G11" s="1223"/>
      <c r="H11" s="1487"/>
      <c r="I11" s="1217">
        <v>6</v>
      </c>
      <c r="J11" s="1218"/>
      <c r="K11" s="1223"/>
      <c r="L11" s="1487"/>
      <c r="M11" s="1217">
        <v>6</v>
      </c>
      <c r="N11" s="1221"/>
      <c r="O11" s="1247"/>
      <c r="P11" s="1247"/>
      <c r="Q11" s="1247"/>
      <c r="R11" s="1424"/>
      <c r="S11" s="1424"/>
      <c r="T11" s="1424"/>
      <c r="U11" s="1223"/>
      <c r="V11" s="1487"/>
      <c r="W11" s="1223"/>
      <c r="X11" s="1487"/>
      <c r="Y11" s="1223"/>
      <c r="Z11" s="1487"/>
      <c r="AA11" s="1149">
        <v>6</v>
      </c>
      <c r="AB11" s="956" t="s">
        <v>1835</v>
      </c>
      <c r="AC11" s="1219"/>
      <c r="AD11" s="1219"/>
      <c r="AE11" s="1528"/>
      <c r="AF11" s="1528"/>
      <c r="AG11" s="1217">
        <v>6</v>
      </c>
      <c r="AH11" s="1221" t="s">
        <v>2089</v>
      </c>
      <c r="AI11" s="1223"/>
      <c r="AJ11" s="1223"/>
      <c r="AK11" s="1223">
        <f>3650+686</f>
        <v>4336</v>
      </c>
      <c r="AL11" s="1487"/>
      <c r="AM11" s="1487"/>
      <c r="AN11" s="1487">
        <v>3611</v>
      </c>
      <c r="AO11" s="1149">
        <v>6</v>
      </c>
      <c r="AP11" s="954" t="s">
        <v>1285</v>
      </c>
      <c r="AQ11" s="989">
        <v>4298</v>
      </c>
      <c r="AR11" s="989"/>
      <c r="AS11" s="1544">
        <v>3842</v>
      </c>
      <c r="AT11" s="1585"/>
      <c r="AU11" s="1561">
        <f t="shared" si="7"/>
        <v>3842</v>
      </c>
      <c r="AV11" s="1447">
        <f t="shared" si="8"/>
        <v>0</v>
      </c>
      <c r="AW11" s="1447">
        <f t="shared" si="9"/>
        <v>3611</v>
      </c>
      <c r="AX11" s="1450">
        <f t="shared" si="10"/>
        <v>7453</v>
      </c>
      <c r="AY11" s="1393">
        <f t="shared" si="4"/>
        <v>4298</v>
      </c>
      <c r="AZ11" s="1247">
        <f t="shared" si="5"/>
        <v>0</v>
      </c>
      <c r="BA11" s="1247">
        <f t="shared" si="6"/>
        <v>4336</v>
      </c>
      <c r="BB11" s="1385">
        <f t="shared" si="11"/>
        <v>8634</v>
      </c>
    </row>
    <row r="12" spans="1:54" ht="15.6" x14ac:dyDescent="0.3">
      <c r="A12" s="1216">
        <v>7</v>
      </c>
      <c r="B12" s="1218"/>
      <c r="C12" s="1223"/>
      <c r="D12" s="1487"/>
      <c r="E12" s="1217">
        <v>7</v>
      </c>
      <c r="F12" s="1218"/>
      <c r="G12" s="1223"/>
      <c r="H12" s="1487"/>
      <c r="I12" s="1217">
        <v>7</v>
      </c>
      <c r="J12" s="1218"/>
      <c r="K12" s="1223"/>
      <c r="L12" s="1487"/>
      <c r="M12" s="1217"/>
      <c r="N12" s="1221"/>
      <c r="O12" s="1247"/>
      <c r="P12" s="1247"/>
      <c r="Q12" s="1247"/>
      <c r="R12" s="1424"/>
      <c r="S12" s="1424"/>
      <c r="T12" s="1424"/>
      <c r="U12" s="1223"/>
      <c r="V12" s="1487"/>
      <c r="W12" s="1223"/>
      <c r="X12" s="1487"/>
      <c r="Y12" s="1223"/>
      <c r="Z12" s="1487"/>
      <c r="AA12" s="1149"/>
      <c r="AB12" s="954"/>
      <c r="AC12" s="1219"/>
      <c r="AD12" s="1219"/>
      <c r="AE12" s="1528"/>
      <c r="AF12" s="1528"/>
      <c r="AG12" s="1217">
        <v>7</v>
      </c>
      <c r="AH12" s="1221" t="s">
        <v>1836</v>
      </c>
      <c r="AI12" s="1223"/>
      <c r="AJ12" s="1223"/>
      <c r="AK12" s="1223">
        <v>874</v>
      </c>
      <c r="AL12" s="1487"/>
      <c r="AM12" s="1487"/>
      <c r="AN12" s="1487">
        <v>640</v>
      </c>
      <c r="AO12" s="1149">
        <v>7</v>
      </c>
      <c r="AP12" s="954" t="s">
        <v>1286</v>
      </c>
      <c r="AQ12" s="989">
        <v>3089</v>
      </c>
      <c r="AR12" s="989"/>
      <c r="AS12" s="1544">
        <v>3089</v>
      </c>
      <c r="AT12" s="1585"/>
      <c r="AU12" s="1561">
        <f t="shared" si="7"/>
        <v>3089</v>
      </c>
      <c r="AV12" s="1447">
        <f t="shared" si="8"/>
        <v>0</v>
      </c>
      <c r="AW12" s="1447">
        <f t="shared" si="9"/>
        <v>640</v>
      </c>
      <c r="AX12" s="1450">
        <f t="shared" si="10"/>
        <v>3729</v>
      </c>
      <c r="AY12" s="1393">
        <f t="shared" si="4"/>
        <v>3089</v>
      </c>
      <c r="AZ12" s="1247">
        <f t="shared" si="5"/>
        <v>0</v>
      </c>
      <c r="BA12" s="1247">
        <f t="shared" si="6"/>
        <v>874</v>
      </c>
      <c r="BB12" s="1385">
        <f t="shared" si="11"/>
        <v>3963</v>
      </c>
    </row>
    <row r="13" spans="1:54" ht="15.6" x14ac:dyDescent="0.3">
      <c r="A13" s="1216">
        <v>8</v>
      </c>
      <c r="B13" s="1218"/>
      <c r="C13" s="1223"/>
      <c r="D13" s="1487"/>
      <c r="E13" s="1217">
        <v>8</v>
      </c>
      <c r="F13" s="1218"/>
      <c r="G13" s="1223"/>
      <c r="H13" s="1487"/>
      <c r="I13" s="1217">
        <v>8</v>
      </c>
      <c r="J13" s="1218"/>
      <c r="K13" s="1223"/>
      <c r="L13" s="1487"/>
      <c r="M13" s="1217"/>
      <c r="N13" s="1221"/>
      <c r="O13" s="1247"/>
      <c r="P13" s="1247"/>
      <c r="Q13" s="1247"/>
      <c r="R13" s="1424"/>
      <c r="S13" s="1424"/>
      <c r="T13" s="1424"/>
      <c r="U13" s="1223"/>
      <c r="V13" s="1487"/>
      <c r="W13" s="1223"/>
      <c r="X13" s="1487"/>
      <c r="Y13" s="1223"/>
      <c r="Z13" s="1487"/>
      <c r="AA13" s="1149"/>
      <c r="AB13" s="954" t="s">
        <v>1837</v>
      </c>
      <c r="AC13" s="1366">
        <v>2000</v>
      </c>
      <c r="AD13" s="1219"/>
      <c r="AE13" s="2315">
        <f>2000-736</f>
        <v>1264</v>
      </c>
      <c r="AF13" s="1528"/>
      <c r="AG13" s="1217">
        <v>8</v>
      </c>
      <c r="AH13" s="1221" t="s">
        <v>1838</v>
      </c>
      <c r="AI13" s="1223"/>
      <c r="AJ13" s="1223"/>
      <c r="AK13" s="1223">
        <v>4030</v>
      </c>
      <c r="AL13" s="1487"/>
      <c r="AM13" s="1487"/>
      <c r="AN13" s="1487">
        <v>4176</v>
      </c>
      <c r="AO13" s="1149">
        <v>8</v>
      </c>
      <c r="AP13" s="954" t="s">
        <v>1839</v>
      </c>
      <c r="AQ13" s="989">
        <v>350</v>
      </c>
      <c r="AR13" s="989"/>
      <c r="AS13" s="1544">
        <v>876</v>
      </c>
      <c r="AT13" s="1585"/>
      <c r="AU13" s="1561">
        <f t="shared" si="7"/>
        <v>2140</v>
      </c>
      <c r="AV13" s="1447">
        <f t="shared" si="8"/>
        <v>0</v>
      </c>
      <c r="AW13" s="1447">
        <f t="shared" si="9"/>
        <v>4176</v>
      </c>
      <c r="AX13" s="1450">
        <f t="shared" si="10"/>
        <v>6316</v>
      </c>
      <c r="AY13" s="1393">
        <f t="shared" si="4"/>
        <v>2350</v>
      </c>
      <c r="AZ13" s="1247">
        <f t="shared" si="5"/>
        <v>0</v>
      </c>
      <c r="BA13" s="1247">
        <f t="shared" si="6"/>
        <v>4030</v>
      </c>
      <c r="BB13" s="1385">
        <f t="shared" si="11"/>
        <v>6380</v>
      </c>
    </row>
    <row r="14" spans="1:54" ht="15.6" x14ac:dyDescent="0.3">
      <c r="A14" s="1216"/>
      <c r="B14" s="1218"/>
      <c r="C14" s="1223"/>
      <c r="D14" s="1487"/>
      <c r="E14" s="1217"/>
      <c r="F14" s="1218"/>
      <c r="G14" s="1223"/>
      <c r="H14" s="1487"/>
      <c r="I14" s="1217"/>
      <c r="J14" s="1218"/>
      <c r="K14" s="1223"/>
      <c r="L14" s="1487"/>
      <c r="M14" s="1217"/>
      <c r="N14" s="1221"/>
      <c r="O14" s="1247"/>
      <c r="P14" s="1247"/>
      <c r="Q14" s="1247"/>
      <c r="R14" s="1424"/>
      <c r="S14" s="1424"/>
      <c r="T14" s="1424"/>
      <c r="U14" s="1223"/>
      <c r="V14" s="1487"/>
      <c r="W14" s="1223"/>
      <c r="X14" s="1487"/>
      <c r="Y14" s="1223"/>
      <c r="Z14" s="1487"/>
      <c r="AA14" s="1149"/>
      <c r="AB14" s="954" t="s">
        <v>1840</v>
      </c>
      <c r="AC14" s="1219">
        <v>800</v>
      </c>
      <c r="AD14" s="1219"/>
      <c r="AE14" s="1528"/>
      <c r="AF14" s="1528"/>
      <c r="AG14" s="1217">
        <v>9</v>
      </c>
      <c r="AH14" s="1221" t="s">
        <v>1841</v>
      </c>
      <c r="AI14" s="1223"/>
      <c r="AJ14" s="1223"/>
      <c r="AK14" s="1223">
        <f>2100+4200</f>
        <v>6300</v>
      </c>
      <c r="AL14" s="1487"/>
      <c r="AM14" s="1487"/>
      <c r="AN14" s="1487"/>
      <c r="AO14" s="1149">
        <v>9</v>
      </c>
      <c r="AP14" s="954" t="s">
        <v>1842</v>
      </c>
      <c r="AQ14" s="989">
        <v>700</v>
      </c>
      <c r="AR14" s="989"/>
      <c r="AS14" s="1544">
        <v>438</v>
      </c>
      <c r="AT14" s="1585"/>
      <c r="AU14" s="1561">
        <f t="shared" si="7"/>
        <v>438</v>
      </c>
      <c r="AV14" s="1447">
        <f t="shared" si="8"/>
        <v>0</v>
      </c>
      <c r="AW14" s="1447">
        <f t="shared" si="9"/>
        <v>0</v>
      </c>
      <c r="AX14" s="1450">
        <f t="shared" si="10"/>
        <v>438</v>
      </c>
      <c r="AY14" s="1393">
        <f t="shared" si="4"/>
        <v>1500</v>
      </c>
      <c r="AZ14" s="1247">
        <f t="shared" si="5"/>
        <v>0</v>
      </c>
      <c r="BA14" s="1247">
        <f t="shared" si="6"/>
        <v>6300</v>
      </c>
      <c r="BB14" s="1385">
        <f t="shared" si="11"/>
        <v>7800</v>
      </c>
    </row>
    <row r="15" spans="1:54" ht="15.6" x14ac:dyDescent="0.3">
      <c r="A15" s="1216"/>
      <c r="B15" s="1218"/>
      <c r="C15" s="1223"/>
      <c r="D15" s="1487"/>
      <c r="E15" s="1217"/>
      <c r="F15" s="1218"/>
      <c r="G15" s="1223"/>
      <c r="H15" s="1487"/>
      <c r="I15" s="1217"/>
      <c r="J15" s="1218"/>
      <c r="K15" s="1223"/>
      <c r="L15" s="1487"/>
      <c r="M15" s="1217"/>
      <c r="N15" s="1221"/>
      <c r="O15" s="1247"/>
      <c r="P15" s="1247"/>
      <c r="Q15" s="1247"/>
      <c r="R15" s="1424"/>
      <c r="S15" s="1424"/>
      <c r="T15" s="1424"/>
      <c r="U15" s="1223"/>
      <c r="V15" s="1487"/>
      <c r="W15" s="1223"/>
      <c r="X15" s="1487"/>
      <c r="Y15" s="1223"/>
      <c r="Z15" s="1487"/>
      <c r="AA15" s="1149"/>
      <c r="AB15" s="954" t="s">
        <v>1843</v>
      </c>
      <c r="AC15" s="1219">
        <v>800</v>
      </c>
      <c r="AD15" s="1219"/>
      <c r="AE15" s="1528"/>
      <c r="AF15" s="1528"/>
      <c r="AG15" s="1217">
        <v>10</v>
      </c>
      <c r="AH15" s="1221" t="s">
        <v>2090</v>
      </c>
      <c r="AI15" s="1223"/>
      <c r="AJ15" s="1223"/>
      <c r="AK15" s="1223">
        <v>8042</v>
      </c>
      <c r="AL15" s="1487"/>
      <c r="AM15" s="1487"/>
      <c r="AN15" s="1487">
        <v>5400</v>
      </c>
      <c r="AO15" s="1149">
        <v>10</v>
      </c>
      <c r="AP15" s="1224" t="s">
        <v>1289</v>
      </c>
      <c r="AQ15" s="989"/>
      <c r="AR15" s="989"/>
      <c r="AS15" s="1544"/>
      <c r="AT15" s="1585"/>
      <c r="AU15" s="1561">
        <f t="shared" si="7"/>
        <v>0</v>
      </c>
      <c r="AV15" s="1447">
        <f t="shared" si="8"/>
        <v>0</v>
      </c>
      <c r="AW15" s="1447">
        <f t="shared" si="9"/>
        <v>5400</v>
      </c>
      <c r="AX15" s="1450">
        <f t="shared" si="10"/>
        <v>5400</v>
      </c>
      <c r="AY15" s="1393">
        <f t="shared" si="4"/>
        <v>800</v>
      </c>
      <c r="AZ15" s="1247">
        <f t="shared" si="5"/>
        <v>0</v>
      </c>
      <c r="BA15" s="1247">
        <f t="shared" si="6"/>
        <v>8042</v>
      </c>
      <c r="BB15" s="1385">
        <f t="shared" si="11"/>
        <v>8842</v>
      </c>
    </row>
    <row r="16" spans="1:54" ht="15.6" x14ac:dyDescent="0.3">
      <c r="A16" s="1216"/>
      <c r="B16" s="1218"/>
      <c r="C16" s="1223"/>
      <c r="D16" s="1487"/>
      <c r="E16" s="1217"/>
      <c r="F16" s="1218"/>
      <c r="G16" s="1223"/>
      <c r="H16" s="1487"/>
      <c r="I16" s="1217"/>
      <c r="J16" s="1218"/>
      <c r="K16" s="1223"/>
      <c r="L16" s="1487"/>
      <c r="M16" s="1217"/>
      <c r="N16" s="1221"/>
      <c r="O16" s="1247"/>
      <c r="P16" s="1247"/>
      <c r="Q16" s="1247"/>
      <c r="R16" s="1424"/>
      <c r="S16" s="1424"/>
      <c r="T16" s="1424"/>
      <c r="U16" s="1223"/>
      <c r="V16" s="1487"/>
      <c r="W16" s="1223"/>
      <c r="X16" s="1487"/>
      <c r="Y16" s="1223"/>
      <c r="Z16" s="1487"/>
      <c r="AA16" s="1149"/>
      <c r="AB16" s="954" t="s">
        <v>1844</v>
      </c>
      <c r="AC16" s="1219">
        <v>2500</v>
      </c>
      <c r="AD16" s="1219"/>
      <c r="AE16" s="1528"/>
      <c r="AF16" s="1528"/>
      <c r="AG16" s="1217">
        <v>11</v>
      </c>
      <c r="AH16" s="1221" t="s">
        <v>2316</v>
      </c>
      <c r="AI16" s="1223"/>
      <c r="AJ16" s="1223"/>
      <c r="AK16" s="1223"/>
      <c r="AL16" s="1487">
        <v>11700</v>
      </c>
      <c r="AM16" s="1487"/>
      <c r="AN16" s="1487"/>
      <c r="AO16" s="1149">
        <v>11</v>
      </c>
      <c r="AP16" s="954" t="s">
        <v>1290</v>
      </c>
      <c r="AQ16" s="989"/>
      <c r="AR16" s="989">
        <v>287</v>
      </c>
      <c r="AS16" s="1544"/>
      <c r="AT16" s="1585">
        <v>1230</v>
      </c>
      <c r="AU16" s="1561">
        <f t="shared" si="7"/>
        <v>11700</v>
      </c>
      <c r="AV16" s="1447">
        <f t="shared" si="8"/>
        <v>1230</v>
      </c>
      <c r="AW16" s="1447">
        <f t="shared" si="9"/>
        <v>0</v>
      </c>
      <c r="AX16" s="1450">
        <f t="shared" si="10"/>
        <v>12930</v>
      </c>
      <c r="AY16" s="1393">
        <f t="shared" si="4"/>
        <v>2500</v>
      </c>
      <c r="AZ16" s="1247">
        <f t="shared" si="5"/>
        <v>287</v>
      </c>
      <c r="BA16" s="1247">
        <f t="shared" si="6"/>
        <v>0</v>
      </c>
      <c r="BB16" s="1385">
        <f t="shared" si="11"/>
        <v>2787</v>
      </c>
    </row>
    <row r="17" spans="1:54" ht="15.6" x14ac:dyDescent="0.3">
      <c r="A17" s="1216"/>
      <c r="B17" s="1218"/>
      <c r="C17" s="1223"/>
      <c r="D17" s="1487"/>
      <c r="E17" s="1217"/>
      <c r="F17" s="1218"/>
      <c r="G17" s="1223"/>
      <c r="H17" s="1487"/>
      <c r="I17" s="1217"/>
      <c r="J17" s="1218"/>
      <c r="K17" s="1223"/>
      <c r="L17" s="1487"/>
      <c r="M17" s="1217"/>
      <c r="N17" s="1221"/>
      <c r="O17" s="1247"/>
      <c r="P17" s="1247"/>
      <c r="Q17" s="1247"/>
      <c r="R17" s="1424"/>
      <c r="S17" s="1424"/>
      <c r="T17" s="1424"/>
      <c r="U17" s="1223"/>
      <c r="V17" s="1487"/>
      <c r="W17" s="1223"/>
      <c r="X17" s="1487"/>
      <c r="Y17" s="1223"/>
      <c r="Z17" s="1487"/>
      <c r="AA17" s="1149"/>
      <c r="AB17" s="954" t="s">
        <v>1845</v>
      </c>
      <c r="AC17" s="1219">
        <v>2500</v>
      </c>
      <c r="AD17" s="1219"/>
      <c r="AE17" s="1528"/>
      <c r="AF17" s="1528"/>
      <c r="AG17" s="1217">
        <v>12</v>
      </c>
      <c r="AH17" s="1221" t="s">
        <v>2317</v>
      </c>
      <c r="AI17" s="1223"/>
      <c r="AJ17" s="1223"/>
      <c r="AK17" s="1223"/>
      <c r="AL17" s="1487">
        <v>503</v>
      </c>
      <c r="AM17" s="1487"/>
      <c r="AN17" s="1487"/>
      <c r="AO17" s="1149">
        <v>12</v>
      </c>
      <c r="AP17" s="956" t="s">
        <v>1291</v>
      </c>
      <c r="AQ17" s="989">
        <v>2860</v>
      </c>
      <c r="AR17" s="989"/>
      <c r="AS17" s="1544"/>
      <c r="AT17" s="1585"/>
      <c r="AU17" s="1561">
        <f t="shared" si="7"/>
        <v>503</v>
      </c>
      <c r="AV17" s="1447">
        <f t="shared" si="8"/>
        <v>0</v>
      </c>
      <c r="AW17" s="1447">
        <f t="shared" si="9"/>
        <v>0</v>
      </c>
      <c r="AX17" s="1450">
        <f t="shared" si="10"/>
        <v>503</v>
      </c>
      <c r="AY17" s="1393">
        <f t="shared" si="4"/>
        <v>5360</v>
      </c>
      <c r="AZ17" s="1247">
        <f t="shared" si="5"/>
        <v>0</v>
      </c>
      <c r="BA17" s="1247">
        <f t="shared" si="6"/>
        <v>0</v>
      </c>
      <c r="BB17" s="1385">
        <f t="shared" si="11"/>
        <v>5360</v>
      </c>
    </row>
    <row r="18" spans="1:54" ht="15.6" x14ac:dyDescent="0.3">
      <c r="A18" s="1216"/>
      <c r="B18" s="1218"/>
      <c r="C18" s="1223"/>
      <c r="D18" s="1487"/>
      <c r="E18" s="1217"/>
      <c r="F18" s="1218"/>
      <c r="G18" s="1223"/>
      <c r="H18" s="1487"/>
      <c r="I18" s="1217"/>
      <c r="J18" s="1218"/>
      <c r="K18" s="1223"/>
      <c r="L18" s="1487"/>
      <c r="M18" s="1217"/>
      <c r="N18" s="1221"/>
      <c r="O18" s="1247"/>
      <c r="P18" s="1247"/>
      <c r="Q18" s="1247"/>
      <c r="R18" s="1424"/>
      <c r="S18" s="1424"/>
      <c r="T18" s="1424"/>
      <c r="U18" s="1223"/>
      <c r="V18" s="1487"/>
      <c r="W18" s="1223"/>
      <c r="X18" s="1487"/>
      <c r="Y18" s="1223"/>
      <c r="Z18" s="1487"/>
      <c r="AA18" s="1149"/>
      <c r="AB18" s="954"/>
      <c r="AC18" s="1219"/>
      <c r="AD18" s="1219"/>
      <c r="AE18" s="1528"/>
      <c r="AF18" s="1528"/>
      <c r="AG18" s="1217">
        <v>13</v>
      </c>
      <c r="AH18" s="1221" t="s">
        <v>2091</v>
      </c>
      <c r="AI18" s="1223"/>
      <c r="AJ18" s="1223"/>
      <c r="AK18" s="1223">
        <v>5948</v>
      </c>
      <c r="AL18" s="1487"/>
      <c r="AM18" s="1487"/>
      <c r="AN18" s="1487">
        <v>5484</v>
      </c>
      <c r="AO18" s="1149">
        <v>13</v>
      </c>
      <c r="AP18" s="953" t="s">
        <v>1272</v>
      </c>
      <c r="AQ18" s="989"/>
      <c r="AR18" s="989"/>
      <c r="AS18" s="1544"/>
      <c r="AT18" s="1585"/>
      <c r="AU18" s="1561">
        <f t="shared" si="7"/>
        <v>0</v>
      </c>
      <c r="AV18" s="1447">
        <f t="shared" si="8"/>
        <v>0</v>
      </c>
      <c r="AW18" s="1447">
        <f t="shared" si="9"/>
        <v>5484</v>
      </c>
      <c r="AX18" s="1450">
        <f t="shared" si="10"/>
        <v>5484</v>
      </c>
      <c r="AY18" s="1393">
        <f t="shared" si="4"/>
        <v>0</v>
      </c>
      <c r="AZ18" s="1247">
        <f t="shared" si="5"/>
        <v>0</v>
      </c>
      <c r="BA18" s="1247">
        <f t="shared" si="6"/>
        <v>5948</v>
      </c>
      <c r="BB18" s="1385">
        <f t="shared" si="11"/>
        <v>5948</v>
      </c>
    </row>
    <row r="19" spans="1:54" ht="15.6" x14ac:dyDescent="0.3">
      <c r="A19" s="1216"/>
      <c r="B19" s="1218"/>
      <c r="C19" s="1223"/>
      <c r="D19" s="1487"/>
      <c r="E19" s="1217"/>
      <c r="F19" s="1218"/>
      <c r="G19" s="1223"/>
      <c r="H19" s="1487"/>
      <c r="I19" s="1217"/>
      <c r="J19" s="1218"/>
      <c r="K19" s="1223"/>
      <c r="L19" s="1487"/>
      <c r="M19" s="1217"/>
      <c r="N19" s="1221"/>
      <c r="O19" s="1247"/>
      <c r="P19" s="1247"/>
      <c r="Q19" s="1247"/>
      <c r="R19" s="1424"/>
      <c r="S19" s="1424"/>
      <c r="T19" s="1424"/>
      <c r="U19" s="1223"/>
      <c r="V19" s="1487"/>
      <c r="W19" s="1223"/>
      <c r="X19" s="1487"/>
      <c r="Y19" s="1223"/>
      <c r="Z19" s="1487"/>
      <c r="AA19" s="1149"/>
      <c r="AB19" s="954"/>
      <c r="AC19" s="1219"/>
      <c r="AD19" s="1219"/>
      <c r="AE19" s="1528"/>
      <c r="AF19" s="1528"/>
      <c r="AG19" s="1217">
        <v>14</v>
      </c>
      <c r="AH19" s="1221" t="s">
        <v>1846</v>
      </c>
      <c r="AI19" s="1223"/>
      <c r="AJ19" s="1223"/>
      <c r="AK19" s="1223">
        <v>2186</v>
      </c>
      <c r="AL19" s="1487"/>
      <c r="AM19" s="1487"/>
      <c r="AN19" s="1487">
        <v>6166</v>
      </c>
      <c r="AO19" s="1149">
        <v>14</v>
      </c>
      <c r="AP19" s="954" t="s">
        <v>1292</v>
      </c>
      <c r="AQ19" s="989">
        <v>14100</v>
      </c>
      <c r="AR19" s="989"/>
      <c r="AS19" s="1544">
        <v>45240</v>
      </c>
      <c r="AT19" s="1585"/>
      <c r="AU19" s="1561">
        <f t="shared" si="7"/>
        <v>45240</v>
      </c>
      <c r="AV19" s="1447">
        <f t="shared" si="8"/>
        <v>0</v>
      </c>
      <c r="AW19" s="1447">
        <f t="shared" si="9"/>
        <v>6166</v>
      </c>
      <c r="AX19" s="1450">
        <f t="shared" si="10"/>
        <v>51406</v>
      </c>
      <c r="AY19" s="1393">
        <f t="shared" si="4"/>
        <v>14100</v>
      </c>
      <c r="AZ19" s="1247">
        <f t="shared" si="5"/>
        <v>0</v>
      </c>
      <c r="BA19" s="1247">
        <f t="shared" si="6"/>
        <v>2186</v>
      </c>
      <c r="BB19" s="1385">
        <f t="shared" si="11"/>
        <v>16286</v>
      </c>
    </row>
    <row r="20" spans="1:54" ht="15.6" x14ac:dyDescent="0.3">
      <c r="A20" s="1216"/>
      <c r="B20" s="1218"/>
      <c r="C20" s="1223"/>
      <c r="D20" s="1487"/>
      <c r="E20" s="1217"/>
      <c r="F20" s="1218"/>
      <c r="G20" s="1223"/>
      <c r="H20" s="1487"/>
      <c r="I20" s="1217"/>
      <c r="J20" s="1218"/>
      <c r="K20" s="1223"/>
      <c r="L20" s="1487"/>
      <c r="M20" s="1217"/>
      <c r="N20" s="1221"/>
      <c r="O20" s="1247"/>
      <c r="P20" s="1247"/>
      <c r="Q20" s="1247"/>
      <c r="R20" s="1424"/>
      <c r="S20" s="1424"/>
      <c r="T20" s="1424"/>
      <c r="U20" s="1223"/>
      <c r="V20" s="1487"/>
      <c r="W20" s="1223"/>
      <c r="X20" s="1487"/>
      <c r="Y20" s="1223"/>
      <c r="Z20" s="1487"/>
      <c r="AA20" s="1149"/>
      <c r="AB20" s="954"/>
      <c r="AC20" s="1219"/>
      <c r="AD20" s="1219"/>
      <c r="AE20" s="1528"/>
      <c r="AF20" s="1528"/>
      <c r="AG20" s="1217">
        <v>15</v>
      </c>
      <c r="AH20" s="1221" t="s">
        <v>1847</v>
      </c>
      <c r="AI20" s="1223"/>
      <c r="AJ20" s="1223"/>
      <c r="AK20" s="1223">
        <v>5094</v>
      </c>
      <c r="AL20" s="1487"/>
      <c r="AM20" s="1487"/>
      <c r="AN20" s="1487">
        <v>2830</v>
      </c>
      <c r="AO20" s="1149">
        <v>15</v>
      </c>
      <c r="AP20" s="956" t="s">
        <v>1293</v>
      </c>
      <c r="AQ20" s="989">
        <f>9071</f>
        <v>9071</v>
      </c>
      <c r="AR20" s="989">
        <v>743</v>
      </c>
      <c r="AS20" s="1544">
        <v>9208</v>
      </c>
      <c r="AT20" s="1585">
        <v>2113</v>
      </c>
      <c r="AU20" s="1561">
        <f t="shared" si="7"/>
        <v>9208</v>
      </c>
      <c r="AV20" s="1447">
        <f t="shared" si="8"/>
        <v>2113</v>
      </c>
      <c r="AW20" s="1447">
        <f t="shared" si="9"/>
        <v>2830</v>
      </c>
      <c r="AX20" s="1450">
        <f t="shared" si="10"/>
        <v>14151</v>
      </c>
      <c r="AY20" s="1393">
        <f t="shared" si="4"/>
        <v>9071</v>
      </c>
      <c r="AZ20" s="1247">
        <f t="shared" si="5"/>
        <v>743</v>
      </c>
      <c r="BA20" s="1247">
        <f t="shared" si="6"/>
        <v>5094</v>
      </c>
      <c r="BB20" s="1385">
        <f t="shared" si="11"/>
        <v>14908</v>
      </c>
    </row>
    <row r="21" spans="1:54" ht="15.6" x14ac:dyDescent="0.3">
      <c r="A21" s="1216"/>
      <c r="B21" s="1218"/>
      <c r="C21" s="1223"/>
      <c r="D21" s="1487"/>
      <c r="E21" s="1217"/>
      <c r="F21" s="1218"/>
      <c r="G21" s="1223"/>
      <c r="H21" s="1487"/>
      <c r="I21" s="1217"/>
      <c r="J21" s="1218"/>
      <c r="K21" s="1223"/>
      <c r="L21" s="1487"/>
      <c r="M21" s="1217"/>
      <c r="N21" s="1221"/>
      <c r="O21" s="1247"/>
      <c r="P21" s="1247"/>
      <c r="Q21" s="1247"/>
      <c r="R21" s="1424"/>
      <c r="S21" s="1424"/>
      <c r="T21" s="1424"/>
      <c r="U21" s="1223"/>
      <c r="V21" s="1487"/>
      <c r="W21" s="1223"/>
      <c r="X21" s="1487"/>
      <c r="Y21" s="1223"/>
      <c r="Z21" s="1487"/>
      <c r="AA21" s="1149"/>
      <c r="AB21" s="954"/>
      <c r="AC21" s="1219"/>
      <c r="AD21" s="1219"/>
      <c r="AE21" s="1528"/>
      <c r="AF21" s="1528"/>
      <c r="AG21" s="1217">
        <v>16</v>
      </c>
      <c r="AH21" s="1221" t="s">
        <v>1848</v>
      </c>
      <c r="AI21" s="1223"/>
      <c r="AJ21" s="1223"/>
      <c r="AK21" s="1223">
        <v>1500</v>
      </c>
      <c r="AL21" s="1487"/>
      <c r="AM21" s="1487"/>
      <c r="AN21" s="1487"/>
      <c r="AO21" s="1149">
        <v>16</v>
      </c>
      <c r="AP21" s="956" t="s">
        <v>1294</v>
      </c>
      <c r="AQ21" s="989"/>
      <c r="AR21" s="989"/>
      <c r="AS21" s="1544"/>
      <c r="AT21" s="1585"/>
      <c r="AU21" s="1561">
        <f t="shared" si="7"/>
        <v>0</v>
      </c>
      <c r="AV21" s="1447">
        <f t="shared" si="8"/>
        <v>0</v>
      </c>
      <c r="AW21" s="1447">
        <f t="shared" si="9"/>
        <v>0</v>
      </c>
      <c r="AX21" s="1450">
        <f t="shared" si="10"/>
        <v>0</v>
      </c>
      <c r="AY21" s="1393">
        <f t="shared" si="4"/>
        <v>0</v>
      </c>
      <c r="AZ21" s="1247">
        <f t="shared" si="5"/>
        <v>0</v>
      </c>
      <c r="BA21" s="1247">
        <f t="shared" si="6"/>
        <v>1500</v>
      </c>
      <c r="BB21" s="1385">
        <f t="shared" si="11"/>
        <v>1500</v>
      </c>
    </row>
    <row r="22" spans="1:54" ht="15.6" x14ac:dyDescent="0.3">
      <c r="A22" s="1216"/>
      <c r="B22" s="1218"/>
      <c r="C22" s="1223"/>
      <c r="D22" s="1487"/>
      <c r="E22" s="1217"/>
      <c r="F22" s="1218"/>
      <c r="G22" s="1223"/>
      <c r="H22" s="1487"/>
      <c r="I22" s="1217"/>
      <c r="J22" s="1218"/>
      <c r="K22" s="1223"/>
      <c r="L22" s="1487"/>
      <c r="M22" s="1217"/>
      <c r="N22" s="1221"/>
      <c r="O22" s="1247"/>
      <c r="P22" s="1247"/>
      <c r="Q22" s="1247"/>
      <c r="R22" s="1424"/>
      <c r="S22" s="1424"/>
      <c r="T22" s="1424"/>
      <c r="U22" s="1223"/>
      <c r="V22" s="1487"/>
      <c r="W22" s="1223"/>
      <c r="X22" s="1487"/>
      <c r="Y22" s="1223"/>
      <c r="Z22" s="1487"/>
      <c r="AA22" s="1149"/>
      <c r="AB22" s="954"/>
      <c r="AC22" s="1219"/>
      <c r="AD22" s="1219"/>
      <c r="AE22" s="1528"/>
      <c r="AF22" s="1528"/>
      <c r="AG22" s="1217">
        <v>17</v>
      </c>
      <c r="AH22" s="1218" t="s">
        <v>1849</v>
      </c>
      <c r="AI22" s="1223"/>
      <c r="AJ22" s="1223"/>
      <c r="AK22" s="1223"/>
      <c r="AL22" s="1487"/>
      <c r="AM22" s="1487"/>
      <c r="AN22" s="1487">
        <v>2613</v>
      </c>
      <c r="AO22" s="1149">
        <v>17</v>
      </c>
      <c r="AP22" s="956" t="s">
        <v>1296</v>
      </c>
      <c r="AQ22" s="989">
        <f>5000-5000</f>
        <v>0</v>
      </c>
      <c r="AR22" s="989"/>
      <c r="AS22" s="1544"/>
      <c r="AT22" s="1585">
        <v>5000</v>
      </c>
      <c r="AU22" s="1561">
        <f t="shared" si="7"/>
        <v>0</v>
      </c>
      <c r="AV22" s="1447">
        <f t="shared" si="8"/>
        <v>5000</v>
      </c>
      <c r="AW22" s="1447">
        <f t="shared" si="9"/>
        <v>2613</v>
      </c>
      <c r="AX22" s="1450">
        <f t="shared" si="10"/>
        <v>7613</v>
      </c>
      <c r="AY22" s="1393">
        <f t="shared" si="4"/>
        <v>0</v>
      </c>
      <c r="AZ22" s="1247">
        <f t="shared" si="5"/>
        <v>0</v>
      </c>
      <c r="BA22" s="1247">
        <f t="shared" si="6"/>
        <v>0</v>
      </c>
      <c r="BB22" s="1385">
        <f t="shared" si="11"/>
        <v>0</v>
      </c>
    </row>
    <row r="23" spans="1:54" ht="15.6" x14ac:dyDescent="0.3">
      <c r="A23" s="1216"/>
      <c r="B23" s="1218"/>
      <c r="C23" s="1223"/>
      <c r="D23" s="1487"/>
      <c r="E23" s="1217"/>
      <c r="F23" s="1218"/>
      <c r="G23" s="1223"/>
      <c r="H23" s="1487"/>
      <c r="I23" s="1217"/>
      <c r="J23" s="1218"/>
      <c r="K23" s="1223"/>
      <c r="L23" s="1487"/>
      <c r="M23" s="1217"/>
      <c r="N23" s="1221"/>
      <c r="O23" s="1247"/>
      <c r="P23" s="1247"/>
      <c r="Q23" s="1247"/>
      <c r="R23" s="1424"/>
      <c r="S23" s="1424"/>
      <c r="T23" s="1424"/>
      <c r="U23" s="1223"/>
      <c r="V23" s="1487"/>
      <c r="W23" s="1223"/>
      <c r="X23" s="1487"/>
      <c r="Y23" s="1223"/>
      <c r="Z23" s="1487"/>
      <c r="AA23" s="1149"/>
      <c r="AB23" s="954"/>
      <c r="AC23" s="1219"/>
      <c r="AD23" s="1219"/>
      <c r="AE23" s="1528"/>
      <c r="AF23" s="1528"/>
      <c r="AG23" s="1217">
        <v>18</v>
      </c>
      <c r="AH23" s="954" t="s">
        <v>1850</v>
      </c>
      <c r="AI23" s="1223"/>
      <c r="AJ23" s="1223"/>
      <c r="AK23" s="1223">
        <f>2000-2000</f>
        <v>0</v>
      </c>
      <c r="AL23" s="1487"/>
      <c r="AM23" s="1487"/>
      <c r="AN23" s="1487">
        <v>1215</v>
      </c>
      <c r="AO23" s="1149">
        <v>18</v>
      </c>
      <c r="AP23" s="956" t="s">
        <v>1298</v>
      </c>
      <c r="AQ23" s="989">
        <v>15000</v>
      </c>
      <c r="AR23" s="989"/>
      <c r="AS23" s="1544">
        <v>16910</v>
      </c>
      <c r="AT23" s="1585"/>
      <c r="AU23" s="1561">
        <f t="shared" si="7"/>
        <v>16910</v>
      </c>
      <c r="AV23" s="1447">
        <f t="shared" si="8"/>
        <v>0</v>
      </c>
      <c r="AW23" s="1447">
        <f t="shared" si="9"/>
        <v>1215</v>
      </c>
      <c r="AX23" s="1450">
        <f t="shared" si="10"/>
        <v>18125</v>
      </c>
      <c r="AY23" s="1393">
        <f t="shared" si="4"/>
        <v>15000</v>
      </c>
      <c r="AZ23" s="1247">
        <f t="shared" si="5"/>
        <v>0</v>
      </c>
      <c r="BA23" s="1247">
        <f t="shared" si="6"/>
        <v>0</v>
      </c>
      <c r="BB23" s="1385">
        <f t="shared" si="11"/>
        <v>15000</v>
      </c>
    </row>
    <row r="24" spans="1:54" ht="15.6" x14ac:dyDescent="0.3">
      <c r="A24" s="1216"/>
      <c r="B24" s="1218"/>
      <c r="C24" s="1223"/>
      <c r="D24" s="1487"/>
      <c r="E24" s="1217"/>
      <c r="F24" s="1218"/>
      <c r="G24" s="1223"/>
      <c r="H24" s="1487"/>
      <c r="I24" s="1217"/>
      <c r="J24" s="1218"/>
      <c r="K24" s="1223"/>
      <c r="L24" s="1487"/>
      <c r="M24" s="1217"/>
      <c r="N24" s="1221"/>
      <c r="O24" s="1247"/>
      <c r="P24" s="1247"/>
      <c r="Q24" s="1247"/>
      <c r="R24" s="1424"/>
      <c r="S24" s="1424"/>
      <c r="T24" s="1424"/>
      <c r="U24" s="1223"/>
      <c r="V24" s="1487"/>
      <c r="W24" s="1223"/>
      <c r="X24" s="1487"/>
      <c r="Y24" s="1223"/>
      <c r="Z24" s="1487"/>
      <c r="AA24" s="1149"/>
      <c r="AB24" s="954"/>
      <c r="AC24" s="1219"/>
      <c r="AD24" s="1219"/>
      <c r="AE24" s="1528"/>
      <c r="AF24" s="1528"/>
      <c r="AG24" s="1217">
        <v>19</v>
      </c>
      <c r="AH24" s="1221" t="s">
        <v>1851</v>
      </c>
      <c r="AI24" s="1223"/>
      <c r="AJ24" s="1223"/>
      <c r="AK24" s="1223">
        <v>1000</v>
      </c>
      <c r="AL24" s="1487"/>
      <c r="AM24" s="1487"/>
      <c r="AN24" s="1487">
        <v>1022</v>
      </c>
      <c r="AO24" s="1149">
        <v>19</v>
      </c>
      <c r="AP24" s="956" t="s">
        <v>1299</v>
      </c>
      <c r="AQ24" s="989">
        <v>5218</v>
      </c>
      <c r="AR24" s="989"/>
      <c r="AS24" s="1544">
        <v>2808</v>
      </c>
      <c r="AT24" s="1585"/>
      <c r="AU24" s="1561">
        <f t="shared" si="7"/>
        <v>2808</v>
      </c>
      <c r="AV24" s="1447">
        <f t="shared" si="8"/>
        <v>0</v>
      </c>
      <c r="AW24" s="1447">
        <f t="shared" si="9"/>
        <v>1022</v>
      </c>
      <c r="AX24" s="1450">
        <f t="shared" si="10"/>
        <v>3830</v>
      </c>
      <c r="AY24" s="1393">
        <f t="shared" si="4"/>
        <v>5218</v>
      </c>
      <c r="AZ24" s="1247">
        <f t="shared" si="5"/>
        <v>0</v>
      </c>
      <c r="BA24" s="1247">
        <f t="shared" si="6"/>
        <v>1000</v>
      </c>
      <c r="BB24" s="1385">
        <f t="shared" si="11"/>
        <v>6218</v>
      </c>
    </row>
    <row r="25" spans="1:54" ht="15.6" x14ac:dyDescent="0.3">
      <c r="A25" s="1216"/>
      <c r="B25" s="1218"/>
      <c r="C25" s="1223"/>
      <c r="D25" s="1487"/>
      <c r="E25" s="1217"/>
      <c r="F25" s="1218"/>
      <c r="G25" s="1223"/>
      <c r="H25" s="1487"/>
      <c r="I25" s="1217"/>
      <c r="J25" s="1218"/>
      <c r="K25" s="1223"/>
      <c r="L25" s="1487"/>
      <c r="M25" s="1217"/>
      <c r="N25" s="1221"/>
      <c r="O25" s="1247"/>
      <c r="P25" s="1247"/>
      <c r="Q25" s="1247"/>
      <c r="R25" s="1424"/>
      <c r="S25" s="1424"/>
      <c r="T25" s="1424"/>
      <c r="U25" s="1223"/>
      <c r="V25" s="1487"/>
      <c r="W25" s="1223"/>
      <c r="X25" s="1487"/>
      <c r="Y25" s="1223"/>
      <c r="Z25" s="1487"/>
      <c r="AA25" s="1149"/>
      <c r="AB25" s="954"/>
      <c r="AC25" s="1219"/>
      <c r="AD25" s="1219"/>
      <c r="AE25" s="1528"/>
      <c r="AF25" s="1528"/>
      <c r="AG25" s="1217">
        <v>20</v>
      </c>
      <c r="AH25" s="1221" t="s">
        <v>1852</v>
      </c>
      <c r="AI25" s="1223"/>
      <c r="AJ25" s="1223"/>
      <c r="AK25" s="1223">
        <f>1800-1800</f>
        <v>0</v>
      </c>
      <c r="AL25" s="1487"/>
      <c r="AM25" s="1487"/>
      <c r="AN25" s="1487"/>
      <c r="AO25" s="1149">
        <v>20</v>
      </c>
      <c r="AP25" s="956" t="s">
        <v>1300</v>
      </c>
      <c r="AQ25" s="989">
        <v>1382</v>
      </c>
      <c r="AR25" s="989"/>
      <c r="AS25" s="1544">
        <v>811</v>
      </c>
      <c r="AT25" s="1585"/>
      <c r="AU25" s="1561">
        <f t="shared" si="7"/>
        <v>811</v>
      </c>
      <c r="AV25" s="1447">
        <f t="shared" si="8"/>
        <v>0</v>
      </c>
      <c r="AW25" s="1447">
        <f t="shared" si="9"/>
        <v>0</v>
      </c>
      <c r="AX25" s="1450">
        <f t="shared" si="10"/>
        <v>811</v>
      </c>
      <c r="AY25" s="1393">
        <f t="shared" si="4"/>
        <v>1382</v>
      </c>
      <c r="AZ25" s="1247">
        <f t="shared" si="5"/>
        <v>0</v>
      </c>
      <c r="BA25" s="1247">
        <f t="shared" si="6"/>
        <v>0</v>
      </c>
      <c r="BB25" s="1385">
        <f t="shared" si="11"/>
        <v>1382</v>
      </c>
    </row>
    <row r="26" spans="1:54" ht="15.6" x14ac:dyDescent="0.3">
      <c r="A26" s="1216"/>
      <c r="B26" s="1218"/>
      <c r="C26" s="1223"/>
      <c r="D26" s="1487"/>
      <c r="E26" s="1217"/>
      <c r="F26" s="1218"/>
      <c r="G26" s="1223"/>
      <c r="H26" s="1487"/>
      <c r="I26" s="1217"/>
      <c r="J26" s="1218"/>
      <c r="K26" s="1223"/>
      <c r="L26" s="1487"/>
      <c r="M26" s="1217"/>
      <c r="N26" s="1221"/>
      <c r="O26" s="1247"/>
      <c r="P26" s="1247"/>
      <c r="Q26" s="1247"/>
      <c r="R26" s="1424"/>
      <c r="S26" s="1424"/>
      <c r="T26" s="1424"/>
      <c r="U26" s="1223"/>
      <c r="V26" s="1487"/>
      <c r="W26" s="1223"/>
      <c r="X26" s="1487"/>
      <c r="Y26" s="1223"/>
      <c r="Z26" s="1487"/>
      <c r="AA26" s="1149"/>
      <c r="AB26" s="954"/>
      <c r="AC26" s="1219"/>
      <c r="AD26" s="1219"/>
      <c r="AE26" s="1528"/>
      <c r="AF26" s="1528"/>
      <c r="AG26" s="1217">
        <v>21</v>
      </c>
      <c r="AH26" s="1220" t="s">
        <v>1272</v>
      </c>
      <c r="AI26" s="1223"/>
      <c r="AJ26" s="1223"/>
      <c r="AK26" s="1223"/>
      <c r="AL26" s="1487"/>
      <c r="AM26" s="1487"/>
      <c r="AN26" s="1487"/>
      <c r="AO26" s="1149">
        <v>21</v>
      </c>
      <c r="AP26" s="956" t="s">
        <v>1301</v>
      </c>
      <c r="AQ26" s="989">
        <v>500</v>
      </c>
      <c r="AR26" s="989"/>
      <c r="AS26" s="1544">
        <v>1817</v>
      </c>
      <c r="AT26" s="1585"/>
      <c r="AU26" s="1561">
        <f t="shared" si="7"/>
        <v>1817</v>
      </c>
      <c r="AV26" s="1447">
        <f t="shared" si="8"/>
        <v>0</v>
      </c>
      <c r="AW26" s="1447">
        <f t="shared" si="9"/>
        <v>0</v>
      </c>
      <c r="AX26" s="1450">
        <f t="shared" si="10"/>
        <v>1817</v>
      </c>
      <c r="AY26" s="1393">
        <f t="shared" si="4"/>
        <v>500</v>
      </c>
      <c r="AZ26" s="1247">
        <f t="shared" si="5"/>
        <v>0</v>
      </c>
      <c r="BA26" s="1247">
        <f t="shared" si="6"/>
        <v>0</v>
      </c>
      <c r="BB26" s="1385">
        <f t="shared" si="11"/>
        <v>500</v>
      </c>
    </row>
    <row r="27" spans="1:54" ht="15.6" x14ac:dyDescent="0.3">
      <c r="A27" s="1216"/>
      <c r="B27" s="1218"/>
      <c r="C27" s="1223"/>
      <c r="D27" s="1487"/>
      <c r="E27" s="1217"/>
      <c r="F27" s="1218"/>
      <c r="G27" s="1223"/>
      <c r="H27" s="1487"/>
      <c r="I27" s="1217"/>
      <c r="J27" s="1218"/>
      <c r="K27" s="1223"/>
      <c r="L27" s="1487"/>
      <c r="M27" s="1217"/>
      <c r="N27" s="1221"/>
      <c r="O27" s="1247"/>
      <c r="P27" s="1247"/>
      <c r="Q27" s="1247"/>
      <c r="R27" s="1424"/>
      <c r="S27" s="1424"/>
      <c r="T27" s="1424"/>
      <c r="U27" s="1223"/>
      <c r="V27" s="1487"/>
      <c r="W27" s="1223"/>
      <c r="X27" s="1487"/>
      <c r="Y27" s="1223"/>
      <c r="Z27" s="1487"/>
      <c r="AA27" s="1149"/>
      <c r="AB27" s="954"/>
      <c r="AC27" s="1219"/>
      <c r="AD27" s="1219"/>
      <c r="AE27" s="1528"/>
      <c r="AF27" s="1528"/>
      <c r="AG27" s="1217">
        <v>22</v>
      </c>
      <c r="AH27" s="1221" t="s">
        <v>2092</v>
      </c>
      <c r="AI27" s="1223">
        <v>81534</v>
      </c>
      <c r="AJ27" s="1223"/>
      <c r="AK27" s="1223"/>
      <c r="AL27" s="1487">
        <v>99092</v>
      </c>
      <c r="AM27" s="1487"/>
      <c r="AN27" s="1487"/>
      <c r="AO27" s="1149">
        <v>22</v>
      </c>
      <c r="AP27" s="956" t="s">
        <v>2093</v>
      </c>
      <c r="AQ27" s="989"/>
      <c r="AR27" s="989"/>
      <c r="AS27" s="1544"/>
      <c r="AT27" s="1585">
        <v>1500</v>
      </c>
      <c r="AU27" s="1561">
        <f t="shared" si="7"/>
        <v>99092</v>
      </c>
      <c r="AV27" s="1447">
        <f t="shared" si="8"/>
        <v>1500</v>
      </c>
      <c r="AW27" s="1447">
        <f t="shared" si="9"/>
        <v>0</v>
      </c>
      <c r="AX27" s="1450">
        <f t="shared" si="10"/>
        <v>100592</v>
      </c>
      <c r="AY27" s="1393">
        <f t="shared" si="4"/>
        <v>81534</v>
      </c>
      <c r="AZ27" s="1247">
        <f t="shared" si="5"/>
        <v>0</v>
      </c>
      <c r="BA27" s="1247">
        <f t="shared" si="6"/>
        <v>0</v>
      </c>
      <c r="BB27" s="1385">
        <f t="shared" si="11"/>
        <v>81534</v>
      </c>
    </row>
    <row r="28" spans="1:54" ht="15.6" x14ac:dyDescent="0.3">
      <c r="A28" s="1216"/>
      <c r="B28" s="1218"/>
      <c r="C28" s="1223"/>
      <c r="D28" s="1487"/>
      <c r="E28" s="1217"/>
      <c r="F28" s="1218"/>
      <c r="G28" s="1223"/>
      <c r="H28" s="1487"/>
      <c r="I28" s="1217"/>
      <c r="J28" s="1218"/>
      <c r="K28" s="1223"/>
      <c r="L28" s="1487"/>
      <c r="M28" s="1217"/>
      <c r="N28" s="1221"/>
      <c r="O28" s="1247"/>
      <c r="P28" s="1247"/>
      <c r="Q28" s="1247"/>
      <c r="R28" s="1424"/>
      <c r="S28" s="1424"/>
      <c r="T28" s="1424"/>
      <c r="U28" s="1223"/>
      <c r="V28" s="1487"/>
      <c r="W28" s="1223"/>
      <c r="X28" s="1487"/>
      <c r="Y28" s="1223"/>
      <c r="Z28" s="1487"/>
      <c r="AA28" s="1149"/>
      <c r="AB28" s="954"/>
      <c r="AC28" s="1219"/>
      <c r="AD28" s="1219"/>
      <c r="AE28" s="1528"/>
      <c r="AF28" s="1528"/>
      <c r="AG28" s="1217">
        <v>23</v>
      </c>
      <c r="AH28" s="1221" t="s">
        <v>1853</v>
      </c>
      <c r="AI28" s="1223"/>
      <c r="AJ28" s="1223"/>
      <c r="AK28" s="1223"/>
      <c r="AL28" s="1487">
        <v>690</v>
      </c>
      <c r="AM28" s="1487"/>
      <c r="AN28" s="1487">
        <v>2775</v>
      </c>
      <c r="AO28" s="1149">
        <v>23</v>
      </c>
      <c r="AP28" s="956" t="s">
        <v>1305</v>
      </c>
      <c r="AQ28" s="989">
        <v>6000</v>
      </c>
      <c r="AR28" s="989"/>
      <c r="AS28" s="1544">
        <v>3520</v>
      </c>
      <c r="AT28" s="1585"/>
      <c r="AU28" s="1561">
        <f t="shared" si="7"/>
        <v>4210</v>
      </c>
      <c r="AV28" s="1447">
        <f t="shared" si="8"/>
        <v>0</v>
      </c>
      <c r="AW28" s="1447">
        <f t="shared" si="9"/>
        <v>2775</v>
      </c>
      <c r="AX28" s="1450">
        <f t="shared" si="10"/>
        <v>6985</v>
      </c>
      <c r="AY28" s="1393">
        <f t="shared" si="4"/>
        <v>6000</v>
      </c>
      <c r="AZ28" s="1247">
        <f t="shared" si="5"/>
        <v>0</v>
      </c>
      <c r="BA28" s="1247">
        <f t="shared" si="6"/>
        <v>0</v>
      </c>
      <c r="BB28" s="1385">
        <f t="shared" si="11"/>
        <v>6000</v>
      </c>
    </row>
    <row r="29" spans="1:54" ht="27" x14ac:dyDescent="0.3">
      <c r="A29" s="1216"/>
      <c r="B29" s="1218"/>
      <c r="C29" s="1223"/>
      <c r="D29" s="1487"/>
      <c r="E29" s="1217"/>
      <c r="F29" s="1218"/>
      <c r="G29" s="1223"/>
      <c r="H29" s="1487"/>
      <c r="I29" s="1217"/>
      <c r="J29" s="1218"/>
      <c r="K29" s="1223"/>
      <c r="L29" s="1487"/>
      <c r="M29" s="1217"/>
      <c r="N29" s="1221"/>
      <c r="O29" s="1247"/>
      <c r="P29" s="1247"/>
      <c r="Q29" s="1247"/>
      <c r="R29" s="1424"/>
      <c r="S29" s="1424"/>
      <c r="T29" s="1424"/>
      <c r="U29" s="1223"/>
      <c r="V29" s="1487"/>
      <c r="W29" s="1223"/>
      <c r="X29" s="1487"/>
      <c r="Y29" s="1223"/>
      <c r="Z29" s="1487"/>
      <c r="AA29" s="1149"/>
      <c r="AB29" s="954"/>
      <c r="AC29" s="1219"/>
      <c r="AD29" s="1219"/>
      <c r="AE29" s="1528"/>
      <c r="AF29" s="1528"/>
      <c r="AG29" s="1217">
        <v>24</v>
      </c>
      <c r="AH29" s="1221" t="s">
        <v>1854</v>
      </c>
      <c r="AI29" s="1223">
        <v>1461</v>
      </c>
      <c r="AJ29" s="1223"/>
      <c r="AK29" s="1223"/>
      <c r="AL29" s="1487">
        <v>142</v>
      </c>
      <c r="AM29" s="1487"/>
      <c r="AN29" s="1487"/>
      <c r="AO29" s="1149">
        <v>24</v>
      </c>
      <c r="AP29" s="956" t="s">
        <v>1307</v>
      </c>
      <c r="AQ29" s="989"/>
      <c r="AR29" s="989">
        <f>12000-12000</f>
        <v>0</v>
      </c>
      <c r="AS29" s="1544"/>
      <c r="AT29" s="1585">
        <v>12000</v>
      </c>
      <c r="AU29" s="1561">
        <f t="shared" si="7"/>
        <v>142</v>
      </c>
      <c r="AV29" s="1447">
        <f t="shared" si="8"/>
        <v>12000</v>
      </c>
      <c r="AW29" s="1447">
        <f t="shared" si="9"/>
        <v>0</v>
      </c>
      <c r="AX29" s="1450">
        <f t="shared" si="10"/>
        <v>12142</v>
      </c>
      <c r="AY29" s="1393">
        <f t="shared" si="4"/>
        <v>1461</v>
      </c>
      <c r="AZ29" s="1247">
        <f t="shared" si="5"/>
        <v>0</v>
      </c>
      <c r="BA29" s="1247">
        <f t="shared" si="6"/>
        <v>0</v>
      </c>
      <c r="BB29" s="1385">
        <f t="shared" si="11"/>
        <v>1461</v>
      </c>
    </row>
    <row r="30" spans="1:54" ht="15.6" x14ac:dyDescent="0.3">
      <c r="A30" s="1216"/>
      <c r="B30" s="1218"/>
      <c r="C30" s="1223"/>
      <c r="D30" s="1487"/>
      <c r="E30" s="1217"/>
      <c r="F30" s="1218"/>
      <c r="G30" s="1223"/>
      <c r="H30" s="1487"/>
      <c r="I30" s="1217"/>
      <c r="J30" s="1218"/>
      <c r="K30" s="1223"/>
      <c r="L30" s="1487"/>
      <c r="M30" s="1217"/>
      <c r="N30" s="1221"/>
      <c r="O30" s="1247"/>
      <c r="P30" s="1247"/>
      <c r="Q30" s="1247"/>
      <c r="R30" s="1424"/>
      <c r="S30" s="1424"/>
      <c r="T30" s="1424"/>
      <c r="U30" s="1223"/>
      <c r="V30" s="1487"/>
      <c r="W30" s="1223"/>
      <c r="X30" s="1487"/>
      <c r="Y30" s="1223"/>
      <c r="Z30" s="1487"/>
      <c r="AA30" s="1149"/>
      <c r="AB30" s="954"/>
      <c r="AC30" s="1219"/>
      <c r="AD30" s="1219"/>
      <c r="AE30" s="1528"/>
      <c r="AF30" s="1528"/>
      <c r="AG30" s="1217">
        <v>25</v>
      </c>
      <c r="AH30" s="1221" t="s">
        <v>2094</v>
      </c>
      <c r="AI30" s="1223">
        <v>717551</v>
      </c>
      <c r="AJ30" s="1223"/>
      <c r="AK30" s="1223"/>
      <c r="AL30" s="1487">
        <v>727514</v>
      </c>
      <c r="AM30" s="1487"/>
      <c r="AN30" s="1487"/>
      <c r="AO30" s="1149">
        <v>25</v>
      </c>
      <c r="AP30" s="956" t="s">
        <v>1308</v>
      </c>
      <c r="AQ30" s="989"/>
      <c r="AR30" s="989"/>
      <c r="AS30" s="1544"/>
      <c r="AT30" s="1585"/>
      <c r="AU30" s="1561">
        <f t="shared" si="7"/>
        <v>727514</v>
      </c>
      <c r="AV30" s="1447">
        <f t="shared" si="8"/>
        <v>0</v>
      </c>
      <c r="AW30" s="1447">
        <f t="shared" si="9"/>
        <v>0</v>
      </c>
      <c r="AX30" s="1450">
        <f t="shared" si="10"/>
        <v>727514</v>
      </c>
      <c r="AY30" s="1393">
        <f t="shared" si="4"/>
        <v>717551</v>
      </c>
      <c r="AZ30" s="1247">
        <f t="shared" si="5"/>
        <v>0</v>
      </c>
      <c r="BA30" s="1247">
        <f t="shared" si="6"/>
        <v>0</v>
      </c>
      <c r="BB30" s="1385">
        <f t="shared" si="11"/>
        <v>717551</v>
      </c>
    </row>
    <row r="31" spans="1:54" ht="15.6" x14ac:dyDescent="0.3">
      <c r="A31" s="1216"/>
      <c r="B31" s="1218"/>
      <c r="C31" s="1223"/>
      <c r="D31" s="1487"/>
      <c r="E31" s="1217"/>
      <c r="F31" s="1218"/>
      <c r="G31" s="1223"/>
      <c r="H31" s="1487"/>
      <c r="I31" s="1217"/>
      <c r="J31" s="1218"/>
      <c r="K31" s="1223"/>
      <c r="L31" s="1487"/>
      <c r="M31" s="1217"/>
      <c r="N31" s="1221"/>
      <c r="O31" s="1247"/>
      <c r="P31" s="1247"/>
      <c r="Q31" s="1247"/>
      <c r="R31" s="1424"/>
      <c r="S31" s="1424"/>
      <c r="T31" s="1424"/>
      <c r="U31" s="1223"/>
      <c r="V31" s="1487"/>
      <c r="W31" s="1223"/>
      <c r="X31" s="1487"/>
      <c r="Y31" s="1223"/>
      <c r="Z31" s="1487"/>
      <c r="AA31" s="1149"/>
      <c r="AB31" s="954"/>
      <c r="AC31" s="1219"/>
      <c r="AD31" s="1219"/>
      <c r="AE31" s="1528"/>
      <c r="AF31" s="1528"/>
      <c r="AG31" s="1217">
        <v>26</v>
      </c>
      <c r="AH31" s="1221" t="s">
        <v>1855</v>
      </c>
      <c r="AI31" s="1223">
        <v>6391</v>
      </c>
      <c r="AJ31" s="1223"/>
      <c r="AK31" s="1223"/>
      <c r="AL31" s="1487">
        <v>4775</v>
      </c>
      <c r="AM31" s="1487"/>
      <c r="AN31" s="1487"/>
      <c r="AO31" s="1149"/>
      <c r="AP31" s="956" t="s">
        <v>1856</v>
      </c>
      <c r="AQ31" s="989">
        <v>1890</v>
      </c>
      <c r="AR31" s="989"/>
      <c r="AS31" s="1544"/>
      <c r="AT31" s="1585"/>
      <c r="AU31" s="1561">
        <f t="shared" si="7"/>
        <v>4775</v>
      </c>
      <c r="AV31" s="1447">
        <f t="shared" si="8"/>
        <v>0</v>
      </c>
      <c r="AW31" s="1447">
        <f t="shared" si="9"/>
        <v>0</v>
      </c>
      <c r="AX31" s="1450">
        <f t="shared" si="10"/>
        <v>4775</v>
      </c>
      <c r="AY31" s="1393">
        <f t="shared" si="4"/>
        <v>8281</v>
      </c>
      <c r="AZ31" s="1247">
        <f t="shared" si="5"/>
        <v>0</v>
      </c>
      <c r="BA31" s="1247">
        <f t="shared" si="6"/>
        <v>0</v>
      </c>
      <c r="BB31" s="1385">
        <f t="shared" si="11"/>
        <v>8281</v>
      </c>
    </row>
    <row r="32" spans="1:54" ht="15.6" x14ac:dyDescent="0.3">
      <c r="A32" s="1216"/>
      <c r="B32" s="1218"/>
      <c r="C32" s="1223"/>
      <c r="D32" s="1487"/>
      <c r="E32" s="1217"/>
      <c r="F32" s="1218"/>
      <c r="G32" s="1223"/>
      <c r="H32" s="1487"/>
      <c r="I32" s="1217"/>
      <c r="J32" s="1218"/>
      <c r="K32" s="1223"/>
      <c r="L32" s="1487"/>
      <c r="M32" s="1217"/>
      <c r="N32" s="1221"/>
      <c r="O32" s="1247"/>
      <c r="P32" s="1247"/>
      <c r="Q32" s="1247"/>
      <c r="R32" s="1424"/>
      <c r="S32" s="1424"/>
      <c r="T32" s="1424"/>
      <c r="U32" s="1223"/>
      <c r="V32" s="1487"/>
      <c r="W32" s="1223"/>
      <c r="X32" s="1487"/>
      <c r="Y32" s="1223"/>
      <c r="Z32" s="1487"/>
      <c r="AA32" s="1149"/>
      <c r="AB32" s="954"/>
      <c r="AC32" s="1219"/>
      <c r="AD32" s="1219"/>
      <c r="AE32" s="1528"/>
      <c r="AF32" s="1528"/>
      <c r="AG32" s="1217">
        <v>27</v>
      </c>
      <c r="AH32" s="1221" t="s">
        <v>1857</v>
      </c>
      <c r="AI32" s="1223"/>
      <c r="AJ32" s="1223"/>
      <c r="AK32" s="1223"/>
      <c r="AL32" s="1487">
        <v>3371</v>
      </c>
      <c r="AM32" s="1487"/>
      <c r="AN32" s="1487"/>
      <c r="AO32" s="1149"/>
      <c r="AP32" s="956" t="s">
        <v>1858</v>
      </c>
      <c r="AQ32" s="989">
        <v>1500</v>
      </c>
      <c r="AR32" s="989"/>
      <c r="AS32" s="1544"/>
      <c r="AT32" s="1585"/>
      <c r="AU32" s="1561">
        <f t="shared" si="7"/>
        <v>3371</v>
      </c>
      <c r="AV32" s="1447">
        <f t="shared" si="8"/>
        <v>0</v>
      </c>
      <c r="AW32" s="1447">
        <f t="shared" si="9"/>
        <v>0</v>
      </c>
      <c r="AX32" s="1450">
        <f t="shared" si="10"/>
        <v>3371</v>
      </c>
      <c r="AY32" s="1393">
        <f t="shared" si="4"/>
        <v>1500</v>
      </c>
      <c r="AZ32" s="1247">
        <f t="shared" si="5"/>
        <v>0</v>
      </c>
      <c r="BA32" s="1247">
        <f t="shared" si="6"/>
        <v>0</v>
      </c>
      <c r="BB32" s="1385">
        <f t="shared" si="11"/>
        <v>1500</v>
      </c>
    </row>
    <row r="33" spans="1:54" ht="15.6" x14ac:dyDescent="0.3">
      <c r="A33" s="1216"/>
      <c r="B33" s="1218"/>
      <c r="C33" s="1223"/>
      <c r="D33" s="1487"/>
      <c r="E33" s="1217"/>
      <c r="F33" s="1218"/>
      <c r="G33" s="1223"/>
      <c r="H33" s="1487"/>
      <c r="I33" s="1217"/>
      <c r="J33" s="1218"/>
      <c r="K33" s="1223"/>
      <c r="L33" s="1487"/>
      <c r="M33" s="1217"/>
      <c r="N33" s="1221"/>
      <c r="O33" s="1247"/>
      <c r="P33" s="1247"/>
      <c r="Q33" s="1247"/>
      <c r="R33" s="1424"/>
      <c r="S33" s="1424"/>
      <c r="T33" s="1424"/>
      <c r="U33" s="1223"/>
      <c r="V33" s="1487"/>
      <c r="W33" s="1223"/>
      <c r="X33" s="1487"/>
      <c r="Y33" s="1223"/>
      <c r="Z33" s="1487"/>
      <c r="AA33" s="1149"/>
      <c r="AB33" s="954"/>
      <c r="AC33" s="1219"/>
      <c r="AD33" s="1219"/>
      <c r="AE33" s="1528"/>
      <c r="AF33" s="1528"/>
      <c r="AG33" s="1217">
        <v>28</v>
      </c>
      <c r="AH33" s="1221" t="s">
        <v>2236</v>
      </c>
      <c r="AI33" s="1223"/>
      <c r="AJ33" s="1223"/>
      <c r="AK33" s="1223"/>
      <c r="AL33" s="1487">
        <v>10020</v>
      </c>
      <c r="AM33" s="1487"/>
      <c r="AN33" s="1487"/>
      <c r="AO33" s="1149"/>
      <c r="AP33" s="956" t="s">
        <v>1859</v>
      </c>
      <c r="AQ33" s="989">
        <v>33000</v>
      </c>
      <c r="AR33" s="989"/>
      <c r="AS33" s="1544"/>
      <c r="AT33" s="1585"/>
      <c r="AU33" s="1561">
        <f t="shared" si="7"/>
        <v>10020</v>
      </c>
      <c r="AV33" s="1447">
        <f t="shared" si="8"/>
        <v>0</v>
      </c>
      <c r="AW33" s="1447">
        <f t="shared" si="9"/>
        <v>0</v>
      </c>
      <c r="AX33" s="1450">
        <f t="shared" si="10"/>
        <v>10020</v>
      </c>
      <c r="AY33" s="1393">
        <f t="shared" si="4"/>
        <v>33000</v>
      </c>
      <c r="AZ33" s="1247">
        <f t="shared" si="5"/>
        <v>0</v>
      </c>
      <c r="BA33" s="1247">
        <f t="shared" si="6"/>
        <v>0</v>
      </c>
      <c r="BB33" s="1385">
        <f t="shared" si="11"/>
        <v>33000</v>
      </c>
    </row>
    <row r="34" spans="1:54" ht="15.6" x14ac:dyDescent="0.3">
      <c r="A34" s="1216"/>
      <c r="B34" s="1218"/>
      <c r="C34" s="1223"/>
      <c r="D34" s="1487"/>
      <c r="E34" s="1217"/>
      <c r="F34" s="1218"/>
      <c r="G34" s="1223"/>
      <c r="H34" s="1487"/>
      <c r="I34" s="1217"/>
      <c r="J34" s="1218"/>
      <c r="K34" s="1223"/>
      <c r="L34" s="1487"/>
      <c r="M34" s="1217"/>
      <c r="N34" s="1221"/>
      <c r="O34" s="1247"/>
      <c r="P34" s="1247"/>
      <c r="Q34" s="1247"/>
      <c r="R34" s="1424"/>
      <c r="S34" s="1424"/>
      <c r="T34" s="1424"/>
      <c r="U34" s="1223"/>
      <c r="V34" s="1487"/>
      <c r="W34" s="1223"/>
      <c r="X34" s="1487"/>
      <c r="Y34" s="1223"/>
      <c r="Z34" s="1487"/>
      <c r="AA34" s="1149"/>
      <c r="AB34" s="954"/>
      <c r="AC34" s="1219"/>
      <c r="AD34" s="1219"/>
      <c r="AE34" s="1528"/>
      <c r="AF34" s="1528"/>
      <c r="AG34" s="1217">
        <v>29</v>
      </c>
      <c r="AH34" s="1221" t="s">
        <v>1860</v>
      </c>
      <c r="AI34" s="1223">
        <f>31691+1994</f>
        <v>33685</v>
      </c>
      <c r="AJ34" s="1223"/>
      <c r="AK34" s="1223"/>
      <c r="AL34" s="1487">
        <v>32171</v>
      </c>
      <c r="AM34" s="1487"/>
      <c r="AN34" s="1487"/>
      <c r="AO34" s="1149"/>
      <c r="AP34" s="956" t="s">
        <v>1861</v>
      </c>
      <c r="AQ34" s="989">
        <v>1636</v>
      </c>
      <c r="AR34" s="989"/>
      <c r="AS34" s="1544"/>
      <c r="AT34" s="1585"/>
      <c r="AU34" s="1561">
        <f t="shared" si="7"/>
        <v>32171</v>
      </c>
      <c r="AV34" s="1447">
        <f t="shared" si="8"/>
        <v>0</v>
      </c>
      <c r="AW34" s="1447">
        <f t="shared" si="9"/>
        <v>0</v>
      </c>
      <c r="AX34" s="1450">
        <f t="shared" si="10"/>
        <v>32171</v>
      </c>
      <c r="AY34" s="1393">
        <f t="shared" si="4"/>
        <v>35321</v>
      </c>
      <c r="AZ34" s="1247">
        <f t="shared" si="5"/>
        <v>0</v>
      </c>
      <c r="BA34" s="1247">
        <f t="shared" si="6"/>
        <v>0</v>
      </c>
      <c r="BB34" s="1385">
        <f t="shared" si="11"/>
        <v>35321</v>
      </c>
    </row>
    <row r="35" spans="1:54" ht="15.6" x14ac:dyDescent="0.3">
      <c r="A35" s="1216"/>
      <c r="B35" s="1218"/>
      <c r="C35" s="1223"/>
      <c r="D35" s="1487"/>
      <c r="E35" s="1217"/>
      <c r="F35" s="1218"/>
      <c r="G35" s="1223"/>
      <c r="H35" s="1487"/>
      <c r="I35" s="1217"/>
      <c r="J35" s="1218"/>
      <c r="K35" s="1223"/>
      <c r="L35" s="1487"/>
      <c r="M35" s="1217"/>
      <c r="N35" s="1221"/>
      <c r="O35" s="1247"/>
      <c r="P35" s="1247"/>
      <c r="Q35" s="1247"/>
      <c r="R35" s="1424"/>
      <c r="S35" s="1424"/>
      <c r="T35" s="1424"/>
      <c r="U35" s="1223"/>
      <c r="V35" s="1487"/>
      <c r="W35" s="1223"/>
      <c r="X35" s="1487"/>
      <c r="Y35" s="1223"/>
      <c r="Z35" s="1487"/>
      <c r="AA35" s="1149"/>
      <c r="AB35" s="954"/>
      <c r="AC35" s="1219"/>
      <c r="AD35" s="1219"/>
      <c r="AE35" s="1528"/>
      <c r="AF35" s="1528"/>
      <c r="AG35" s="1217">
        <v>30</v>
      </c>
      <c r="AH35" s="1221" t="s">
        <v>1285</v>
      </c>
      <c r="AI35" s="1223">
        <v>25252</v>
      </c>
      <c r="AJ35" s="1223"/>
      <c r="AK35" s="1223"/>
      <c r="AL35" s="1487">
        <v>26707</v>
      </c>
      <c r="AM35" s="1487"/>
      <c r="AN35" s="1487"/>
      <c r="AO35" s="1149"/>
      <c r="AP35" s="956" t="s">
        <v>1862</v>
      </c>
      <c r="AQ35" s="989">
        <v>8910</v>
      </c>
      <c r="AR35" s="989"/>
      <c r="AS35" s="1544"/>
      <c r="AT35" s="1585"/>
      <c r="AU35" s="1561">
        <f t="shared" si="7"/>
        <v>26707</v>
      </c>
      <c r="AV35" s="1447">
        <f t="shared" si="8"/>
        <v>0</v>
      </c>
      <c r="AW35" s="1447">
        <f t="shared" si="9"/>
        <v>0</v>
      </c>
      <c r="AX35" s="1450">
        <f t="shared" si="10"/>
        <v>26707</v>
      </c>
      <c r="AY35" s="1393">
        <f t="shared" si="4"/>
        <v>34162</v>
      </c>
      <c r="AZ35" s="1247">
        <f t="shared" si="5"/>
        <v>0</v>
      </c>
      <c r="BA35" s="1247">
        <f t="shared" si="6"/>
        <v>0</v>
      </c>
      <c r="BB35" s="1385">
        <f t="shared" si="11"/>
        <v>34162</v>
      </c>
    </row>
    <row r="36" spans="1:54" ht="15.6" x14ac:dyDescent="0.3">
      <c r="A36" s="1216"/>
      <c r="B36" s="1218"/>
      <c r="C36" s="1223"/>
      <c r="D36" s="1487"/>
      <c r="E36" s="1217"/>
      <c r="F36" s="1218"/>
      <c r="G36" s="1223"/>
      <c r="H36" s="1487"/>
      <c r="I36" s="1217"/>
      <c r="J36" s="1218"/>
      <c r="K36" s="1223"/>
      <c r="L36" s="1487"/>
      <c r="M36" s="1217"/>
      <c r="N36" s="1221"/>
      <c r="O36" s="1247"/>
      <c r="P36" s="1247"/>
      <c r="Q36" s="1247"/>
      <c r="R36" s="1424"/>
      <c r="S36" s="1424"/>
      <c r="T36" s="1424"/>
      <c r="U36" s="1223"/>
      <c r="V36" s="1487"/>
      <c r="W36" s="1223"/>
      <c r="X36" s="1487"/>
      <c r="Y36" s="1223"/>
      <c r="Z36" s="1487"/>
      <c r="AA36" s="1149"/>
      <c r="AB36" s="954"/>
      <c r="AC36" s="1219"/>
      <c r="AD36" s="1219"/>
      <c r="AE36" s="1528"/>
      <c r="AF36" s="1528"/>
      <c r="AG36" s="1217">
        <v>31</v>
      </c>
      <c r="AH36" s="1221" t="s">
        <v>1863</v>
      </c>
      <c r="AI36" s="1223">
        <v>3120</v>
      </c>
      <c r="AJ36" s="1223"/>
      <c r="AK36" s="1223"/>
      <c r="AL36" s="1487">
        <v>2340</v>
      </c>
      <c r="AM36" s="1487"/>
      <c r="AN36" s="1487"/>
      <c r="AO36" s="1149"/>
      <c r="AP36" s="956"/>
      <c r="AQ36" s="989"/>
      <c r="AR36" s="989"/>
      <c r="AS36" s="1544"/>
      <c r="AT36" s="1585"/>
      <c r="AU36" s="1561">
        <f t="shared" si="7"/>
        <v>2340</v>
      </c>
      <c r="AV36" s="1447">
        <f t="shared" si="8"/>
        <v>0</v>
      </c>
      <c r="AW36" s="1447">
        <f t="shared" si="9"/>
        <v>0</v>
      </c>
      <c r="AX36" s="1450">
        <f t="shared" si="10"/>
        <v>2340</v>
      </c>
      <c r="AY36" s="1393">
        <f t="shared" si="4"/>
        <v>3120</v>
      </c>
      <c r="AZ36" s="1247">
        <f t="shared" si="5"/>
        <v>0</v>
      </c>
      <c r="BA36" s="1247">
        <f t="shared" si="6"/>
        <v>0</v>
      </c>
      <c r="BB36" s="1385">
        <f t="shared" si="11"/>
        <v>3120</v>
      </c>
    </row>
    <row r="37" spans="1:54" ht="15.6" x14ac:dyDescent="0.3">
      <c r="A37" s="1216"/>
      <c r="B37" s="1218"/>
      <c r="C37" s="1223"/>
      <c r="D37" s="1487"/>
      <c r="E37" s="1217"/>
      <c r="F37" s="1218"/>
      <c r="G37" s="1223"/>
      <c r="H37" s="1487"/>
      <c r="I37" s="1217"/>
      <c r="J37" s="1218"/>
      <c r="K37" s="1223"/>
      <c r="L37" s="1487"/>
      <c r="M37" s="1217"/>
      <c r="N37" s="1221"/>
      <c r="O37" s="1247"/>
      <c r="P37" s="1247"/>
      <c r="Q37" s="1247"/>
      <c r="R37" s="1424"/>
      <c r="S37" s="1424"/>
      <c r="T37" s="1424"/>
      <c r="U37" s="1223"/>
      <c r="V37" s="1487"/>
      <c r="W37" s="1223"/>
      <c r="X37" s="1487"/>
      <c r="Y37" s="1223"/>
      <c r="Z37" s="1487"/>
      <c r="AA37" s="1149"/>
      <c r="AB37" s="954"/>
      <c r="AC37" s="1219"/>
      <c r="AD37" s="1219"/>
      <c r="AE37" s="1528"/>
      <c r="AF37" s="1528"/>
      <c r="AG37" s="1217">
        <v>32</v>
      </c>
      <c r="AH37" s="1221" t="s">
        <v>1864</v>
      </c>
      <c r="AI37" s="1223">
        <f>760+1520</f>
        <v>2280</v>
      </c>
      <c r="AJ37" s="1223"/>
      <c r="AK37" s="1223"/>
      <c r="AL37" s="1487"/>
      <c r="AM37" s="1487"/>
      <c r="AN37" s="1487">
        <v>786</v>
      </c>
      <c r="AO37" s="1149"/>
      <c r="AP37" s="956"/>
      <c r="AQ37" s="989"/>
      <c r="AR37" s="989"/>
      <c r="AS37" s="1544"/>
      <c r="AT37" s="1585"/>
      <c r="AU37" s="1561">
        <f t="shared" si="7"/>
        <v>0</v>
      </c>
      <c r="AV37" s="1447">
        <f t="shared" si="8"/>
        <v>0</v>
      </c>
      <c r="AW37" s="1447">
        <f t="shared" si="9"/>
        <v>786</v>
      </c>
      <c r="AX37" s="1450">
        <f t="shared" si="10"/>
        <v>786</v>
      </c>
      <c r="AY37" s="1393">
        <f t="shared" si="4"/>
        <v>2280</v>
      </c>
      <c r="AZ37" s="1247">
        <f t="shared" si="5"/>
        <v>0</v>
      </c>
      <c r="BA37" s="1247">
        <f t="shared" si="6"/>
        <v>0</v>
      </c>
      <c r="BB37" s="1385">
        <f t="shared" si="11"/>
        <v>2280</v>
      </c>
    </row>
    <row r="38" spans="1:54" ht="15.6" x14ac:dyDescent="0.3">
      <c r="A38" s="1216"/>
      <c r="B38" s="1218"/>
      <c r="C38" s="1223"/>
      <c r="D38" s="1487"/>
      <c r="E38" s="1217"/>
      <c r="F38" s="1218"/>
      <c r="G38" s="1223"/>
      <c r="H38" s="1487"/>
      <c r="I38" s="1217"/>
      <c r="J38" s="1218"/>
      <c r="K38" s="1223"/>
      <c r="L38" s="1487"/>
      <c r="M38" s="1217"/>
      <c r="N38" s="1221"/>
      <c r="O38" s="1247"/>
      <c r="P38" s="1247"/>
      <c r="Q38" s="1247"/>
      <c r="R38" s="1424"/>
      <c r="S38" s="1424"/>
      <c r="T38" s="1424"/>
      <c r="U38" s="1223"/>
      <c r="V38" s="1487"/>
      <c r="W38" s="1223"/>
      <c r="X38" s="1487"/>
      <c r="Y38" s="1223"/>
      <c r="Z38" s="1487"/>
      <c r="AA38" s="1149"/>
      <c r="AB38" s="954"/>
      <c r="AC38" s="1219"/>
      <c r="AD38" s="1219"/>
      <c r="AE38" s="1528"/>
      <c r="AF38" s="1528"/>
      <c r="AG38" s="1217">
        <v>33</v>
      </c>
      <c r="AH38" s="1221" t="s">
        <v>1865</v>
      </c>
      <c r="AI38" s="1223">
        <f>1900+3799</f>
        <v>5699</v>
      </c>
      <c r="AJ38" s="1223"/>
      <c r="AK38" s="1223"/>
      <c r="AL38" s="1487">
        <v>6186</v>
      </c>
      <c r="AM38" s="1487"/>
      <c r="AN38" s="1487"/>
      <c r="AO38" s="1149"/>
      <c r="AP38" s="956"/>
      <c r="AQ38" s="989"/>
      <c r="AR38" s="989"/>
      <c r="AS38" s="1544"/>
      <c r="AT38" s="1585"/>
      <c r="AU38" s="1561">
        <f t="shared" si="7"/>
        <v>6186</v>
      </c>
      <c r="AV38" s="1447">
        <f t="shared" si="8"/>
        <v>0</v>
      </c>
      <c r="AW38" s="1447">
        <f t="shared" si="9"/>
        <v>0</v>
      </c>
      <c r="AX38" s="1450">
        <f t="shared" si="10"/>
        <v>6186</v>
      </c>
      <c r="AY38" s="1393">
        <f t="shared" si="4"/>
        <v>5699</v>
      </c>
      <c r="AZ38" s="1247">
        <f t="shared" si="5"/>
        <v>0</v>
      </c>
      <c r="BA38" s="1247">
        <f t="shared" si="6"/>
        <v>0</v>
      </c>
      <c r="BB38" s="1385">
        <f t="shared" si="11"/>
        <v>5699</v>
      </c>
    </row>
    <row r="39" spans="1:54" ht="15.6" x14ac:dyDescent="0.3">
      <c r="A39" s="1216"/>
      <c r="B39" s="1218"/>
      <c r="C39" s="1223"/>
      <c r="D39" s="1487"/>
      <c r="E39" s="1217"/>
      <c r="F39" s="1218"/>
      <c r="G39" s="1223"/>
      <c r="H39" s="1487"/>
      <c r="I39" s="1217"/>
      <c r="J39" s="1218"/>
      <c r="K39" s="1223"/>
      <c r="L39" s="1487"/>
      <c r="M39" s="1217"/>
      <c r="N39" s="1221"/>
      <c r="O39" s="1247"/>
      <c r="P39" s="1247"/>
      <c r="Q39" s="1247"/>
      <c r="R39" s="1424"/>
      <c r="S39" s="1424"/>
      <c r="T39" s="1424"/>
      <c r="U39" s="1223"/>
      <c r="V39" s="1487"/>
      <c r="W39" s="1223"/>
      <c r="X39" s="1487"/>
      <c r="Y39" s="1223"/>
      <c r="Z39" s="1487"/>
      <c r="AA39" s="1149"/>
      <c r="AB39" s="954"/>
      <c r="AC39" s="1219"/>
      <c r="AD39" s="1219"/>
      <c r="AE39" s="1528"/>
      <c r="AF39" s="1528"/>
      <c r="AG39" s="1217">
        <v>34</v>
      </c>
      <c r="AH39" s="1105" t="s">
        <v>2093</v>
      </c>
      <c r="AI39" s="1223"/>
      <c r="AJ39" s="1223"/>
      <c r="AK39" s="1223"/>
      <c r="AL39" s="1487"/>
      <c r="AM39" s="1487"/>
      <c r="AN39" s="1487">
        <v>692</v>
      </c>
      <c r="AO39" s="1149"/>
      <c r="AP39" s="956"/>
      <c r="AQ39" s="989"/>
      <c r="AR39" s="989"/>
      <c r="AS39" s="1544"/>
      <c r="AT39" s="1585"/>
      <c r="AU39" s="1561">
        <f t="shared" si="7"/>
        <v>0</v>
      </c>
      <c r="AV39" s="1447">
        <f t="shared" si="8"/>
        <v>0</v>
      </c>
      <c r="AW39" s="1447">
        <f t="shared" si="9"/>
        <v>692</v>
      </c>
      <c r="AX39" s="1450">
        <f t="shared" si="10"/>
        <v>692</v>
      </c>
      <c r="AY39" s="1393">
        <f t="shared" si="4"/>
        <v>0</v>
      </c>
      <c r="AZ39" s="1247">
        <f t="shared" si="5"/>
        <v>0</v>
      </c>
      <c r="BA39" s="1247">
        <f t="shared" si="6"/>
        <v>0</v>
      </c>
      <c r="BB39" s="1385">
        <f t="shared" si="11"/>
        <v>0</v>
      </c>
    </row>
    <row r="40" spans="1:54" ht="15.6" x14ac:dyDescent="0.3">
      <c r="A40" s="1216"/>
      <c r="B40" s="1218"/>
      <c r="C40" s="1223"/>
      <c r="D40" s="1487"/>
      <c r="E40" s="1217"/>
      <c r="F40" s="1218"/>
      <c r="G40" s="1223"/>
      <c r="H40" s="1487"/>
      <c r="I40" s="1217"/>
      <c r="J40" s="1218"/>
      <c r="K40" s="1223"/>
      <c r="L40" s="1487"/>
      <c r="M40" s="1217"/>
      <c r="N40" s="1221"/>
      <c r="O40" s="1247"/>
      <c r="P40" s="1247"/>
      <c r="Q40" s="1247"/>
      <c r="R40" s="1424"/>
      <c r="S40" s="1424"/>
      <c r="T40" s="1424"/>
      <c r="U40" s="1223"/>
      <c r="V40" s="1487"/>
      <c r="W40" s="1223"/>
      <c r="X40" s="1487"/>
      <c r="Y40" s="1223"/>
      <c r="Z40" s="1487"/>
      <c r="AA40" s="1149"/>
      <c r="AB40" s="954"/>
      <c r="AC40" s="1219"/>
      <c r="AD40" s="1219"/>
      <c r="AE40" s="1528"/>
      <c r="AF40" s="1528"/>
      <c r="AG40" s="1217">
        <v>35</v>
      </c>
      <c r="AH40" s="1105" t="s">
        <v>2237</v>
      </c>
      <c r="AI40" s="1223"/>
      <c r="AJ40" s="1223"/>
      <c r="AK40" s="1223"/>
      <c r="AL40" s="1487">
        <v>7260</v>
      </c>
      <c r="AM40" s="1487"/>
      <c r="AN40" s="1487"/>
      <c r="AO40" s="1149"/>
      <c r="AP40" s="956"/>
      <c r="AQ40" s="989"/>
      <c r="AR40" s="989"/>
      <c r="AS40" s="1544"/>
      <c r="AT40" s="1585"/>
      <c r="AU40" s="1561">
        <f t="shared" si="7"/>
        <v>7260</v>
      </c>
      <c r="AV40" s="1447">
        <f t="shared" si="8"/>
        <v>0</v>
      </c>
      <c r="AW40" s="1447">
        <f t="shared" si="9"/>
        <v>0</v>
      </c>
      <c r="AX40" s="1450">
        <f t="shared" si="10"/>
        <v>7260</v>
      </c>
      <c r="AY40" s="1393">
        <f t="shared" si="4"/>
        <v>0</v>
      </c>
      <c r="AZ40" s="1247">
        <f t="shared" si="5"/>
        <v>0</v>
      </c>
      <c r="BA40" s="1247">
        <f t="shared" si="6"/>
        <v>0</v>
      </c>
      <c r="BB40" s="1385">
        <f t="shared" si="11"/>
        <v>0</v>
      </c>
    </row>
    <row r="41" spans="1:54" ht="15.6" x14ac:dyDescent="0.3">
      <c r="A41" s="1216"/>
      <c r="B41" s="1218"/>
      <c r="C41" s="1223"/>
      <c r="D41" s="1487"/>
      <c r="E41" s="1217"/>
      <c r="F41" s="1218"/>
      <c r="G41" s="1223"/>
      <c r="H41" s="1487"/>
      <c r="I41" s="1217"/>
      <c r="J41" s="1218"/>
      <c r="K41" s="1223"/>
      <c r="L41" s="1487"/>
      <c r="M41" s="1217"/>
      <c r="N41" s="1221"/>
      <c r="O41" s="1247"/>
      <c r="P41" s="1247"/>
      <c r="Q41" s="1247"/>
      <c r="R41" s="1424"/>
      <c r="S41" s="1424"/>
      <c r="T41" s="1424"/>
      <c r="U41" s="1223"/>
      <c r="V41" s="1487"/>
      <c r="W41" s="1223"/>
      <c r="X41" s="1487"/>
      <c r="Y41" s="1223"/>
      <c r="Z41" s="1487"/>
      <c r="AA41" s="1149"/>
      <c r="AB41" s="954"/>
      <c r="AC41" s="1219"/>
      <c r="AD41" s="1219"/>
      <c r="AE41" s="1528"/>
      <c r="AF41" s="1528"/>
      <c r="AG41" s="1217">
        <v>36</v>
      </c>
      <c r="AH41" s="1221" t="s">
        <v>1866</v>
      </c>
      <c r="AI41" s="1223"/>
      <c r="AJ41" s="1223">
        <v>8713</v>
      </c>
      <c r="AK41" s="1223"/>
      <c r="AL41" s="1487"/>
      <c r="AM41" s="1487">
        <f>2940+1241</f>
        <v>4181</v>
      </c>
      <c r="AN41" s="1487"/>
      <c r="AO41" s="1149"/>
      <c r="AP41" s="956"/>
      <c r="AQ41" s="989"/>
      <c r="AR41" s="989"/>
      <c r="AS41" s="1544"/>
      <c r="AT41" s="1585"/>
      <c r="AU41" s="1561">
        <f t="shared" si="7"/>
        <v>0</v>
      </c>
      <c r="AV41" s="1447">
        <f t="shared" si="8"/>
        <v>4181</v>
      </c>
      <c r="AW41" s="1447">
        <f t="shared" si="9"/>
        <v>0</v>
      </c>
      <c r="AX41" s="1450">
        <f t="shared" si="10"/>
        <v>4181</v>
      </c>
      <c r="AY41" s="1393">
        <f t="shared" si="4"/>
        <v>0</v>
      </c>
      <c r="AZ41" s="1247">
        <f t="shared" si="5"/>
        <v>8713</v>
      </c>
      <c r="BA41" s="1247">
        <f t="shared" si="6"/>
        <v>0</v>
      </c>
      <c r="BB41" s="1385">
        <f t="shared" si="11"/>
        <v>8713</v>
      </c>
    </row>
    <row r="42" spans="1:54" ht="15.6" x14ac:dyDescent="0.3">
      <c r="A42" s="1216"/>
      <c r="B42" s="1218"/>
      <c r="C42" s="1223"/>
      <c r="D42" s="1487"/>
      <c r="E42" s="1217"/>
      <c r="F42" s="1218"/>
      <c r="G42" s="1223"/>
      <c r="H42" s="1487"/>
      <c r="I42" s="1217"/>
      <c r="J42" s="1218"/>
      <c r="K42" s="1223"/>
      <c r="L42" s="1487"/>
      <c r="M42" s="1217"/>
      <c r="N42" s="1221"/>
      <c r="O42" s="1247"/>
      <c r="P42" s="1247"/>
      <c r="Q42" s="1247"/>
      <c r="R42" s="1424"/>
      <c r="S42" s="1424"/>
      <c r="T42" s="1424"/>
      <c r="U42" s="1223"/>
      <c r="V42" s="1487"/>
      <c r="W42" s="1223"/>
      <c r="X42" s="1487"/>
      <c r="Y42" s="1223"/>
      <c r="Z42" s="1487"/>
      <c r="AA42" s="1149"/>
      <c r="AB42" s="954"/>
      <c r="AC42" s="1219"/>
      <c r="AD42" s="1219"/>
      <c r="AE42" s="1528"/>
      <c r="AF42" s="1528"/>
      <c r="AG42" s="1217">
        <v>37</v>
      </c>
      <c r="AH42" s="1221" t="s">
        <v>1867</v>
      </c>
      <c r="AI42" s="1223">
        <v>7964</v>
      </c>
      <c r="AJ42" s="1223"/>
      <c r="AK42" s="1223"/>
      <c r="AL42" s="1487">
        <v>7964</v>
      </c>
      <c r="AM42" s="1487"/>
      <c r="AN42" s="1487"/>
      <c r="AO42" s="1149"/>
      <c r="AP42" s="956"/>
      <c r="AQ42" s="989"/>
      <c r="AR42" s="989"/>
      <c r="AS42" s="1544"/>
      <c r="AT42" s="1585"/>
      <c r="AU42" s="1561">
        <f t="shared" si="7"/>
        <v>7964</v>
      </c>
      <c r="AV42" s="1447">
        <f t="shared" si="8"/>
        <v>0</v>
      </c>
      <c r="AW42" s="1447">
        <f t="shared" si="9"/>
        <v>0</v>
      </c>
      <c r="AX42" s="1450">
        <f t="shared" si="10"/>
        <v>7964</v>
      </c>
      <c r="AY42" s="1393">
        <f t="shared" si="4"/>
        <v>7964</v>
      </c>
      <c r="AZ42" s="1247">
        <f t="shared" si="5"/>
        <v>0</v>
      </c>
      <c r="BA42" s="1247">
        <f t="shared" si="6"/>
        <v>0</v>
      </c>
      <c r="BB42" s="1385">
        <f t="shared" si="11"/>
        <v>7964</v>
      </c>
    </row>
    <row r="43" spans="1:54" ht="15.6" x14ac:dyDescent="0.3">
      <c r="A43" s="1216"/>
      <c r="B43" s="1218"/>
      <c r="C43" s="1223"/>
      <c r="D43" s="1487"/>
      <c r="E43" s="1217"/>
      <c r="F43" s="1218"/>
      <c r="G43" s="1223"/>
      <c r="H43" s="1487"/>
      <c r="I43" s="1217"/>
      <c r="J43" s="1218"/>
      <c r="K43" s="1223"/>
      <c r="L43" s="1487"/>
      <c r="M43" s="1217"/>
      <c r="N43" s="1221"/>
      <c r="O43" s="1247"/>
      <c r="P43" s="1247"/>
      <c r="Q43" s="1247"/>
      <c r="R43" s="1424"/>
      <c r="S43" s="1424"/>
      <c r="T43" s="1424"/>
      <c r="U43" s="1223"/>
      <c r="V43" s="1487"/>
      <c r="W43" s="1223"/>
      <c r="X43" s="1487"/>
      <c r="Y43" s="1223"/>
      <c r="Z43" s="1487"/>
      <c r="AA43" s="1149"/>
      <c r="AB43" s="954"/>
      <c r="AC43" s="1219"/>
      <c r="AD43" s="1219"/>
      <c r="AE43" s="1528"/>
      <c r="AF43" s="1528"/>
      <c r="AG43" s="1217">
        <v>38</v>
      </c>
      <c r="AH43" s="1221" t="s">
        <v>1852</v>
      </c>
      <c r="AI43" s="1223"/>
      <c r="AJ43" s="1223">
        <f>12200-12200</f>
        <v>0</v>
      </c>
      <c r="AK43" s="1223"/>
      <c r="AL43" s="1487"/>
      <c r="AM43" s="1487">
        <v>12000</v>
      </c>
      <c r="AN43" s="1487">
        <v>2000</v>
      </c>
      <c r="AO43" s="1149"/>
      <c r="AP43" s="956"/>
      <c r="AQ43" s="989"/>
      <c r="AR43" s="989"/>
      <c r="AS43" s="1544"/>
      <c r="AT43" s="1585"/>
      <c r="AU43" s="1561">
        <f t="shared" si="7"/>
        <v>0</v>
      </c>
      <c r="AV43" s="1447">
        <f t="shared" si="8"/>
        <v>12000</v>
      </c>
      <c r="AW43" s="1447">
        <f t="shared" si="9"/>
        <v>2000</v>
      </c>
      <c r="AX43" s="1450">
        <f t="shared" si="10"/>
        <v>14000</v>
      </c>
      <c r="AY43" s="1393">
        <f t="shared" si="4"/>
        <v>0</v>
      </c>
      <c r="AZ43" s="1247">
        <f t="shared" si="5"/>
        <v>0</v>
      </c>
      <c r="BA43" s="1247">
        <f t="shared" si="6"/>
        <v>0</v>
      </c>
      <c r="BB43" s="1385">
        <f t="shared" si="11"/>
        <v>0</v>
      </c>
    </row>
    <row r="44" spans="1:54" ht="15.6" x14ac:dyDescent="0.3">
      <c r="A44" s="1216"/>
      <c r="B44" s="1218"/>
      <c r="C44" s="1223"/>
      <c r="D44" s="1487"/>
      <c r="E44" s="1217"/>
      <c r="F44" s="1218"/>
      <c r="G44" s="1223"/>
      <c r="H44" s="1487"/>
      <c r="I44" s="1217"/>
      <c r="J44" s="1218"/>
      <c r="K44" s="1223"/>
      <c r="L44" s="1487"/>
      <c r="M44" s="1217"/>
      <c r="N44" s="1221"/>
      <c r="O44" s="1247"/>
      <c r="P44" s="1247"/>
      <c r="Q44" s="1247"/>
      <c r="R44" s="1424"/>
      <c r="S44" s="1424"/>
      <c r="T44" s="1424"/>
      <c r="U44" s="1223"/>
      <c r="V44" s="1487"/>
      <c r="W44" s="1223"/>
      <c r="X44" s="1487"/>
      <c r="Y44" s="1223"/>
      <c r="Z44" s="1487"/>
      <c r="AA44" s="1149"/>
      <c r="AB44" s="954"/>
      <c r="AC44" s="1219"/>
      <c r="AD44" s="1219"/>
      <c r="AE44" s="1528"/>
      <c r="AF44" s="1528"/>
      <c r="AG44" s="1217">
        <v>39</v>
      </c>
      <c r="AH44" s="1105" t="s">
        <v>2095</v>
      </c>
      <c r="AI44" s="1223">
        <v>22007</v>
      </c>
      <c r="AJ44" s="1223">
        <v>3123</v>
      </c>
      <c r="AK44" s="1223"/>
      <c r="AL44" s="1487">
        <v>22339</v>
      </c>
      <c r="AM44" s="1487">
        <v>3019</v>
      </c>
      <c r="AN44" s="1487"/>
      <c r="AO44" s="1149"/>
      <c r="AP44" s="956"/>
      <c r="AQ44" s="989"/>
      <c r="AR44" s="989"/>
      <c r="AS44" s="1544"/>
      <c r="AT44" s="1585"/>
      <c r="AU44" s="1561">
        <f t="shared" si="7"/>
        <v>22339</v>
      </c>
      <c r="AV44" s="1447">
        <f t="shared" si="8"/>
        <v>3019</v>
      </c>
      <c r="AW44" s="1447">
        <f t="shared" si="9"/>
        <v>0</v>
      </c>
      <c r="AX44" s="1450">
        <f t="shared" si="10"/>
        <v>25358</v>
      </c>
      <c r="AY44" s="1393">
        <f t="shared" si="4"/>
        <v>22007</v>
      </c>
      <c r="AZ44" s="1247">
        <f t="shared" si="5"/>
        <v>3123</v>
      </c>
      <c r="BA44" s="1247">
        <f t="shared" si="6"/>
        <v>0</v>
      </c>
      <c r="BB44" s="1385">
        <f t="shared" si="11"/>
        <v>25130</v>
      </c>
    </row>
    <row r="45" spans="1:54" ht="15.6" x14ac:dyDescent="0.3">
      <c r="A45" s="1216"/>
      <c r="B45" s="1218"/>
      <c r="C45" s="1223"/>
      <c r="D45" s="1487"/>
      <c r="E45" s="1217"/>
      <c r="F45" s="1218"/>
      <c r="G45" s="1223"/>
      <c r="H45" s="1487"/>
      <c r="I45" s="1217"/>
      <c r="J45" s="1218"/>
      <c r="K45" s="1223"/>
      <c r="L45" s="1487"/>
      <c r="M45" s="1217"/>
      <c r="N45" s="1221"/>
      <c r="O45" s="1247"/>
      <c r="P45" s="1247"/>
      <c r="Q45" s="1247"/>
      <c r="R45" s="1424"/>
      <c r="S45" s="1424"/>
      <c r="T45" s="1424"/>
      <c r="U45" s="1223"/>
      <c r="V45" s="1487"/>
      <c r="W45" s="1223"/>
      <c r="X45" s="1487"/>
      <c r="Y45" s="1223"/>
      <c r="Z45" s="1487"/>
      <c r="AA45" s="1149"/>
      <c r="AB45" s="954"/>
      <c r="AC45" s="1219"/>
      <c r="AD45" s="1219"/>
      <c r="AE45" s="1528"/>
      <c r="AF45" s="1528"/>
      <c r="AG45" s="1217">
        <v>40</v>
      </c>
      <c r="AH45" s="1105" t="s">
        <v>2238</v>
      </c>
      <c r="AI45" s="1223"/>
      <c r="AJ45" s="1223"/>
      <c r="AK45" s="1223"/>
      <c r="AL45" s="1487">
        <v>15280</v>
      </c>
      <c r="AM45" s="1487"/>
      <c r="AN45" s="1487"/>
      <c r="AO45" s="1149"/>
      <c r="AP45" s="956"/>
      <c r="AQ45" s="989"/>
      <c r="AR45" s="989"/>
      <c r="AS45" s="1544"/>
      <c r="AT45" s="1585"/>
      <c r="AU45" s="1561">
        <f t="shared" si="7"/>
        <v>15280</v>
      </c>
      <c r="AV45" s="1447">
        <f t="shared" si="8"/>
        <v>0</v>
      </c>
      <c r="AW45" s="1447">
        <f t="shared" si="9"/>
        <v>0</v>
      </c>
      <c r="AX45" s="1450">
        <f t="shared" si="10"/>
        <v>15280</v>
      </c>
      <c r="AY45" s="1393">
        <f t="shared" si="4"/>
        <v>0</v>
      </c>
      <c r="AZ45" s="1247">
        <f t="shared" si="5"/>
        <v>0</v>
      </c>
      <c r="BA45" s="1247">
        <f t="shared" si="6"/>
        <v>0</v>
      </c>
      <c r="BB45" s="1385">
        <f t="shared" si="11"/>
        <v>0</v>
      </c>
    </row>
    <row r="46" spans="1:54" ht="15.6" x14ac:dyDescent="0.3">
      <c r="A46" s="1216"/>
      <c r="B46" s="1218"/>
      <c r="C46" s="1223"/>
      <c r="D46" s="1487"/>
      <c r="E46" s="1217"/>
      <c r="F46" s="1218"/>
      <c r="G46" s="1223"/>
      <c r="H46" s="1487"/>
      <c r="I46" s="1217"/>
      <c r="J46" s="1218"/>
      <c r="K46" s="1223"/>
      <c r="L46" s="1487"/>
      <c r="M46" s="1217"/>
      <c r="N46" s="1221"/>
      <c r="O46" s="1247"/>
      <c r="P46" s="1247"/>
      <c r="Q46" s="1247"/>
      <c r="R46" s="1424"/>
      <c r="S46" s="1424"/>
      <c r="T46" s="1424"/>
      <c r="U46" s="1223"/>
      <c r="V46" s="1487"/>
      <c r="W46" s="1223"/>
      <c r="X46" s="1487"/>
      <c r="Y46" s="1223"/>
      <c r="Z46" s="1487"/>
      <c r="AA46" s="1149"/>
      <c r="AB46" s="954"/>
      <c r="AC46" s="1219"/>
      <c r="AD46" s="1219"/>
      <c r="AE46" s="1528"/>
      <c r="AF46" s="1528"/>
      <c r="AG46" s="1217">
        <v>41</v>
      </c>
      <c r="AH46" s="1105" t="s">
        <v>1850</v>
      </c>
      <c r="AI46" s="1223">
        <f>12500-12500</f>
        <v>0</v>
      </c>
      <c r="AJ46" s="1223"/>
      <c r="AK46" s="1223"/>
      <c r="AL46" s="1487"/>
      <c r="AM46" s="1487">
        <f>4385-1241</f>
        <v>3144</v>
      </c>
      <c r="AN46" s="1487"/>
      <c r="AO46" s="1149"/>
      <c r="AP46" s="956"/>
      <c r="AQ46" s="989"/>
      <c r="AR46" s="989"/>
      <c r="AS46" s="1544"/>
      <c r="AT46" s="1585"/>
      <c r="AU46" s="1561">
        <f t="shared" si="7"/>
        <v>0</v>
      </c>
      <c r="AV46" s="1447">
        <f t="shared" si="8"/>
        <v>3144</v>
      </c>
      <c r="AW46" s="1447">
        <f t="shared" si="9"/>
        <v>0</v>
      </c>
      <c r="AX46" s="1450">
        <f t="shared" si="10"/>
        <v>3144</v>
      </c>
      <c r="AY46" s="1393">
        <f t="shared" si="4"/>
        <v>0</v>
      </c>
      <c r="AZ46" s="1247">
        <f t="shared" si="5"/>
        <v>0</v>
      </c>
      <c r="BA46" s="1247">
        <f t="shared" si="6"/>
        <v>0</v>
      </c>
      <c r="BB46" s="1385">
        <f t="shared" si="11"/>
        <v>0</v>
      </c>
    </row>
    <row r="47" spans="1:54" ht="15.6" x14ac:dyDescent="0.3">
      <c r="A47" s="1216"/>
      <c r="B47" s="1218"/>
      <c r="C47" s="1223"/>
      <c r="D47" s="1487"/>
      <c r="E47" s="1217"/>
      <c r="F47" s="1218"/>
      <c r="G47" s="1223"/>
      <c r="H47" s="1487"/>
      <c r="I47" s="1217"/>
      <c r="J47" s="1218"/>
      <c r="K47" s="1223"/>
      <c r="L47" s="1487"/>
      <c r="M47" s="1217"/>
      <c r="N47" s="1221"/>
      <c r="O47" s="1247"/>
      <c r="P47" s="1247"/>
      <c r="Q47" s="1247"/>
      <c r="R47" s="1424"/>
      <c r="S47" s="1424"/>
      <c r="T47" s="1424"/>
      <c r="U47" s="1223"/>
      <c r="V47" s="1487"/>
      <c r="W47" s="1223"/>
      <c r="X47" s="1487"/>
      <c r="Y47" s="1223"/>
      <c r="Z47" s="1487"/>
      <c r="AA47" s="1149"/>
      <c r="AB47" s="954"/>
      <c r="AC47" s="1219"/>
      <c r="AD47" s="1219"/>
      <c r="AE47" s="1528"/>
      <c r="AF47" s="1528"/>
      <c r="AG47" s="1217">
        <v>42</v>
      </c>
      <c r="AH47" s="1221" t="s">
        <v>1868</v>
      </c>
      <c r="AI47" s="1223">
        <v>12000</v>
      </c>
      <c r="AJ47" s="1223"/>
      <c r="AK47" s="1223"/>
      <c r="AL47" s="1487"/>
      <c r="AM47" s="1487"/>
      <c r="AN47" s="1487"/>
      <c r="AO47" s="1149"/>
      <c r="AP47" s="956"/>
      <c r="AQ47" s="989"/>
      <c r="AR47" s="989"/>
      <c r="AS47" s="1544"/>
      <c r="AT47" s="1585"/>
      <c r="AU47" s="1561">
        <f t="shared" si="7"/>
        <v>0</v>
      </c>
      <c r="AV47" s="1447">
        <f t="shared" si="8"/>
        <v>0</v>
      </c>
      <c r="AW47" s="1447">
        <f t="shared" si="9"/>
        <v>0</v>
      </c>
      <c r="AX47" s="1450">
        <f t="shared" si="10"/>
        <v>0</v>
      </c>
      <c r="AY47" s="1393">
        <f t="shared" si="4"/>
        <v>12000</v>
      </c>
      <c r="AZ47" s="1247">
        <f t="shared" si="5"/>
        <v>0</v>
      </c>
      <c r="BA47" s="1247">
        <f t="shared" si="6"/>
        <v>0</v>
      </c>
      <c r="BB47" s="1385">
        <f t="shared" si="11"/>
        <v>12000</v>
      </c>
    </row>
    <row r="48" spans="1:54" ht="15.6" x14ac:dyDescent="0.3">
      <c r="A48" s="1216"/>
      <c r="B48" s="1218"/>
      <c r="C48" s="1223"/>
      <c r="D48" s="1487"/>
      <c r="E48" s="1217"/>
      <c r="F48" s="1218"/>
      <c r="G48" s="1223"/>
      <c r="H48" s="1487"/>
      <c r="I48" s="1217"/>
      <c r="J48" s="1218"/>
      <c r="K48" s="1223"/>
      <c r="L48" s="1487"/>
      <c r="M48" s="1217"/>
      <c r="N48" s="1221"/>
      <c r="O48" s="1247"/>
      <c r="P48" s="1247"/>
      <c r="Q48" s="1247"/>
      <c r="R48" s="1424"/>
      <c r="S48" s="1424"/>
      <c r="T48" s="1424"/>
      <c r="U48" s="1223"/>
      <c r="V48" s="1487"/>
      <c r="W48" s="1223"/>
      <c r="X48" s="1487"/>
      <c r="Y48" s="1223"/>
      <c r="Z48" s="1487"/>
      <c r="AA48" s="1149"/>
      <c r="AB48" s="954"/>
      <c r="AC48" s="1219"/>
      <c r="AD48" s="1219"/>
      <c r="AE48" s="1528"/>
      <c r="AF48" s="1528"/>
      <c r="AG48" s="1217">
        <v>43</v>
      </c>
      <c r="AH48" s="1221" t="s">
        <v>1851</v>
      </c>
      <c r="AI48" s="1223">
        <v>5000</v>
      </c>
      <c r="AJ48" s="1223"/>
      <c r="AK48" s="1223"/>
      <c r="AL48" s="1487">
        <v>4906</v>
      </c>
      <c r="AM48" s="1487"/>
      <c r="AN48" s="1487"/>
      <c r="AO48" s="1149"/>
      <c r="AP48" s="956"/>
      <c r="AQ48" s="989"/>
      <c r="AR48" s="989"/>
      <c r="AS48" s="1544"/>
      <c r="AT48" s="1585"/>
      <c r="AU48" s="1561">
        <f t="shared" si="7"/>
        <v>4906</v>
      </c>
      <c r="AV48" s="1447">
        <f t="shared" si="8"/>
        <v>0</v>
      </c>
      <c r="AW48" s="1447">
        <f t="shared" si="9"/>
        <v>0</v>
      </c>
      <c r="AX48" s="1450">
        <f t="shared" si="10"/>
        <v>4906</v>
      </c>
      <c r="AY48" s="1393">
        <f t="shared" si="4"/>
        <v>5000</v>
      </c>
      <c r="AZ48" s="1247">
        <f t="shared" si="5"/>
        <v>0</v>
      </c>
      <c r="BA48" s="1247">
        <f t="shared" si="6"/>
        <v>0</v>
      </c>
      <c r="BB48" s="1385">
        <f t="shared" si="11"/>
        <v>5000</v>
      </c>
    </row>
    <row r="49" spans="1:54" ht="15.6" x14ac:dyDescent="0.3">
      <c r="A49" s="1216"/>
      <c r="B49" s="1218"/>
      <c r="C49" s="1223"/>
      <c r="D49" s="1487"/>
      <c r="E49" s="1217"/>
      <c r="F49" s="1218"/>
      <c r="G49" s="1223"/>
      <c r="H49" s="1487"/>
      <c r="I49" s="1217"/>
      <c r="J49" s="1218"/>
      <c r="K49" s="1223"/>
      <c r="L49" s="1487"/>
      <c r="M49" s="1217"/>
      <c r="N49" s="1221"/>
      <c r="O49" s="1247"/>
      <c r="P49" s="1247"/>
      <c r="Q49" s="1247"/>
      <c r="R49" s="1424"/>
      <c r="S49" s="1424"/>
      <c r="T49" s="1424"/>
      <c r="U49" s="1223"/>
      <c r="V49" s="1487"/>
      <c r="W49" s="1223"/>
      <c r="X49" s="1487"/>
      <c r="Y49" s="1223"/>
      <c r="Z49" s="1487"/>
      <c r="AA49" s="1149"/>
      <c r="AB49" s="954"/>
      <c r="AC49" s="1219"/>
      <c r="AD49" s="1219"/>
      <c r="AE49" s="1528"/>
      <c r="AF49" s="1528"/>
      <c r="AG49" s="1217">
        <v>44</v>
      </c>
      <c r="AH49" s="1221" t="s">
        <v>1858</v>
      </c>
      <c r="AI49" s="1223">
        <v>2650</v>
      </c>
      <c r="AJ49" s="1223"/>
      <c r="AK49" s="1223">
        <v>500</v>
      </c>
      <c r="AL49" s="1487">
        <v>2150</v>
      </c>
      <c r="AM49" s="1487"/>
      <c r="AN49" s="1487">
        <v>500</v>
      </c>
      <c r="AO49" s="1149"/>
      <c r="AP49" s="956"/>
      <c r="AQ49" s="989"/>
      <c r="AR49" s="989"/>
      <c r="AS49" s="1544"/>
      <c r="AT49" s="1585"/>
      <c r="AU49" s="1561">
        <f t="shared" si="7"/>
        <v>2150</v>
      </c>
      <c r="AV49" s="1447">
        <f t="shared" si="8"/>
        <v>0</v>
      </c>
      <c r="AW49" s="1447">
        <f t="shared" si="9"/>
        <v>500</v>
      </c>
      <c r="AX49" s="1450">
        <f t="shared" si="10"/>
        <v>2650</v>
      </c>
      <c r="AY49" s="1393">
        <f t="shared" si="4"/>
        <v>2650</v>
      </c>
      <c r="AZ49" s="1247">
        <f t="shared" si="5"/>
        <v>0</v>
      </c>
      <c r="BA49" s="1247">
        <f t="shared" si="6"/>
        <v>500</v>
      </c>
      <c r="BB49" s="1385">
        <f t="shared" si="11"/>
        <v>3150</v>
      </c>
    </row>
    <row r="50" spans="1:54" ht="15.6" x14ac:dyDescent="0.3">
      <c r="A50" s="1216"/>
      <c r="B50" s="1218"/>
      <c r="C50" s="1223"/>
      <c r="D50" s="1487"/>
      <c r="E50" s="1217"/>
      <c r="F50" s="1218"/>
      <c r="G50" s="1223"/>
      <c r="H50" s="1487"/>
      <c r="I50" s="1217"/>
      <c r="J50" s="1218"/>
      <c r="K50" s="1223"/>
      <c r="L50" s="1487"/>
      <c r="M50" s="1217"/>
      <c r="N50" s="1221"/>
      <c r="O50" s="1247"/>
      <c r="P50" s="1247"/>
      <c r="Q50" s="1247"/>
      <c r="R50" s="1424"/>
      <c r="S50" s="1424"/>
      <c r="T50" s="1424"/>
      <c r="U50" s="1223"/>
      <c r="V50" s="1487"/>
      <c r="W50" s="1223"/>
      <c r="X50" s="1487"/>
      <c r="Y50" s="1223"/>
      <c r="Z50" s="1487"/>
      <c r="AA50" s="1149"/>
      <c r="AB50" s="954"/>
      <c r="AC50" s="1219"/>
      <c r="AD50" s="1219"/>
      <c r="AE50" s="1528"/>
      <c r="AF50" s="1528"/>
      <c r="AG50" s="1217">
        <v>45</v>
      </c>
      <c r="AH50" s="1221" t="s">
        <v>1869</v>
      </c>
      <c r="AI50" s="1223"/>
      <c r="AJ50" s="1223"/>
      <c r="AK50" s="1223"/>
      <c r="AL50" s="1487"/>
      <c r="AM50" s="1487"/>
      <c r="AN50" s="1487"/>
      <c r="AO50" s="1149"/>
      <c r="AP50" s="956"/>
      <c r="AQ50" s="989"/>
      <c r="AR50" s="989"/>
      <c r="AS50" s="1544"/>
      <c r="AT50" s="1585"/>
      <c r="AU50" s="1561">
        <f t="shared" si="7"/>
        <v>0</v>
      </c>
      <c r="AV50" s="1447">
        <f t="shared" si="8"/>
        <v>0</v>
      </c>
      <c r="AW50" s="1447">
        <f t="shared" si="9"/>
        <v>0</v>
      </c>
      <c r="AX50" s="1450">
        <f t="shared" si="10"/>
        <v>0</v>
      </c>
      <c r="AY50" s="1393">
        <f t="shared" si="4"/>
        <v>0</v>
      </c>
      <c r="AZ50" s="1247">
        <f t="shared" si="5"/>
        <v>0</v>
      </c>
      <c r="BA50" s="1247">
        <f t="shared" si="6"/>
        <v>0</v>
      </c>
      <c r="BB50" s="1385">
        <f t="shared" si="11"/>
        <v>0</v>
      </c>
    </row>
    <row r="51" spans="1:54" ht="15.6" x14ac:dyDescent="0.3">
      <c r="A51" s="1216"/>
      <c r="B51" s="1218"/>
      <c r="C51" s="1223"/>
      <c r="D51" s="1487"/>
      <c r="E51" s="1217"/>
      <c r="F51" s="1218"/>
      <c r="G51" s="1223"/>
      <c r="H51" s="1487"/>
      <c r="I51" s="1217"/>
      <c r="J51" s="1218"/>
      <c r="K51" s="1223"/>
      <c r="L51" s="1487"/>
      <c r="M51" s="1217"/>
      <c r="N51" s="1221"/>
      <c r="O51" s="1247"/>
      <c r="P51" s="1247"/>
      <c r="Q51" s="1247"/>
      <c r="R51" s="1424"/>
      <c r="S51" s="1424"/>
      <c r="T51" s="1424"/>
      <c r="U51" s="1223"/>
      <c r="V51" s="1487"/>
      <c r="W51" s="1223"/>
      <c r="X51" s="1487"/>
      <c r="Y51" s="1223"/>
      <c r="Z51" s="1487"/>
      <c r="AA51" s="1149"/>
      <c r="AB51" s="954"/>
      <c r="AC51" s="1219"/>
      <c r="AD51" s="1219"/>
      <c r="AE51" s="1528"/>
      <c r="AF51" s="1528"/>
      <c r="AG51" s="1217">
        <v>46</v>
      </c>
      <c r="AH51" s="1221" t="s">
        <v>1870</v>
      </c>
      <c r="AI51" s="1223">
        <v>1000</v>
      </c>
      <c r="AJ51" s="1223"/>
      <c r="AK51" s="1223"/>
      <c r="AL51" s="1487">
        <v>1000</v>
      </c>
      <c r="AM51" s="1487"/>
      <c r="AN51" s="1487"/>
      <c r="AO51" s="1149"/>
      <c r="AP51" s="956"/>
      <c r="AQ51" s="989"/>
      <c r="AR51" s="989"/>
      <c r="AS51" s="1544"/>
      <c r="AT51" s="1585"/>
      <c r="AU51" s="1561">
        <f t="shared" si="7"/>
        <v>1000</v>
      </c>
      <c r="AV51" s="1447">
        <f t="shared" si="8"/>
        <v>0</v>
      </c>
      <c r="AW51" s="1447">
        <f t="shared" si="9"/>
        <v>0</v>
      </c>
      <c r="AX51" s="1450">
        <f t="shared" si="10"/>
        <v>1000</v>
      </c>
      <c r="AY51" s="1393">
        <f t="shared" si="4"/>
        <v>1000</v>
      </c>
      <c r="AZ51" s="1247">
        <f t="shared" si="5"/>
        <v>0</v>
      </c>
      <c r="BA51" s="1247">
        <f t="shared" si="6"/>
        <v>0</v>
      </c>
      <c r="BB51" s="1385">
        <f t="shared" si="11"/>
        <v>1000</v>
      </c>
    </row>
    <row r="52" spans="1:54" ht="15.6" x14ac:dyDescent="0.3">
      <c r="A52" s="1216"/>
      <c r="B52" s="1218"/>
      <c r="C52" s="1223"/>
      <c r="D52" s="1487"/>
      <c r="E52" s="1217"/>
      <c r="F52" s="1218"/>
      <c r="G52" s="1223"/>
      <c r="H52" s="1487"/>
      <c r="I52" s="1217"/>
      <c r="J52" s="1218"/>
      <c r="K52" s="1223"/>
      <c r="L52" s="1487"/>
      <c r="M52" s="1217"/>
      <c r="N52" s="1221"/>
      <c r="O52" s="1247"/>
      <c r="P52" s="1247"/>
      <c r="Q52" s="1247"/>
      <c r="R52" s="1424"/>
      <c r="S52" s="1424"/>
      <c r="T52" s="1424"/>
      <c r="U52" s="1223"/>
      <c r="V52" s="1487"/>
      <c r="W52" s="1223"/>
      <c r="X52" s="1487"/>
      <c r="Y52" s="1223"/>
      <c r="Z52" s="1487"/>
      <c r="AA52" s="1149"/>
      <c r="AB52" s="954"/>
      <c r="AC52" s="1219"/>
      <c r="AD52" s="1219"/>
      <c r="AE52" s="1528"/>
      <c r="AF52" s="1528"/>
      <c r="AG52" s="1217">
        <v>47</v>
      </c>
      <c r="AH52" s="1221" t="s">
        <v>1871</v>
      </c>
      <c r="AI52" s="1223"/>
      <c r="AJ52" s="1223">
        <v>500</v>
      </c>
      <c r="AK52" s="1223"/>
      <c r="AL52" s="1487"/>
      <c r="AM52" s="1487">
        <v>500</v>
      </c>
      <c r="AN52" s="1487"/>
      <c r="AO52" s="1149"/>
      <c r="AP52" s="956"/>
      <c r="AQ52" s="989"/>
      <c r="AR52" s="989"/>
      <c r="AS52" s="1544"/>
      <c r="AT52" s="1585"/>
      <c r="AU52" s="1561">
        <f t="shared" si="7"/>
        <v>0</v>
      </c>
      <c r="AV52" s="1447">
        <f t="shared" si="8"/>
        <v>500</v>
      </c>
      <c r="AW52" s="1447">
        <f t="shared" si="9"/>
        <v>0</v>
      </c>
      <c r="AX52" s="1450">
        <f t="shared" si="10"/>
        <v>500</v>
      </c>
      <c r="AY52" s="1393">
        <f t="shared" si="4"/>
        <v>0</v>
      </c>
      <c r="AZ52" s="1247">
        <f t="shared" si="5"/>
        <v>500</v>
      </c>
      <c r="BA52" s="1247">
        <f t="shared" si="6"/>
        <v>0</v>
      </c>
      <c r="BB52" s="1385">
        <f t="shared" si="11"/>
        <v>500</v>
      </c>
    </row>
    <row r="53" spans="1:54" ht="15.6" x14ac:dyDescent="0.3">
      <c r="A53" s="1216"/>
      <c r="B53" s="1218"/>
      <c r="C53" s="1223"/>
      <c r="D53" s="1487"/>
      <c r="E53" s="1217"/>
      <c r="F53" s="1218"/>
      <c r="G53" s="1223"/>
      <c r="H53" s="1487"/>
      <c r="I53" s="1217"/>
      <c r="J53" s="1218"/>
      <c r="K53" s="1223"/>
      <c r="L53" s="1487"/>
      <c r="M53" s="1217"/>
      <c r="N53" s="1221"/>
      <c r="O53" s="1247"/>
      <c r="P53" s="1247"/>
      <c r="Q53" s="1247"/>
      <c r="R53" s="1424"/>
      <c r="S53" s="1424"/>
      <c r="T53" s="1424"/>
      <c r="U53" s="1223"/>
      <c r="V53" s="1487"/>
      <c r="W53" s="1223"/>
      <c r="X53" s="1487"/>
      <c r="Y53" s="1223"/>
      <c r="Z53" s="1487"/>
      <c r="AA53" s="1149"/>
      <c r="AB53" s="954"/>
      <c r="AC53" s="1219"/>
      <c r="AD53" s="1219"/>
      <c r="AE53" s="1528"/>
      <c r="AF53" s="1528"/>
      <c r="AG53" s="1217">
        <v>48</v>
      </c>
      <c r="AH53" s="1221" t="s">
        <v>1872</v>
      </c>
      <c r="AI53" s="1223"/>
      <c r="AJ53" s="1223">
        <v>4000</v>
      </c>
      <c r="AK53" s="1223"/>
      <c r="AL53" s="1487"/>
      <c r="AM53" s="1487">
        <v>2200</v>
      </c>
      <c r="AN53" s="1487"/>
      <c r="AO53" s="1149"/>
      <c r="AP53" s="956"/>
      <c r="AQ53" s="989"/>
      <c r="AR53" s="989"/>
      <c r="AS53" s="1544"/>
      <c r="AT53" s="1585"/>
      <c r="AU53" s="1561">
        <f t="shared" si="7"/>
        <v>0</v>
      </c>
      <c r="AV53" s="1447">
        <f t="shared" si="8"/>
        <v>2200</v>
      </c>
      <c r="AW53" s="1447">
        <f t="shared" si="9"/>
        <v>0</v>
      </c>
      <c r="AX53" s="1450">
        <f t="shared" si="10"/>
        <v>2200</v>
      </c>
      <c r="AY53" s="1393">
        <f t="shared" si="4"/>
        <v>0</v>
      </c>
      <c r="AZ53" s="1247">
        <f t="shared" si="5"/>
        <v>4000</v>
      </c>
      <c r="BA53" s="1247">
        <f t="shared" si="6"/>
        <v>0</v>
      </c>
      <c r="BB53" s="1385">
        <f t="shared" si="11"/>
        <v>4000</v>
      </c>
    </row>
    <row r="54" spans="1:54" ht="15.6" x14ac:dyDescent="0.3">
      <c r="A54" s="1216"/>
      <c r="B54" s="1218"/>
      <c r="C54" s="1223"/>
      <c r="D54" s="1487"/>
      <c r="E54" s="1217"/>
      <c r="F54" s="1218"/>
      <c r="G54" s="1223"/>
      <c r="H54" s="1487"/>
      <c r="I54" s="1217"/>
      <c r="J54" s="1218"/>
      <c r="K54" s="1223"/>
      <c r="L54" s="1487"/>
      <c r="M54" s="1217"/>
      <c r="N54" s="1221"/>
      <c r="O54" s="1247"/>
      <c r="P54" s="1247"/>
      <c r="Q54" s="1247"/>
      <c r="R54" s="1424"/>
      <c r="S54" s="1424"/>
      <c r="T54" s="1424"/>
      <c r="U54" s="1223"/>
      <c r="V54" s="1487"/>
      <c r="W54" s="1223"/>
      <c r="X54" s="1487"/>
      <c r="Y54" s="1223"/>
      <c r="Z54" s="1487"/>
      <c r="AA54" s="1149"/>
      <c r="AB54" s="954"/>
      <c r="AC54" s="1219"/>
      <c r="AD54" s="1219"/>
      <c r="AE54" s="1528"/>
      <c r="AF54" s="1528"/>
      <c r="AG54" s="1217">
        <v>49</v>
      </c>
      <c r="AH54" s="1221" t="s">
        <v>1873</v>
      </c>
      <c r="AI54" s="1223"/>
      <c r="AJ54" s="1223">
        <v>800</v>
      </c>
      <c r="AK54" s="1223"/>
      <c r="AL54" s="1487"/>
      <c r="AM54" s="1487">
        <v>800</v>
      </c>
      <c r="AN54" s="1487"/>
      <c r="AO54" s="1149"/>
      <c r="AP54" s="956"/>
      <c r="AQ54" s="989"/>
      <c r="AR54" s="989"/>
      <c r="AS54" s="1544"/>
      <c r="AT54" s="1585"/>
      <c r="AU54" s="1561">
        <f t="shared" si="7"/>
        <v>0</v>
      </c>
      <c r="AV54" s="1447">
        <f t="shared" si="8"/>
        <v>800</v>
      </c>
      <c r="AW54" s="1447">
        <f t="shared" si="9"/>
        <v>0</v>
      </c>
      <c r="AX54" s="1450">
        <f t="shared" si="10"/>
        <v>800</v>
      </c>
      <c r="AY54" s="1393">
        <f t="shared" si="4"/>
        <v>0</v>
      </c>
      <c r="AZ54" s="1247">
        <f t="shared" si="5"/>
        <v>800</v>
      </c>
      <c r="BA54" s="1247">
        <f t="shared" si="6"/>
        <v>0</v>
      </c>
      <c r="BB54" s="1385">
        <f t="shared" si="11"/>
        <v>800</v>
      </c>
    </row>
    <row r="55" spans="1:54" ht="15.6" x14ac:dyDescent="0.3">
      <c r="A55" s="1216"/>
      <c r="B55" s="1218"/>
      <c r="C55" s="1223"/>
      <c r="D55" s="1487"/>
      <c r="E55" s="1217"/>
      <c r="F55" s="1218"/>
      <c r="G55" s="1223"/>
      <c r="H55" s="1487"/>
      <c r="I55" s="1217"/>
      <c r="J55" s="1218"/>
      <c r="K55" s="1223"/>
      <c r="L55" s="1487"/>
      <c r="M55" s="1217"/>
      <c r="N55" s="1221"/>
      <c r="O55" s="1247"/>
      <c r="P55" s="1247"/>
      <c r="Q55" s="1247"/>
      <c r="R55" s="1424"/>
      <c r="S55" s="1424"/>
      <c r="T55" s="1424"/>
      <c r="U55" s="1223"/>
      <c r="V55" s="1487"/>
      <c r="W55" s="1223"/>
      <c r="X55" s="1487"/>
      <c r="Y55" s="1223"/>
      <c r="Z55" s="1487"/>
      <c r="AA55" s="1149"/>
      <c r="AB55" s="954"/>
      <c r="AC55" s="1219"/>
      <c r="AD55" s="1219"/>
      <c r="AE55" s="1528"/>
      <c r="AF55" s="1528"/>
      <c r="AG55" s="1217">
        <v>50</v>
      </c>
      <c r="AH55" s="1221" t="s">
        <v>1874</v>
      </c>
      <c r="AI55" s="1223"/>
      <c r="AJ55" s="1223">
        <v>500</v>
      </c>
      <c r="AK55" s="1223"/>
      <c r="AL55" s="1487"/>
      <c r="AM55" s="1487">
        <f>500-500</f>
        <v>0</v>
      </c>
      <c r="AN55" s="1487"/>
      <c r="AO55" s="1149"/>
      <c r="AP55" s="956"/>
      <c r="AQ55" s="989"/>
      <c r="AR55" s="989"/>
      <c r="AS55" s="1544"/>
      <c r="AT55" s="1585"/>
      <c r="AU55" s="1561">
        <f t="shared" si="7"/>
        <v>0</v>
      </c>
      <c r="AV55" s="1447">
        <f t="shared" si="8"/>
        <v>0</v>
      </c>
      <c r="AW55" s="1447">
        <f t="shared" si="9"/>
        <v>0</v>
      </c>
      <c r="AX55" s="1450">
        <f t="shared" si="10"/>
        <v>0</v>
      </c>
      <c r="AY55" s="1393">
        <f t="shared" si="4"/>
        <v>0</v>
      </c>
      <c r="AZ55" s="1247">
        <f t="shared" si="5"/>
        <v>500</v>
      </c>
      <c r="BA55" s="1247">
        <f t="shared" si="6"/>
        <v>0</v>
      </c>
      <c r="BB55" s="1385">
        <f t="shared" si="11"/>
        <v>500</v>
      </c>
    </row>
    <row r="56" spans="1:54" ht="15.6" x14ac:dyDescent="0.3">
      <c r="A56" s="1216"/>
      <c r="B56" s="1218"/>
      <c r="C56" s="1223"/>
      <c r="D56" s="1487"/>
      <c r="E56" s="1217"/>
      <c r="F56" s="1218"/>
      <c r="G56" s="1223"/>
      <c r="H56" s="1487"/>
      <c r="I56" s="1217"/>
      <c r="J56" s="1218"/>
      <c r="K56" s="1223"/>
      <c r="L56" s="1487"/>
      <c r="M56" s="1217"/>
      <c r="N56" s="1221"/>
      <c r="O56" s="1247"/>
      <c r="P56" s="1247"/>
      <c r="Q56" s="1247"/>
      <c r="R56" s="1424"/>
      <c r="S56" s="1424"/>
      <c r="T56" s="1424"/>
      <c r="U56" s="1223"/>
      <c r="V56" s="1487"/>
      <c r="W56" s="1223"/>
      <c r="X56" s="1487"/>
      <c r="Y56" s="1223"/>
      <c r="Z56" s="1487"/>
      <c r="AA56" s="1149"/>
      <c r="AB56" s="954"/>
      <c r="AC56" s="1219"/>
      <c r="AD56" s="1219"/>
      <c r="AE56" s="1528"/>
      <c r="AF56" s="1528"/>
      <c r="AG56" s="1217">
        <v>51</v>
      </c>
      <c r="AH56" s="1221" t="s">
        <v>1875</v>
      </c>
      <c r="AI56" s="1223"/>
      <c r="AJ56" s="1223">
        <v>3000</v>
      </c>
      <c r="AK56" s="1223"/>
      <c r="AL56" s="1487"/>
      <c r="AM56" s="1487"/>
      <c r="AN56" s="1487"/>
      <c r="AO56" s="1149"/>
      <c r="AP56" s="956"/>
      <c r="AQ56" s="989"/>
      <c r="AR56" s="989"/>
      <c r="AS56" s="1544"/>
      <c r="AT56" s="1585"/>
      <c r="AU56" s="1561">
        <f t="shared" si="7"/>
        <v>0</v>
      </c>
      <c r="AV56" s="1447">
        <f t="shared" si="8"/>
        <v>0</v>
      </c>
      <c r="AW56" s="1447">
        <f t="shared" si="9"/>
        <v>0</v>
      </c>
      <c r="AX56" s="1450">
        <f t="shared" si="10"/>
        <v>0</v>
      </c>
      <c r="AY56" s="1393">
        <f t="shared" si="4"/>
        <v>0</v>
      </c>
      <c r="AZ56" s="1247">
        <f t="shared" si="5"/>
        <v>3000</v>
      </c>
      <c r="BA56" s="1247">
        <f t="shared" si="6"/>
        <v>0</v>
      </c>
      <c r="BB56" s="1385">
        <f t="shared" si="11"/>
        <v>3000</v>
      </c>
    </row>
    <row r="57" spans="1:54" ht="15.6" x14ac:dyDescent="0.3">
      <c r="A57" s="1216"/>
      <c r="B57" s="1218"/>
      <c r="C57" s="1223"/>
      <c r="D57" s="1487"/>
      <c r="E57" s="1217"/>
      <c r="F57" s="1218"/>
      <c r="G57" s="1223"/>
      <c r="H57" s="1487"/>
      <c r="I57" s="1217"/>
      <c r="J57" s="1218"/>
      <c r="K57" s="1223"/>
      <c r="L57" s="1487"/>
      <c r="M57" s="1217"/>
      <c r="N57" s="1221"/>
      <c r="O57" s="1247"/>
      <c r="P57" s="1247"/>
      <c r="Q57" s="1247"/>
      <c r="R57" s="1424"/>
      <c r="S57" s="1424"/>
      <c r="T57" s="1424"/>
      <c r="U57" s="1223"/>
      <c r="V57" s="1487"/>
      <c r="W57" s="1223"/>
      <c r="X57" s="1487"/>
      <c r="Y57" s="1223"/>
      <c r="Z57" s="1487"/>
      <c r="AA57" s="1149"/>
      <c r="AB57" s="954"/>
      <c r="AC57" s="1219"/>
      <c r="AD57" s="1219"/>
      <c r="AE57" s="1528"/>
      <c r="AF57" s="1528"/>
      <c r="AG57" s="1217">
        <v>52</v>
      </c>
      <c r="AH57" s="1221" t="s">
        <v>1876</v>
      </c>
      <c r="AI57" s="1223"/>
      <c r="AJ57" s="1223">
        <v>2500</v>
      </c>
      <c r="AK57" s="1223"/>
      <c r="AL57" s="1487"/>
      <c r="AM57" s="1487">
        <f>2500-2500</f>
        <v>0</v>
      </c>
      <c r="AN57" s="1487"/>
      <c r="AO57" s="1149"/>
      <c r="AP57" s="956"/>
      <c r="AQ57" s="989"/>
      <c r="AR57" s="989"/>
      <c r="AS57" s="1544"/>
      <c r="AT57" s="1585"/>
      <c r="AU57" s="1561">
        <f t="shared" si="7"/>
        <v>0</v>
      </c>
      <c r="AV57" s="1447">
        <f t="shared" si="8"/>
        <v>0</v>
      </c>
      <c r="AW57" s="1447">
        <f t="shared" si="9"/>
        <v>0</v>
      </c>
      <c r="AX57" s="1450">
        <f t="shared" si="10"/>
        <v>0</v>
      </c>
      <c r="AY57" s="1393">
        <f t="shared" si="4"/>
        <v>0</v>
      </c>
      <c r="AZ57" s="1247">
        <f t="shared" si="5"/>
        <v>2500</v>
      </c>
      <c r="BA57" s="1247">
        <f t="shared" si="6"/>
        <v>0</v>
      </c>
      <c r="BB57" s="1385">
        <f t="shared" si="11"/>
        <v>2500</v>
      </c>
    </row>
    <row r="58" spans="1:54" ht="16.2" thickBot="1" x14ac:dyDescent="0.35">
      <c r="A58" s="1225">
        <v>9</v>
      </c>
      <c r="B58" s="1226"/>
      <c r="C58" s="1230"/>
      <c r="D58" s="1488"/>
      <c r="E58" s="1227">
        <v>9</v>
      </c>
      <c r="F58" s="1226"/>
      <c r="G58" s="1230"/>
      <c r="H58" s="1488"/>
      <c r="I58" s="1227">
        <v>9</v>
      </c>
      <c r="J58" s="1226"/>
      <c r="K58" s="1230"/>
      <c r="L58" s="1488"/>
      <c r="M58" s="1227"/>
      <c r="N58" s="1228"/>
      <c r="O58" s="1254"/>
      <c r="P58" s="1254"/>
      <c r="Q58" s="1254"/>
      <c r="R58" s="1425"/>
      <c r="S58" s="1425"/>
      <c r="T58" s="1425"/>
      <c r="U58" s="1230"/>
      <c r="V58" s="1488"/>
      <c r="W58" s="1230"/>
      <c r="X58" s="1488"/>
      <c r="Y58" s="1230"/>
      <c r="Z58" s="1488"/>
      <c r="AA58" s="1040"/>
      <c r="AB58" s="959"/>
      <c r="AC58" s="1229"/>
      <c r="AD58" s="1229"/>
      <c r="AE58" s="1529"/>
      <c r="AF58" s="1529"/>
      <c r="AG58" s="1227">
        <v>53</v>
      </c>
      <c r="AH58" s="1228" t="s">
        <v>1877</v>
      </c>
      <c r="AI58" s="1230">
        <v>2400</v>
      </c>
      <c r="AJ58" s="1230">
        <v>1620</v>
      </c>
      <c r="AK58" s="1230"/>
      <c r="AL58" s="1488">
        <v>3120</v>
      </c>
      <c r="AM58" s="1488">
        <v>720</v>
      </c>
      <c r="AN58" s="1488"/>
      <c r="AO58" s="1040"/>
      <c r="AP58" s="961"/>
      <c r="AQ58" s="1000"/>
      <c r="AR58" s="1000"/>
      <c r="AS58" s="1545"/>
      <c r="AT58" s="1586"/>
      <c r="AU58" s="1561">
        <f t="shared" si="7"/>
        <v>3120</v>
      </c>
      <c r="AV58" s="1447">
        <f t="shared" si="8"/>
        <v>720</v>
      </c>
      <c r="AW58" s="1447">
        <f t="shared" si="9"/>
        <v>0</v>
      </c>
      <c r="AX58" s="1462">
        <f t="shared" si="10"/>
        <v>3840</v>
      </c>
      <c r="AY58" s="1393">
        <f t="shared" si="4"/>
        <v>2400</v>
      </c>
      <c r="AZ58" s="1247">
        <f t="shared" si="5"/>
        <v>1620</v>
      </c>
      <c r="BA58" s="1247">
        <f t="shared" si="6"/>
        <v>0</v>
      </c>
      <c r="BB58" s="1385">
        <f t="shared" si="11"/>
        <v>4020</v>
      </c>
    </row>
    <row r="59" spans="1:54" s="1371" customFormat="1" ht="15" customHeight="1" thickBot="1" x14ac:dyDescent="0.35">
      <c r="A59" s="1369"/>
      <c r="B59" s="1233" t="s">
        <v>1309</v>
      </c>
      <c r="C59" s="1372">
        <f>SUM(C5:C58)</f>
        <v>5400</v>
      </c>
      <c r="D59" s="1489">
        <f>SUM(D5:D58)</f>
        <v>900</v>
      </c>
      <c r="E59" s="1233"/>
      <c r="F59" s="1233" t="s">
        <v>1309</v>
      </c>
      <c r="G59" s="1235">
        <f t="shared" ref="G59" si="12">SUM(G5:G58)</f>
        <v>1200</v>
      </c>
      <c r="H59" s="1489">
        <f>SUM(H5:H58)</f>
        <v>1200</v>
      </c>
      <c r="I59" s="1233"/>
      <c r="J59" s="1233" t="s">
        <v>1309</v>
      </c>
      <c r="K59" s="1235">
        <f t="shared" ref="K59" si="13">SUM(K5:K58)</f>
        <v>0</v>
      </c>
      <c r="L59" s="1489">
        <f>SUM(L5:L58)</f>
        <v>0</v>
      </c>
      <c r="M59" s="1233"/>
      <c r="N59" s="1233" t="s">
        <v>1309</v>
      </c>
      <c r="O59" s="1234">
        <f t="shared" ref="O59:Y59" si="14">SUM(O5:O58)</f>
        <v>0</v>
      </c>
      <c r="P59" s="1234">
        <f t="shared" si="14"/>
        <v>7100</v>
      </c>
      <c r="Q59" s="1234">
        <f t="shared" si="14"/>
        <v>0</v>
      </c>
      <c r="R59" s="1489">
        <f t="shared" si="14"/>
        <v>0</v>
      </c>
      <c r="S59" s="1489">
        <f t="shared" si="14"/>
        <v>7100</v>
      </c>
      <c r="T59" s="1489">
        <f t="shared" si="14"/>
        <v>0</v>
      </c>
      <c r="U59" s="1235">
        <f t="shared" si="14"/>
        <v>0</v>
      </c>
      <c r="V59" s="1489">
        <f>SUM(V5:V58)</f>
        <v>0</v>
      </c>
      <c r="W59" s="1235">
        <f t="shared" si="14"/>
        <v>0</v>
      </c>
      <c r="X59" s="1489">
        <f>SUM(X5:X58)</f>
        <v>0</v>
      </c>
      <c r="Y59" s="1235">
        <f t="shared" si="14"/>
        <v>8064</v>
      </c>
      <c r="Z59" s="1489">
        <f>SUM(Z5:Z58)</f>
        <v>8064</v>
      </c>
      <c r="AA59" s="1233"/>
      <c r="AB59" s="1233" t="s">
        <v>1309</v>
      </c>
      <c r="AC59" s="1234">
        <f t="shared" ref="AC59:AF59" si="15">SUM(AC5:AC58)</f>
        <v>23632</v>
      </c>
      <c r="AD59" s="1234">
        <f t="shared" si="15"/>
        <v>0</v>
      </c>
      <c r="AE59" s="1489">
        <f t="shared" si="15"/>
        <v>1264</v>
      </c>
      <c r="AF59" s="1489">
        <f t="shared" si="15"/>
        <v>0</v>
      </c>
      <c r="AG59" s="1233"/>
      <c r="AH59" s="1233" t="s">
        <v>1309</v>
      </c>
      <c r="AI59" s="1235">
        <f t="shared" ref="AI59:AN59" si="16">SUM(AI5:AI58)</f>
        <v>929994</v>
      </c>
      <c r="AJ59" s="1235">
        <f t="shared" si="16"/>
        <v>24756</v>
      </c>
      <c r="AK59" s="1235">
        <f t="shared" si="16"/>
        <v>229219</v>
      </c>
      <c r="AL59" s="1489">
        <f t="shared" si="16"/>
        <v>989230</v>
      </c>
      <c r="AM59" s="1489">
        <f t="shared" si="16"/>
        <v>26564</v>
      </c>
      <c r="AN59" s="1489">
        <f t="shared" si="16"/>
        <v>205449</v>
      </c>
      <c r="AO59" s="1233"/>
      <c r="AP59" s="1233" t="s">
        <v>1309</v>
      </c>
      <c r="AQ59" s="1235">
        <f t="shared" ref="AQ59:BB59" si="17">SUM(AQ5:AQ58)</f>
        <v>357837</v>
      </c>
      <c r="AR59" s="1235">
        <f t="shared" si="17"/>
        <v>1030</v>
      </c>
      <c r="AS59" s="1489">
        <f t="shared" si="17"/>
        <v>346568</v>
      </c>
      <c r="AT59" s="1587">
        <f t="shared" si="17"/>
        <v>21843</v>
      </c>
      <c r="AU59" s="1562">
        <f t="shared" si="17"/>
        <v>1345126</v>
      </c>
      <c r="AV59" s="1456">
        <f t="shared" si="17"/>
        <v>55507</v>
      </c>
      <c r="AW59" s="1456">
        <f t="shared" si="17"/>
        <v>207549</v>
      </c>
      <c r="AX59" s="1448">
        <f t="shared" si="10"/>
        <v>1608182</v>
      </c>
      <c r="AY59" s="1394">
        <f t="shared" si="17"/>
        <v>1319527</v>
      </c>
      <c r="AZ59" s="1235">
        <f t="shared" si="17"/>
        <v>32886</v>
      </c>
      <c r="BA59" s="1235">
        <f t="shared" si="17"/>
        <v>235819</v>
      </c>
      <c r="BB59" s="1395">
        <f t="shared" si="17"/>
        <v>1588232</v>
      </c>
    </row>
    <row r="60" spans="1:54" s="1371" customFormat="1" ht="27" x14ac:dyDescent="0.3">
      <c r="A60" s="973"/>
      <c r="B60" s="974" t="s">
        <v>1310</v>
      </c>
      <c r="C60" s="1237"/>
      <c r="D60" s="1490"/>
      <c r="E60" s="974"/>
      <c r="F60" s="974" t="s">
        <v>1310</v>
      </c>
      <c r="G60" s="1237"/>
      <c r="H60" s="1490"/>
      <c r="I60" s="974"/>
      <c r="J60" s="974" t="s">
        <v>1310</v>
      </c>
      <c r="K60" s="1237"/>
      <c r="L60" s="1490"/>
      <c r="M60" s="974"/>
      <c r="N60" s="974" t="s">
        <v>1310</v>
      </c>
      <c r="O60" s="1236"/>
      <c r="P60" s="1236"/>
      <c r="Q60" s="1236"/>
      <c r="R60" s="1513"/>
      <c r="S60" s="1513"/>
      <c r="T60" s="1513"/>
      <c r="U60" s="1237"/>
      <c r="V60" s="1490"/>
      <c r="W60" s="1237"/>
      <c r="X60" s="1490"/>
      <c r="Y60" s="1237"/>
      <c r="Z60" s="1490"/>
      <c r="AA60" s="974"/>
      <c r="AB60" s="974" t="s">
        <v>1310</v>
      </c>
      <c r="AC60" s="1236"/>
      <c r="AD60" s="1236"/>
      <c r="AE60" s="1513"/>
      <c r="AF60" s="1513"/>
      <c r="AG60" s="974"/>
      <c r="AH60" s="974" t="s">
        <v>1310</v>
      </c>
      <c r="AI60" s="1237"/>
      <c r="AJ60" s="1237"/>
      <c r="AK60" s="1237"/>
      <c r="AL60" s="1490"/>
      <c r="AM60" s="1490"/>
      <c r="AN60" s="1490"/>
      <c r="AO60" s="974"/>
      <c r="AP60" s="974" t="s">
        <v>1310</v>
      </c>
      <c r="AQ60" s="1237"/>
      <c r="AR60" s="1237"/>
      <c r="AS60" s="1490"/>
      <c r="AT60" s="1588"/>
      <c r="AU60" s="1563"/>
      <c r="AV60" s="1453"/>
      <c r="AW60" s="1459"/>
      <c r="AX60" s="1454">
        <f t="shared" si="10"/>
        <v>0</v>
      </c>
      <c r="AY60" s="1396">
        <f t="shared" ref="AY60:AY66" si="18">SUM(O60+U60+Y60+AC60+AI60+AQ60)</f>
        <v>0</v>
      </c>
      <c r="AZ60" s="1219">
        <f t="shared" ref="AZ60:AZ66" si="19">SUM(P60+AD60+AJ60+AR60)</f>
        <v>0</v>
      </c>
      <c r="BA60" s="1219">
        <f t="shared" ref="BA60:BA66" si="20">SUM(C60+G60+K60+Q60+W60+AK60)</f>
        <v>0</v>
      </c>
      <c r="BB60" s="1386">
        <f t="shared" si="11"/>
        <v>0</v>
      </c>
    </row>
    <row r="61" spans="1:54" ht="15.6" x14ac:dyDescent="0.3">
      <c r="A61" s="1216">
        <v>1</v>
      </c>
      <c r="B61" s="1218" t="s">
        <v>1320</v>
      </c>
      <c r="C61" s="1239"/>
      <c r="D61" s="1491"/>
      <c r="E61" s="1217">
        <v>1</v>
      </c>
      <c r="F61" s="1218" t="s">
        <v>1878</v>
      </c>
      <c r="G61" s="1239">
        <v>211</v>
      </c>
      <c r="H61" s="1491">
        <v>189</v>
      </c>
      <c r="I61" s="1217">
        <v>1</v>
      </c>
      <c r="J61" s="1218"/>
      <c r="K61" s="1239"/>
      <c r="L61" s="1491"/>
      <c r="M61" s="1217">
        <v>1</v>
      </c>
      <c r="N61" s="1218" t="s">
        <v>1320</v>
      </c>
      <c r="O61" s="1349"/>
      <c r="P61" s="1349"/>
      <c r="Q61" s="1349"/>
      <c r="R61" s="1514"/>
      <c r="S61" s="1514"/>
      <c r="T61" s="1514"/>
      <c r="U61" s="1239"/>
      <c r="V61" s="1491"/>
      <c r="W61" s="1239"/>
      <c r="X61" s="1491"/>
      <c r="Y61" s="1239"/>
      <c r="Z61" s="1491"/>
      <c r="AA61" s="1149">
        <v>1</v>
      </c>
      <c r="AB61" s="954" t="s">
        <v>1879</v>
      </c>
      <c r="AC61" s="1238">
        <f>2394-816</f>
        <v>1578</v>
      </c>
      <c r="AD61" s="1238"/>
      <c r="AE61" s="1530"/>
      <c r="AF61" s="1530"/>
      <c r="AG61" s="1217">
        <v>1</v>
      </c>
      <c r="AH61" s="1221" t="s">
        <v>1880</v>
      </c>
      <c r="AI61" s="1239">
        <f>195903+1018-11325-2437-4966</f>
        <v>178193</v>
      </c>
      <c r="AJ61" s="1239"/>
      <c r="AK61" s="1239"/>
      <c r="AL61" s="1491">
        <f>180661-7390+2048+165</f>
        <v>175484</v>
      </c>
      <c r="AM61" s="1491">
        <v>7390</v>
      </c>
      <c r="AN61" s="1491">
        <v>36927</v>
      </c>
      <c r="AO61" s="1149">
        <v>1</v>
      </c>
      <c r="AP61" s="954" t="s">
        <v>1313</v>
      </c>
      <c r="AQ61" s="1240">
        <f>75552-5142-975</f>
        <v>69435</v>
      </c>
      <c r="AR61" s="1240">
        <f>5142-4885</f>
        <v>257</v>
      </c>
      <c r="AS61" s="1546">
        <f>68439-6642</f>
        <v>61797</v>
      </c>
      <c r="AT61" s="1589">
        <v>6642</v>
      </c>
      <c r="AU61" s="1561">
        <f t="shared" ref="AU61:AU66" si="21">R61+V61+Z61+AE61+AL61+AS61</f>
        <v>237281</v>
      </c>
      <c r="AV61" s="1447">
        <f t="shared" ref="AV61:AV66" si="22">S61+AF61+AM61+AT61</f>
        <v>14032</v>
      </c>
      <c r="AW61" s="1447">
        <f t="shared" ref="AW61:AW66" si="23">D61+H61+L61+T61+X61+AN61</f>
        <v>37116</v>
      </c>
      <c r="AX61" s="1450">
        <f t="shared" si="10"/>
        <v>288429</v>
      </c>
      <c r="AY61" s="1393">
        <f t="shared" si="18"/>
        <v>249206</v>
      </c>
      <c r="AZ61" s="1247">
        <f t="shared" si="19"/>
        <v>257</v>
      </c>
      <c r="BA61" s="1247">
        <f t="shared" si="20"/>
        <v>211</v>
      </c>
      <c r="BB61" s="1385">
        <f t="shared" si="11"/>
        <v>249674</v>
      </c>
    </row>
    <row r="62" spans="1:54" ht="15.6" x14ac:dyDescent="0.3">
      <c r="A62" s="1216">
        <v>2</v>
      </c>
      <c r="B62" s="954" t="s">
        <v>2042</v>
      </c>
      <c r="C62" s="1239">
        <v>948</v>
      </c>
      <c r="D62" s="1491">
        <f>851-708</f>
        <v>143</v>
      </c>
      <c r="E62" s="1217">
        <v>2</v>
      </c>
      <c r="F62" s="956"/>
      <c r="G62" s="1347"/>
      <c r="H62" s="1511"/>
      <c r="I62" s="1217">
        <v>2</v>
      </c>
      <c r="J62" s="956"/>
      <c r="K62" s="1347"/>
      <c r="L62" s="1511"/>
      <c r="M62" s="1217">
        <v>2</v>
      </c>
      <c r="N62" s="954" t="s">
        <v>1311</v>
      </c>
      <c r="O62" s="1349"/>
      <c r="P62" s="1350"/>
      <c r="Q62" s="1349"/>
      <c r="R62" s="1514"/>
      <c r="S62" s="1514"/>
      <c r="T62" s="1514"/>
      <c r="U62" s="1239"/>
      <c r="V62" s="1491"/>
      <c r="W62" s="1347"/>
      <c r="X62" s="1511"/>
      <c r="Y62" s="1239">
        <v>1416</v>
      </c>
      <c r="Z62" s="1511">
        <v>1270</v>
      </c>
      <c r="AA62" s="1149">
        <v>2</v>
      </c>
      <c r="AB62" s="956" t="s">
        <v>1881</v>
      </c>
      <c r="AC62" s="1238">
        <v>1018</v>
      </c>
      <c r="AD62" s="1238"/>
      <c r="AE62" s="1530"/>
      <c r="AF62" s="1530"/>
      <c r="AG62" s="1217">
        <v>2</v>
      </c>
      <c r="AH62" s="1221" t="s">
        <v>1882</v>
      </c>
      <c r="AI62" s="1239">
        <v>14000</v>
      </c>
      <c r="AJ62" s="1239"/>
      <c r="AK62" s="1239"/>
      <c r="AL62" s="1491">
        <v>19262</v>
      </c>
      <c r="AM62" s="1491"/>
      <c r="AN62" s="1491"/>
      <c r="AO62" s="1149">
        <v>2</v>
      </c>
      <c r="AP62" s="956"/>
      <c r="AQ62" s="1241"/>
      <c r="AR62" s="1241"/>
      <c r="AS62" s="1546"/>
      <c r="AT62" s="1589"/>
      <c r="AU62" s="1561">
        <f t="shared" si="21"/>
        <v>20532</v>
      </c>
      <c r="AV62" s="1447">
        <f t="shared" si="22"/>
        <v>0</v>
      </c>
      <c r="AW62" s="1447">
        <f t="shared" si="23"/>
        <v>143</v>
      </c>
      <c r="AX62" s="1450">
        <f t="shared" si="10"/>
        <v>20675</v>
      </c>
      <c r="AY62" s="1393">
        <f t="shared" si="18"/>
        <v>16434</v>
      </c>
      <c r="AZ62" s="1247">
        <f t="shared" si="19"/>
        <v>0</v>
      </c>
      <c r="BA62" s="1247">
        <f t="shared" si="20"/>
        <v>948</v>
      </c>
      <c r="BB62" s="1385">
        <f t="shared" si="11"/>
        <v>17382</v>
      </c>
    </row>
    <row r="63" spans="1:54" ht="15.6" x14ac:dyDescent="0.3">
      <c r="A63" s="1216">
        <v>3</v>
      </c>
      <c r="B63" s="1221"/>
      <c r="C63" s="1239"/>
      <c r="D63" s="1491"/>
      <c r="E63" s="1217">
        <v>3</v>
      </c>
      <c r="F63" s="1221"/>
      <c r="G63" s="1239"/>
      <c r="H63" s="1491"/>
      <c r="I63" s="1217">
        <v>3</v>
      </c>
      <c r="J63" s="1221"/>
      <c r="K63" s="1239"/>
      <c r="L63" s="1491"/>
      <c r="M63" s="1217">
        <v>3</v>
      </c>
      <c r="N63" s="1221" t="s">
        <v>1883</v>
      </c>
      <c r="O63" s="1350"/>
      <c r="P63" s="1350">
        <v>1634</v>
      </c>
      <c r="Q63" s="1350"/>
      <c r="R63" s="1515"/>
      <c r="S63" s="1515">
        <v>1466</v>
      </c>
      <c r="T63" s="1515"/>
      <c r="U63" s="1239"/>
      <c r="V63" s="1491"/>
      <c r="W63" s="1239"/>
      <c r="X63" s="1491"/>
      <c r="Y63" s="1239"/>
      <c r="Z63" s="1491"/>
      <c r="AA63" s="1149">
        <v>3</v>
      </c>
      <c r="AB63" s="956" t="s">
        <v>1884</v>
      </c>
      <c r="AC63" s="1238">
        <f>2394-816</f>
        <v>1578</v>
      </c>
      <c r="AD63" s="1238"/>
      <c r="AE63" s="1530"/>
      <c r="AF63" s="1530"/>
      <c r="AG63" s="1217">
        <v>3</v>
      </c>
      <c r="AH63" s="1242" t="s">
        <v>1885</v>
      </c>
      <c r="AI63" s="1239"/>
      <c r="AJ63" s="1239"/>
      <c r="AK63" s="1239"/>
      <c r="AL63" s="1491"/>
      <c r="AM63" s="1491"/>
      <c r="AN63" s="1491"/>
      <c r="AO63" s="1149">
        <v>3</v>
      </c>
      <c r="AP63" s="954"/>
      <c r="AQ63" s="1240"/>
      <c r="AR63" s="1240"/>
      <c r="AS63" s="1547"/>
      <c r="AT63" s="1590"/>
      <c r="AU63" s="1561">
        <f t="shared" si="21"/>
        <v>0</v>
      </c>
      <c r="AV63" s="1447">
        <f t="shared" si="22"/>
        <v>1466</v>
      </c>
      <c r="AW63" s="1447">
        <f t="shared" si="23"/>
        <v>0</v>
      </c>
      <c r="AX63" s="1450">
        <f t="shared" si="10"/>
        <v>1466</v>
      </c>
      <c r="AY63" s="1393">
        <f t="shared" si="18"/>
        <v>1578</v>
      </c>
      <c r="AZ63" s="1247">
        <f t="shared" si="19"/>
        <v>1634</v>
      </c>
      <c r="BA63" s="1247">
        <f t="shared" si="20"/>
        <v>0</v>
      </c>
      <c r="BB63" s="1385">
        <f t="shared" si="11"/>
        <v>3212</v>
      </c>
    </row>
    <row r="64" spans="1:54" ht="15.6" x14ac:dyDescent="0.3">
      <c r="A64" s="1216">
        <v>4</v>
      </c>
      <c r="B64" s="1221"/>
      <c r="C64" s="1239"/>
      <c r="D64" s="1491"/>
      <c r="E64" s="1217">
        <v>4</v>
      </c>
      <c r="F64" s="1221"/>
      <c r="G64" s="1239"/>
      <c r="H64" s="1491"/>
      <c r="I64" s="1217">
        <v>4</v>
      </c>
      <c r="J64" s="1221"/>
      <c r="K64" s="1239"/>
      <c r="L64" s="1491"/>
      <c r="M64" s="1217"/>
      <c r="N64" s="1221" t="s">
        <v>1886</v>
      </c>
      <c r="O64" s="1350"/>
      <c r="P64" s="1350">
        <v>1257</v>
      </c>
      <c r="Q64" s="1350"/>
      <c r="R64" s="1515"/>
      <c r="S64" s="1515">
        <v>1257</v>
      </c>
      <c r="T64" s="1515"/>
      <c r="U64" s="1239"/>
      <c r="V64" s="1491"/>
      <c r="W64" s="1239"/>
      <c r="X64" s="1491"/>
      <c r="Y64" s="1239"/>
      <c r="Z64" s="1491"/>
      <c r="AA64" s="1149"/>
      <c r="AB64" s="956" t="s">
        <v>1887</v>
      </c>
      <c r="AC64" s="1238">
        <v>1018</v>
      </c>
      <c r="AD64" s="1238"/>
      <c r="AE64" s="1530"/>
      <c r="AF64" s="1530"/>
      <c r="AG64" s="1217">
        <v>4</v>
      </c>
      <c r="AH64" s="1242" t="s">
        <v>1885</v>
      </c>
      <c r="AI64" s="1239"/>
      <c r="AJ64" s="1239">
        <v>11325</v>
      </c>
      <c r="AK64" s="1239">
        <f>47195-744-390-733</f>
        <v>45328</v>
      </c>
      <c r="AL64" s="1491"/>
      <c r="AM64" s="1491"/>
      <c r="AN64" s="1491"/>
      <c r="AO64" s="1149"/>
      <c r="AP64" s="954"/>
      <c r="AQ64" s="1240"/>
      <c r="AR64" s="1240"/>
      <c r="AS64" s="1547"/>
      <c r="AT64" s="1590"/>
      <c r="AU64" s="1561">
        <f t="shared" si="21"/>
        <v>0</v>
      </c>
      <c r="AV64" s="1447">
        <f t="shared" si="22"/>
        <v>1257</v>
      </c>
      <c r="AW64" s="1447">
        <f t="shared" si="23"/>
        <v>0</v>
      </c>
      <c r="AX64" s="1450">
        <f t="shared" si="10"/>
        <v>1257</v>
      </c>
      <c r="AY64" s="1393">
        <f t="shared" si="18"/>
        <v>1018</v>
      </c>
      <c r="AZ64" s="1247">
        <f t="shared" si="19"/>
        <v>12582</v>
      </c>
      <c r="BA64" s="1247">
        <f t="shared" si="20"/>
        <v>45328</v>
      </c>
      <c r="BB64" s="1385">
        <f t="shared" si="11"/>
        <v>58928</v>
      </c>
    </row>
    <row r="65" spans="1:55" ht="15.6" x14ac:dyDescent="0.3">
      <c r="A65" s="1216">
        <v>5</v>
      </c>
      <c r="B65" s="1218"/>
      <c r="C65" s="1239"/>
      <c r="D65" s="1491"/>
      <c r="E65" s="1217">
        <v>5</v>
      </c>
      <c r="F65" s="1218"/>
      <c r="G65" s="1239"/>
      <c r="H65" s="1491"/>
      <c r="I65" s="1217">
        <v>5</v>
      </c>
      <c r="J65" s="1218"/>
      <c r="K65" s="1239"/>
      <c r="L65" s="1491"/>
      <c r="M65" s="1217"/>
      <c r="N65" s="1221"/>
      <c r="O65" s="1350"/>
      <c r="P65" s="1350"/>
      <c r="Q65" s="1350"/>
      <c r="R65" s="1515"/>
      <c r="S65" s="1515"/>
      <c r="T65" s="1515"/>
      <c r="U65" s="1239"/>
      <c r="V65" s="1491"/>
      <c r="W65" s="1239"/>
      <c r="X65" s="1491"/>
      <c r="Y65" s="1239"/>
      <c r="Z65" s="1491"/>
      <c r="AA65" s="1149"/>
      <c r="AB65" s="954" t="s">
        <v>1888</v>
      </c>
      <c r="AC65" s="1367">
        <v>195</v>
      </c>
      <c r="AD65" s="1238"/>
      <c r="AE65" s="2316">
        <f>175-64</f>
        <v>111</v>
      </c>
      <c r="AF65" s="1530"/>
      <c r="AG65" s="1217">
        <v>5</v>
      </c>
      <c r="AH65" s="1242" t="s">
        <v>1885</v>
      </c>
      <c r="AI65" s="1239"/>
      <c r="AJ65" s="1239"/>
      <c r="AK65" s="1239"/>
      <c r="AL65" s="1491"/>
      <c r="AM65" s="1491"/>
      <c r="AN65" s="1491"/>
      <c r="AO65" s="1149"/>
      <c r="AP65" s="954"/>
      <c r="AQ65" s="1240"/>
      <c r="AR65" s="1240"/>
      <c r="AS65" s="1547"/>
      <c r="AT65" s="1590"/>
      <c r="AU65" s="1561">
        <f t="shared" si="21"/>
        <v>111</v>
      </c>
      <c r="AV65" s="1447">
        <f t="shared" si="22"/>
        <v>0</v>
      </c>
      <c r="AW65" s="1447">
        <f t="shared" si="23"/>
        <v>0</v>
      </c>
      <c r="AX65" s="1450">
        <f t="shared" si="10"/>
        <v>111</v>
      </c>
      <c r="AY65" s="1393">
        <f t="shared" si="18"/>
        <v>195</v>
      </c>
      <c r="AZ65" s="1247">
        <f t="shared" si="19"/>
        <v>0</v>
      </c>
      <c r="BA65" s="1247">
        <f t="shared" si="20"/>
        <v>0</v>
      </c>
      <c r="BB65" s="1385">
        <f t="shared" si="11"/>
        <v>195</v>
      </c>
    </row>
    <row r="66" spans="1:55" ht="16.2" thickBot="1" x14ac:dyDescent="0.35">
      <c r="A66" s="1225">
        <v>6</v>
      </c>
      <c r="B66" s="1226"/>
      <c r="C66" s="1330"/>
      <c r="D66" s="1492"/>
      <c r="E66" s="1227">
        <v>6</v>
      </c>
      <c r="F66" s="1226"/>
      <c r="G66" s="1330"/>
      <c r="H66" s="1492"/>
      <c r="I66" s="1227">
        <v>6</v>
      </c>
      <c r="J66" s="1226"/>
      <c r="K66" s="1330"/>
      <c r="L66" s="1492"/>
      <c r="M66" s="1227"/>
      <c r="N66" s="1228"/>
      <c r="O66" s="1351"/>
      <c r="P66" s="1351"/>
      <c r="Q66" s="1351"/>
      <c r="R66" s="1516"/>
      <c r="S66" s="1516"/>
      <c r="T66" s="1516"/>
      <c r="U66" s="1330"/>
      <c r="V66" s="1492"/>
      <c r="W66" s="1330"/>
      <c r="X66" s="1492"/>
      <c r="Y66" s="1330"/>
      <c r="Z66" s="1492"/>
      <c r="AA66" s="1040"/>
      <c r="AB66" s="959"/>
      <c r="AC66" s="1243"/>
      <c r="AD66" s="1243"/>
      <c r="AE66" s="1531"/>
      <c r="AF66" s="1531"/>
      <c r="AG66" s="1227">
        <v>6</v>
      </c>
      <c r="AH66" s="1228"/>
      <c r="AI66" s="1244"/>
      <c r="AJ66" s="1244"/>
      <c r="AK66" s="1244"/>
      <c r="AL66" s="1543"/>
      <c r="AM66" s="1543"/>
      <c r="AN66" s="1543"/>
      <c r="AO66" s="1040"/>
      <c r="AP66" s="959"/>
      <c r="AQ66" s="1245"/>
      <c r="AR66" s="1245"/>
      <c r="AS66" s="1548"/>
      <c r="AT66" s="1591"/>
      <c r="AU66" s="1561">
        <f t="shared" si="21"/>
        <v>0</v>
      </c>
      <c r="AV66" s="1447">
        <f t="shared" si="22"/>
        <v>0</v>
      </c>
      <c r="AW66" s="1447">
        <f t="shared" si="23"/>
        <v>0</v>
      </c>
      <c r="AX66" s="1462">
        <f t="shared" si="10"/>
        <v>0</v>
      </c>
      <c r="AY66" s="1393">
        <f t="shared" si="18"/>
        <v>0</v>
      </c>
      <c r="AZ66" s="1247">
        <f t="shared" si="19"/>
        <v>0</v>
      </c>
      <c r="BA66" s="1247">
        <f t="shared" si="20"/>
        <v>0</v>
      </c>
      <c r="BB66" s="1385">
        <f t="shared" si="11"/>
        <v>0</v>
      </c>
    </row>
    <row r="67" spans="1:55" s="1371" customFormat="1" ht="27.6" thickBot="1" x14ac:dyDescent="0.35">
      <c r="A67" s="1373"/>
      <c r="B67" s="1369" t="s">
        <v>1316</v>
      </c>
      <c r="C67" s="1372">
        <f>SUM(C60:C66)</f>
        <v>948</v>
      </c>
      <c r="D67" s="1489">
        <f>SUM(D60:D66)</f>
        <v>143</v>
      </c>
      <c r="E67" s="1233"/>
      <c r="F67" s="1233" t="s">
        <v>1316</v>
      </c>
      <c r="G67" s="1235">
        <f t="shared" ref="G67" si="24">SUM(G60:G66)</f>
        <v>211</v>
      </c>
      <c r="H67" s="1489">
        <f>SUM(H60:H66)</f>
        <v>189</v>
      </c>
      <c r="I67" s="1233"/>
      <c r="J67" s="1233" t="s">
        <v>1316</v>
      </c>
      <c r="K67" s="1235">
        <f>SUM(K60:K66)</f>
        <v>0</v>
      </c>
      <c r="L67" s="1489">
        <f>SUM(L60:L66)</f>
        <v>0</v>
      </c>
      <c r="M67" s="1233"/>
      <c r="N67" s="1233" t="s">
        <v>1316</v>
      </c>
      <c r="O67" s="1234">
        <f t="shared" ref="O67:Y67" si="25">SUM(O60:O66)</f>
        <v>0</v>
      </c>
      <c r="P67" s="1234">
        <f t="shared" si="25"/>
        <v>2891</v>
      </c>
      <c r="Q67" s="1234">
        <f t="shared" si="25"/>
        <v>0</v>
      </c>
      <c r="R67" s="1489">
        <f t="shared" si="25"/>
        <v>0</v>
      </c>
      <c r="S67" s="1489">
        <f t="shared" si="25"/>
        <v>2723</v>
      </c>
      <c r="T67" s="1489">
        <f t="shared" si="25"/>
        <v>0</v>
      </c>
      <c r="U67" s="1235">
        <f t="shared" si="25"/>
        <v>0</v>
      </c>
      <c r="V67" s="1489">
        <f>SUM(V60:V66)</f>
        <v>0</v>
      </c>
      <c r="W67" s="1235">
        <f t="shared" si="25"/>
        <v>0</v>
      </c>
      <c r="X67" s="1489">
        <f>SUM(X60:X66)</f>
        <v>0</v>
      </c>
      <c r="Y67" s="1235">
        <f t="shared" si="25"/>
        <v>1416</v>
      </c>
      <c r="Z67" s="1489">
        <f>SUM(Z60:Z66)</f>
        <v>1270</v>
      </c>
      <c r="AA67" s="1233"/>
      <c r="AB67" s="1233" t="s">
        <v>1316</v>
      </c>
      <c r="AC67" s="1234">
        <f t="shared" ref="AC67:AF67" si="26">SUM(AC60:AC66)</f>
        <v>5387</v>
      </c>
      <c r="AD67" s="1234">
        <f t="shared" si="26"/>
        <v>0</v>
      </c>
      <c r="AE67" s="1489">
        <f t="shared" si="26"/>
        <v>111</v>
      </c>
      <c r="AF67" s="1489">
        <f t="shared" si="26"/>
        <v>0</v>
      </c>
      <c r="AG67" s="1233"/>
      <c r="AH67" s="1233" t="s">
        <v>1316</v>
      </c>
      <c r="AI67" s="1235">
        <f t="shared" ref="AI67:AN67" si="27">SUM(AI60:AI66)</f>
        <v>192193</v>
      </c>
      <c r="AJ67" s="1235">
        <f t="shared" si="27"/>
        <v>11325</v>
      </c>
      <c r="AK67" s="1235">
        <f t="shared" si="27"/>
        <v>45328</v>
      </c>
      <c r="AL67" s="1489">
        <f t="shared" si="27"/>
        <v>194746</v>
      </c>
      <c r="AM67" s="1489">
        <f t="shared" si="27"/>
        <v>7390</v>
      </c>
      <c r="AN67" s="1489">
        <f t="shared" si="27"/>
        <v>36927</v>
      </c>
      <c r="AO67" s="1233"/>
      <c r="AP67" s="1233" t="s">
        <v>1316</v>
      </c>
      <c r="AQ67" s="1235">
        <f>SUM(AQ60:AQ63)</f>
        <v>69435</v>
      </c>
      <c r="AR67" s="1235">
        <f>SUM(AR60:AR63)</f>
        <v>257</v>
      </c>
      <c r="AS67" s="1426">
        <f t="shared" ref="AS67:AT67" si="28">SUM(AS60:AS63)</f>
        <v>61797</v>
      </c>
      <c r="AT67" s="1592">
        <f t="shared" si="28"/>
        <v>6642</v>
      </c>
      <c r="AU67" s="1562">
        <f>SUM(AU60:AU66)</f>
        <v>257924</v>
      </c>
      <c r="AV67" s="1456">
        <f>SUM(AV60:AV66)</f>
        <v>16755</v>
      </c>
      <c r="AW67" s="1456">
        <f>SUM(AW60:AW66)</f>
        <v>37259</v>
      </c>
      <c r="AX67" s="1448">
        <f t="shared" si="10"/>
        <v>311938</v>
      </c>
      <c r="AY67" s="1415">
        <f>SUM(AY60:AY66)</f>
        <v>268431</v>
      </c>
      <c r="AZ67" s="1235">
        <f t="shared" ref="AZ67:BA67" si="29">SUM(AZ60:AZ66)</f>
        <v>14473</v>
      </c>
      <c r="BA67" s="1416">
        <f t="shared" si="29"/>
        <v>46487</v>
      </c>
      <c r="BB67" s="1417">
        <f t="shared" si="11"/>
        <v>329391</v>
      </c>
      <c r="BC67" s="1619"/>
    </row>
    <row r="68" spans="1:55" s="1371" customFormat="1" ht="15" customHeight="1" x14ac:dyDescent="0.3">
      <c r="A68" s="973"/>
      <c r="B68" s="974" t="s">
        <v>1317</v>
      </c>
      <c r="C68" s="1237"/>
      <c r="D68" s="1490"/>
      <c r="E68" s="974"/>
      <c r="F68" s="974" t="s">
        <v>1317</v>
      </c>
      <c r="G68" s="1237"/>
      <c r="H68" s="1490"/>
      <c r="I68" s="974"/>
      <c r="J68" s="974" t="s">
        <v>1317</v>
      </c>
      <c r="K68" s="1237"/>
      <c r="L68" s="1490"/>
      <c r="M68" s="974"/>
      <c r="N68" s="974" t="s">
        <v>1317</v>
      </c>
      <c r="O68" s="1236"/>
      <c r="P68" s="1236"/>
      <c r="Q68" s="1236"/>
      <c r="R68" s="1513"/>
      <c r="S68" s="1513"/>
      <c r="T68" s="1513"/>
      <c r="U68" s="1237"/>
      <c r="V68" s="1490"/>
      <c r="W68" s="1237"/>
      <c r="X68" s="1490"/>
      <c r="Y68" s="1237"/>
      <c r="Z68" s="1490"/>
      <c r="AA68" s="974"/>
      <c r="AB68" s="974" t="s">
        <v>1317</v>
      </c>
      <c r="AC68" s="1236"/>
      <c r="AD68" s="1236"/>
      <c r="AE68" s="1513"/>
      <c r="AF68" s="1513"/>
      <c r="AG68" s="974"/>
      <c r="AH68" s="974" t="s">
        <v>1317</v>
      </c>
      <c r="AI68" s="1237"/>
      <c r="AJ68" s="1237"/>
      <c r="AK68" s="1237"/>
      <c r="AL68" s="1490"/>
      <c r="AM68" s="1490"/>
      <c r="AN68" s="1490"/>
      <c r="AO68" s="974"/>
      <c r="AP68" s="974" t="s">
        <v>1317</v>
      </c>
      <c r="AQ68" s="1237"/>
      <c r="AR68" s="1237"/>
      <c r="AS68" s="1490"/>
      <c r="AT68" s="1588"/>
      <c r="AU68" s="1563"/>
      <c r="AV68" s="1453"/>
      <c r="AW68" s="1459"/>
      <c r="AX68" s="1454"/>
      <c r="AY68" s="1396">
        <f t="shared" ref="AY68:AY131" si="30">SUM(O68+U68+Y68+AC68+AI68+AQ68)</f>
        <v>0</v>
      </c>
      <c r="AZ68" s="1219">
        <f t="shared" ref="AZ68:AZ131" si="31">SUM(P68+AD68+AJ68+AR68)</f>
        <v>0</v>
      </c>
      <c r="BA68" s="1219">
        <f t="shared" ref="BA68:BA131" si="32">SUM(C68+G68+K68+Q68+W68+AK68)</f>
        <v>0</v>
      </c>
      <c r="BB68" s="1386">
        <f t="shared" si="11"/>
        <v>0</v>
      </c>
    </row>
    <row r="69" spans="1:55" ht="15.6" x14ac:dyDescent="0.3">
      <c r="A69" s="1216">
        <v>1</v>
      </c>
      <c r="B69" s="1218" t="s">
        <v>1320</v>
      </c>
      <c r="C69" s="1223"/>
      <c r="D69" s="1487"/>
      <c r="E69" s="1217">
        <v>1</v>
      </c>
      <c r="F69" s="1218" t="s">
        <v>1889</v>
      </c>
      <c r="G69" s="1223">
        <v>2000</v>
      </c>
      <c r="H69" s="1487">
        <v>2000</v>
      </c>
      <c r="I69" s="1217">
        <v>1</v>
      </c>
      <c r="J69" s="1218" t="s">
        <v>1890</v>
      </c>
      <c r="K69" s="1223">
        <v>4600</v>
      </c>
      <c r="L69" s="1487">
        <v>4600</v>
      </c>
      <c r="M69" s="1217"/>
      <c r="N69" s="1218" t="s">
        <v>1320</v>
      </c>
      <c r="O69" s="1352"/>
      <c r="P69" s="1352"/>
      <c r="Q69" s="1352"/>
      <c r="R69" s="1428"/>
      <c r="S69" s="1428"/>
      <c r="T69" s="1428"/>
      <c r="U69" s="1223"/>
      <c r="V69" s="1487"/>
      <c r="W69" s="1223"/>
      <c r="X69" s="1487"/>
      <c r="Y69" s="1223"/>
      <c r="Z69" s="1487"/>
      <c r="AA69" s="1149">
        <v>1</v>
      </c>
      <c r="AB69" s="956" t="s">
        <v>1325</v>
      </c>
      <c r="AC69" s="1219"/>
      <c r="AD69" s="1219">
        <v>3048</v>
      </c>
      <c r="AE69" s="1528"/>
      <c r="AF69" s="1528">
        <v>3048</v>
      </c>
      <c r="AG69" s="1217">
        <v>1</v>
      </c>
      <c r="AH69" s="1218" t="s">
        <v>1891</v>
      </c>
      <c r="AI69" s="1223">
        <v>3969</v>
      </c>
      <c r="AJ69" s="1223"/>
      <c r="AK69" s="1223">
        <v>1323</v>
      </c>
      <c r="AL69" s="1487">
        <v>3402</v>
      </c>
      <c r="AM69" s="1487"/>
      <c r="AN69" s="1487">
        <v>1134</v>
      </c>
      <c r="AO69" s="1149">
        <v>1</v>
      </c>
      <c r="AP69" s="956" t="s">
        <v>1320</v>
      </c>
      <c r="AQ69" s="1246"/>
      <c r="AR69" s="1246"/>
      <c r="AS69" s="1549"/>
      <c r="AT69" s="1593"/>
      <c r="AU69" s="1561">
        <f t="shared" ref="AU69:AU132" si="33">R69+V69+Z69+AE69+AL69+AS69</f>
        <v>3402</v>
      </c>
      <c r="AV69" s="1447">
        <f t="shared" ref="AV69:AV132" si="34">S69+AF69+AM69+AT69</f>
        <v>3048</v>
      </c>
      <c r="AW69" s="1447">
        <f t="shared" ref="AW69:AW132" si="35">D69+H69+L69+T69+X69+AN69</f>
        <v>7734</v>
      </c>
      <c r="AX69" s="1450">
        <f t="shared" si="10"/>
        <v>14184</v>
      </c>
      <c r="AY69" s="1393">
        <f t="shared" si="30"/>
        <v>3969</v>
      </c>
      <c r="AZ69" s="1247">
        <f t="shared" si="31"/>
        <v>3048</v>
      </c>
      <c r="BA69" s="1247">
        <f t="shared" si="32"/>
        <v>7923</v>
      </c>
      <c r="BB69" s="1385">
        <f t="shared" si="11"/>
        <v>14940</v>
      </c>
    </row>
    <row r="70" spans="1:55" ht="27" x14ac:dyDescent="0.3">
      <c r="A70" s="1216">
        <v>2</v>
      </c>
      <c r="B70" s="1221" t="s">
        <v>1892</v>
      </c>
      <c r="C70" s="1223">
        <v>7500</v>
      </c>
      <c r="D70" s="1487">
        <v>7500</v>
      </c>
      <c r="E70" s="1217">
        <v>2</v>
      </c>
      <c r="F70" s="1221" t="s">
        <v>1893</v>
      </c>
      <c r="G70" s="1223">
        <v>1000</v>
      </c>
      <c r="H70" s="1487">
        <v>1000</v>
      </c>
      <c r="I70" s="1217">
        <v>2</v>
      </c>
      <c r="J70" s="1221" t="s">
        <v>1330</v>
      </c>
      <c r="K70" s="1223"/>
      <c r="L70" s="1487"/>
      <c r="M70" s="1217">
        <v>1</v>
      </c>
      <c r="N70" s="1221" t="s">
        <v>1894</v>
      </c>
      <c r="O70" s="1251"/>
      <c r="P70" s="1247"/>
      <c r="Q70" s="1247">
        <v>1500</v>
      </c>
      <c r="R70" s="1424"/>
      <c r="S70" s="1424"/>
      <c r="T70" s="1424">
        <v>1500</v>
      </c>
      <c r="U70" s="1223"/>
      <c r="V70" s="1487"/>
      <c r="W70" s="1223"/>
      <c r="X70" s="1487"/>
      <c r="Y70" s="1223"/>
      <c r="Z70" s="1487"/>
      <c r="AA70" s="1149">
        <v>2</v>
      </c>
      <c r="AB70" s="956" t="s">
        <v>1334</v>
      </c>
      <c r="AC70" s="1219">
        <v>1000</v>
      </c>
      <c r="AD70" s="1219"/>
      <c r="AE70" s="1528">
        <f>1000-1000</f>
        <v>0</v>
      </c>
      <c r="AF70" s="1528"/>
      <c r="AG70" s="1217">
        <v>2</v>
      </c>
      <c r="AH70" s="1221" t="s">
        <v>1330</v>
      </c>
      <c r="AI70" s="1223"/>
      <c r="AJ70" s="1223"/>
      <c r="AK70" s="1223"/>
      <c r="AL70" s="1487"/>
      <c r="AM70" s="1487"/>
      <c r="AN70" s="1487"/>
      <c r="AO70" s="1149">
        <v>2</v>
      </c>
      <c r="AP70" s="954" t="s">
        <v>1331</v>
      </c>
      <c r="AQ70" s="989">
        <v>8000</v>
      </c>
      <c r="AR70" s="989"/>
      <c r="AS70" s="1544">
        <v>16000</v>
      </c>
      <c r="AT70" s="1585"/>
      <c r="AU70" s="1561">
        <f t="shared" si="33"/>
        <v>16000</v>
      </c>
      <c r="AV70" s="1447">
        <f t="shared" si="34"/>
        <v>0</v>
      </c>
      <c r="AW70" s="1447">
        <f t="shared" si="35"/>
        <v>10000</v>
      </c>
      <c r="AX70" s="1450">
        <f t="shared" si="10"/>
        <v>26000</v>
      </c>
      <c r="AY70" s="1393">
        <f t="shared" si="30"/>
        <v>9000</v>
      </c>
      <c r="AZ70" s="1247">
        <f t="shared" si="31"/>
        <v>0</v>
      </c>
      <c r="BA70" s="1247">
        <f t="shared" si="32"/>
        <v>10000</v>
      </c>
      <c r="BB70" s="1385">
        <f t="shared" si="11"/>
        <v>19000</v>
      </c>
    </row>
    <row r="71" spans="1:55" ht="27" x14ac:dyDescent="0.3">
      <c r="A71" s="1216">
        <v>3</v>
      </c>
      <c r="B71" s="1221" t="s">
        <v>1895</v>
      </c>
      <c r="C71" s="1223"/>
      <c r="D71" s="1487"/>
      <c r="E71" s="1217">
        <v>3</v>
      </c>
      <c r="F71" s="1221" t="s">
        <v>1896</v>
      </c>
      <c r="G71" s="1223">
        <v>300</v>
      </c>
      <c r="H71" s="1487">
        <v>300</v>
      </c>
      <c r="I71" s="1217">
        <v>3</v>
      </c>
      <c r="J71" s="1221" t="s">
        <v>1897</v>
      </c>
      <c r="K71" s="1223"/>
      <c r="L71" s="1487"/>
      <c r="M71" s="1217">
        <v>2</v>
      </c>
      <c r="N71" s="1221" t="s">
        <v>1330</v>
      </c>
      <c r="O71" s="1247"/>
      <c r="P71" s="1247"/>
      <c r="Q71" s="1247"/>
      <c r="R71" s="1424"/>
      <c r="S71" s="1424"/>
      <c r="T71" s="1424"/>
      <c r="U71" s="1223"/>
      <c r="V71" s="1487"/>
      <c r="W71" s="1223"/>
      <c r="X71" s="1487"/>
      <c r="Y71" s="1223"/>
      <c r="Z71" s="1487"/>
      <c r="AA71" s="1149">
        <v>3</v>
      </c>
      <c r="AB71" s="954" t="s">
        <v>1343</v>
      </c>
      <c r="AC71" s="1219"/>
      <c r="AD71" s="1219"/>
      <c r="AE71" s="1528"/>
      <c r="AF71" s="1528"/>
      <c r="AG71" s="1217">
        <v>3</v>
      </c>
      <c r="AH71" s="1221" t="s">
        <v>1898</v>
      </c>
      <c r="AI71" s="1223">
        <v>3950</v>
      </c>
      <c r="AJ71" s="1223"/>
      <c r="AK71" s="1223">
        <v>1100</v>
      </c>
      <c r="AL71" s="1487">
        <v>3950</v>
      </c>
      <c r="AM71" s="1487"/>
      <c r="AN71" s="1487">
        <v>1100</v>
      </c>
      <c r="AO71" s="1149">
        <v>3</v>
      </c>
      <c r="AP71" s="954" t="s">
        <v>1339</v>
      </c>
      <c r="AQ71" s="989">
        <v>1016</v>
      </c>
      <c r="AR71" s="989"/>
      <c r="AS71" s="1544">
        <v>1016</v>
      </c>
      <c r="AT71" s="1585"/>
      <c r="AU71" s="1561">
        <f t="shared" si="33"/>
        <v>4966</v>
      </c>
      <c r="AV71" s="1447">
        <f t="shared" si="34"/>
        <v>0</v>
      </c>
      <c r="AW71" s="1447">
        <f t="shared" si="35"/>
        <v>1400</v>
      </c>
      <c r="AX71" s="1450">
        <f t="shared" ref="AX71:AX134" si="36">SUM(AU71:AW71)</f>
        <v>6366</v>
      </c>
      <c r="AY71" s="1393">
        <f t="shared" si="30"/>
        <v>4966</v>
      </c>
      <c r="AZ71" s="1247">
        <f t="shared" si="31"/>
        <v>0</v>
      </c>
      <c r="BA71" s="1247">
        <f t="shared" si="32"/>
        <v>1400</v>
      </c>
      <c r="BB71" s="1385">
        <f t="shared" ref="BB71:BB134" si="37">SUM(AY71:BA71)</f>
        <v>6366</v>
      </c>
    </row>
    <row r="72" spans="1:55" ht="15.6" x14ac:dyDescent="0.3">
      <c r="A72" s="1216">
        <v>4</v>
      </c>
      <c r="B72" s="1221" t="s">
        <v>1899</v>
      </c>
      <c r="C72" s="1223">
        <v>1760</v>
      </c>
      <c r="D72" s="1487">
        <v>1760</v>
      </c>
      <c r="E72" s="1217">
        <v>4</v>
      </c>
      <c r="F72" s="1221" t="s">
        <v>1900</v>
      </c>
      <c r="G72" s="1223">
        <v>100</v>
      </c>
      <c r="H72" s="1487">
        <v>100</v>
      </c>
      <c r="I72" s="1217">
        <v>4</v>
      </c>
      <c r="J72" s="1221" t="s">
        <v>1901</v>
      </c>
      <c r="K72" s="1223"/>
      <c r="L72" s="1487"/>
      <c r="M72" s="1217">
        <v>3</v>
      </c>
      <c r="N72" s="1221" t="s">
        <v>1902</v>
      </c>
      <c r="O72" s="1247">
        <v>37338</v>
      </c>
      <c r="P72" s="1247"/>
      <c r="Q72" s="1247"/>
      <c r="R72" s="1424">
        <v>39054</v>
      </c>
      <c r="S72" s="1424"/>
      <c r="T72" s="1424"/>
      <c r="U72" s="1223"/>
      <c r="V72" s="1487"/>
      <c r="W72" s="1223"/>
      <c r="X72" s="1487"/>
      <c r="Y72" s="1223"/>
      <c r="Z72" s="1487"/>
      <c r="AA72" s="1149">
        <v>4</v>
      </c>
      <c r="AB72" s="954" t="s">
        <v>1350</v>
      </c>
      <c r="AC72" s="1219">
        <v>200</v>
      </c>
      <c r="AD72" s="1219"/>
      <c r="AE72" s="1528">
        <v>300</v>
      </c>
      <c r="AF72" s="1528"/>
      <c r="AG72" s="1217">
        <v>4</v>
      </c>
      <c r="AH72" s="1221" t="s">
        <v>1330</v>
      </c>
      <c r="AI72" s="1223"/>
      <c r="AJ72" s="1223"/>
      <c r="AK72" s="1223"/>
      <c r="AL72" s="1487"/>
      <c r="AM72" s="1487"/>
      <c r="AN72" s="1487"/>
      <c r="AO72" s="1149">
        <v>4</v>
      </c>
      <c r="AP72" s="954" t="s">
        <v>1903</v>
      </c>
      <c r="AQ72" s="989">
        <v>24000</v>
      </c>
      <c r="AR72" s="989"/>
      <c r="AS72" s="1544">
        <v>24000</v>
      </c>
      <c r="AT72" s="1585"/>
      <c r="AU72" s="1561">
        <f t="shared" si="33"/>
        <v>63354</v>
      </c>
      <c r="AV72" s="1447">
        <f t="shared" si="34"/>
        <v>0</v>
      </c>
      <c r="AW72" s="1447">
        <f t="shared" si="35"/>
        <v>1860</v>
      </c>
      <c r="AX72" s="1450">
        <f t="shared" si="36"/>
        <v>65214</v>
      </c>
      <c r="AY72" s="1393">
        <f t="shared" si="30"/>
        <v>61538</v>
      </c>
      <c r="AZ72" s="1247">
        <f t="shared" si="31"/>
        <v>0</v>
      </c>
      <c r="BA72" s="1247">
        <f t="shared" si="32"/>
        <v>1860</v>
      </c>
      <c r="BB72" s="1385">
        <f t="shared" si="37"/>
        <v>63398</v>
      </c>
    </row>
    <row r="73" spans="1:55" ht="15.6" x14ac:dyDescent="0.3">
      <c r="A73" s="1216">
        <v>5</v>
      </c>
      <c r="B73" s="1221" t="s">
        <v>1359</v>
      </c>
      <c r="C73" s="1223"/>
      <c r="D73" s="1487"/>
      <c r="E73" s="1217">
        <v>5</v>
      </c>
      <c r="F73" s="1221" t="s">
        <v>1904</v>
      </c>
      <c r="G73" s="1223"/>
      <c r="H73" s="1487"/>
      <c r="I73" s="1217">
        <v>5</v>
      </c>
      <c r="J73" s="1221" t="s">
        <v>1905</v>
      </c>
      <c r="K73" s="1223">
        <v>300</v>
      </c>
      <c r="L73" s="1487">
        <f>300-300</f>
        <v>0</v>
      </c>
      <c r="M73" s="1217">
        <v>4</v>
      </c>
      <c r="N73" s="1221" t="s">
        <v>1330</v>
      </c>
      <c r="O73" s="1247"/>
      <c r="P73" s="1247"/>
      <c r="Q73" s="1247"/>
      <c r="R73" s="1424"/>
      <c r="S73" s="1424"/>
      <c r="T73" s="1424"/>
      <c r="U73" s="1223"/>
      <c r="V73" s="1487"/>
      <c r="W73" s="1223"/>
      <c r="X73" s="1487"/>
      <c r="Y73" s="1223"/>
      <c r="Z73" s="1487"/>
      <c r="AA73" s="1149">
        <v>5</v>
      </c>
      <c r="AB73" s="954" t="s">
        <v>1357</v>
      </c>
      <c r="AC73" s="1219">
        <v>20</v>
      </c>
      <c r="AD73" s="1219"/>
      <c r="AE73" s="1528">
        <f>20-20</f>
        <v>0</v>
      </c>
      <c r="AF73" s="1528"/>
      <c r="AG73" s="1217">
        <v>5</v>
      </c>
      <c r="AH73" s="1221" t="s">
        <v>1906</v>
      </c>
      <c r="AI73" s="1223">
        <v>75</v>
      </c>
      <c r="AJ73" s="1223"/>
      <c r="AK73" s="1223"/>
      <c r="AL73" s="1487"/>
      <c r="AM73" s="1487"/>
      <c r="AN73" s="1487"/>
      <c r="AO73" s="1149">
        <v>5</v>
      </c>
      <c r="AP73" s="954" t="s">
        <v>1353</v>
      </c>
      <c r="AQ73" s="989">
        <v>5000</v>
      </c>
      <c r="AR73" s="989"/>
      <c r="AS73" s="1544">
        <f>5000-1000</f>
        <v>4000</v>
      </c>
      <c r="AT73" s="1585"/>
      <c r="AU73" s="1561">
        <f t="shared" si="33"/>
        <v>4000</v>
      </c>
      <c r="AV73" s="1447">
        <f t="shared" si="34"/>
        <v>0</v>
      </c>
      <c r="AW73" s="1447">
        <f t="shared" si="35"/>
        <v>0</v>
      </c>
      <c r="AX73" s="1450">
        <f t="shared" si="36"/>
        <v>4000</v>
      </c>
      <c r="AY73" s="1393">
        <f t="shared" si="30"/>
        <v>5095</v>
      </c>
      <c r="AZ73" s="1247">
        <f t="shared" si="31"/>
        <v>0</v>
      </c>
      <c r="BA73" s="1247">
        <f t="shared" si="32"/>
        <v>300</v>
      </c>
      <c r="BB73" s="1385">
        <f t="shared" si="37"/>
        <v>5395</v>
      </c>
    </row>
    <row r="74" spans="1:55" ht="15.6" x14ac:dyDescent="0.3">
      <c r="A74" s="1216">
        <v>6</v>
      </c>
      <c r="B74" s="1221" t="s">
        <v>1907</v>
      </c>
      <c r="C74" s="1223">
        <v>2000</v>
      </c>
      <c r="D74" s="1487">
        <v>2000</v>
      </c>
      <c r="E74" s="1217">
        <v>6</v>
      </c>
      <c r="F74" s="1221" t="s">
        <v>1908</v>
      </c>
      <c r="G74" s="1223">
        <v>1000</v>
      </c>
      <c r="H74" s="1487">
        <v>1000</v>
      </c>
      <c r="I74" s="1217">
        <v>6</v>
      </c>
      <c r="J74" s="1221" t="s">
        <v>1909</v>
      </c>
      <c r="K74" s="1223"/>
      <c r="L74" s="1487"/>
      <c r="M74" s="1217">
        <v>5</v>
      </c>
      <c r="N74" s="1221" t="s">
        <v>1910</v>
      </c>
      <c r="O74" s="1247">
        <v>6300</v>
      </c>
      <c r="P74" s="1247"/>
      <c r="Q74" s="1247"/>
      <c r="R74" s="1424">
        <v>3900</v>
      </c>
      <c r="S74" s="1424"/>
      <c r="T74" s="1424"/>
      <c r="U74" s="1223"/>
      <c r="V74" s="1487"/>
      <c r="W74" s="1223"/>
      <c r="X74" s="1487"/>
      <c r="Y74" s="1223"/>
      <c r="Z74" s="1487"/>
      <c r="AA74" s="1149">
        <v>6</v>
      </c>
      <c r="AB74" s="954" t="s">
        <v>2096</v>
      </c>
      <c r="AC74" s="1219"/>
      <c r="AD74" s="1219">
        <v>221</v>
      </c>
      <c r="AE74" s="1528"/>
      <c r="AF74" s="1528">
        <v>227</v>
      </c>
      <c r="AG74" s="1217">
        <v>6</v>
      </c>
      <c r="AH74" s="1221" t="s">
        <v>1330</v>
      </c>
      <c r="AI74" s="1223"/>
      <c r="AJ74" s="1223"/>
      <c r="AK74" s="1223"/>
      <c r="AL74" s="1487"/>
      <c r="AM74" s="1487"/>
      <c r="AN74" s="1487"/>
      <c r="AO74" s="1149">
        <v>6</v>
      </c>
      <c r="AP74" s="954" t="s">
        <v>1360</v>
      </c>
      <c r="AQ74" s="989">
        <v>4000</v>
      </c>
      <c r="AR74" s="989"/>
      <c r="AS74" s="1544">
        <v>6000</v>
      </c>
      <c r="AT74" s="1585"/>
      <c r="AU74" s="1561">
        <f t="shared" si="33"/>
        <v>9900</v>
      </c>
      <c r="AV74" s="1447">
        <f t="shared" si="34"/>
        <v>227</v>
      </c>
      <c r="AW74" s="1447">
        <f t="shared" si="35"/>
        <v>3000</v>
      </c>
      <c r="AX74" s="1450">
        <f t="shared" si="36"/>
        <v>13127</v>
      </c>
      <c r="AY74" s="1393">
        <f t="shared" si="30"/>
        <v>10300</v>
      </c>
      <c r="AZ74" s="1247">
        <f t="shared" si="31"/>
        <v>221</v>
      </c>
      <c r="BA74" s="1247">
        <f t="shared" si="32"/>
        <v>3000</v>
      </c>
      <c r="BB74" s="1385">
        <f t="shared" si="37"/>
        <v>13521</v>
      </c>
    </row>
    <row r="75" spans="1:55" ht="27" x14ac:dyDescent="0.3">
      <c r="A75" s="1216">
        <v>7</v>
      </c>
      <c r="B75" s="1221"/>
      <c r="C75" s="1223"/>
      <c r="D75" s="1487"/>
      <c r="E75" s="1217">
        <v>7</v>
      </c>
      <c r="F75" s="1218" t="s">
        <v>1330</v>
      </c>
      <c r="G75" s="1223"/>
      <c r="H75" s="1487"/>
      <c r="I75" s="1217">
        <v>7</v>
      </c>
      <c r="J75" s="1221" t="s">
        <v>1909</v>
      </c>
      <c r="K75" s="1223"/>
      <c r="L75" s="1487"/>
      <c r="M75" s="1217">
        <v>6</v>
      </c>
      <c r="N75" s="1221" t="s">
        <v>1330</v>
      </c>
      <c r="O75" s="1247"/>
      <c r="P75" s="1247"/>
      <c r="Q75" s="1247"/>
      <c r="R75" s="1424"/>
      <c r="S75" s="1424"/>
      <c r="T75" s="1424"/>
      <c r="U75" s="1223"/>
      <c r="V75" s="1487"/>
      <c r="W75" s="1223"/>
      <c r="X75" s="1487"/>
      <c r="Y75" s="1223"/>
      <c r="Z75" s="1487"/>
      <c r="AA75" s="1149">
        <v>7</v>
      </c>
      <c r="AB75" s="954" t="s">
        <v>1370</v>
      </c>
      <c r="AC75" s="1219">
        <f>762+3000</f>
        <v>3762</v>
      </c>
      <c r="AD75" s="1219">
        <v>3762</v>
      </c>
      <c r="AE75" s="1528"/>
      <c r="AF75" s="1528"/>
      <c r="AG75" s="1217">
        <v>7</v>
      </c>
      <c r="AH75" s="1221" t="s">
        <v>1911</v>
      </c>
      <c r="AI75" s="1223"/>
      <c r="AJ75" s="1223"/>
      <c r="AK75" s="1223"/>
      <c r="AL75" s="1487"/>
      <c r="AM75" s="1487"/>
      <c r="AN75" s="1487"/>
      <c r="AO75" s="1149">
        <v>7</v>
      </c>
      <c r="AP75" s="954" t="s">
        <v>1366</v>
      </c>
      <c r="AQ75" s="989">
        <v>2000</v>
      </c>
      <c r="AR75" s="989"/>
      <c r="AS75" s="1544">
        <v>2000</v>
      </c>
      <c r="AT75" s="1585"/>
      <c r="AU75" s="1561">
        <f t="shared" si="33"/>
        <v>2000</v>
      </c>
      <c r="AV75" s="1447">
        <f t="shared" si="34"/>
        <v>0</v>
      </c>
      <c r="AW75" s="1447">
        <f t="shared" si="35"/>
        <v>0</v>
      </c>
      <c r="AX75" s="1450">
        <f t="shared" si="36"/>
        <v>2000</v>
      </c>
      <c r="AY75" s="1393">
        <f t="shared" si="30"/>
        <v>5762</v>
      </c>
      <c r="AZ75" s="1247">
        <f t="shared" si="31"/>
        <v>3762</v>
      </c>
      <c r="BA75" s="1247">
        <f t="shared" si="32"/>
        <v>0</v>
      </c>
      <c r="BB75" s="1385">
        <f t="shared" si="37"/>
        <v>9524</v>
      </c>
    </row>
    <row r="76" spans="1:55" ht="15.6" x14ac:dyDescent="0.3">
      <c r="A76" s="1216">
        <v>8</v>
      </c>
      <c r="B76" s="954"/>
      <c r="C76" s="1223"/>
      <c r="D76" s="1487"/>
      <c r="E76" s="1217">
        <v>8</v>
      </c>
      <c r="F76" s="1221"/>
      <c r="G76" s="1223"/>
      <c r="H76" s="1487"/>
      <c r="I76" s="1217">
        <v>8</v>
      </c>
      <c r="J76" s="954" t="s">
        <v>1912</v>
      </c>
      <c r="K76" s="1223">
        <v>432</v>
      </c>
      <c r="L76" s="1487">
        <v>340</v>
      </c>
      <c r="M76" s="1217">
        <v>7</v>
      </c>
      <c r="N76" s="954" t="s">
        <v>2097</v>
      </c>
      <c r="O76" s="1247">
        <f>3360+250</f>
        <v>3610</v>
      </c>
      <c r="P76" s="1247"/>
      <c r="Q76" s="1247"/>
      <c r="R76" s="1424">
        <f>3800-1300</f>
        <v>2500</v>
      </c>
      <c r="S76" s="1424"/>
      <c r="T76" s="1424"/>
      <c r="U76" s="1223"/>
      <c r="V76" s="1487"/>
      <c r="W76" s="1223"/>
      <c r="X76" s="1487"/>
      <c r="Y76" s="1223"/>
      <c r="Z76" s="1487"/>
      <c r="AA76" s="1149">
        <v>8</v>
      </c>
      <c r="AB76" s="954" t="s">
        <v>1376</v>
      </c>
      <c r="AC76" s="1219">
        <v>4500</v>
      </c>
      <c r="AD76" s="1219"/>
      <c r="AE76" s="1528">
        <v>4500</v>
      </c>
      <c r="AF76" s="1528"/>
      <c r="AG76" s="1217">
        <v>8</v>
      </c>
      <c r="AH76" s="1221" t="s">
        <v>1330</v>
      </c>
      <c r="AI76" s="1223"/>
      <c r="AJ76" s="1223"/>
      <c r="AK76" s="1223"/>
      <c r="AL76" s="1487"/>
      <c r="AM76" s="1487"/>
      <c r="AN76" s="1487"/>
      <c r="AO76" s="1149">
        <v>8</v>
      </c>
      <c r="AP76" s="954" t="s">
        <v>1373</v>
      </c>
      <c r="AQ76" s="989">
        <v>6000</v>
      </c>
      <c r="AR76" s="989"/>
      <c r="AS76" s="1544">
        <v>6000</v>
      </c>
      <c r="AT76" s="1585"/>
      <c r="AU76" s="1561">
        <f t="shared" si="33"/>
        <v>13000</v>
      </c>
      <c r="AV76" s="1447">
        <f t="shared" si="34"/>
        <v>0</v>
      </c>
      <c r="AW76" s="1447">
        <f t="shared" si="35"/>
        <v>340</v>
      </c>
      <c r="AX76" s="1450">
        <f t="shared" si="36"/>
        <v>13340</v>
      </c>
      <c r="AY76" s="1393">
        <f t="shared" si="30"/>
        <v>14110</v>
      </c>
      <c r="AZ76" s="1247">
        <f t="shared" si="31"/>
        <v>0</v>
      </c>
      <c r="BA76" s="1247">
        <f t="shared" si="32"/>
        <v>432</v>
      </c>
      <c r="BB76" s="1385">
        <f t="shared" si="37"/>
        <v>14542</v>
      </c>
    </row>
    <row r="77" spans="1:55" ht="15.6" x14ac:dyDescent="0.3">
      <c r="A77" s="1216"/>
      <c r="B77" s="954"/>
      <c r="C77" s="1223"/>
      <c r="D77" s="1487"/>
      <c r="E77" s="1217">
        <v>9</v>
      </c>
      <c r="F77" s="1221"/>
      <c r="G77" s="1223"/>
      <c r="H77" s="1487"/>
      <c r="I77" s="1217"/>
      <c r="J77" s="954" t="s">
        <v>1913</v>
      </c>
      <c r="K77" s="1223">
        <v>500</v>
      </c>
      <c r="L77" s="1487">
        <v>500</v>
      </c>
      <c r="M77" s="1217">
        <v>8</v>
      </c>
      <c r="N77" s="1221" t="s">
        <v>1330</v>
      </c>
      <c r="O77" s="1247"/>
      <c r="P77" s="1247"/>
      <c r="Q77" s="1247"/>
      <c r="R77" s="1424"/>
      <c r="S77" s="1424"/>
      <c r="T77" s="1424"/>
      <c r="U77" s="1223"/>
      <c r="V77" s="1487"/>
      <c r="W77" s="1223"/>
      <c r="X77" s="1487"/>
      <c r="Y77" s="1223"/>
      <c r="Z77" s="1487"/>
      <c r="AA77" s="1149">
        <v>9</v>
      </c>
      <c r="AB77" s="954" t="s">
        <v>1382</v>
      </c>
      <c r="AC77" s="1219">
        <v>300</v>
      </c>
      <c r="AD77" s="1219"/>
      <c r="AE77" s="1528">
        <v>300</v>
      </c>
      <c r="AF77" s="1528"/>
      <c r="AG77" s="1217">
        <v>9</v>
      </c>
      <c r="AH77" s="1221" t="s">
        <v>1330</v>
      </c>
      <c r="AI77" s="1223"/>
      <c r="AJ77" s="1223"/>
      <c r="AK77" s="1223"/>
      <c r="AL77" s="1487"/>
      <c r="AM77" s="1487"/>
      <c r="AN77" s="1487"/>
      <c r="AO77" s="1149">
        <v>9</v>
      </c>
      <c r="AP77" s="954" t="s">
        <v>1914</v>
      </c>
      <c r="AQ77" s="989">
        <v>1000</v>
      </c>
      <c r="AR77" s="989"/>
      <c r="AS77" s="1544">
        <v>1000</v>
      </c>
      <c r="AT77" s="1585"/>
      <c r="AU77" s="1561">
        <f t="shared" si="33"/>
        <v>1300</v>
      </c>
      <c r="AV77" s="1447">
        <f t="shared" si="34"/>
        <v>0</v>
      </c>
      <c r="AW77" s="1447">
        <f t="shared" si="35"/>
        <v>500</v>
      </c>
      <c r="AX77" s="1450">
        <f t="shared" si="36"/>
        <v>1800</v>
      </c>
      <c r="AY77" s="1393">
        <f t="shared" si="30"/>
        <v>1300</v>
      </c>
      <c r="AZ77" s="1247">
        <f t="shared" si="31"/>
        <v>0</v>
      </c>
      <c r="BA77" s="1247">
        <f t="shared" si="32"/>
        <v>500</v>
      </c>
      <c r="BB77" s="1385">
        <f t="shared" si="37"/>
        <v>1800</v>
      </c>
    </row>
    <row r="78" spans="1:55" ht="15.6" x14ac:dyDescent="0.3">
      <c r="A78" s="1216"/>
      <c r="B78" s="954"/>
      <c r="C78" s="1223"/>
      <c r="D78" s="1487"/>
      <c r="E78" s="1217">
        <v>10</v>
      </c>
      <c r="F78" s="1221"/>
      <c r="G78" s="1223"/>
      <c r="H78" s="1487"/>
      <c r="I78" s="1217"/>
      <c r="J78" s="954"/>
      <c r="K78" s="1223"/>
      <c r="L78" s="1487"/>
      <c r="M78" s="1217">
        <v>9</v>
      </c>
      <c r="N78" s="1221" t="s">
        <v>1915</v>
      </c>
      <c r="O78" s="1247">
        <v>1200</v>
      </c>
      <c r="P78" s="1247"/>
      <c r="Q78" s="1247"/>
      <c r="R78" s="1424">
        <f>1200-1100</f>
        <v>100</v>
      </c>
      <c r="S78" s="1424"/>
      <c r="T78" s="1424"/>
      <c r="U78" s="1223"/>
      <c r="V78" s="1487"/>
      <c r="W78" s="1223"/>
      <c r="X78" s="1487"/>
      <c r="Y78" s="1223"/>
      <c r="Z78" s="1487"/>
      <c r="AA78" s="1149">
        <v>10</v>
      </c>
      <c r="AB78" s="954" t="s">
        <v>1389</v>
      </c>
      <c r="AC78" s="1219">
        <v>1000</v>
      </c>
      <c r="AD78" s="1219"/>
      <c r="AE78" s="1528">
        <v>1000</v>
      </c>
      <c r="AF78" s="1528"/>
      <c r="AG78" s="1217">
        <v>10</v>
      </c>
      <c r="AH78" s="1221" t="s">
        <v>1911</v>
      </c>
      <c r="AI78" s="1223"/>
      <c r="AJ78" s="1223"/>
      <c r="AK78" s="1223"/>
      <c r="AL78" s="1487"/>
      <c r="AM78" s="1487"/>
      <c r="AN78" s="1487"/>
      <c r="AO78" s="1149">
        <v>10</v>
      </c>
      <c r="AP78" s="954" t="s">
        <v>1916</v>
      </c>
      <c r="AQ78" s="989">
        <v>7773</v>
      </c>
      <c r="AR78" s="989"/>
      <c r="AS78" s="1544">
        <v>7773</v>
      </c>
      <c r="AT78" s="1585"/>
      <c r="AU78" s="1561">
        <f t="shared" si="33"/>
        <v>8873</v>
      </c>
      <c r="AV78" s="1447">
        <f t="shared" si="34"/>
        <v>0</v>
      </c>
      <c r="AW78" s="1447">
        <f t="shared" si="35"/>
        <v>0</v>
      </c>
      <c r="AX78" s="1450">
        <f t="shared" si="36"/>
        <v>8873</v>
      </c>
      <c r="AY78" s="1393">
        <f t="shared" si="30"/>
        <v>9973</v>
      </c>
      <c r="AZ78" s="1247">
        <f t="shared" si="31"/>
        <v>0</v>
      </c>
      <c r="BA78" s="1247">
        <f t="shared" si="32"/>
        <v>0</v>
      </c>
      <c r="BB78" s="1385">
        <f t="shared" si="37"/>
        <v>9973</v>
      </c>
    </row>
    <row r="79" spans="1:55" ht="27" x14ac:dyDescent="0.3">
      <c r="A79" s="1216"/>
      <c r="B79" s="954"/>
      <c r="C79" s="1223"/>
      <c r="D79" s="1487"/>
      <c r="E79" s="1217">
        <v>11</v>
      </c>
      <c r="F79" s="1221"/>
      <c r="G79" s="1223"/>
      <c r="H79" s="1487"/>
      <c r="I79" s="1217"/>
      <c r="J79" s="954"/>
      <c r="K79" s="1223"/>
      <c r="L79" s="1487"/>
      <c r="M79" s="1217">
        <v>10</v>
      </c>
      <c r="N79" s="1221" t="s">
        <v>1330</v>
      </c>
      <c r="O79" s="1247"/>
      <c r="P79" s="1247"/>
      <c r="Q79" s="1247"/>
      <c r="R79" s="1424"/>
      <c r="S79" s="1424"/>
      <c r="T79" s="1424"/>
      <c r="U79" s="1223"/>
      <c r="V79" s="1487"/>
      <c r="W79" s="1223"/>
      <c r="X79" s="1487"/>
      <c r="Y79" s="1223"/>
      <c r="Z79" s="1487"/>
      <c r="AA79" s="1149">
        <v>11</v>
      </c>
      <c r="AB79" s="954" t="s">
        <v>1394</v>
      </c>
      <c r="AC79" s="1219">
        <v>1000</v>
      </c>
      <c r="AD79" s="1219"/>
      <c r="AE79" s="1528">
        <v>5000</v>
      </c>
      <c r="AF79" s="1528"/>
      <c r="AG79" s="1217">
        <v>11</v>
      </c>
      <c r="AH79" s="1221" t="s">
        <v>1330</v>
      </c>
      <c r="AI79" s="1223"/>
      <c r="AJ79" s="1223"/>
      <c r="AK79" s="1223"/>
      <c r="AL79" s="1487"/>
      <c r="AM79" s="1487"/>
      <c r="AN79" s="1487"/>
      <c r="AO79" s="1149">
        <v>11</v>
      </c>
      <c r="AP79" s="954" t="s">
        <v>1393</v>
      </c>
      <c r="AQ79" s="989">
        <v>1300</v>
      </c>
      <c r="AR79" s="989"/>
      <c r="AS79" s="1544">
        <v>2000</v>
      </c>
      <c r="AT79" s="1585"/>
      <c r="AU79" s="1561">
        <f t="shared" si="33"/>
        <v>7000</v>
      </c>
      <c r="AV79" s="1447">
        <f t="shared" si="34"/>
        <v>0</v>
      </c>
      <c r="AW79" s="1447">
        <f t="shared" si="35"/>
        <v>0</v>
      </c>
      <c r="AX79" s="1450">
        <f t="shared" si="36"/>
        <v>7000</v>
      </c>
      <c r="AY79" s="1393">
        <f t="shared" si="30"/>
        <v>2300</v>
      </c>
      <c r="AZ79" s="1247">
        <f t="shared" si="31"/>
        <v>0</v>
      </c>
      <c r="BA79" s="1247">
        <f t="shared" si="32"/>
        <v>0</v>
      </c>
      <c r="BB79" s="1385">
        <f t="shared" si="37"/>
        <v>2300</v>
      </c>
    </row>
    <row r="80" spans="1:55" ht="15.6" x14ac:dyDescent="0.3">
      <c r="A80" s="1216"/>
      <c r="B80" s="954"/>
      <c r="C80" s="1223"/>
      <c r="D80" s="1487"/>
      <c r="E80" s="1217">
        <v>12</v>
      </c>
      <c r="F80" s="1221"/>
      <c r="G80" s="1223"/>
      <c r="H80" s="1487"/>
      <c r="I80" s="1217"/>
      <c r="J80" s="954"/>
      <c r="K80" s="1223"/>
      <c r="L80" s="1487"/>
      <c r="M80" s="1217">
        <v>11</v>
      </c>
      <c r="N80" s="1221" t="s">
        <v>1917</v>
      </c>
      <c r="O80" s="1247">
        <v>27000</v>
      </c>
      <c r="P80" s="1247"/>
      <c r="Q80" s="1247"/>
      <c r="R80" s="1424">
        <v>27000</v>
      </c>
      <c r="S80" s="1424"/>
      <c r="T80" s="1424"/>
      <c r="U80" s="1223"/>
      <c r="V80" s="1487"/>
      <c r="W80" s="1223"/>
      <c r="X80" s="1487"/>
      <c r="Y80" s="1223"/>
      <c r="Z80" s="1487"/>
      <c r="AA80" s="1149">
        <v>12</v>
      </c>
      <c r="AB80" s="980" t="s">
        <v>1400</v>
      </c>
      <c r="AC80" s="1219">
        <v>3000</v>
      </c>
      <c r="AD80" s="1219"/>
      <c r="AE80" s="1528">
        <v>3000</v>
      </c>
      <c r="AF80" s="1528"/>
      <c r="AG80" s="1217">
        <v>12</v>
      </c>
      <c r="AH80" s="1221" t="s">
        <v>1918</v>
      </c>
      <c r="AI80" s="1223">
        <v>2000</v>
      </c>
      <c r="AJ80" s="1223"/>
      <c r="AK80" s="1223"/>
      <c r="AL80" s="1487">
        <v>2000</v>
      </c>
      <c r="AM80" s="1487"/>
      <c r="AN80" s="1487"/>
      <c r="AO80" s="1149">
        <v>12</v>
      </c>
      <c r="AP80" s="954" t="s">
        <v>1919</v>
      </c>
      <c r="AQ80" s="989">
        <v>4500</v>
      </c>
      <c r="AR80" s="989"/>
      <c r="AS80" s="1544">
        <f>4500-4500</f>
        <v>0</v>
      </c>
      <c r="AT80" s="1585"/>
      <c r="AU80" s="1561">
        <f t="shared" si="33"/>
        <v>32000</v>
      </c>
      <c r="AV80" s="1447">
        <f t="shared" si="34"/>
        <v>0</v>
      </c>
      <c r="AW80" s="1447">
        <f t="shared" si="35"/>
        <v>0</v>
      </c>
      <c r="AX80" s="1450">
        <f t="shared" si="36"/>
        <v>32000</v>
      </c>
      <c r="AY80" s="1393">
        <f t="shared" si="30"/>
        <v>36500</v>
      </c>
      <c r="AZ80" s="1247">
        <f t="shared" si="31"/>
        <v>0</v>
      </c>
      <c r="BA80" s="1247">
        <f t="shared" si="32"/>
        <v>0</v>
      </c>
      <c r="BB80" s="1385">
        <f t="shared" si="37"/>
        <v>36500</v>
      </c>
    </row>
    <row r="81" spans="1:54" ht="15.6" x14ac:dyDescent="0.3">
      <c r="A81" s="1216"/>
      <c r="B81" s="954"/>
      <c r="C81" s="1223"/>
      <c r="D81" s="1487"/>
      <c r="E81" s="1217">
        <v>13</v>
      </c>
      <c r="F81" s="954"/>
      <c r="G81" s="1223"/>
      <c r="H81" s="1487"/>
      <c r="I81" s="1217"/>
      <c r="J81" s="954"/>
      <c r="K81" s="1223"/>
      <c r="L81" s="1487"/>
      <c r="M81" s="1217">
        <v>12</v>
      </c>
      <c r="N81" s="1221" t="s">
        <v>1330</v>
      </c>
      <c r="O81" s="1247"/>
      <c r="P81" s="1247"/>
      <c r="Q81" s="1247"/>
      <c r="R81" s="1424"/>
      <c r="S81" s="1424"/>
      <c r="T81" s="1424"/>
      <c r="U81" s="1223"/>
      <c r="V81" s="1487"/>
      <c r="W81" s="1223"/>
      <c r="X81" s="1487"/>
      <c r="Y81" s="1223"/>
      <c r="Z81" s="1487"/>
      <c r="AA81" s="1149">
        <v>13</v>
      </c>
      <c r="AB81" s="980" t="s">
        <v>1406</v>
      </c>
      <c r="AC81" s="1219"/>
      <c r="AD81" s="1219">
        <v>7620</v>
      </c>
      <c r="AE81" s="1528"/>
      <c r="AF81" s="1528">
        <v>7620</v>
      </c>
      <c r="AG81" s="1217">
        <v>13</v>
      </c>
      <c r="AH81" s="1221" t="s">
        <v>1330</v>
      </c>
      <c r="AI81" s="1223"/>
      <c r="AJ81" s="1223"/>
      <c r="AK81" s="1223"/>
      <c r="AL81" s="1487"/>
      <c r="AM81" s="1487"/>
      <c r="AN81" s="1487"/>
      <c r="AO81" s="1149">
        <v>13</v>
      </c>
      <c r="AP81" s="954" t="s">
        <v>1920</v>
      </c>
      <c r="AQ81" s="989">
        <v>14000</v>
      </c>
      <c r="AR81" s="989"/>
      <c r="AS81" s="1544">
        <v>14000</v>
      </c>
      <c r="AT81" s="1585"/>
      <c r="AU81" s="1561">
        <f t="shared" si="33"/>
        <v>14000</v>
      </c>
      <c r="AV81" s="1447">
        <f t="shared" si="34"/>
        <v>7620</v>
      </c>
      <c r="AW81" s="1447">
        <f t="shared" si="35"/>
        <v>0</v>
      </c>
      <c r="AX81" s="1450">
        <f t="shared" si="36"/>
        <v>21620</v>
      </c>
      <c r="AY81" s="1393">
        <f t="shared" si="30"/>
        <v>14000</v>
      </c>
      <c r="AZ81" s="1247">
        <f t="shared" si="31"/>
        <v>7620</v>
      </c>
      <c r="BA81" s="1247">
        <f t="shared" si="32"/>
        <v>0</v>
      </c>
      <c r="BB81" s="1385">
        <f t="shared" si="37"/>
        <v>21620</v>
      </c>
    </row>
    <row r="82" spans="1:54" ht="15.6" x14ac:dyDescent="0.3">
      <c r="A82" s="1216"/>
      <c r="B82" s="954"/>
      <c r="C82" s="1223"/>
      <c r="D82" s="1487"/>
      <c r="E82" s="1217"/>
      <c r="F82" s="954"/>
      <c r="G82" s="1223"/>
      <c r="H82" s="1487"/>
      <c r="I82" s="1217"/>
      <c r="J82" s="954"/>
      <c r="K82" s="1223"/>
      <c r="L82" s="1487"/>
      <c r="M82" s="1217">
        <v>13</v>
      </c>
      <c r="N82" s="1221" t="s">
        <v>1921</v>
      </c>
      <c r="O82" s="1247">
        <v>13000</v>
      </c>
      <c r="P82" s="1247"/>
      <c r="Q82" s="1247"/>
      <c r="R82" s="1424">
        <v>14000</v>
      </c>
      <c r="S82" s="1424"/>
      <c r="T82" s="1424"/>
      <c r="U82" s="1223"/>
      <c r="V82" s="1487"/>
      <c r="W82" s="1223"/>
      <c r="X82" s="1487"/>
      <c r="Y82" s="1223"/>
      <c r="Z82" s="1487"/>
      <c r="AA82" s="1149">
        <v>14</v>
      </c>
      <c r="AB82" s="954" t="s">
        <v>1412</v>
      </c>
      <c r="AC82" s="1219"/>
      <c r="AD82" s="1219">
        <v>254</v>
      </c>
      <c r="AE82" s="1528"/>
      <c r="AF82" s="1528">
        <v>254</v>
      </c>
      <c r="AG82" s="1217">
        <v>14</v>
      </c>
      <c r="AH82" s="1221" t="s">
        <v>1922</v>
      </c>
      <c r="AI82" s="1223"/>
      <c r="AJ82" s="1223"/>
      <c r="AK82" s="1223"/>
      <c r="AL82" s="1487"/>
      <c r="AM82" s="1487"/>
      <c r="AN82" s="1487"/>
      <c r="AO82" s="1149">
        <v>14</v>
      </c>
      <c r="AP82" s="954" t="s">
        <v>1410</v>
      </c>
      <c r="AQ82" s="989">
        <v>1000</v>
      </c>
      <c r="AR82" s="989"/>
      <c r="AS82" s="1544">
        <f>1000-287</f>
        <v>713</v>
      </c>
      <c r="AT82" s="1585"/>
      <c r="AU82" s="1561">
        <f t="shared" si="33"/>
        <v>14713</v>
      </c>
      <c r="AV82" s="1447">
        <f t="shared" si="34"/>
        <v>254</v>
      </c>
      <c r="AW82" s="1447">
        <f t="shared" si="35"/>
        <v>0</v>
      </c>
      <c r="AX82" s="1450">
        <f t="shared" si="36"/>
        <v>14967</v>
      </c>
      <c r="AY82" s="1393">
        <f t="shared" si="30"/>
        <v>14000</v>
      </c>
      <c r="AZ82" s="1247">
        <f t="shared" si="31"/>
        <v>254</v>
      </c>
      <c r="BA82" s="1247">
        <f t="shared" si="32"/>
        <v>0</v>
      </c>
      <c r="BB82" s="1385">
        <f t="shared" si="37"/>
        <v>14254</v>
      </c>
    </row>
    <row r="83" spans="1:54" ht="15.6" x14ac:dyDescent="0.3">
      <c r="A83" s="1216"/>
      <c r="B83" s="954"/>
      <c r="C83" s="1223"/>
      <c r="D83" s="1487"/>
      <c r="E83" s="1217"/>
      <c r="F83" s="954"/>
      <c r="G83" s="1223"/>
      <c r="H83" s="1487"/>
      <c r="I83" s="1217"/>
      <c r="J83" s="954"/>
      <c r="K83" s="1223"/>
      <c r="L83" s="1487"/>
      <c r="M83" s="1217">
        <v>14</v>
      </c>
      <c r="N83" s="1221" t="s">
        <v>1330</v>
      </c>
      <c r="O83" s="1247"/>
      <c r="P83" s="1247"/>
      <c r="Q83" s="1247"/>
      <c r="R83" s="1424"/>
      <c r="S83" s="1424"/>
      <c r="T83" s="1424"/>
      <c r="U83" s="1223"/>
      <c r="V83" s="1487"/>
      <c r="W83" s="1223"/>
      <c r="X83" s="1487"/>
      <c r="Y83" s="1223"/>
      <c r="Z83" s="1487"/>
      <c r="AA83" s="1149">
        <v>15</v>
      </c>
      <c r="AB83" s="980" t="s">
        <v>1417</v>
      </c>
      <c r="AC83" s="1219"/>
      <c r="AD83" s="1219">
        <v>3000</v>
      </c>
      <c r="AE83" s="1528"/>
      <c r="AF83" s="1528">
        <f>3000-3000</f>
        <v>0</v>
      </c>
      <c r="AG83" s="1217">
        <v>15</v>
      </c>
      <c r="AH83" s="1221"/>
      <c r="AI83" s="1223"/>
      <c r="AJ83" s="1223"/>
      <c r="AK83" s="1223"/>
      <c r="AL83" s="1487"/>
      <c r="AM83" s="1487"/>
      <c r="AN83" s="1487"/>
      <c r="AO83" s="1149">
        <v>15</v>
      </c>
      <c r="AP83" s="954" t="s">
        <v>1416</v>
      </c>
      <c r="AQ83" s="989">
        <v>1000</v>
      </c>
      <c r="AR83" s="989"/>
      <c r="AS83" s="1544">
        <v>1000</v>
      </c>
      <c r="AT83" s="1585"/>
      <c r="AU83" s="1561">
        <f t="shared" si="33"/>
        <v>1000</v>
      </c>
      <c r="AV83" s="1447">
        <f t="shared" si="34"/>
        <v>0</v>
      </c>
      <c r="AW83" s="1447">
        <f t="shared" si="35"/>
        <v>0</v>
      </c>
      <c r="AX83" s="1450">
        <f t="shared" si="36"/>
        <v>1000</v>
      </c>
      <c r="AY83" s="1393">
        <f t="shared" si="30"/>
        <v>1000</v>
      </c>
      <c r="AZ83" s="1247">
        <f t="shared" si="31"/>
        <v>3000</v>
      </c>
      <c r="BA83" s="1247">
        <f t="shared" si="32"/>
        <v>0</v>
      </c>
      <c r="BB83" s="1385">
        <f t="shared" si="37"/>
        <v>4000</v>
      </c>
    </row>
    <row r="84" spans="1:54" ht="15.6" x14ac:dyDescent="0.3">
      <c r="A84" s="1216"/>
      <c r="B84" s="954"/>
      <c r="C84" s="1223"/>
      <c r="D84" s="1487"/>
      <c r="E84" s="1217"/>
      <c r="F84" s="954"/>
      <c r="G84" s="1223"/>
      <c r="H84" s="1487"/>
      <c r="I84" s="1217"/>
      <c r="J84" s="954"/>
      <c r="K84" s="1223"/>
      <c r="L84" s="1487"/>
      <c r="M84" s="1217">
        <v>15</v>
      </c>
      <c r="N84" s="1221" t="s">
        <v>1923</v>
      </c>
      <c r="O84" s="1247">
        <v>2000</v>
      </c>
      <c r="P84" s="1247"/>
      <c r="Q84" s="1247"/>
      <c r="R84" s="1424">
        <v>4500</v>
      </c>
      <c r="S84" s="1424"/>
      <c r="T84" s="1424"/>
      <c r="U84" s="1223"/>
      <c r="V84" s="1487"/>
      <c r="W84" s="1223"/>
      <c r="X84" s="1487"/>
      <c r="Y84" s="1223"/>
      <c r="Z84" s="1487"/>
      <c r="AA84" s="1149">
        <v>16</v>
      </c>
      <c r="AB84" s="981" t="s">
        <v>2098</v>
      </c>
      <c r="AC84" s="1219"/>
      <c r="AD84" s="1219"/>
      <c r="AE84" s="1528">
        <v>1350</v>
      </c>
      <c r="AF84" s="1528"/>
      <c r="AG84" s="1217">
        <v>16</v>
      </c>
      <c r="AH84" s="954"/>
      <c r="AI84" s="1223"/>
      <c r="AJ84" s="1223"/>
      <c r="AK84" s="1223"/>
      <c r="AL84" s="1487"/>
      <c r="AM84" s="1487"/>
      <c r="AN84" s="1487"/>
      <c r="AO84" s="1149">
        <v>16</v>
      </c>
      <c r="AP84" s="954" t="s">
        <v>1924</v>
      </c>
      <c r="AQ84" s="989">
        <v>1270</v>
      </c>
      <c r="AR84" s="989"/>
      <c r="AS84" s="1544">
        <v>1270</v>
      </c>
      <c r="AT84" s="1585"/>
      <c r="AU84" s="1561">
        <f t="shared" si="33"/>
        <v>7120</v>
      </c>
      <c r="AV84" s="1447">
        <f t="shared" si="34"/>
        <v>0</v>
      </c>
      <c r="AW84" s="1447">
        <f t="shared" si="35"/>
        <v>0</v>
      </c>
      <c r="AX84" s="1450">
        <f t="shared" si="36"/>
        <v>7120</v>
      </c>
      <c r="AY84" s="1393">
        <f t="shared" si="30"/>
        <v>3270</v>
      </c>
      <c r="AZ84" s="1247">
        <f t="shared" si="31"/>
        <v>0</v>
      </c>
      <c r="BA84" s="1247">
        <f t="shared" si="32"/>
        <v>0</v>
      </c>
      <c r="BB84" s="1385">
        <f t="shared" si="37"/>
        <v>3270</v>
      </c>
    </row>
    <row r="85" spans="1:54" ht="15.6" x14ac:dyDescent="0.3">
      <c r="A85" s="1216"/>
      <c r="B85" s="954"/>
      <c r="C85" s="1223"/>
      <c r="D85" s="1487"/>
      <c r="E85" s="1217"/>
      <c r="F85" s="954"/>
      <c r="G85" s="1223"/>
      <c r="H85" s="1487"/>
      <c r="I85" s="1217"/>
      <c r="J85" s="954"/>
      <c r="K85" s="1223"/>
      <c r="L85" s="1487"/>
      <c r="M85" s="1217">
        <v>16</v>
      </c>
      <c r="N85" s="1221" t="s">
        <v>1330</v>
      </c>
      <c r="O85" s="1247"/>
      <c r="P85" s="1247"/>
      <c r="Q85" s="1247"/>
      <c r="R85" s="1424"/>
      <c r="S85" s="1424"/>
      <c r="T85" s="1424"/>
      <c r="U85" s="1223"/>
      <c r="V85" s="1487"/>
      <c r="W85" s="1223"/>
      <c r="X85" s="1487"/>
      <c r="Y85" s="1223"/>
      <c r="Z85" s="1487"/>
      <c r="AA85" s="1149">
        <v>17</v>
      </c>
      <c r="AB85" s="956" t="s">
        <v>1925</v>
      </c>
      <c r="AC85" s="1219"/>
      <c r="AD85" s="1219">
        <v>4877</v>
      </c>
      <c r="AE85" s="1528"/>
      <c r="AF85" s="1528"/>
      <c r="AG85" s="1217"/>
      <c r="AH85" s="954"/>
      <c r="AI85" s="1223"/>
      <c r="AJ85" s="1223"/>
      <c r="AK85" s="1223"/>
      <c r="AL85" s="1487"/>
      <c r="AM85" s="1487"/>
      <c r="AN85" s="1487"/>
      <c r="AO85" s="1149">
        <v>17</v>
      </c>
      <c r="AP85" s="954" t="s">
        <v>1424</v>
      </c>
      <c r="AQ85" s="989">
        <v>400</v>
      </c>
      <c r="AR85" s="989"/>
      <c r="AS85" s="1544">
        <v>400</v>
      </c>
      <c r="AT85" s="1585"/>
      <c r="AU85" s="1561">
        <f t="shared" si="33"/>
        <v>400</v>
      </c>
      <c r="AV85" s="1447">
        <f t="shared" si="34"/>
        <v>0</v>
      </c>
      <c r="AW85" s="1447">
        <f t="shared" si="35"/>
        <v>0</v>
      </c>
      <c r="AX85" s="1450">
        <f t="shared" si="36"/>
        <v>400</v>
      </c>
      <c r="AY85" s="1393">
        <f t="shared" si="30"/>
        <v>400</v>
      </c>
      <c r="AZ85" s="1247">
        <f t="shared" si="31"/>
        <v>4877</v>
      </c>
      <c r="BA85" s="1247">
        <f t="shared" si="32"/>
        <v>0</v>
      </c>
      <c r="BB85" s="1385">
        <f t="shared" si="37"/>
        <v>5277</v>
      </c>
    </row>
    <row r="86" spans="1:54" ht="15.6" x14ac:dyDescent="0.3">
      <c r="A86" s="1216"/>
      <c r="B86" s="954"/>
      <c r="C86" s="1223"/>
      <c r="D86" s="1487"/>
      <c r="E86" s="1217"/>
      <c r="F86" s="954"/>
      <c r="G86" s="1223"/>
      <c r="H86" s="1487"/>
      <c r="I86" s="1217"/>
      <c r="J86" s="954"/>
      <c r="K86" s="1223"/>
      <c r="L86" s="1487"/>
      <c r="M86" s="1217">
        <v>17</v>
      </c>
      <c r="N86" s="1221" t="s">
        <v>1926</v>
      </c>
      <c r="O86" s="1247">
        <v>14680</v>
      </c>
      <c r="P86" s="1247"/>
      <c r="Q86" s="1247"/>
      <c r="R86" s="1424">
        <f>14680-14000</f>
        <v>680</v>
      </c>
      <c r="S86" s="1424"/>
      <c r="T86" s="1424"/>
      <c r="U86" s="1223"/>
      <c r="V86" s="1487"/>
      <c r="W86" s="1223"/>
      <c r="X86" s="1487"/>
      <c r="Y86" s="1223"/>
      <c r="Z86" s="1487"/>
      <c r="AA86" s="1149">
        <v>18</v>
      </c>
      <c r="AB86" s="956" t="s">
        <v>2099</v>
      </c>
      <c r="AC86" s="1219"/>
      <c r="AD86" s="1219"/>
      <c r="AE86" s="1528"/>
      <c r="AF86" s="1528">
        <v>9144</v>
      </c>
      <c r="AG86" s="1217"/>
      <c r="AH86" s="954"/>
      <c r="AI86" s="1223"/>
      <c r="AJ86" s="1223"/>
      <c r="AK86" s="1223"/>
      <c r="AL86" s="1487"/>
      <c r="AM86" s="1487"/>
      <c r="AN86" s="1487"/>
      <c r="AO86" s="1149">
        <v>18</v>
      </c>
      <c r="AP86" s="954" t="s">
        <v>1927</v>
      </c>
      <c r="AQ86" s="989">
        <v>3175</v>
      </c>
      <c r="AR86" s="989"/>
      <c r="AS86" s="1544">
        <v>3175</v>
      </c>
      <c r="AT86" s="1585"/>
      <c r="AU86" s="1561">
        <f t="shared" si="33"/>
        <v>3855</v>
      </c>
      <c r="AV86" s="1447">
        <f t="shared" si="34"/>
        <v>9144</v>
      </c>
      <c r="AW86" s="1447">
        <f t="shared" si="35"/>
        <v>0</v>
      </c>
      <c r="AX86" s="1450">
        <f t="shared" si="36"/>
        <v>12999</v>
      </c>
      <c r="AY86" s="1393">
        <f t="shared" si="30"/>
        <v>17855</v>
      </c>
      <c r="AZ86" s="1247">
        <f t="shared" si="31"/>
        <v>0</v>
      </c>
      <c r="BA86" s="1247">
        <f t="shared" si="32"/>
        <v>0</v>
      </c>
      <c r="BB86" s="1385">
        <f t="shared" si="37"/>
        <v>17855</v>
      </c>
    </row>
    <row r="87" spans="1:54" ht="15.6" x14ac:dyDescent="0.3">
      <c r="A87" s="1216"/>
      <c r="B87" s="954"/>
      <c r="C87" s="1223"/>
      <c r="D87" s="1487"/>
      <c r="E87" s="1217"/>
      <c r="F87" s="954"/>
      <c r="G87" s="1223"/>
      <c r="H87" s="1487"/>
      <c r="I87" s="1217"/>
      <c r="J87" s="954"/>
      <c r="K87" s="1223"/>
      <c r="L87" s="1487"/>
      <c r="M87" s="1217">
        <v>18</v>
      </c>
      <c r="N87" s="1221" t="s">
        <v>1928</v>
      </c>
      <c r="O87" s="1247">
        <v>20320</v>
      </c>
      <c r="P87" s="1247"/>
      <c r="Q87" s="1247"/>
      <c r="R87" s="1424">
        <v>20320</v>
      </c>
      <c r="S87" s="1424"/>
      <c r="T87" s="1424"/>
      <c r="U87" s="1223"/>
      <c r="V87" s="1487"/>
      <c r="W87" s="1223"/>
      <c r="X87" s="1487"/>
      <c r="Y87" s="1223"/>
      <c r="Z87" s="1487"/>
      <c r="AA87" s="1149">
        <v>20</v>
      </c>
      <c r="AB87" s="956" t="s">
        <v>1929</v>
      </c>
      <c r="AC87" s="1219">
        <v>6588</v>
      </c>
      <c r="AD87" s="1219"/>
      <c r="AE87" s="1528"/>
      <c r="AF87" s="1528"/>
      <c r="AG87" s="1217"/>
      <c r="AH87" s="954"/>
      <c r="AI87" s="1223"/>
      <c r="AJ87" s="1223"/>
      <c r="AK87" s="1223"/>
      <c r="AL87" s="1487"/>
      <c r="AM87" s="1487"/>
      <c r="AN87" s="1487"/>
      <c r="AO87" s="1149">
        <v>19</v>
      </c>
      <c r="AP87" s="954" t="s">
        <v>1435</v>
      </c>
      <c r="AQ87" s="989">
        <v>575</v>
      </c>
      <c r="AR87" s="989"/>
      <c r="AS87" s="1544">
        <v>600</v>
      </c>
      <c r="AT87" s="1585"/>
      <c r="AU87" s="1561">
        <f t="shared" si="33"/>
        <v>20920</v>
      </c>
      <c r="AV87" s="1447">
        <f t="shared" si="34"/>
        <v>0</v>
      </c>
      <c r="AW87" s="1447">
        <f t="shared" si="35"/>
        <v>0</v>
      </c>
      <c r="AX87" s="1450">
        <f t="shared" si="36"/>
        <v>20920</v>
      </c>
      <c r="AY87" s="1393">
        <f t="shared" si="30"/>
        <v>27483</v>
      </c>
      <c r="AZ87" s="1247">
        <f t="shared" si="31"/>
        <v>0</v>
      </c>
      <c r="BA87" s="1247">
        <f t="shared" si="32"/>
        <v>0</v>
      </c>
      <c r="BB87" s="1385">
        <f t="shared" si="37"/>
        <v>27483</v>
      </c>
    </row>
    <row r="88" spans="1:54" ht="15.6" x14ac:dyDescent="0.3">
      <c r="A88" s="1216"/>
      <c r="B88" s="954"/>
      <c r="C88" s="1223"/>
      <c r="D88" s="1487"/>
      <c r="E88" s="1217"/>
      <c r="F88" s="954"/>
      <c r="G88" s="1223"/>
      <c r="H88" s="1487"/>
      <c r="I88" s="1217"/>
      <c r="J88" s="954"/>
      <c r="K88" s="1223"/>
      <c r="L88" s="1487"/>
      <c r="M88" s="1217">
        <v>19</v>
      </c>
      <c r="N88" s="1221" t="s">
        <v>1330</v>
      </c>
      <c r="O88" s="1247"/>
      <c r="P88" s="1247"/>
      <c r="Q88" s="1247"/>
      <c r="R88" s="1424"/>
      <c r="S88" s="1424"/>
      <c r="T88" s="1424"/>
      <c r="U88" s="1223"/>
      <c r="V88" s="1487"/>
      <c r="W88" s="1223"/>
      <c r="X88" s="1487"/>
      <c r="Y88" s="1223"/>
      <c r="Z88" s="1487"/>
      <c r="AA88" s="1149">
        <v>21</v>
      </c>
      <c r="AB88" s="956" t="s">
        <v>1831</v>
      </c>
      <c r="AC88" s="1219">
        <v>6588</v>
      </c>
      <c r="AD88" s="1219"/>
      <c r="AE88" s="1528"/>
      <c r="AF88" s="1528"/>
      <c r="AG88" s="1217"/>
      <c r="AH88" s="954"/>
      <c r="AI88" s="1223"/>
      <c r="AJ88" s="1223"/>
      <c r="AK88" s="1223"/>
      <c r="AL88" s="1487"/>
      <c r="AM88" s="1487"/>
      <c r="AN88" s="1487"/>
      <c r="AO88" s="1149">
        <v>20</v>
      </c>
      <c r="AP88" s="954" t="s">
        <v>1441</v>
      </c>
      <c r="AQ88" s="989">
        <v>9500</v>
      </c>
      <c r="AR88" s="989"/>
      <c r="AS88" s="1544"/>
      <c r="AT88" s="1585"/>
      <c r="AU88" s="1561">
        <f t="shared" si="33"/>
        <v>0</v>
      </c>
      <c r="AV88" s="1447">
        <f t="shared" si="34"/>
        <v>0</v>
      </c>
      <c r="AW88" s="1447">
        <f t="shared" si="35"/>
        <v>0</v>
      </c>
      <c r="AX88" s="1450">
        <f t="shared" si="36"/>
        <v>0</v>
      </c>
      <c r="AY88" s="1393">
        <f t="shared" si="30"/>
        <v>16088</v>
      </c>
      <c r="AZ88" s="1247">
        <f t="shared" si="31"/>
        <v>0</v>
      </c>
      <c r="BA88" s="1247">
        <f t="shared" si="32"/>
        <v>0</v>
      </c>
      <c r="BB88" s="1385">
        <f t="shared" si="37"/>
        <v>16088</v>
      </c>
    </row>
    <row r="89" spans="1:54" ht="15.6" x14ac:dyDescent="0.3">
      <c r="A89" s="1216"/>
      <c r="B89" s="954"/>
      <c r="C89" s="1223"/>
      <c r="D89" s="1487"/>
      <c r="E89" s="1217"/>
      <c r="F89" s="954"/>
      <c r="G89" s="1223"/>
      <c r="H89" s="1487"/>
      <c r="I89" s="1217"/>
      <c r="J89" s="954"/>
      <c r="K89" s="1223"/>
      <c r="L89" s="1487"/>
      <c r="M89" s="1217">
        <v>20</v>
      </c>
      <c r="N89" s="1221" t="s">
        <v>1930</v>
      </c>
      <c r="O89" s="1247">
        <v>14376</v>
      </c>
      <c r="P89" s="1247"/>
      <c r="Q89" s="1247"/>
      <c r="R89" s="1424">
        <v>15000</v>
      </c>
      <c r="S89" s="1424"/>
      <c r="T89" s="1424"/>
      <c r="U89" s="1223"/>
      <c r="V89" s="1487"/>
      <c r="W89" s="1223"/>
      <c r="X89" s="1487"/>
      <c r="Y89" s="1223"/>
      <c r="Z89" s="1487"/>
      <c r="AA89" s="1149">
        <v>22</v>
      </c>
      <c r="AB89" s="1016"/>
      <c r="AC89" s="1219"/>
      <c r="AD89" s="1219"/>
      <c r="AE89" s="1528"/>
      <c r="AF89" s="1528"/>
      <c r="AG89" s="1217"/>
      <c r="AH89" s="954"/>
      <c r="AI89" s="1223"/>
      <c r="AJ89" s="1223"/>
      <c r="AK89" s="1223"/>
      <c r="AL89" s="1487"/>
      <c r="AM89" s="1487"/>
      <c r="AN89" s="1487"/>
      <c r="AO89" s="1149">
        <v>21</v>
      </c>
      <c r="AP89" s="954" t="s">
        <v>1447</v>
      </c>
      <c r="AQ89" s="989">
        <v>2400</v>
      </c>
      <c r="AR89" s="989"/>
      <c r="AS89" s="1544">
        <v>1891</v>
      </c>
      <c r="AT89" s="1585"/>
      <c r="AU89" s="1561">
        <f t="shared" si="33"/>
        <v>16891</v>
      </c>
      <c r="AV89" s="1447">
        <f t="shared" si="34"/>
        <v>0</v>
      </c>
      <c r="AW89" s="1447">
        <f t="shared" si="35"/>
        <v>0</v>
      </c>
      <c r="AX89" s="1450">
        <f t="shared" si="36"/>
        <v>16891</v>
      </c>
      <c r="AY89" s="1393">
        <f t="shared" si="30"/>
        <v>16776</v>
      </c>
      <c r="AZ89" s="1247">
        <f t="shared" si="31"/>
        <v>0</v>
      </c>
      <c r="BA89" s="1247">
        <f t="shared" si="32"/>
        <v>0</v>
      </c>
      <c r="BB89" s="1385">
        <f t="shared" si="37"/>
        <v>16776</v>
      </c>
    </row>
    <row r="90" spans="1:54" ht="15.6" x14ac:dyDescent="0.3">
      <c r="A90" s="1216"/>
      <c r="B90" s="954"/>
      <c r="C90" s="1223"/>
      <c r="D90" s="1487"/>
      <c r="E90" s="1217"/>
      <c r="F90" s="954"/>
      <c r="G90" s="1223"/>
      <c r="H90" s="1487"/>
      <c r="I90" s="1217"/>
      <c r="J90" s="954"/>
      <c r="K90" s="1223"/>
      <c r="L90" s="1487"/>
      <c r="M90" s="1217">
        <v>21</v>
      </c>
      <c r="N90" s="1221" t="s">
        <v>1330</v>
      </c>
      <c r="O90" s="1247"/>
      <c r="P90" s="1247"/>
      <c r="Q90" s="1247"/>
      <c r="R90" s="1424"/>
      <c r="S90" s="1424"/>
      <c r="T90" s="1424"/>
      <c r="U90" s="1223"/>
      <c r="V90" s="1487"/>
      <c r="W90" s="1223"/>
      <c r="X90" s="1487"/>
      <c r="Y90" s="1223"/>
      <c r="Z90" s="1487"/>
      <c r="AA90" s="1149">
        <v>23</v>
      </c>
      <c r="AB90" s="954"/>
      <c r="AC90" s="1219"/>
      <c r="AD90" s="1219"/>
      <c r="AE90" s="1528"/>
      <c r="AF90" s="1528"/>
      <c r="AG90" s="1217"/>
      <c r="AH90" s="954"/>
      <c r="AI90" s="1223"/>
      <c r="AJ90" s="1223"/>
      <c r="AK90" s="1223"/>
      <c r="AL90" s="1487"/>
      <c r="AM90" s="1487"/>
      <c r="AN90" s="1487"/>
      <c r="AO90" s="1149">
        <v>22</v>
      </c>
      <c r="AP90" s="954" t="s">
        <v>1452</v>
      </c>
      <c r="AQ90" s="989"/>
      <c r="AR90" s="989"/>
      <c r="AS90" s="1544">
        <v>1500</v>
      </c>
      <c r="AT90" s="1585"/>
      <c r="AU90" s="1561">
        <f t="shared" si="33"/>
        <v>1500</v>
      </c>
      <c r="AV90" s="1447">
        <f t="shared" si="34"/>
        <v>0</v>
      </c>
      <c r="AW90" s="1447">
        <f t="shared" si="35"/>
        <v>0</v>
      </c>
      <c r="AX90" s="1450">
        <f t="shared" si="36"/>
        <v>1500</v>
      </c>
      <c r="AY90" s="1393">
        <f t="shared" si="30"/>
        <v>0</v>
      </c>
      <c r="AZ90" s="1247">
        <f t="shared" si="31"/>
        <v>0</v>
      </c>
      <c r="BA90" s="1247">
        <f t="shared" si="32"/>
        <v>0</v>
      </c>
      <c r="BB90" s="1385">
        <f t="shared" si="37"/>
        <v>0</v>
      </c>
    </row>
    <row r="91" spans="1:54" ht="15.6" x14ac:dyDescent="0.3">
      <c r="A91" s="1216"/>
      <c r="B91" s="954"/>
      <c r="C91" s="1223"/>
      <c r="D91" s="1487"/>
      <c r="E91" s="1217"/>
      <c r="F91" s="954"/>
      <c r="G91" s="1223"/>
      <c r="H91" s="1487"/>
      <c r="I91" s="1217"/>
      <c r="J91" s="954"/>
      <c r="K91" s="1223"/>
      <c r="L91" s="1487"/>
      <c r="M91" s="1217">
        <v>22</v>
      </c>
      <c r="N91" s="954" t="s">
        <v>2100</v>
      </c>
      <c r="O91" s="1247">
        <f>35700+3500+1000</f>
        <v>40200</v>
      </c>
      <c r="P91" s="1247"/>
      <c r="Q91" s="1247"/>
      <c r="R91" s="1424">
        <f>40200-7200</f>
        <v>33000</v>
      </c>
      <c r="S91" s="1424"/>
      <c r="T91" s="1424"/>
      <c r="U91" s="1223"/>
      <c r="V91" s="1487"/>
      <c r="W91" s="1223"/>
      <c r="X91" s="1487"/>
      <c r="Y91" s="1223"/>
      <c r="Z91" s="1487"/>
      <c r="AA91" s="1149">
        <v>24</v>
      </c>
      <c r="AB91" s="954" t="s">
        <v>1459</v>
      </c>
      <c r="AC91" s="1219"/>
      <c r="AD91" s="1219"/>
      <c r="AE91" s="1528"/>
      <c r="AF91" s="1528"/>
      <c r="AG91" s="1217"/>
      <c r="AH91" s="954"/>
      <c r="AI91" s="1223"/>
      <c r="AJ91" s="1223"/>
      <c r="AK91" s="1223"/>
      <c r="AL91" s="1487"/>
      <c r="AM91" s="1487"/>
      <c r="AN91" s="1487"/>
      <c r="AO91" s="1149">
        <v>23</v>
      </c>
      <c r="AP91" s="954" t="s">
        <v>1457</v>
      </c>
      <c r="AQ91" s="989">
        <v>150</v>
      </c>
      <c r="AR91" s="989"/>
      <c r="AS91" s="1544">
        <v>124</v>
      </c>
      <c r="AT91" s="1585"/>
      <c r="AU91" s="1561">
        <f t="shared" si="33"/>
        <v>33124</v>
      </c>
      <c r="AV91" s="1447">
        <f t="shared" si="34"/>
        <v>0</v>
      </c>
      <c r="AW91" s="1447">
        <f t="shared" si="35"/>
        <v>0</v>
      </c>
      <c r="AX91" s="1450">
        <f t="shared" si="36"/>
        <v>33124</v>
      </c>
      <c r="AY91" s="1393">
        <f t="shared" si="30"/>
        <v>40350</v>
      </c>
      <c r="AZ91" s="1247">
        <f t="shared" si="31"/>
        <v>0</v>
      </c>
      <c r="BA91" s="1247">
        <f t="shared" si="32"/>
        <v>0</v>
      </c>
      <c r="BB91" s="1385">
        <f t="shared" si="37"/>
        <v>40350</v>
      </c>
    </row>
    <row r="92" spans="1:54" ht="15.6" x14ac:dyDescent="0.3">
      <c r="A92" s="1216"/>
      <c r="B92" s="954"/>
      <c r="C92" s="1223"/>
      <c r="D92" s="1487"/>
      <c r="E92" s="1217"/>
      <c r="F92" s="954"/>
      <c r="G92" s="1223"/>
      <c r="H92" s="1487"/>
      <c r="I92" s="1217"/>
      <c r="J92" s="954"/>
      <c r="K92" s="1223"/>
      <c r="L92" s="1487"/>
      <c r="M92" s="1217">
        <v>23</v>
      </c>
      <c r="N92" s="1221" t="s">
        <v>1330</v>
      </c>
      <c r="O92" s="1247"/>
      <c r="P92" s="1247"/>
      <c r="Q92" s="1247"/>
      <c r="R92" s="1424"/>
      <c r="S92" s="1424"/>
      <c r="T92" s="1424"/>
      <c r="U92" s="1223"/>
      <c r="V92" s="1487"/>
      <c r="W92" s="1223"/>
      <c r="X92" s="1487"/>
      <c r="Y92" s="1223"/>
      <c r="Z92" s="1487"/>
      <c r="AA92" s="1149">
        <v>25</v>
      </c>
      <c r="AB92" s="954" t="s">
        <v>1463</v>
      </c>
      <c r="AC92" s="1219"/>
      <c r="AD92" s="1219"/>
      <c r="AE92" s="1528"/>
      <c r="AF92" s="1528"/>
      <c r="AG92" s="1217"/>
      <c r="AH92" s="954"/>
      <c r="AI92" s="1223"/>
      <c r="AJ92" s="1223"/>
      <c r="AK92" s="1223"/>
      <c r="AL92" s="1487"/>
      <c r="AM92" s="1487"/>
      <c r="AN92" s="1487"/>
      <c r="AO92" s="1149">
        <v>24</v>
      </c>
      <c r="AP92" s="954" t="s">
        <v>1461</v>
      </c>
      <c r="AQ92" s="989">
        <v>150</v>
      </c>
      <c r="AR92" s="989"/>
      <c r="AS92" s="1544">
        <v>198</v>
      </c>
      <c r="AT92" s="1585"/>
      <c r="AU92" s="1561">
        <f t="shared" si="33"/>
        <v>198</v>
      </c>
      <c r="AV92" s="1447">
        <f t="shared" si="34"/>
        <v>0</v>
      </c>
      <c r="AW92" s="1447">
        <f t="shared" si="35"/>
        <v>0</v>
      </c>
      <c r="AX92" s="1450">
        <f t="shared" si="36"/>
        <v>198</v>
      </c>
      <c r="AY92" s="1393">
        <f t="shared" si="30"/>
        <v>150</v>
      </c>
      <c r="AZ92" s="1247">
        <f t="shared" si="31"/>
        <v>0</v>
      </c>
      <c r="BA92" s="1247">
        <f t="shared" si="32"/>
        <v>0</v>
      </c>
      <c r="BB92" s="1385">
        <f t="shared" si="37"/>
        <v>150</v>
      </c>
    </row>
    <row r="93" spans="1:54" ht="27" x14ac:dyDescent="0.3">
      <c r="A93" s="1216"/>
      <c r="B93" s="954"/>
      <c r="C93" s="1223"/>
      <c r="D93" s="1487"/>
      <c r="E93" s="1217"/>
      <c r="F93" s="954"/>
      <c r="G93" s="1223"/>
      <c r="H93" s="1487"/>
      <c r="I93" s="1217"/>
      <c r="J93" s="954"/>
      <c r="K93" s="1223"/>
      <c r="L93" s="1487"/>
      <c r="M93" s="1217">
        <v>24</v>
      </c>
      <c r="N93" s="1221" t="s">
        <v>1931</v>
      </c>
      <c r="O93" s="1247">
        <v>850</v>
      </c>
      <c r="P93" s="1247"/>
      <c r="Q93" s="1247"/>
      <c r="R93" s="1424">
        <v>850</v>
      </c>
      <c r="S93" s="1424"/>
      <c r="T93" s="1424"/>
      <c r="U93" s="1223"/>
      <c r="V93" s="1487"/>
      <c r="W93" s="1223"/>
      <c r="X93" s="1487"/>
      <c r="Y93" s="1223"/>
      <c r="Z93" s="1487"/>
      <c r="AA93" s="1149">
        <v>26</v>
      </c>
      <c r="AB93" s="954" t="s">
        <v>1467</v>
      </c>
      <c r="AC93" s="1219"/>
      <c r="AD93" s="1219"/>
      <c r="AE93" s="1528"/>
      <c r="AF93" s="1528"/>
      <c r="AG93" s="1217"/>
      <c r="AH93" s="954"/>
      <c r="AI93" s="1223"/>
      <c r="AJ93" s="1223"/>
      <c r="AK93" s="1223"/>
      <c r="AL93" s="1487"/>
      <c r="AM93" s="1487"/>
      <c r="AN93" s="1487"/>
      <c r="AO93" s="1149">
        <v>25</v>
      </c>
      <c r="AP93" s="1016" t="s">
        <v>1932</v>
      </c>
      <c r="AQ93" s="989">
        <v>200</v>
      </c>
      <c r="AR93" s="989"/>
      <c r="AS93" s="1544">
        <v>200</v>
      </c>
      <c r="AT93" s="1585"/>
      <c r="AU93" s="1561">
        <f t="shared" si="33"/>
        <v>1050</v>
      </c>
      <c r="AV93" s="1447">
        <f t="shared" si="34"/>
        <v>0</v>
      </c>
      <c r="AW93" s="1447">
        <f t="shared" si="35"/>
        <v>0</v>
      </c>
      <c r="AX93" s="1450">
        <f t="shared" si="36"/>
        <v>1050</v>
      </c>
      <c r="AY93" s="1393">
        <f t="shared" si="30"/>
        <v>1050</v>
      </c>
      <c r="AZ93" s="1247">
        <f t="shared" si="31"/>
        <v>0</v>
      </c>
      <c r="BA93" s="1247">
        <f t="shared" si="32"/>
        <v>0</v>
      </c>
      <c r="BB93" s="1385">
        <f t="shared" si="37"/>
        <v>1050</v>
      </c>
    </row>
    <row r="94" spans="1:54" ht="15.6" x14ac:dyDescent="0.3">
      <c r="A94" s="1216"/>
      <c r="B94" s="954"/>
      <c r="C94" s="1223"/>
      <c r="D94" s="1487"/>
      <c r="E94" s="1217"/>
      <c r="F94" s="954"/>
      <c r="G94" s="1223"/>
      <c r="H94" s="1487"/>
      <c r="I94" s="1217"/>
      <c r="J94" s="954"/>
      <c r="K94" s="1223"/>
      <c r="L94" s="1487"/>
      <c r="M94" s="1217">
        <v>25</v>
      </c>
      <c r="N94" s="1221" t="s">
        <v>1330</v>
      </c>
      <c r="O94" s="1247"/>
      <c r="P94" s="1247"/>
      <c r="Q94" s="1247"/>
      <c r="R94" s="1424"/>
      <c r="S94" s="1424"/>
      <c r="T94" s="1424"/>
      <c r="U94" s="1223"/>
      <c r="V94" s="1487"/>
      <c r="W94" s="1223"/>
      <c r="X94" s="1487"/>
      <c r="Y94" s="1223"/>
      <c r="Z94" s="1487"/>
      <c r="AA94" s="1149">
        <v>27</v>
      </c>
      <c r="AB94" s="980" t="s">
        <v>1473</v>
      </c>
      <c r="AC94" s="1219"/>
      <c r="AD94" s="1219"/>
      <c r="AE94" s="1528"/>
      <c r="AF94" s="1528"/>
      <c r="AG94" s="1217"/>
      <c r="AH94" s="954"/>
      <c r="AI94" s="1223"/>
      <c r="AJ94" s="1223"/>
      <c r="AK94" s="1223"/>
      <c r="AL94" s="1487"/>
      <c r="AM94" s="1487"/>
      <c r="AN94" s="1487"/>
      <c r="AO94" s="1149">
        <v>26</v>
      </c>
      <c r="AP94" s="954" t="s">
        <v>1933</v>
      </c>
      <c r="AQ94" s="989">
        <v>3000</v>
      </c>
      <c r="AR94" s="989"/>
      <c r="AS94" s="1544">
        <v>3000</v>
      </c>
      <c r="AT94" s="1585"/>
      <c r="AU94" s="1561">
        <f t="shared" si="33"/>
        <v>3000</v>
      </c>
      <c r="AV94" s="1447">
        <f t="shared" si="34"/>
        <v>0</v>
      </c>
      <c r="AW94" s="1447">
        <f t="shared" si="35"/>
        <v>0</v>
      </c>
      <c r="AX94" s="1450">
        <f t="shared" si="36"/>
        <v>3000</v>
      </c>
      <c r="AY94" s="1393">
        <f t="shared" si="30"/>
        <v>3000</v>
      </c>
      <c r="AZ94" s="1247">
        <f t="shared" si="31"/>
        <v>0</v>
      </c>
      <c r="BA94" s="1247">
        <f t="shared" si="32"/>
        <v>0</v>
      </c>
      <c r="BB94" s="1385">
        <f t="shared" si="37"/>
        <v>3000</v>
      </c>
    </row>
    <row r="95" spans="1:54" ht="27" x14ac:dyDescent="0.3">
      <c r="A95" s="1216"/>
      <c r="B95" s="954"/>
      <c r="C95" s="1223"/>
      <c r="D95" s="1487"/>
      <c r="E95" s="1217"/>
      <c r="F95" s="954"/>
      <c r="G95" s="1223"/>
      <c r="H95" s="1487"/>
      <c r="I95" s="1217"/>
      <c r="J95" s="954"/>
      <c r="K95" s="1223"/>
      <c r="L95" s="1487"/>
      <c r="M95" s="1217">
        <v>26</v>
      </c>
      <c r="N95" s="1248" t="s">
        <v>1934</v>
      </c>
      <c r="O95" s="1247">
        <v>25747</v>
      </c>
      <c r="P95" s="1247"/>
      <c r="Q95" s="1247"/>
      <c r="R95" s="1424">
        <f>25747+3253</f>
        <v>29000</v>
      </c>
      <c r="S95" s="1424"/>
      <c r="T95" s="1424"/>
      <c r="U95" s="1223"/>
      <c r="V95" s="1487"/>
      <c r="W95" s="1223"/>
      <c r="X95" s="1487"/>
      <c r="Y95" s="1223"/>
      <c r="Z95" s="1487"/>
      <c r="AA95" s="1149">
        <v>28</v>
      </c>
      <c r="AB95" s="980" t="s">
        <v>1478</v>
      </c>
      <c r="AC95" s="1219"/>
      <c r="AD95" s="1219"/>
      <c r="AE95" s="1528"/>
      <c r="AF95" s="1528"/>
      <c r="AG95" s="1217"/>
      <c r="AH95" s="954"/>
      <c r="AI95" s="1223"/>
      <c r="AJ95" s="1223"/>
      <c r="AK95" s="1223"/>
      <c r="AL95" s="1487"/>
      <c r="AM95" s="1487"/>
      <c r="AN95" s="1487"/>
      <c r="AO95" s="1149">
        <v>27</v>
      </c>
      <c r="AP95" s="980" t="s">
        <v>1935</v>
      </c>
      <c r="AQ95" s="989"/>
      <c r="AR95" s="989">
        <v>1200</v>
      </c>
      <c r="AS95" s="1544"/>
      <c r="AT95" s="1585"/>
      <c r="AU95" s="1561">
        <f t="shared" si="33"/>
        <v>29000</v>
      </c>
      <c r="AV95" s="1447">
        <f t="shared" si="34"/>
        <v>0</v>
      </c>
      <c r="AW95" s="1447">
        <f t="shared" si="35"/>
        <v>0</v>
      </c>
      <c r="AX95" s="1450">
        <f t="shared" si="36"/>
        <v>29000</v>
      </c>
      <c r="AY95" s="1393">
        <f t="shared" si="30"/>
        <v>25747</v>
      </c>
      <c r="AZ95" s="1247">
        <f t="shared" si="31"/>
        <v>1200</v>
      </c>
      <c r="BA95" s="1247">
        <f t="shared" si="32"/>
        <v>0</v>
      </c>
      <c r="BB95" s="1385">
        <f t="shared" si="37"/>
        <v>26947</v>
      </c>
    </row>
    <row r="96" spans="1:54" ht="27" x14ac:dyDescent="0.3">
      <c r="A96" s="1216"/>
      <c r="B96" s="954"/>
      <c r="C96" s="1223"/>
      <c r="D96" s="1487"/>
      <c r="E96" s="1217"/>
      <c r="F96" s="954"/>
      <c r="G96" s="1223"/>
      <c r="H96" s="1487"/>
      <c r="I96" s="1217"/>
      <c r="J96" s="954"/>
      <c r="K96" s="1223"/>
      <c r="L96" s="1487"/>
      <c r="M96" s="1217">
        <v>27</v>
      </c>
      <c r="N96" s="1221" t="s">
        <v>1330</v>
      </c>
      <c r="O96" s="1247"/>
      <c r="P96" s="1247"/>
      <c r="Q96" s="1247"/>
      <c r="R96" s="1424"/>
      <c r="S96" s="1424"/>
      <c r="T96" s="1424"/>
      <c r="U96" s="1223"/>
      <c r="V96" s="1487"/>
      <c r="W96" s="1223"/>
      <c r="X96" s="1487"/>
      <c r="Y96" s="1223"/>
      <c r="Z96" s="1487"/>
      <c r="AA96" s="1149">
        <v>29</v>
      </c>
      <c r="AB96" s="954" t="s">
        <v>1481</v>
      </c>
      <c r="AC96" s="1219"/>
      <c r="AD96" s="1219"/>
      <c r="AE96" s="1528"/>
      <c r="AF96" s="1528"/>
      <c r="AG96" s="1217"/>
      <c r="AH96" s="954"/>
      <c r="AI96" s="1223"/>
      <c r="AJ96" s="1223"/>
      <c r="AK96" s="1223"/>
      <c r="AL96" s="1487"/>
      <c r="AM96" s="1487"/>
      <c r="AN96" s="1487"/>
      <c r="AO96" s="1149">
        <v>28</v>
      </c>
      <c r="AP96" s="980" t="s">
        <v>1936</v>
      </c>
      <c r="AQ96" s="989">
        <v>300</v>
      </c>
      <c r="AR96" s="989"/>
      <c r="AS96" s="1544"/>
      <c r="AT96" s="1585"/>
      <c r="AU96" s="1561">
        <f t="shared" si="33"/>
        <v>0</v>
      </c>
      <c r="AV96" s="1447">
        <f t="shared" si="34"/>
        <v>0</v>
      </c>
      <c r="AW96" s="1447">
        <f t="shared" si="35"/>
        <v>0</v>
      </c>
      <c r="AX96" s="1450">
        <f t="shared" si="36"/>
        <v>0</v>
      </c>
      <c r="AY96" s="1393">
        <f t="shared" si="30"/>
        <v>300</v>
      </c>
      <c r="AZ96" s="1247">
        <f t="shared" si="31"/>
        <v>0</v>
      </c>
      <c r="BA96" s="1247">
        <f t="shared" si="32"/>
        <v>0</v>
      </c>
      <c r="BB96" s="1385">
        <f t="shared" si="37"/>
        <v>300</v>
      </c>
    </row>
    <row r="97" spans="1:54" ht="15.6" x14ac:dyDescent="0.3">
      <c r="A97" s="1216"/>
      <c r="B97" s="954"/>
      <c r="C97" s="1223"/>
      <c r="D97" s="1487"/>
      <c r="E97" s="1217"/>
      <c r="F97" s="954"/>
      <c r="G97" s="1223"/>
      <c r="H97" s="1487"/>
      <c r="I97" s="1217"/>
      <c r="J97" s="954"/>
      <c r="K97" s="1223"/>
      <c r="L97" s="1487"/>
      <c r="M97" s="1217">
        <v>28</v>
      </c>
      <c r="N97" s="1248" t="s">
        <v>1937</v>
      </c>
      <c r="O97" s="1247">
        <v>4000</v>
      </c>
      <c r="P97" s="1247"/>
      <c r="Q97" s="1247"/>
      <c r="R97" s="1424">
        <v>4000</v>
      </c>
      <c r="S97" s="1424"/>
      <c r="T97" s="1424"/>
      <c r="U97" s="1223"/>
      <c r="V97" s="1487"/>
      <c r="W97" s="1223"/>
      <c r="X97" s="1487"/>
      <c r="Y97" s="1223"/>
      <c r="Z97" s="1487"/>
      <c r="AA97" s="1149">
        <v>30</v>
      </c>
      <c r="AB97" s="980" t="s">
        <v>1484</v>
      </c>
      <c r="AC97" s="1219"/>
      <c r="AD97" s="1219"/>
      <c r="AE97" s="1528"/>
      <c r="AF97" s="1528"/>
      <c r="AG97" s="1217"/>
      <c r="AH97" s="954"/>
      <c r="AI97" s="1223"/>
      <c r="AJ97" s="1223"/>
      <c r="AK97" s="1223"/>
      <c r="AL97" s="1487"/>
      <c r="AM97" s="1487"/>
      <c r="AN97" s="1487"/>
      <c r="AO97" s="1149">
        <v>29</v>
      </c>
      <c r="AP97" s="980" t="s">
        <v>1482</v>
      </c>
      <c r="AQ97" s="989"/>
      <c r="AR97" s="989"/>
      <c r="AS97" s="1544"/>
      <c r="AT97" s="1585"/>
      <c r="AU97" s="1561">
        <f t="shared" si="33"/>
        <v>4000</v>
      </c>
      <c r="AV97" s="1447">
        <f t="shared" si="34"/>
        <v>0</v>
      </c>
      <c r="AW97" s="1447">
        <f t="shared" si="35"/>
        <v>0</v>
      </c>
      <c r="AX97" s="1450">
        <f t="shared" si="36"/>
        <v>4000</v>
      </c>
      <c r="AY97" s="1393">
        <f t="shared" si="30"/>
        <v>4000</v>
      </c>
      <c r="AZ97" s="1247">
        <f t="shared" si="31"/>
        <v>0</v>
      </c>
      <c r="BA97" s="1247">
        <f t="shared" si="32"/>
        <v>0</v>
      </c>
      <c r="BB97" s="1385">
        <f t="shared" si="37"/>
        <v>4000</v>
      </c>
    </row>
    <row r="98" spans="1:54" ht="27" x14ac:dyDescent="0.3">
      <c r="A98" s="1216"/>
      <c r="B98" s="954"/>
      <c r="C98" s="1223"/>
      <c r="D98" s="1487"/>
      <c r="E98" s="1217"/>
      <c r="F98" s="954"/>
      <c r="G98" s="1223"/>
      <c r="H98" s="1487"/>
      <c r="I98" s="1217"/>
      <c r="J98" s="954"/>
      <c r="K98" s="1223"/>
      <c r="L98" s="1487"/>
      <c r="M98" s="1217">
        <v>29</v>
      </c>
      <c r="N98" s="1221" t="s">
        <v>1330</v>
      </c>
      <c r="O98" s="1247"/>
      <c r="P98" s="1247"/>
      <c r="Q98" s="1247"/>
      <c r="R98" s="1424"/>
      <c r="S98" s="1424"/>
      <c r="T98" s="1424"/>
      <c r="U98" s="1223"/>
      <c r="V98" s="1487"/>
      <c r="W98" s="1223"/>
      <c r="X98" s="1487"/>
      <c r="Y98" s="1223"/>
      <c r="Z98" s="1487"/>
      <c r="AA98" s="1149">
        <v>31</v>
      </c>
      <c r="AB98" s="980" t="s">
        <v>1938</v>
      </c>
      <c r="AC98" s="1219"/>
      <c r="AD98" s="1219"/>
      <c r="AE98" s="1528"/>
      <c r="AF98" s="1528"/>
      <c r="AG98" s="1217"/>
      <c r="AH98" s="954"/>
      <c r="AI98" s="1223"/>
      <c r="AJ98" s="1223"/>
      <c r="AK98" s="1223"/>
      <c r="AL98" s="1487"/>
      <c r="AM98" s="1487"/>
      <c r="AN98" s="1487"/>
      <c r="AO98" s="1149">
        <v>30</v>
      </c>
      <c r="AP98" s="1024" t="s">
        <v>1486</v>
      </c>
      <c r="AQ98" s="989"/>
      <c r="AR98" s="989"/>
      <c r="AS98" s="1544"/>
      <c r="AT98" s="1585"/>
      <c r="AU98" s="1561">
        <f t="shared" si="33"/>
        <v>0</v>
      </c>
      <c r="AV98" s="1447">
        <f t="shared" si="34"/>
        <v>0</v>
      </c>
      <c r="AW98" s="1447">
        <f t="shared" si="35"/>
        <v>0</v>
      </c>
      <c r="AX98" s="1450">
        <f t="shared" si="36"/>
        <v>0</v>
      </c>
      <c r="AY98" s="1393">
        <f t="shared" si="30"/>
        <v>0</v>
      </c>
      <c r="AZ98" s="1247">
        <f t="shared" si="31"/>
        <v>0</v>
      </c>
      <c r="BA98" s="1247">
        <f t="shared" si="32"/>
        <v>0</v>
      </c>
      <c r="BB98" s="1385">
        <f t="shared" si="37"/>
        <v>0</v>
      </c>
    </row>
    <row r="99" spans="1:54" ht="27" x14ac:dyDescent="0.3">
      <c r="A99" s="1216"/>
      <c r="B99" s="954"/>
      <c r="C99" s="1223"/>
      <c r="D99" s="1487"/>
      <c r="E99" s="1217"/>
      <c r="F99" s="954"/>
      <c r="G99" s="1223"/>
      <c r="H99" s="1487"/>
      <c r="I99" s="1217"/>
      <c r="J99" s="954"/>
      <c r="K99" s="1223"/>
      <c r="L99" s="1487"/>
      <c r="M99" s="1217">
        <v>30</v>
      </c>
      <c r="N99" s="1248" t="s">
        <v>1939</v>
      </c>
      <c r="O99" s="1247"/>
      <c r="P99" s="1247"/>
      <c r="Q99" s="1247"/>
      <c r="R99" s="1424"/>
      <c r="S99" s="1424"/>
      <c r="T99" s="1424"/>
      <c r="U99" s="1223"/>
      <c r="V99" s="1487"/>
      <c r="W99" s="1223"/>
      <c r="X99" s="1487"/>
      <c r="Y99" s="1223"/>
      <c r="Z99" s="1487"/>
      <c r="AA99" s="1149">
        <v>32</v>
      </c>
      <c r="AB99" s="954" t="s">
        <v>1492</v>
      </c>
      <c r="AC99" s="1219"/>
      <c r="AD99" s="1219"/>
      <c r="AE99" s="1528"/>
      <c r="AF99" s="1528"/>
      <c r="AG99" s="1217"/>
      <c r="AH99" s="954"/>
      <c r="AI99" s="1223"/>
      <c r="AJ99" s="1223"/>
      <c r="AK99" s="1223"/>
      <c r="AL99" s="1487"/>
      <c r="AM99" s="1487"/>
      <c r="AN99" s="1487"/>
      <c r="AO99" s="1149">
        <v>31</v>
      </c>
      <c r="AP99" s="980" t="s">
        <v>1490</v>
      </c>
      <c r="AQ99" s="989"/>
      <c r="AR99" s="989"/>
      <c r="AS99" s="1544"/>
      <c r="AT99" s="1585"/>
      <c r="AU99" s="1561">
        <f t="shared" si="33"/>
        <v>0</v>
      </c>
      <c r="AV99" s="1447">
        <f t="shared" si="34"/>
        <v>0</v>
      </c>
      <c r="AW99" s="1447">
        <f t="shared" si="35"/>
        <v>0</v>
      </c>
      <c r="AX99" s="1450">
        <f t="shared" si="36"/>
        <v>0</v>
      </c>
      <c r="AY99" s="1393">
        <f t="shared" si="30"/>
        <v>0</v>
      </c>
      <c r="AZ99" s="1247">
        <f t="shared" si="31"/>
        <v>0</v>
      </c>
      <c r="BA99" s="1247">
        <f t="shared" si="32"/>
        <v>0</v>
      </c>
      <c r="BB99" s="1385">
        <f t="shared" si="37"/>
        <v>0</v>
      </c>
    </row>
    <row r="100" spans="1:54" ht="15.6" x14ac:dyDescent="0.3">
      <c r="A100" s="1216"/>
      <c r="B100" s="954"/>
      <c r="C100" s="1223"/>
      <c r="D100" s="1487"/>
      <c r="E100" s="1217"/>
      <c r="F100" s="954"/>
      <c r="G100" s="1223"/>
      <c r="H100" s="1487"/>
      <c r="I100" s="1217"/>
      <c r="J100" s="954"/>
      <c r="K100" s="1223"/>
      <c r="L100" s="1487"/>
      <c r="M100" s="1217"/>
      <c r="N100" s="1248" t="s">
        <v>1940</v>
      </c>
      <c r="O100" s="1247"/>
      <c r="P100" s="1247"/>
      <c r="Q100" s="1247"/>
      <c r="R100" s="1424"/>
      <c r="S100" s="1424"/>
      <c r="T100" s="1424"/>
      <c r="U100" s="1223"/>
      <c r="V100" s="1487"/>
      <c r="W100" s="1223"/>
      <c r="X100" s="1487"/>
      <c r="Y100" s="1223"/>
      <c r="Z100" s="1487"/>
      <c r="AA100" s="1149"/>
      <c r="AB100" s="954"/>
      <c r="AC100" s="1219"/>
      <c r="AD100" s="1219"/>
      <c r="AE100" s="1528"/>
      <c r="AF100" s="1528"/>
      <c r="AG100" s="1217"/>
      <c r="AH100" s="954"/>
      <c r="AI100" s="1223"/>
      <c r="AJ100" s="1223"/>
      <c r="AK100" s="1223"/>
      <c r="AL100" s="1487"/>
      <c r="AM100" s="1487"/>
      <c r="AN100" s="1487"/>
      <c r="AO100" s="1149"/>
      <c r="AP100" s="980" t="s">
        <v>1941</v>
      </c>
      <c r="AQ100" s="989"/>
      <c r="AR100" s="989"/>
      <c r="AS100" s="1544"/>
      <c r="AT100" s="1585"/>
      <c r="AU100" s="1561">
        <f t="shared" si="33"/>
        <v>0</v>
      </c>
      <c r="AV100" s="1447">
        <f t="shared" si="34"/>
        <v>0</v>
      </c>
      <c r="AW100" s="1447">
        <f t="shared" si="35"/>
        <v>0</v>
      </c>
      <c r="AX100" s="1450">
        <f t="shared" si="36"/>
        <v>0</v>
      </c>
      <c r="AY100" s="1393">
        <f t="shared" si="30"/>
        <v>0</v>
      </c>
      <c r="AZ100" s="1247">
        <f t="shared" si="31"/>
        <v>0</v>
      </c>
      <c r="BA100" s="1247">
        <f t="shared" si="32"/>
        <v>0</v>
      </c>
      <c r="BB100" s="1385">
        <f t="shared" si="37"/>
        <v>0</v>
      </c>
    </row>
    <row r="101" spans="1:54" ht="15.6" x14ac:dyDescent="0.3">
      <c r="A101" s="1216"/>
      <c r="B101" s="954"/>
      <c r="C101" s="1223"/>
      <c r="D101" s="1487"/>
      <c r="E101" s="1217"/>
      <c r="F101" s="954"/>
      <c r="G101" s="1223"/>
      <c r="H101" s="1487"/>
      <c r="I101" s="1217"/>
      <c r="J101" s="954"/>
      <c r="K101" s="1223"/>
      <c r="L101" s="1487"/>
      <c r="M101" s="1217"/>
      <c r="N101" s="1248" t="s">
        <v>2205</v>
      </c>
      <c r="O101" s="1247"/>
      <c r="P101" s="1247"/>
      <c r="Q101" s="1247"/>
      <c r="R101" s="1424"/>
      <c r="S101" s="1424">
        <v>2000</v>
      </c>
      <c r="T101" s="1424"/>
      <c r="U101" s="1223"/>
      <c r="V101" s="1487"/>
      <c r="W101" s="1223"/>
      <c r="X101" s="1487"/>
      <c r="Y101" s="1223"/>
      <c r="Z101" s="1487"/>
      <c r="AA101" s="1149"/>
      <c r="AB101" s="954"/>
      <c r="AC101" s="1219"/>
      <c r="AD101" s="1219"/>
      <c r="AE101" s="1528"/>
      <c r="AF101" s="1528"/>
      <c r="AG101" s="1217"/>
      <c r="AH101" s="954"/>
      <c r="AI101" s="1223"/>
      <c r="AJ101" s="1223"/>
      <c r="AK101" s="1223"/>
      <c r="AL101" s="1487"/>
      <c r="AM101" s="1487"/>
      <c r="AN101" s="1487"/>
      <c r="AO101" s="1149"/>
      <c r="AP101" s="980" t="s">
        <v>1943</v>
      </c>
      <c r="AQ101" s="989">
        <v>1500</v>
      </c>
      <c r="AR101" s="989"/>
      <c r="AS101" s="1544">
        <v>1500</v>
      </c>
      <c r="AT101" s="1585"/>
      <c r="AU101" s="1561">
        <f t="shared" si="33"/>
        <v>1500</v>
      </c>
      <c r="AV101" s="1447">
        <f t="shared" si="34"/>
        <v>2000</v>
      </c>
      <c r="AW101" s="1447">
        <f t="shared" si="35"/>
        <v>0</v>
      </c>
      <c r="AX101" s="1450">
        <f t="shared" si="36"/>
        <v>3500</v>
      </c>
      <c r="AY101" s="1393">
        <f t="shared" si="30"/>
        <v>1500</v>
      </c>
      <c r="AZ101" s="1247">
        <f t="shared" si="31"/>
        <v>0</v>
      </c>
      <c r="BA101" s="1247">
        <f t="shared" si="32"/>
        <v>0</v>
      </c>
      <c r="BB101" s="1385">
        <f t="shared" si="37"/>
        <v>1500</v>
      </c>
    </row>
    <row r="102" spans="1:54" ht="27" x14ac:dyDescent="0.3">
      <c r="A102" s="1216"/>
      <c r="B102" s="954"/>
      <c r="C102" s="1223"/>
      <c r="D102" s="1487"/>
      <c r="E102" s="1217"/>
      <c r="F102" s="954"/>
      <c r="G102" s="1223"/>
      <c r="H102" s="1487"/>
      <c r="I102" s="1217"/>
      <c r="J102" s="954"/>
      <c r="K102" s="1223"/>
      <c r="L102" s="1487"/>
      <c r="M102" s="1217">
        <v>31</v>
      </c>
      <c r="N102" s="1221" t="s">
        <v>1944</v>
      </c>
      <c r="O102" s="1247"/>
      <c r="P102" s="1247"/>
      <c r="Q102" s="1247"/>
      <c r="R102" s="1424"/>
      <c r="S102" s="1424"/>
      <c r="T102" s="1424"/>
      <c r="U102" s="1223"/>
      <c r="V102" s="1487"/>
      <c r="W102" s="1223"/>
      <c r="X102" s="1487"/>
      <c r="Y102" s="1223"/>
      <c r="Z102" s="1487"/>
      <c r="AA102" s="1149">
        <v>33</v>
      </c>
      <c r="AB102" s="980" t="s">
        <v>1495</v>
      </c>
      <c r="AC102" s="1219"/>
      <c r="AD102" s="1219"/>
      <c r="AE102" s="1528"/>
      <c r="AF102" s="1528"/>
      <c r="AG102" s="1217"/>
      <c r="AH102" s="954"/>
      <c r="AI102" s="1223"/>
      <c r="AJ102" s="1223"/>
      <c r="AK102" s="1223"/>
      <c r="AL102" s="1487"/>
      <c r="AM102" s="1487"/>
      <c r="AN102" s="1487"/>
      <c r="AO102" s="1149">
        <v>32</v>
      </c>
      <c r="AP102" s="980" t="s">
        <v>1493</v>
      </c>
      <c r="AQ102" s="989"/>
      <c r="AR102" s="989"/>
      <c r="AS102" s="1544"/>
      <c r="AT102" s="1585"/>
      <c r="AU102" s="1561">
        <f t="shared" si="33"/>
        <v>0</v>
      </c>
      <c r="AV102" s="1447">
        <f t="shared" si="34"/>
        <v>0</v>
      </c>
      <c r="AW102" s="1447">
        <f t="shared" si="35"/>
        <v>0</v>
      </c>
      <c r="AX102" s="1450">
        <f t="shared" si="36"/>
        <v>0</v>
      </c>
      <c r="AY102" s="1393">
        <f t="shared" si="30"/>
        <v>0</v>
      </c>
      <c r="AZ102" s="1247">
        <f t="shared" si="31"/>
        <v>0</v>
      </c>
      <c r="BA102" s="1247">
        <f t="shared" si="32"/>
        <v>0</v>
      </c>
      <c r="BB102" s="1385">
        <f t="shared" si="37"/>
        <v>0</v>
      </c>
    </row>
    <row r="103" spans="1:54" ht="27" x14ac:dyDescent="0.3">
      <c r="A103" s="1216"/>
      <c r="B103" s="954"/>
      <c r="C103" s="1223"/>
      <c r="D103" s="1487"/>
      <c r="E103" s="1217"/>
      <c r="F103" s="954"/>
      <c r="G103" s="1223"/>
      <c r="H103" s="1487"/>
      <c r="I103" s="1217"/>
      <c r="J103" s="954"/>
      <c r="K103" s="1223"/>
      <c r="L103" s="1487"/>
      <c r="M103" s="1217">
        <v>32</v>
      </c>
      <c r="N103" s="1248" t="s">
        <v>1945</v>
      </c>
      <c r="O103" s="1247">
        <v>23000</v>
      </c>
      <c r="P103" s="1247"/>
      <c r="Q103" s="1247"/>
      <c r="R103" s="1424">
        <f>23000-5000</f>
        <v>18000</v>
      </c>
      <c r="S103" s="1424"/>
      <c r="T103" s="1424"/>
      <c r="U103" s="1223"/>
      <c r="V103" s="1487"/>
      <c r="W103" s="1223"/>
      <c r="X103" s="1487"/>
      <c r="Y103" s="1223"/>
      <c r="Z103" s="1487"/>
      <c r="AA103" s="1149">
        <v>34</v>
      </c>
      <c r="AB103" s="954" t="s">
        <v>1376</v>
      </c>
      <c r="AC103" s="1219"/>
      <c r="AD103" s="1219"/>
      <c r="AE103" s="1528"/>
      <c r="AF103" s="1528"/>
      <c r="AG103" s="1217"/>
      <c r="AH103" s="954"/>
      <c r="AI103" s="1223"/>
      <c r="AJ103" s="1223"/>
      <c r="AK103" s="1223"/>
      <c r="AL103" s="1487"/>
      <c r="AM103" s="1487"/>
      <c r="AN103" s="1487"/>
      <c r="AO103" s="1149">
        <v>33</v>
      </c>
      <c r="AP103" s="980" t="s">
        <v>1497</v>
      </c>
      <c r="AQ103" s="989"/>
      <c r="AR103" s="989"/>
      <c r="AS103" s="1544"/>
      <c r="AT103" s="1585"/>
      <c r="AU103" s="1561">
        <f t="shared" si="33"/>
        <v>18000</v>
      </c>
      <c r="AV103" s="1447">
        <f t="shared" si="34"/>
        <v>0</v>
      </c>
      <c r="AW103" s="1447">
        <f t="shared" si="35"/>
        <v>0</v>
      </c>
      <c r="AX103" s="1450">
        <f t="shared" si="36"/>
        <v>18000</v>
      </c>
      <c r="AY103" s="1393">
        <f t="shared" si="30"/>
        <v>23000</v>
      </c>
      <c r="AZ103" s="1247">
        <f t="shared" si="31"/>
        <v>0</v>
      </c>
      <c r="BA103" s="1247">
        <f t="shared" si="32"/>
        <v>0</v>
      </c>
      <c r="BB103" s="1385">
        <f t="shared" si="37"/>
        <v>23000</v>
      </c>
    </row>
    <row r="104" spans="1:54" ht="15.6" x14ac:dyDescent="0.3">
      <c r="A104" s="1216"/>
      <c r="B104" s="954"/>
      <c r="C104" s="1223"/>
      <c r="D104" s="1487"/>
      <c r="E104" s="1217"/>
      <c r="F104" s="954"/>
      <c r="G104" s="1223"/>
      <c r="H104" s="1487"/>
      <c r="I104" s="1217"/>
      <c r="J104" s="954"/>
      <c r="K104" s="1223"/>
      <c r="L104" s="1487"/>
      <c r="M104" s="1217">
        <v>33</v>
      </c>
      <c r="N104" s="1221" t="s">
        <v>1330</v>
      </c>
      <c r="O104" s="1247"/>
      <c r="P104" s="1247"/>
      <c r="Q104" s="1247"/>
      <c r="R104" s="1424"/>
      <c r="S104" s="1424"/>
      <c r="T104" s="1424"/>
      <c r="U104" s="1223"/>
      <c r="V104" s="1487"/>
      <c r="W104" s="1223"/>
      <c r="X104" s="1487"/>
      <c r="Y104" s="1223"/>
      <c r="Z104" s="1487"/>
      <c r="AA104" s="1149">
        <v>35</v>
      </c>
      <c r="AB104" s="1016" t="s">
        <v>1502</v>
      </c>
      <c r="AC104" s="1219"/>
      <c r="AD104" s="1219"/>
      <c r="AE104" s="1528"/>
      <c r="AF104" s="1528"/>
      <c r="AG104" s="1217"/>
      <c r="AH104" s="954"/>
      <c r="AI104" s="1223"/>
      <c r="AJ104" s="1223"/>
      <c r="AK104" s="1223"/>
      <c r="AL104" s="1487"/>
      <c r="AM104" s="1487"/>
      <c r="AN104" s="1487"/>
      <c r="AO104" s="1149">
        <v>34</v>
      </c>
      <c r="AP104" s="980" t="s">
        <v>1500</v>
      </c>
      <c r="AQ104" s="989"/>
      <c r="AR104" s="989"/>
      <c r="AS104" s="1544"/>
      <c r="AT104" s="1585"/>
      <c r="AU104" s="1561">
        <f t="shared" si="33"/>
        <v>0</v>
      </c>
      <c r="AV104" s="1447">
        <f t="shared" si="34"/>
        <v>0</v>
      </c>
      <c r="AW104" s="1447">
        <f t="shared" si="35"/>
        <v>0</v>
      </c>
      <c r="AX104" s="1450">
        <f t="shared" si="36"/>
        <v>0</v>
      </c>
      <c r="AY104" s="1393">
        <f t="shared" si="30"/>
        <v>0</v>
      </c>
      <c r="AZ104" s="1247">
        <f t="shared" si="31"/>
        <v>0</v>
      </c>
      <c r="BA104" s="1247">
        <f t="shared" si="32"/>
        <v>0</v>
      </c>
      <c r="BB104" s="1385">
        <f t="shared" si="37"/>
        <v>0</v>
      </c>
    </row>
    <row r="105" spans="1:54" ht="15.6" x14ac:dyDescent="0.3">
      <c r="A105" s="1216"/>
      <c r="B105" s="954"/>
      <c r="C105" s="1223"/>
      <c r="D105" s="1487"/>
      <c r="E105" s="1217"/>
      <c r="F105" s="954"/>
      <c r="G105" s="1223"/>
      <c r="H105" s="1487"/>
      <c r="I105" s="1217"/>
      <c r="J105" s="954"/>
      <c r="K105" s="1223"/>
      <c r="L105" s="1487"/>
      <c r="M105" s="1217">
        <v>34</v>
      </c>
      <c r="N105" s="1248" t="s">
        <v>1946</v>
      </c>
      <c r="O105" s="1247">
        <v>400</v>
      </c>
      <c r="P105" s="1247"/>
      <c r="Q105" s="1247"/>
      <c r="R105" s="1424">
        <v>500</v>
      </c>
      <c r="S105" s="1424"/>
      <c r="T105" s="1424"/>
      <c r="U105" s="1223"/>
      <c r="V105" s="1487"/>
      <c r="W105" s="1223"/>
      <c r="X105" s="1487"/>
      <c r="Y105" s="1223"/>
      <c r="Z105" s="1487"/>
      <c r="AA105" s="1149"/>
      <c r="AB105" s="1016"/>
      <c r="AC105" s="1219"/>
      <c r="AD105" s="1219"/>
      <c r="AE105" s="1528"/>
      <c r="AF105" s="1528"/>
      <c r="AG105" s="1217"/>
      <c r="AH105" s="954"/>
      <c r="AI105" s="1223"/>
      <c r="AJ105" s="1223"/>
      <c r="AK105" s="1223"/>
      <c r="AL105" s="1487"/>
      <c r="AM105" s="1487"/>
      <c r="AN105" s="1487"/>
      <c r="AO105" s="1149">
        <v>35</v>
      </c>
      <c r="AP105" s="1016" t="s">
        <v>1330</v>
      </c>
      <c r="AQ105" s="989"/>
      <c r="AR105" s="989"/>
      <c r="AS105" s="1544"/>
      <c r="AT105" s="1585"/>
      <c r="AU105" s="1561">
        <f t="shared" si="33"/>
        <v>500</v>
      </c>
      <c r="AV105" s="1447">
        <f t="shared" si="34"/>
        <v>0</v>
      </c>
      <c r="AW105" s="1447">
        <f t="shared" si="35"/>
        <v>0</v>
      </c>
      <c r="AX105" s="1450">
        <f t="shared" si="36"/>
        <v>500</v>
      </c>
      <c r="AY105" s="1393">
        <f t="shared" si="30"/>
        <v>400</v>
      </c>
      <c r="AZ105" s="1247">
        <f t="shared" si="31"/>
        <v>0</v>
      </c>
      <c r="BA105" s="1247">
        <f t="shared" si="32"/>
        <v>0</v>
      </c>
      <c r="BB105" s="1385">
        <f t="shared" si="37"/>
        <v>400</v>
      </c>
    </row>
    <row r="106" spans="1:54" ht="27" x14ac:dyDescent="0.3">
      <c r="A106" s="1216"/>
      <c r="B106" s="954"/>
      <c r="C106" s="1223"/>
      <c r="D106" s="1487"/>
      <c r="E106" s="1217"/>
      <c r="F106" s="954"/>
      <c r="G106" s="1223"/>
      <c r="H106" s="1487"/>
      <c r="I106" s="1217"/>
      <c r="J106" s="954"/>
      <c r="K106" s="1223"/>
      <c r="L106" s="1487"/>
      <c r="M106" s="1217">
        <v>35</v>
      </c>
      <c r="N106" s="1221" t="s">
        <v>1947</v>
      </c>
      <c r="O106" s="1247">
        <v>750</v>
      </c>
      <c r="P106" s="1247"/>
      <c r="Q106" s="1247"/>
      <c r="R106" s="1424">
        <f>3950-3300</f>
        <v>650</v>
      </c>
      <c r="S106" s="1424"/>
      <c r="T106" s="1424"/>
      <c r="U106" s="1223"/>
      <c r="V106" s="1487"/>
      <c r="W106" s="1223"/>
      <c r="X106" s="1487"/>
      <c r="Y106" s="1223"/>
      <c r="Z106" s="1487"/>
      <c r="AA106" s="1149"/>
      <c r="AB106" s="1016"/>
      <c r="AC106" s="1219"/>
      <c r="AD106" s="1219"/>
      <c r="AE106" s="1528"/>
      <c r="AF106" s="1528"/>
      <c r="AG106" s="1217"/>
      <c r="AH106" s="954"/>
      <c r="AI106" s="1223"/>
      <c r="AJ106" s="1223"/>
      <c r="AK106" s="1223"/>
      <c r="AL106" s="1487"/>
      <c r="AM106" s="1487"/>
      <c r="AN106" s="1487"/>
      <c r="AO106" s="1149">
        <v>36</v>
      </c>
      <c r="AP106" s="980" t="s">
        <v>1506</v>
      </c>
      <c r="AQ106" s="989"/>
      <c r="AR106" s="989"/>
      <c r="AS106" s="1544"/>
      <c r="AT106" s="1585"/>
      <c r="AU106" s="1561">
        <f t="shared" si="33"/>
        <v>650</v>
      </c>
      <c r="AV106" s="1447">
        <f t="shared" si="34"/>
        <v>0</v>
      </c>
      <c r="AW106" s="1447">
        <f t="shared" si="35"/>
        <v>0</v>
      </c>
      <c r="AX106" s="1450">
        <f t="shared" si="36"/>
        <v>650</v>
      </c>
      <c r="AY106" s="1393">
        <f t="shared" si="30"/>
        <v>750</v>
      </c>
      <c r="AZ106" s="1247">
        <f t="shared" si="31"/>
        <v>0</v>
      </c>
      <c r="BA106" s="1247">
        <f t="shared" si="32"/>
        <v>0</v>
      </c>
      <c r="BB106" s="1385">
        <f t="shared" si="37"/>
        <v>750</v>
      </c>
    </row>
    <row r="107" spans="1:54" ht="27" x14ac:dyDescent="0.3">
      <c r="A107" s="1216"/>
      <c r="B107" s="954"/>
      <c r="C107" s="1223"/>
      <c r="D107" s="1487"/>
      <c r="E107" s="1217"/>
      <c r="F107" s="954"/>
      <c r="G107" s="1223"/>
      <c r="H107" s="1487"/>
      <c r="I107" s="1217"/>
      <c r="J107" s="954"/>
      <c r="K107" s="1223"/>
      <c r="L107" s="1487"/>
      <c r="M107" s="1217">
        <v>38</v>
      </c>
      <c r="N107" s="1248" t="s">
        <v>1948</v>
      </c>
      <c r="O107" s="1247">
        <v>12000</v>
      </c>
      <c r="P107" s="1247"/>
      <c r="Q107" s="1247"/>
      <c r="R107" s="1424">
        <v>12000</v>
      </c>
      <c r="S107" s="1424"/>
      <c r="T107" s="1424"/>
      <c r="U107" s="1223"/>
      <c r="V107" s="1487"/>
      <c r="W107" s="1223"/>
      <c r="X107" s="1487"/>
      <c r="Y107" s="1223"/>
      <c r="Z107" s="1487"/>
      <c r="AA107" s="1149"/>
      <c r="AB107" s="1016" t="s">
        <v>1949</v>
      </c>
      <c r="AC107" s="1219"/>
      <c r="AD107" s="1219"/>
      <c r="AE107" s="1528"/>
      <c r="AF107" s="1528"/>
      <c r="AG107" s="1217"/>
      <c r="AH107" s="954"/>
      <c r="AI107" s="1223"/>
      <c r="AJ107" s="1223"/>
      <c r="AK107" s="1223"/>
      <c r="AL107" s="1487"/>
      <c r="AM107" s="1487"/>
      <c r="AN107" s="1487"/>
      <c r="AO107" s="1149">
        <v>37</v>
      </c>
      <c r="AP107" s="980" t="s">
        <v>1508</v>
      </c>
      <c r="AQ107" s="989"/>
      <c r="AR107" s="989"/>
      <c r="AS107" s="1544"/>
      <c r="AT107" s="1585"/>
      <c r="AU107" s="1561">
        <f t="shared" si="33"/>
        <v>12000</v>
      </c>
      <c r="AV107" s="1447">
        <f t="shared" si="34"/>
        <v>0</v>
      </c>
      <c r="AW107" s="1447">
        <f t="shared" si="35"/>
        <v>0</v>
      </c>
      <c r="AX107" s="1450">
        <f t="shared" si="36"/>
        <v>12000</v>
      </c>
      <c r="AY107" s="1393">
        <f t="shared" si="30"/>
        <v>12000</v>
      </c>
      <c r="AZ107" s="1247">
        <f t="shared" si="31"/>
        <v>0</v>
      </c>
      <c r="BA107" s="1247">
        <f t="shared" si="32"/>
        <v>0</v>
      </c>
      <c r="BB107" s="1385">
        <f t="shared" si="37"/>
        <v>12000</v>
      </c>
    </row>
    <row r="108" spans="1:54" ht="15.6" x14ac:dyDescent="0.3">
      <c r="A108" s="1216"/>
      <c r="B108" s="954"/>
      <c r="C108" s="1223"/>
      <c r="D108" s="1487"/>
      <c r="E108" s="1217"/>
      <c r="F108" s="954"/>
      <c r="G108" s="1223"/>
      <c r="H108" s="1487"/>
      <c r="I108" s="1217"/>
      <c r="J108" s="954"/>
      <c r="K108" s="1223"/>
      <c r="L108" s="1487"/>
      <c r="M108" s="1217">
        <v>39</v>
      </c>
      <c r="N108" s="1221" t="s">
        <v>1330</v>
      </c>
      <c r="O108" s="1247"/>
      <c r="P108" s="1247"/>
      <c r="Q108" s="1247"/>
      <c r="R108" s="1424"/>
      <c r="S108" s="1424"/>
      <c r="T108" s="1424"/>
      <c r="U108" s="1223"/>
      <c r="V108" s="1487"/>
      <c r="W108" s="1223"/>
      <c r="X108" s="1487"/>
      <c r="Y108" s="1223"/>
      <c r="Z108" s="1487"/>
      <c r="AA108" s="1149"/>
      <c r="AB108" s="1016" t="s">
        <v>1950</v>
      </c>
      <c r="AC108" s="1219"/>
      <c r="AD108" s="1219"/>
      <c r="AE108" s="1528"/>
      <c r="AF108" s="1528"/>
      <c r="AG108" s="1217"/>
      <c r="AH108" s="954"/>
      <c r="AI108" s="1223"/>
      <c r="AJ108" s="1223"/>
      <c r="AK108" s="1223"/>
      <c r="AL108" s="1487"/>
      <c r="AM108" s="1487"/>
      <c r="AN108" s="1487"/>
      <c r="AO108" s="1149">
        <v>38</v>
      </c>
      <c r="AP108" s="980" t="s">
        <v>1951</v>
      </c>
      <c r="AQ108" s="989"/>
      <c r="AR108" s="989"/>
      <c r="AS108" s="1544"/>
      <c r="AT108" s="1585"/>
      <c r="AU108" s="1561">
        <f t="shared" si="33"/>
        <v>0</v>
      </c>
      <c r="AV108" s="1447">
        <f t="shared" si="34"/>
        <v>0</v>
      </c>
      <c r="AW108" s="1447">
        <f t="shared" si="35"/>
        <v>0</v>
      </c>
      <c r="AX108" s="1450">
        <f t="shared" si="36"/>
        <v>0</v>
      </c>
      <c r="AY108" s="1393">
        <f t="shared" si="30"/>
        <v>0</v>
      </c>
      <c r="AZ108" s="1247">
        <f t="shared" si="31"/>
        <v>0</v>
      </c>
      <c r="BA108" s="1247">
        <f t="shared" si="32"/>
        <v>0</v>
      </c>
      <c r="BB108" s="1385">
        <f t="shared" si="37"/>
        <v>0</v>
      </c>
    </row>
    <row r="109" spans="1:54" ht="15.6" x14ac:dyDescent="0.3">
      <c r="A109" s="1216"/>
      <c r="B109" s="954"/>
      <c r="C109" s="1223"/>
      <c r="D109" s="1487"/>
      <c r="E109" s="1217"/>
      <c r="F109" s="954"/>
      <c r="G109" s="1223"/>
      <c r="H109" s="1487"/>
      <c r="I109" s="1217"/>
      <c r="J109" s="954"/>
      <c r="K109" s="1223"/>
      <c r="L109" s="1487"/>
      <c r="M109" s="1217">
        <v>40</v>
      </c>
      <c r="N109" s="1248" t="s">
        <v>1952</v>
      </c>
      <c r="O109" s="1247">
        <v>3840</v>
      </c>
      <c r="P109" s="1247"/>
      <c r="Q109" s="1247"/>
      <c r="R109" s="1424">
        <v>960</v>
      </c>
      <c r="S109" s="1424"/>
      <c r="T109" s="1424"/>
      <c r="U109" s="1223"/>
      <c r="V109" s="1487"/>
      <c r="W109" s="1223"/>
      <c r="X109" s="1487"/>
      <c r="Y109" s="1223"/>
      <c r="Z109" s="1487"/>
      <c r="AA109" s="1149"/>
      <c r="AB109" s="1016" t="s">
        <v>1953</v>
      </c>
      <c r="AC109" s="1219"/>
      <c r="AD109" s="1219"/>
      <c r="AE109" s="1528"/>
      <c r="AF109" s="1528"/>
      <c r="AG109" s="1217"/>
      <c r="AH109" s="954"/>
      <c r="AI109" s="1223"/>
      <c r="AJ109" s="1223"/>
      <c r="AK109" s="1223"/>
      <c r="AL109" s="1487"/>
      <c r="AM109" s="1487"/>
      <c r="AN109" s="1487"/>
      <c r="AO109" s="1149">
        <v>39</v>
      </c>
      <c r="AP109" s="980"/>
      <c r="AQ109" s="989"/>
      <c r="AR109" s="989"/>
      <c r="AS109" s="1544"/>
      <c r="AT109" s="1585"/>
      <c r="AU109" s="1561">
        <f t="shared" si="33"/>
        <v>960</v>
      </c>
      <c r="AV109" s="1447">
        <f t="shared" si="34"/>
        <v>0</v>
      </c>
      <c r="AW109" s="1447">
        <f t="shared" si="35"/>
        <v>0</v>
      </c>
      <c r="AX109" s="1450">
        <f t="shared" si="36"/>
        <v>960</v>
      </c>
      <c r="AY109" s="1393">
        <f t="shared" si="30"/>
        <v>3840</v>
      </c>
      <c r="AZ109" s="1247">
        <f t="shared" si="31"/>
        <v>0</v>
      </c>
      <c r="BA109" s="1247">
        <f t="shared" si="32"/>
        <v>0</v>
      </c>
      <c r="BB109" s="1385">
        <f t="shared" si="37"/>
        <v>3840</v>
      </c>
    </row>
    <row r="110" spans="1:54" ht="15.6" x14ac:dyDescent="0.3">
      <c r="A110" s="1216"/>
      <c r="B110" s="954"/>
      <c r="C110" s="1223"/>
      <c r="D110" s="1487"/>
      <c r="E110" s="1217"/>
      <c r="F110" s="954"/>
      <c r="G110" s="1223"/>
      <c r="H110" s="1487"/>
      <c r="I110" s="1217"/>
      <c r="J110" s="954"/>
      <c r="K110" s="1223"/>
      <c r="L110" s="1487"/>
      <c r="M110" s="1217">
        <v>41</v>
      </c>
      <c r="N110" s="1221" t="s">
        <v>2101</v>
      </c>
      <c r="O110" s="1247"/>
      <c r="P110" s="1247"/>
      <c r="Q110" s="1247"/>
      <c r="R110" s="1424">
        <v>75</v>
      </c>
      <c r="S110" s="1424"/>
      <c r="T110" s="1424"/>
      <c r="U110" s="1223"/>
      <c r="V110" s="1487"/>
      <c r="W110" s="1223"/>
      <c r="X110" s="1487"/>
      <c r="Y110" s="1223"/>
      <c r="Z110" s="1487"/>
      <c r="AA110" s="1149"/>
      <c r="AB110" s="1016" t="s">
        <v>1953</v>
      </c>
      <c r="AC110" s="1219"/>
      <c r="AD110" s="1219"/>
      <c r="AE110" s="1528"/>
      <c r="AF110" s="1528"/>
      <c r="AG110" s="1217"/>
      <c r="AH110" s="954"/>
      <c r="AI110" s="1223"/>
      <c r="AJ110" s="1223"/>
      <c r="AK110" s="1223"/>
      <c r="AL110" s="1487"/>
      <c r="AM110" s="1487"/>
      <c r="AN110" s="1487"/>
      <c r="AO110" s="1149">
        <v>40</v>
      </c>
      <c r="AP110" s="954"/>
      <c r="AQ110" s="989"/>
      <c r="AR110" s="989"/>
      <c r="AS110" s="1544"/>
      <c r="AT110" s="1585"/>
      <c r="AU110" s="1561">
        <f t="shared" si="33"/>
        <v>75</v>
      </c>
      <c r="AV110" s="1447">
        <f t="shared" si="34"/>
        <v>0</v>
      </c>
      <c r="AW110" s="1447">
        <f t="shared" si="35"/>
        <v>0</v>
      </c>
      <c r="AX110" s="1450">
        <f t="shared" si="36"/>
        <v>75</v>
      </c>
      <c r="AY110" s="1393">
        <f t="shared" si="30"/>
        <v>0</v>
      </c>
      <c r="AZ110" s="1247">
        <f t="shared" si="31"/>
        <v>0</v>
      </c>
      <c r="BA110" s="1247">
        <f t="shared" si="32"/>
        <v>0</v>
      </c>
      <c r="BB110" s="1385">
        <f t="shared" si="37"/>
        <v>0</v>
      </c>
    </row>
    <row r="111" spans="1:54" ht="15.6" x14ac:dyDescent="0.3">
      <c r="A111" s="1216"/>
      <c r="B111" s="954"/>
      <c r="C111" s="1223"/>
      <c r="D111" s="1487"/>
      <c r="E111" s="1217"/>
      <c r="F111" s="954"/>
      <c r="G111" s="1223"/>
      <c r="H111" s="1487"/>
      <c r="I111" s="1217"/>
      <c r="J111" s="954"/>
      <c r="K111" s="1223"/>
      <c r="L111" s="1487"/>
      <c r="M111" s="1217">
        <v>42</v>
      </c>
      <c r="N111" s="1248" t="s">
        <v>1954</v>
      </c>
      <c r="O111" s="1247">
        <v>2500</v>
      </c>
      <c r="P111" s="1251"/>
      <c r="Q111" s="1251"/>
      <c r="R111" s="1508">
        <v>2500</v>
      </c>
      <c r="S111" s="1508"/>
      <c r="T111" s="1508"/>
      <c r="U111" s="1223"/>
      <c r="V111" s="1487"/>
      <c r="W111" s="1223"/>
      <c r="X111" s="1487"/>
      <c r="Y111" s="1223"/>
      <c r="Z111" s="1487"/>
      <c r="AA111" s="1149"/>
      <c r="AB111" s="1016"/>
      <c r="AC111" s="1219"/>
      <c r="AD111" s="1219"/>
      <c r="AE111" s="1528"/>
      <c r="AF111" s="1528"/>
      <c r="AG111" s="1217"/>
      <c r="AH111" s="954"/>
      <c r="AI111" s="1223"/>
      <c r="AJ111" s="1223"/>
      <c r="AK111" s="1223"/>
      <c r="AL111" s="1487"/>
      <c r="AM111" s="1487"/>
      <c r="AN111" s="1487"/>
      <c r="AO111" s="1149">
        <v>41</v>
      </c>
      <c r="AP111" s="954"/>
      <c r="AQ111" s="989"/>
      <c r="AR111" s="989"/>
      <c r="AS111" s="1544"/>
      <c r="AT111" s="1585"/>
      <c r="AU111" s="1561">
        <f t="shared" si="33"/>
        <v>2500</v>
      </c>
      <c r="AV111" s="1447">
        <f t="shared" si="34"/>
        <v>0</v>
      </c>
      <c r="AW111" s="1447">
        <f t="shared" si="35"/>
        <v>0</v>
      </c>
      <c r="AX111" s="1450">
        <f t="shared" si="36"/>
        <v>2500</v>
      </c>
      <c r="AY111" s="1393">
        <f t="shared" si="30"/>
        <v>2500</v>
      </c>
      <c r="AZ111" s="1247">
        <f t="shared" si="31"/>
        <v>0</v>
      </c>
      <c r="BA111" s="1247">
        <f t="shared" si="32"/>
        <v>0</v>
      </c>
      <c r="BB111" s="1385">
        <f t="shared" si="37"/>
        <v>2500</v>
      </c>
    </row>
    <row r="112" spans="1:54" ht="15.6" x14ac:dyDescent="0.3">
      <c r="A112" s="1216"/>
      <c r="B112" s="954"/>
      <c r="C112" s="1223"/>
      <c r="D112" s="1487"/>
      <c r="E112" s="1217"/>
      <c r="F112" s="954"/>
      <c r="G112" s="1223"/>
      <c r="H112" s="1487"/>
      <c r="I112" s="1217"/>
      <c r="J112" s="954"/>
      <c r="K112" s="1223"/>
      <c r="L112" s="1487"/>
      <c r="M112" s="1217">
        <v>43</v>
      </c>
      <c r="N112" s="1221" t="s">
        <v>1955</v>
      </c>
      <c r="O112" s="1247">
        <v>3000</v>
      </c>
      <c r="P112" s="1251"/>
      <c r="Q112" s="1251"/>
      <c r="R112" s="1508">
        <f>3000-2000</f>
        <v>1000</v>
      </c>
      <c r="S112" s="1508"/>
      <c r="T112" s="1508"/>
      <c r="U112" s="1223"/>
      <c r="V112" s="1487"/>
      <c r="W112" s="1223"/>
      <c r="X112" s="1487"/>
      <c r="Y112" s="1223"/>
      <c r="Z112" s="1487"/>
      <c r="AA112" s="1149"/>
      <c r="AB112" s="1016"/>
      <c r="AC112" s="1219"/>
      <c r="AD112" s="1219"/>
      <c r="AE112" s="1528"/>
      <c r="AF112" s="1528"/>
      <c r="AG112" s="1217"/>
      <c r="AH112" s="954"/>
      <c r="AI112" s="1223"/>
      <c r="AJ112" s="1223"/>
      <c r="AK112" s="1223"/>
      <c r="AL112" s="1487"/>
      <c r="AM112" s="1487"/>
      <c r="AN112" s="1487"/>
      <c r="AO112" s="1149"/>
      <c r="AP112" s="954"/>
      <c r="AQ112" s="989"/>
      <c r="AR112" s="989"/>
      <c r="AS112" s="1544"/>
      <c r="AT112" s="1585"/>
      <c r="AU112" s="1561">
        <f t="shared" si="33"/>
        <v>1000</v>
      </c>
      <c r="AV112" s="1447">
        <f t="shared" si="34"/>
        <v>0</v>
      </c>
      <c r="AW112" s="1447">
        <f t="shared" si="35"/>
        <v>0</v>
      </c>
      <c r="AX112" s="1450">
        <f t="shared" si="36"/>
        <v>1000</v>
      </c>
      <c r="AY112" s="1393">
        <f t="shared" si="30"/>
        <v>3000</v>
      </c>
      <c r="AZ112" s="1247">
        <f t="shared" si="31"/>
        <v>0</v>
      </c>
      <c r="BA112" s="1247">
        <f t="shared" si="32"/>
        <v>0</v>
      </c>
      <c r="BB112" s="1385">
        <f t="shared" si="37"/>
        <v>3000</v>
      </c>
    </row>
    <row r="113" spans="1:54" ht="15.6" x14ac:dyDescent="0.3">
      <c r="A113" s="1216"/>
      <c r="B113" s="954"/>
      <c r="C113" s="1223"/>
      <c r="D113" s="1487"/>
      <c r="E113" s="1217"/>
      <c r="F113" s="954"/>
      <c r="G113" s="1223"/>
      <c r="H113" s="1487"/>
      <c r="I113" s="1217"/>
      <c r="J113" s="954"/>
      <c r="K113" s="1223"/>
      <c r="L113" s="1487"/>
      <c r="M113" s="1217">
        <v>44</v>
      </c>
      <c r="N113" s="1221" t="s">
        <v>1956</v>
      </c>
      <c r="O113" s="1249"/>
      <c r="P113" s="1251"/>
      <c r="Q113" s="1250"/>
      <c r="R113" s="1517"/>
      <c r="S113" s="1517"/>
      <c r="T113" s="1517"/>
      <c r="U113" s="1223"/>
      <c r="V113" s="1487"/>
      <c r="W113" s="1223"/>
      <c r="X113" s="1487"/>
      <c r="Y113" s="1223"/>
      <c r="Z113" s="1487"/>
      <c r="AA113" s="1149"/>
      <c r="AB113" s="1016"/>
      <c r="AC113" s="1219"/>
      <c r="AD113" s="1219"/>
      <c r="AE113" s="1528"/>
      <c r="AF113" s="1528"/>
      <c r="AG113" s="1217"/>
      <c r="AH113" s="954"/>
      <c r="AI113" s="1223"/>
      <c r="AJ113" s="1223"/>
      <c r="AK113" s="1223"/>
      <c r="AL113" s="1487"/>
      <c r="AM113" s="1487"/>
      <c r="AN113" s="1487"/>
      <c r="AO113" s="1149"/>
      <c r="AP113" s="954"/>
      <c r="AQ113" s="989"/>
      <c r="AR113" s="989"/>
      <c r="AS113" s="1544"/>
      <c r="AT113" s="1585"/>
      <c r="AU113" s="1561">
        <f t="shared" si="33"/>
        <v>0</v>
      </c>
      <c r="AV113" s="1447">
        <f t="shared" si="34"/>
        <v>0</v>
      </c>
      <c r="AW113" s="1447">
        <f t="shared" si="35"/>
        <v>0</v>
      </c>
      <c r="AX113" s="1450">
        <f t="shared" si="36"/>
        <v>0</v>
      </c>
      <c r="AY113" s="1393">
        <f t="shared" si="30"/>
        <v>0</v>
      </c>
      <c r="AZ113" s="1247">
        <f t="shared" si="31"/>
        <v>0</v>
      </c>
      <c r="BA113" s="1247">
        <f t="shared" si="32"/>
        <v>0</v>
      </c>
      <c r="BB113" s="1385">
        <f t="shared" si="37"/>
        <v>0</v>
      </c>
    </row>
    <row r="114" spans="1:54" ht="15.6" x14ac:dyDescent="0.3">
      <c r="A114" s="1216"/>
      <c r="B114" s="954"/>
      <c r="C114" s="1223"/>
      <c r="D114" s="1487"/>
      <c r="E114" s="1217"/>
      <c r="F114" s="954"/>
      <c r="G114" s="1223"/>
      <c r="H114" s="1487"/>
      <c r="I114" s="1217"/>
      <c r="J114" s="954"/>
      <c r="K114" s="1223"/>
      <c r="L114" s="1487"/>
      <c r="M114" s="1217"/>
      <c r="N114" s="1221" t="s">
        <v>1957</v>
      </c>
      <c r="O114" s="1250"/>
      <c r="P114" s="1251"/>
      <c r="Q114" s="1250"/>
      <c r="R114" s="1517"/>
      <c r="S114" s="1517"/>
      <c r="T114" s="1517"/>
      <c r="U114" s="1223"/>
      <c r="V114" s="1487"/>
      <c r="W114" s="1223"/>
      <c r="X114" s="1487"/>
      <c r="Y114" s="1223"/>
      <c r="Z114" s="1487"/>
      <c r="AA114" s="1149"/>
      <c r="AB114" s="1016"/>
      <c r="AC114" s="1219"/>
      <c r="AD114" s="1219"/>
      <c r="AE114" s="1528"/>
      <c r="AF114" s="1528"/>
      <c r="AG114" s="1217"/>
      <c r="AH114" s="954"/>
      <c r="AI114" s="1223"/>
      <c r="AJ114" s="1223"/>
      <c r="AK114" s="1223"/>
      <c r="AL114" s="1487"/>
      <c r="AM114" s="1487"/>
      <c r="AN114" s="1487"/>
      <c r="AO114" s="1149"/>
      <c r="AP114" s="954"/>
      <c r="AQ114" s="989"/>
      <c r="AR114" s="989"/>
      <c r="AS114" s="1544"/>
      <c r="AT114" s="1585"/>
      <c r="AU114" s="1561">
        <f t="shared" si="33"/>
        <v>0</v>
      </c>
      <c r="AV114" s="1447">
        <f t="shared" si="34"/>
        <v>0</v>
      </c>
      <c r="AW114" s="1447">
        <f t="shared" si="35"/>
        <v>0</v>
      </c>
      <c r="AX114" s="1450">
        <f t="shared" si="36"/>
        <v>0</v>
      </c>
      <c r="AY114" s="1393">
        <f t="shared" si="30"/>
        <v>0</v>
      </c>
      <c r="AZ114" s="1247">
        <f t="shared" si="31"/>
        <v>0</v>
      </c>
      <c r="BA114" s="1247">
        <f t="shared" si="32"/>
        <v>0</v>
      </c>
      <c r="BB114" s="1385">
        <f t="shared" si="37"/>
        <v>0</v>
      </c>
    </row>
    <row r="115" spans="1:54" ht="15.6" x14ac:dyDescent="0.3">
      <c r="A115" s="1216"/>
      <c r="B115" s="954"/>
      <c r="C115" s="1223"/>
      <c r="D115" s="1487"/>
      <c r="E115" s="1217"/>
      <c r="F115" s="954"/>
      <c r="G115" s="1223"/>
      <c r="H115" s="1487"/>
      <c r="I115" s="1217"/>
      <c r="J115" s="954"/>
      <c r="K115" s="1223"/>
      <c r="L115" s="1487"/>
      <c r="M115" s="1217"/>
      <c r="N115" s="1221" t="s">
        <v>1942</v>
      </c>
      <c r="O115" s="1250"/>
      <c r="P115" s="1251"/>
      <c r="Q115" s="1250"/>
      <c r="R115" s="1517"/>
      <c r="S115" s="1517"/>
      <c r="T115" s="1517"/>
      <c r="U115" s="1223"/>
      <c r="V115" s="1487"/>
      <c r="W115" s="1223"/>
      <c r="X115" s="1487"/>
      <c r="Y115" s="1223"/>
      <c r="Z115" s="1487"/>
      <c r="AA115" s="1149"/>
      <c r="AB115" s="1016"/>
      <c r="AC115" s="1219"/>
      <c r="AD115" s="1219"/>
      <c r="AE115" s="1528"/>
      <c r="AF115" s="1528"/>
      <c r="AG115" s="1217"/>
      <c r="AH115" s="954"/>
      <c r="AI115" s="1223"/>
      <c r="AJ115" s="1223"/>
      <c r="AK115" s="1223"/>
      <c r="AL115" s="1487"/>
      <c r="AM115" s="1487"/>
      <c r="AN115" s="1487"/>
      <c r="AO115" s="1149"/>
      <c r="AP115" s="954"/>
      <c r="AQ115" s="989"/>
      <c r="AR115" s="989"/>
      <c r="AS115" s="1544"/>
      <c r="AT115" s="1585"/>
      <c r="AU115" s="1561">
        <f t="shared" si="33"/>
        <v>0</v>
      </c>
      <c r="AV115" s="1447">
        <f t="shared" si="34"/>
        <v>0</v>
      </c>
      <c r="AW115" s="1447">
        <f t="shared" si="35"/>
        <v>0</v>
      </c>
      <c r="AX115" s="1450">
        <f t="shared" si="36"/>
        <v>0</v>
      </c>
      <c r="AY115" s="1393">
        <f t="shared" si="30"/>
        <v>0</v>
      </c>
      <c r="AZ115" s="1247">
        <f t="shared" si="31"/>
        <v>0</v>
      </c>
      <c r="BA115" s="1247">
        <f t="shared" si="32"/>
        <v>0</v>
      </c>
      <c r="BB115" s="1385">
        <f t="shared" si="37"/>
        <v>0</v>
      </c>
    </row>
    <row r="116" spans="1:54" ht="15.6" x14ac:dyDescent="0.3">
      <c r="A116" s="1216"/>
      <c r="B116" s="954"/>
      <c r="C116" s="1223"/>
      <c r="D116" s="1487"/>
      <c r="E116" s="1217"/>
      <c r="F116" s="954"/>
      <c r="G116" s="1223"/>
      <c r="H116" s="1487"/>
      <c r="I116" s="1217"/>
      <c r="J116" s="954"/>
      <c r="K116" s="1223"/>
      <c r="L116" s="1487"/>
      <c r="M116" s="1217"/>
      <c r="N116" s="1221" t="s">
        <v>1958</v>
      </c>
      <c r="O116" s="1250">
        <v>6000</v>
      </c>
      <c r="P116" s="1251"/>
      <c r="Q116" s="1250"/>
      <c r="R116" s="1517">
        <f>6000-6000</f>
        <v>0</v>
      </c>
      <c r="S116" s="1517"/>
      <c r="T116" s="1517"/>
      <c r="U116" s="1223"/>
      <c r="V116" s="1487"/>
      <c r="W116" s="1223"/>
      <c r="X116" s="1487"/>
      <c r="Y116" s="1223"/>
      <c r="Z116" s="1487"/>
      <c r="AA116" s="1149"/>
      <c r="AB116" s="1016"/>
      <c r="AC116" s="1219"/>
      <c r="AD116" s="1219"/>
      <c r="AE116" s="1528"/>
      <c r="AF116" s="1528"/>
      <c r="AG116" s="1217"/>
      <c r="AH116" s="954"/>
      <c r="AI116" s="1223"/>
      <c r="AJ116" s="1223"/>
      <c r="AK116" s="1223"/>
      <c r="AL116" s="1487"/>
      <c r="AM116" s="1487"/>
      <c r="AN116" s="1487"/>
      <c r="AO116" s="1149"/>
      <c r="AP116" s="954"/>
      <c r="AQ116" s="989"/>
      <c r="AR116" s="989"/>
      <c r="AS116" s="1544"/>
      <c r="AT116" s="1585"/>
      <c r="AU116" s="1561">
        <f t="shared" si="33"/>
        <v>0</v>
      </c>
      <c r="AV116" s="1447">
        <f t="shared" si="34"/>
        <v>0</v>
      </c>
      <c r="AW116" s="1447">
        <f t="shared" si="35"/>
        <v>0</v>
      </c>
      <c r="AX116" s="1450">
        <f t="shared" si="36"/>
        <v>0</v>
      </c>
      <c r="AY116" s="1393">
        <f t="shared" si="30"/>
        <v>6000</v>
      </c>
      <c r="AZ116" s="1247">
        <f t="shared" si="31"/>
        <v>0</v>
      </c>
      <c r="BA116" s="1247">
        <f t="shared" si="32"/>
        <v>0</v>
      </c>
      <c r="BB116" s="1385">
        <f t="shared" si="37"/>
        <v>6000</v>
      </c>
    </row>
    <row r="117" spans="1:54" ht="15.6" x14ac:dyDescent="0.3">
      <c r="A117" s="1216"/>
      <c r="B117" s="954"/>
      <c r="C117" s="1223"/>
      <c r="D117" s="1487"/>
      <c r="E117" s="1217"/>
      <c r="F117" s="954"/>
      <c r="G117" s="1223"/>
      <c r="H117" s="1487"/>
      <c r="I117" s="1217"/>
      <c r="J117" s="954"/>
      <c r="K117" s="1223"/>
      <c r="L117" s="1487"/>
      <c r="M117" s="1217"/>
      <c r="N117" s="1221" t="s">
        <v>1942</v>
      </c>
      <c r="O117" s="1250"/>
      <c r="P117" s="1251"/>
      <c r="Q117" s="1250"/>
      <c r="R117" s="1517"/>
      <c r="S117" s="1517"/>
      <c r="T117" s="1517"/>
      <c r="U117" s="1223"/>
      <c r="V117" s="1487"/>
      <c r="W117" s="1223"/>
      <c r="X117" s="1487"/>
      <c r="Y117" s="1223"/>
      <c r="Z117" s="1487"/>
      <c r="AA117" s="1149"/>
      <c r="AB117" s="1016"/>
      <c r="AC117" s="1219"/>
      <c r="AD117" s="1219"/>
      <c r="AE117" s="1528"/>
      <c r="AF117" s="1528"/>
      <c r="AG117" s="1217"/>
      <c r="AH117" s="954"/>
      <c r="AI117" s="1223"/>
      <c r="AJ117" s="1223"/>
      <c r="AK117" s="1223"/>
      <c r="AL117" s="1487"/>
      <c r="AM117" s="1487"/>
      <c r="AN117" s="1487"/>
      <c r="AO117" s="1149"/>
      <c r="AP117" s="954"/>
      <c r="AQ117" s="989"/>
      <c r="AR117" s="989"/>
      <c r="AS117" s="1544"/>
      <c r="AT117" s="1585"/>
      <c r="AU117" s="1561">
        <f t="shared" si="33"/>
        <v>0</v>
      </c>
      <c r="AV117" s="1447">
        <f t="shared" si="34"/>
        <v>0</v>
      </c>
      <c r="AW117" s="1447">
        <f t="shared" si="35"/>
        <v>0</v>
      </c>
      <c r="AX117" s="1450">
        <f t="shared" si="36"/>
        <v>0</v>
      </c>
      <c r="AY117" s="1393">
        <f t="shared" si="30"/>
        <v>0</v>
      </c>
      <c r="AZ117" s="1247">
        <f t="shared" si="31"/>
        <v>0</v>
      </c>
      <c r="BA117" s="1247">
        <f t="shared" si="32"/>
        <v>0</v>
      </c>
      <c r="BB117" s="1385">
        <f t="shared" si="37"/>
        <v>0</v>
      </c>
    </row>
    <row r="118" spans="1:54" ht="15.6" x14ac:dyDescent="0.3">
      <c r="A118" s="1216"/>
      <c r="B118" s="954"/>
      <c r="C118" s="1223"/>
      <c r="D118" s="1487"/>
      <c r="E118" s="1217"/>
      <c r="F118" s="954"/>
      <c r="G118" s="1223"/>
      <c r="H118" s="1487"/>
      <c r="I118" s="1217"/>
      <c r="J118" s="954"/>
      <c r="K118" s="1223"/>
      <c r="L118" s="1487"/>
      <c r="M118" s="1217"/>
      <c r="N118" s="1221" t="s">
        <v>1959</v>
      </c>
      <c r="O118" s="1250">
        <v>5000</v>
      </c>
      <c r="P118" s="1250"/>
      <c r="Q118" s="1250"/>
      <c r="R118" s="1517">
        <f>5000-5000</f>
        <v>0</v>
      </c>
      <c r="S118" s="1517"/>
      <c r="T118" s="1517"/>
      <c r="U118" s="1223"/>
      <c r="V118" s="1487"/>
      <c r="W118" s="1223"/>
      <c r="X118" s="1487"/>
      <c r="Y118" s="1223"/>
      <c r="Z118" s="1487"/>
      <c r="AA118" s="1149"/>
      <c r="AB118" s="1016"/>
      <c r="AC118" s="1219"/>
      <c r="AD118" s="1219"/>
      <c r="AE118" s="1528"/>
      <c r="AF118" s="1528"/>
      <c r="AG118" s="1217"/>
      <c r="AH118" s="954"/>
      <c r="AI118" s="1223"/>
      <c r="AJ118" s="1223"/>
      <c r="AK118" s="1223"/>
      <c r="AL118" s="1487"/>
      <c r="AM118" s="1487"/>
      <c r="AN118" s="1487"/>
      <c r="AO118" s="1149"/>
      <c r="AP118" s="954"/>
      <c r="AQ118" s="989"/>
      <c r="AR118" s="989"/>
      <c r="AS118" s="1544"/>
      <c r="AT118" s="1585"/>
      <c r="AU118" s="1561">
        <f t="shared" si="33"/>
        <v>0</v>
      </c>
      <c r="AV118" s="1447">
        <f t="shared" si="34"/>
        <v>0</v>
      </c>
      <c r="AW118" s="1447">
        <f t="shared" si="35"/>
        <v>0</v>
      </c>
      <c r="AX118" s="1450">
        <f t="shared" si="36"/>
        <v>0</v>
      </c>
      <c r="AY118" s="1393">
        <f t="shared" si="30"/>
        <v>5000</v>
      </c>
      <c r="AZ118" s="1247">
        <f t="shared" si="31"/>
        <v>0</v>
      </c>
      <c r="BA118" s="1247">
        <f t="shared" si="32"/>
        <v>0</v>
      </c>
      <c r="BB118" s="1385">
        <f t="shared" si="37"/>
        <v>5000</v>
      </c>
    </row>
    <row r="119" spans="1:54" ht="15.6" x14ac:dyDescent="0.3">
      <c r="A119" s="1216"/>
      <c r="B119" s="954"/>
      <c r="C119" s="1223"/>
      <c r="D119" s="1487"/>
      <c r="E119" s="1217"/>
      <c r="F119" s="954"/>
      <c r="G119" s="1223"/>
      <c r="H119" s="1487"/>
      <c r="I119" s="1217"/>
      <c r="J119" s="954"/>
      <c r="K119" s="1223"/>
      <c r="L119" s="1487"/>
      <c r="M119" s="1217"/>
      <c r="N119" s="1221" t="s">
        <v>1960</v>
      </c>
      <c r="O119" s="1251">
        <v>400</v>
      </c>
      <c r="P119" s="1250"/>
      <c r="Q119" s="1250"/>
      <c r="R119" s="1517">
        <f>400+800</f>
        <v>1200</v>
      </c>
      <c r="S119" s="1517"/>
      <c r="T119" s="1517"/>
      <c r="U119" s="1223"/>
      <c r="V119" s="1487"/>
      <c r="W119" s="1223"/>
      <c r="X119" s="1487"/>
      <c r="Y119" s="1223"/>
      <c r="Z119" s="1487"/>
      <c r="AA119" s="1149"/>
      <c r="AB119" s="1016"/>
      <c r="AC119" s="1219"/>
      <c r="AD119" s="1219"/>
      <c r="AE119" s="1528"/>
      <c r="AF119" s="1528"/>
      <c r="AG119" s="1217"/>
      <c r="AH119" s="954"/>
      <c r="AI119" s="1223"/>
      <c r="AJ119" s="1223"/>
      <c r="AK119" s="1223"/>
      <c r="AL119" s="1487"/>
      <c r="AM119" s="1487"/>
      <c r="AN119" s="1487"/>
      <c r="AO119" s="1149"/>
      <c r="AP119" s="954"/>
      <c r="AQ119" s="989"/>
      <c r="AR119" s="989"/>
      <c r="AS119" s="1544"/>
      <c r="AT119" s="1585"/>
      <c r="AU119" s="1561">
        <f t="shared" si="33"/>
        <v>1200</v>
      </c>
      <c r="AV119" s="1447">
        <f t="shared" si="34"/>
        <v>0</v>
      </c>
      <c r="AW119" s="1447">
        <f t="shared" si="35"/>
        <v>0</v>
      </c>
      <c r="AX119" s="1450">
        <f t="shared" si="36"/>
        <v>1200</v>
      </c>
      <c r="AY119" s="1393">
        <f t="shared" si="30"/>
        <v>400</v>
      </c>
      <c r="AZ119" s="1247">
        <f t="shared" si="31"/>
        <v>0</v>
      </c>
      <c r="BA119" s="1247">
        <f t="shared" si="32"/>
        <v>0</v>
      </c>
      <c r="BB119" s="1385">
        <f t="shared" si="37"/>
        <v>400</v>
      </c>
    </row>
    <row r="120" spans="1:54" ht="15.6" x14ac:dyDescent="0.3">
      <c r="A120" s="1216"/>
      <c r="B120" s="954"/>
      <c r="C120" s="1223"/>
      <c r="D120" s="1487"/>
      <c r="E120" s="1217"/>
      <c r="F120" s="954"/>
      <c r="G120" s="1223"/>
      <c r="H120" s="1487"/>
      <c r="I120" s="1217"/>
      <c r="J120" s="954"/>
      <c r="K120" s="1223"/>
      <c r="L120" s="1487"/>
      <c r="M120" s="1217"/>
      <c r="N120" s="1221" t="s">
        <v>1961</v>
      </c>
      <c r="O120" s="1250">
        <v>5000</v>
      </c>
      <c r="P120" s="1250"/>
      <c r="Q120" s="1250"/>
      <c r="R120" s="1517">
        <v>0</v>
      </c>
      <c r="S120" s="1517"/>
      <c r="T120" s="1517"/>
      <c r="U120" s="1223"/>
      <c r="V120" s="1487"/>
      <c r="W120" s="1223"/>
      <c r="X120" s="1487"/>
      <c r="Y120" s="1223"/>
      <c r="Z120" s="1487"/>
      <c r="AA120" s="1149"/>
      <c r="AB120" s="1016"/>
      <c r="AC120" s="1219"/>
      <c r="AD120" s="1219"/>
      <c r="AE120" s="1528"/>
      <c r="AF120" s="1528"/>
      <c r="AG120" s="1217"/>
      <c r="AH120" s="954"/>
      <c r="AI120" s="1223"/>
      <c r="AJ120" s="1223"/>
      <c r="AK120" s="1223"/>
      <c r="AL120" s="1487"/>
      <c r="AM120" s="1487"/>
      <c r="AN120" s="1487"/>
      <c r="AO120" s="1149"/>
      <c r="AP120" s="954"/>
      <c r="AQ120" s="989"/>
      <c r="AR120" s="989"/>
      <c r="AS120" s="1544"/>
      <c r="AT120" s="1585"/>
      <c r="AU120" s="1561">
        <f t="shared" si="33"/>
        <v>0</v>
      </c>
      <c r="AV120" s="1447">
        <f t="shared" si="34"/>
        <v>0</v>
      </c>
      <c r="AW120" s="1447">
        <f t="shared" si="35"/>
        <v>0</v>
      </c>
      <c r="AX120" s="1450">
        <f t="shared" si="36"/>
        <v>0</v>
      </c>
      <c r="AY120" s="1393">
        <f t="shared" si="30"/>
        <v>5000</v>
      </c>
      <c r="AZ120" s="1247">
        <f t="shared" si="31"/>
        <v>0</v>
      </c>
      <c r="BA120" s="1247">
        <f t="shared" si="32"/>
        <v>0</v>
      </c>
      <c r="BB120" s="1385">
        <f t="shared" si="37"/>
        <v>5000</v>
      </c>
    </row>
    <row r="121" spans="1:54" ht="15.6" x14ac:dyDescent="0.3">
      <c r="A121" s="1216"/>
      <c r="B121" s="954"/>
      <c r="C121" s="1223"/>
      <c r="D121" s="1487"/>
      <c r="E121" s="1217"/>
      <c r="F121" s="954"/>
      <c r="G121" s="1223"/>
      <c r="H121" s="1487"/>
      <c r="I121" s="1217"/>
      <c r="J121" s="954"/>
      <c r="K121" s="1223"/>
      <c r="L121" s="1487"/>
      <c r="M121" s="1217"/>
      <c r="N121" s="1221" t="s">
        <v>1962</v>
      </c>
      <c r="O121" s="1250"/>
      <c r="P121" s="1250"/>
      <c r="Q121" s="1250"/>
      <c r="R121" s="1517"/>
      <c r="S121" s="1517"/>
      <c r="T121" s="1517"/>
      <c r="U121" s="1223"/>
      <c r="V121" s="1487"/>
      <c r="W121" s="1223">
        <v>500</v>
      </c>
      <c r="X121" s="1487">
        <v>500</v>
      </c>
      <c r="Y121" s="1223"/>
      <c r="Z121" s="1487"/>
      <c r="AA121" s="1149"/>
      <c r="AB121" s="1016"/>
      <c r="AC121" s="1219"/>
      <c r="AD121" s="1219"/>
      <c r="AE121" s="1528"/>
      <c r="AF121" s="1528"/>
      <c r="AG121" s="1217"/>
      <c r="AH121" s="954"/>
      <c r="AI121" s="1223"/>
      <c r="AJ121" s="1223"/>
      <c r="AK121" s="1223"/>
      <c r="AL121" s="1487"/>
      <c r="AM121" s="1487"/>
      <c r="AN121" s="1487"/>
      <c r="AO121" s="1149"/>
      <c r="AP121" s="954"/>
      <c r="AQ121" s="989"/>
      <c r="AR121" s="989"/>
      <c r="AS121" s="1544"/>
      <c r="AT121" s="1585"/>
      <c r="AU121" s="1561">
        <f t="shared" si="33"/>
        <v>0</v>
      </c>
      <c r="AV121" s="1447">
        <f t="shared" si="34"/>
        <v>0</v>
      </c>
      <c r="AW121" s="1447">
        <f t="shared" si="35"/>
        <v>500</v>
      </c>
      <c r="AX121" s="1450">
        <f t="shared" si="36"/>
        <v>500</v>
      </c>
      <c r="AY121" s="1393">
        <f t="shared" si="30"/>
        <v>0</v>
      </c>
      <c r="AZ121" s="1247">
        <f t="shared" si="31"/>
        <v>0</v>
      </c>
      <c r="BA121" s="1247">
        <f t="shared" si="32"/>
        <v>500</v>
      </c>
      <c r="BB121" s="1385">
        <f t="shared" si="37"/>
        <v>500</v>
      </c>
    </row>
    <row r="122" spans="1:54" ht="15.6" x14ac:dyDescent="0.3">
      <c r="A122" s="1216"/>
      <c r="B122" s="954"/>
      <c r="C122" s="1223"/>
      <c r="D122" s="1487"/>
      <c r="E122" s="1217"/>
      <c r="F122" s="954"/>
      <c r="G122" s="1223"/>
      <c r="H122" s="1487"/>
      <c r="I122" s="1217"/>
      <c r="J122" s="954"/>
      <c r="K122" s="1223"/>
      <c r="L122" s="1487"/>
      <c r="M122" s="1217"/>
      <c r="N122" s="1221" t="s">
        <v>1963</v>
      </c>
      <c r="O122" s="1250"/>
      <c r="P122" s="1250"/>
      <c r="Q122" s="1250"/>
      <c r="R122" s="1517"/>
      <c r="S122" s="1517"/>
      <c r="T122" s="1517"/>
      <c r="U122" s="1365">
        <v>500</v>
      </c>
      <c r="V122" s="1487">
        <v>1000</v>
      </c>
      <c r="W122" s="1223"/>
      <c r="X122" s="1487"/>
      <c r="Y122" s="1223"/>
      <c r="Z122" s="1487"/>
      <c r="AA122" s="1149"/>
      <c r="AB122" s="1016"/>
      <c r="AC122" s="1219"/>
      <c r="AD122" s="1219"/>
      <c r="AE122" s="1528"/>
      <c r="AF122" s="1528"/>
      <c r="AG122" s="1217"/>
      <c r="AH122" s="954"/>
      <c r="AI122" s="1223"/>
      <c r="AJ122" s="1223"/>
      <c r="AK122" s="1223"/>
      <c r="AL122" s="1487"/>
      <c r="AM122" s="1487"/>
      <c r="AN122" s="1487"/>
      <c r="AO122" s="1149"/>
      <c r="AP122" s="954"/>
      <c r="AQ122" s="989"/>
      <c r="AR122" s="989"/>
      <c r="AS122" s="1544"/>
      <c r="AT122" s="1585"/>
      <c r="AU122" s="1561">
        <f t="shared" si="33"/>
        <v>1000</v>
      </c>
      <c r="AV122" s="1447">
        <f t="shared" si="34"/>
        <v>0</v>
      </c>
      <c r="AW122" s="1447">
        <f t="shared" si="35"/>
        <v>0</v>
      </c>
      <c r="AX122" s="1450">
        <f t="shared" si="36"/>
        <v>1000</v>
      </c>
      <c r="AY122" s="1393">
        <f t="shared" si="30"/>
        <v>500</v>
      </c>
      <c r="AZ122" s="1247">
        <f t="shared" si="31"/>
        <v>0</v>
      </c>
      <c r="BA122" s="1247">
        <f t="shared" si="32"/>
        <v>0</v>
      </c>
      <c r="BB122" s="1385">
        <f t="shared" si="37"/>
        <v>500</v>
      </c>
    </row>
    <row r="123" spans="1:54" ht="15.6" x14ac:dyDescent="0.3">
      <c r="A123" s="1216"/>
      <c r="B123" s="954"/>
      <c r="C123" s="1223"/>
      <c r="D123" s="1487"/>
      <c r="E123" s="1217"/>
      <c r="F123" s="954"/>
      <c r="G123" s="1223"/>
      <c r="H123" s="1487"/>
      <c r="I123" s="1217"/>
      <c r="J123" s="954"/>
      <c r="K123" s="1223"/>
      <c r="L123" s="1487"/>
      <c r="M123" s="1217"/>
      <c r="N123" s="1221" t="s">
        <v>1964</v>
      </c>
      <c r="O123" s="1250"/>
      <c r="P123" s="1250"/>
      <c r="Q123" s="1250"/>
      <c r="R123" s="1517"/>
      <c r="S123" s="1517"/>
      <c r="T123" s="1517"/>
      <c r="U123" s="1365">
        <v>5000</v>
      </c>
      <c r="V123" s="1527"/>
      <c r="W123" s="1223"/>
      <c r="X123" s="1487"/>
      <c r="Y123" s="1223"/>
      <c r="Z123" s="1487"/>
      <c r="AA123" s="1149"/>
      <c r="AB123" s="1016"/>
      <c r="AC123" s="1219"/>
      <c r="AD123" s="1219"/>
      <c r="AE123" s="1528"/>
      <c r="AF123" s="1528"/>
      <c r="AG123" s="1217"/>
      <c r="AH123" s="954"/>
      <c r="AI123" s="1223"/>
      <c r="AJ123" s="1223"/>
      <c r="AK123" s="1223"/>
      <c r="AL123" s="1487"/>
      <c r="AM123" s="1487"/>
      <c r="AN123" s="1487"/>
      <c r="AO123" s="1149"/>
      <c r="AP123" s="954"/>
      <c r="AQ123" s="989"/>
      <c r="AR123" s="989"/>
      <c r="AS123" s="1544"/>
      <c r="AT123" s="1585"/>
      <c r="AU123" s="1561">
        <f t="shared" si="33"/>
        <v>0</v>
      </c>
      <c r="AV123" s="1447">
        <f t="shared" si="34"/>
        <v>0</v>
      </c>
      <c r="AW123" s="1447">
        <f t="shared" si="35"/>
        <v>0</v>
      </c>
      <c r="AX123" s="1450">
        <f t="shared" si="36"/>
        <v>0</v>
      </c>
      <c r="AY123" s="1393">
        <f t="shared" si="30"/>
        <v>5000</v>
      </c>
      <c r="AZ123" s="1247">
        <f t="shared" si="31"/>
        <v>0</v>
      </c>
      <c r="BA123" s="1247">
        <f t="shared" si="32"/>
        <v>0</v>
      </c>
      <c r="BB123" s="1385">
        <f t="shared" si="37"/>
        <v>5000</v>
      </c>
    </row>
    <row r="124" spans="1:54" ht="15.6" x14ac:dyDescent="0.3">
      <c r="A124" s="1216"/>
      <c r="B124" s="954"/>
      <c r="C124" s="1223"/>
      <c r="D124" s="1487"/>
      <c r="E124" s="1217"/>
      <c r="F124" s="954"/>
      <c r="G124" s="1223"/>
      <c r="H124" s="1487"/>
      <c r="I124" s="1217"/>
      <c r="J124" s="954"/>
      <c r="K124" s="1223"/>
      <c r="L124" s="1487"/>
      <c r="M124" s="1217">
        <v>45</v>
      </c>
      <c r="N124" s="1248" t="s">
        <v>1965</v>
      </c>
      <c r="O124" s="1251"/>
      <c r="P124" s="1251"/>
      <c r="Q124" s="1251"/>
      <c r="R124" s="1508"/>
      <c r="S124" s="1508"/>
      <c r="T124" s="1508"/>
      <c r="U124" s="1365">
        <v>2200</v>
      </c>
      <c r="V124" s="1487">
        <v>2200</v>
      </c>
      <c r="W124" s="1223"/>
      <c r="X124" s="1487"/>
      <c r="Y124" s="1223"/>
      <c r="Z124" s="1487"/>
      <c r="AA124" s="1149"/>
      <c r="AB124" s="1016"/>
      <c r="AC124" s="1219"/>
      <c r="AD124" s="1219"/>
      <c r="AE124" s="1528"/>
      <c r="AF124" s="1528"/>
      <c r="AG124" s="1217"/>
      <c r="AH124" s="954"/>
      <c r="AI124" s="1223"/>
      <c r="AJ124" s="1223"/>
      <c r="AK124" s="1223"/>
      <c r="AL124" s="1487"/>
      <c r="AM124" s="1487"/>
      <c r="AN124" s="1487"/>
      <c r="AO124" s="1149"/>
      <c r="AP124" s="954"/>
      <c r="AQ124" s="989"/>
      <c r="AR124" s="989"/>
      <c r="AS124" s="1544"/>
      <c r="AT124" s="1585"/>
      <c r="AU124" s="1561">
        <f t="shared" si="33"/>
        <v>2200</v>
      </c>
      <c r="AV124" s="1447">
        <f t="shared" si="34"/>
        <v>0</v>
      </c>
      <c r="AW124" s="1447">
        <f t="shared" si="35"/>
        <v>0</v>
      </c>
      <c r="AX124" s="1450">
        <f t="shared" si="36"/>
        <v>2200</v>
      </c>
      <c r="AY124" s="1393">
        <f t="shared" si="30"/>
        <v>2200</v>
      </c>
      <c r="AZ124" s="1247">
        <f t="shared" si="31"/>
        <v>0</v>
      </c>
      <c r="BA124" s="1247">
        <f t="shared" si="32"/>
        <v>0</v>
      </c>
      <c r="BB124" s="1385">
        <f t="shared" si="37"/>
        <v>2200</v>
      </c>
    </row>
    <row r="125" spans="1:54" ht="15.6" x14ac:dyDescent="0.3">
      <c r="A125" s="1216"/>
      <c r="B125" s="954"/>
      <c r="C125" s="1223"/>
      <c r="D125" s="1487"/>
      <c r="E125" s="1217"/>
      <c r="F125" s="954"/>
      <c r="G125" s="1223"/>
      <c r="H125" s="1487"/>
      <c r="I125" s="1217"/>
      <c r="J125" s="954"/>
      <c r="K125" s="1223"/>
      <c r="L125" s="1487"/>
      <c r="M125" s="1217">
        <v>46</v>
      </c>
      <c r="N125" s="1104" t="s">
        <v>1966</v>
      </c>
      <c r="O125" s="1251"/>
      <c r="P125" s="1251"/>
      <c r="Q125" s="1251"/>
      <c r="R125" s="1508"/>
      <c r="S125" s="1508"/>
      <c r="T125" s="1508"/>
      <c r="U125" s="1365">
        <v>6108</v>
      </c>
      <c r="V125" s="1487">
        <v>6500</v>
      </c>
      <c r="W125" s="1223"/>
      <c r="X125" s="1487"/>
      <c r="Y125" s="1223"/>
      <c r="Z125" s="1487"/>
      <c r="AA125" s="1149"/>
      <c r="AB125" s="1016"/>
      <c r="AC125" s="1219"/>
      <c r="AD125" s="1219"/>
      <c r="AE125" s="1528"/>
      <c r="AF125" s="1528"/>
      <c r="AG125" s="1217"/>
      <c r="AH125" s="954"/>
      <c r="AI125" s="1223"/>
      <c r="AJ125" s="1223"/>
      <c r="AK125" s="1223"/>
      <c r="AL125" s="1487"/>
      <c r="AM125" s="1487"/>
      <c r="AN125" s="1487"/>
      <c r="AO125" s="1149"/>
      <c r="AP125" s="954"/>
      <c r="AQ125" s="989"/>
      <c r="AR125" s="989"/>
      <c r="AS125" s="1544"/>
      <c r="AT125" s="1585"/>
      <c r="AU125" s="1561">
        <f t="shared" si="33"/>
        <v>6500</v>
      </c>
      <c r="AV125" s="1447">
        <f t="shared" si="34"/>
        <v>0</v>
      </c>
      <c r="AW125" s="1447">
        <f t="shared" si="35"/>
        <v>0</v>
      </c>
      <c r="AX125" s="1450">
        <f t="shared" si="36"/>
        <v>6500</v>
      </c>
      <c r="AY125" s="1393">
        <f t="shared" si="30"/>
        <v>6108</v>
      </c>
      <c r="AZ125" s="1247">
        <f t="shared" si="31"/>
        <v>0</v>
      </c>
      <c r="BA125" s="1247">
        <f t="shared" si="32"/>
        <v>0</v>
      </c>
      <c r="BB125" s="1385">
        <f t="shared" si="37"/>
        <v>6108</v>
      </c>
    </row>
    <row r="126" spans="1:54" ht="15.6" x14ac:dyDescent="0.3">
      <c r="A126" s="1216"/>
      <c r="B126" s="954"/>
      <c r="C126" s="1223"/>
      <c r="D126" s="1487"/>
      <c r="E126" s="1217"/>
      <c r="F126" s="954"/>
      <c r="G126" s="1223"/>
      <c r="H126" s="1487"/>
      <c r="I126" s="1217"/>
      <c r="J126" s="954"/>
      <c r="K126" s="1223"/>
      <c r="L126" s="1487"/>
      <c r="M126" s="1217">
        <v>47</v>
      </c>
      <c r="N126" s="1104" t="s">
        <v>1967</v>
      </c>
      <c r="O126" s="1251"/>
      <c r="P126" s="1251"/>
      <c r="Q126" s="1251"/>
      <c r="R126" s="1508"/>
      <c r="S126" s="1508"/>
      <c r="T126" s="1508"/>
      <c r="U126" s="1365">
        <v>3937</v>
      </c>
      <c r="V126" s="1487">
        <v>3937</v>
      </c>
      <c r="W126" s="1223"/>
      <c r="X126" s="1487"/>
      <c r="Y126" s="1223"/>
      <c r="Z126" s="1487"/>
      <c r="AA126" s="1149"/>
      <c r="AB126" s="1016"/>
      <c r="AC126" s="1219"/>
      <c r="AD126" s="1219"/>
      <c r="AE126" s="1528"/>
      <c r="AF126" s="1528"/>
      <c r="AG126" s="1217"/>
      <c r="AH126" s="954"/>
      <c r="AI126" s="1223"/>
      <c r="AJ126" s="1223"/>
      <c r="AK126" s="1223"/>
      <c r="AL126" s="1487"/>
      <c r="AM126" s="1487"/>
      <c r="AN126" s="1487"/>
      <c r="AO126" s="1149"/>
      <c r="AP126" s="954"/>
      <c r="AQ126" s="989"/>
      <c r="AR126" s="989"/>
      <c r="AS126" s="1544"/>
      <c r="AT126" s="1585"/>
      <c r="AU126" s="1561">
        <f t="shared" si="33"/>
        <v>3937</v>
      </c>
      <c r="AV126" s="1447">
        <f t="shared" si="34"/>
        <v>0</v>
      </c>
      <c r="AW126" s="1447">
        <f t="shared" si="35"/>
        <v>0</v>
      </c>
      <c r="AX126" s="1450">
        <f t="shared" si="36"/>
        <v>3937</v>
      </c>
      <c r="AY126" s="1393">
        <f t="shared" si="30"/>
        <v>3937</v>
      </c>
      <c r="AZ126" s="1247">
        <f t="shared" si="31"/>
        <v>0</v>
      </c>
      <c r="BA126" s="1247">
        <f t="shared" si="32"/>
        <v>0</v>
      </c>
      <c r="BB126" s="1385">
        <f t="shared" si="37"/>
        <v>3937</v>
      </c>
    </row>
    <row r="127" spans="1:54" ht="15.6" x14ac:dyDescent="0.3">
      <c r="A127" s="1216"/>
      <c r="B127" s="954"/>
      <c r="C127" s="1223"/>
      <c r="D127" s="1487"/>
      <c r="E127" s="1217"/>
      <c r="F127" s="954"/>
      <c r="G127" s="1223"/>
      <c r="H127" s="1487"/>
      <c r="I127" s="1217"/>
      <c r="J127" s="954"/>
      <c r="K127" s="1223"/>
      <c r="L127" s="1487"/>
      <c r="M127" s="1217">
        <v>48</v>
      </c>
      <c r="N127" s="1104" t="s">
        <v>1968</v>
      </c>
      <c r="O127" s="1251"/>
      <c r="P127" s="1251"/>
      <c r="Q127" s="1251"/>
      <c r="R127" s="1508"/>
      <c r="S127" s="1508"/>
      <c r="T127" s="1508"/>
      <c r="U127" s="1365">
        <v>1575</v>
      </c>
      <c r="V127" s="1487">
        <v>1800</v>
      </c>
      <c r="W127" s="1223"/>
      <c r="X127" s="1487"/>
      <c r="Y127" s="1223"/>
      <c r="Z127" s="1487"/>
      <c r="AA127" s="1149"/>
      <c r="AB127" s="1016"/>
      <c r="AC127" s="1219"/>
      <c r="AD127" s="1219"/>
      <c r="AE127" s="1528"/>
      <c r="AF127" s="1528"/>
      <c r="AG127" s="1217"/>
      <c r="AH127" s="954"/>
      <c r="AI127" s="1223"/>
      <c r="AJ127" s="1223"/>
      <c r="AK127" s="1223"/>
      <c r="AL127" s="1487"/>
      <c r="AM127" s="1487"/>
      <c r="AN127" s="1487"/>
      <c r="AO127" s="1149"/>
      <c r="AP127" s="954"/>
      <c r="AQ127" s="989"/>
      <c r="AR127" s="989"/>
      <c r="AS127" s="1544"/>
      <c r="AT127" s="1585"/>
      <c r="AU127" s="1561">
        <f t="shared" si="33"/>
        <v>1800</v>
      </c>
      <c r="AV127" s="1447">
        <f t="shared" si="34"/>
        <v>0</v>
      </c>
      <c r="AW127" s="1447">
        <f t="shared" si="35"/>
        <v>0</v>
      </c>
      <c r="AX127" s="1450">
        <f t="shared" si="36"/>
        <v>1800</v>
      </c>
      <c r="AY127" s="1393">
        <f t="shared" si="30"/>
        <v>1575</v>
      </c>
      <c r="AZ127" s="1247">
        <f t="shared" si="31"/>
        <v>0</v>
      </c>
      <c r="BA127" s="1247">
        <f t="shared" si="32"/>
        <v>0</v>
      </c>
      <c r="BB127" s="1385">
        <f t="shared" si="37"/>
        <v>1575</v>
      </c>
    </row>
    <row r="128" spans="1:54" ht="15.6" x14ac:dyDescent="0.3">
      <c r="A128" s="1216"/>
      <c r="B128" s="954"/>
      <c r="C128" s="1223"/>
      <c r="D128" s="1487"/>
      <c r="E128" s="1217"/>
      <c r="F128" s="954"/>
      <c r="G128" s="1223"/>
      <c r="H128" s="1487"/>
      <c r="I128" s="1217"/>
      <c r="J128" s="954"/>
      <c r="K128" s="1223"/>
      <c r="L128" s="1487"/>
      <c r="M128" s="1217">
        <v>49</v>
      </c>
      <c r="N128" s="1104" t="s">
        <v>1969</v>
      </c>
      <c r="O128" s="1251"/>
      <c r="P128" s="1251"/>
      <c r="Q128" s="1251"/>
      <c r="R128" s="1508"/>
      <c r="S128" s="1508"/>
      <c r="T128" s="1508"/>
      <c r="U128" s="1365">
        <v>300</v>
      </c>
      <c r="V128" s="1487">
        <v>300</v>
      </c>
      <c r="W128" s="1223"/>
      <c r="X128" s="1487"/>
      <c r="Y128" s="1223"/>
      <c r="Z128" s="1487"/>
      <c r="AA128" s="1149"/>
      <c r="AB128" s="1016"/>
      <c r="AC128" s="1219"/>
      <c r="AD128" s="1219"/>
      <c r="AE128" s="1528"/>
      <c r="AF128" s="1528"/>
      <c r="AG128" s="1217"/>
      <c r="AH128" s="954"/>
      <c r="AI128" s="1223"/>
      <c r="AJ128" s="1223"/>
      <c r="AK128" s="1223"/>
      <c r="AL128" s="1487"/>
      <c r="AM128" s="1487"/>
      <c r="AN128" s="1487"/>
      <c r="AO128" s="1149"/>
      <c r="AP128" s="954"/>
      <c r="AQ128" s="989"/>
      <c r="AR128" s="989"/>
      <c r="AS128" s="1544"/>
      <c r="AT128" s="1585"/>
      <c r="AU128" s="1561">
        <f t="shared" si="33"/>
        <v>300</v>
      </c>
      <c r="AV128" s="1447">
        <f t="shared" si="34"/>
        <v>0</v>
      </c>
      <c r="AW128" s="1447">
        <f t="shared" si="35"/>
        <v>0</v>
      </c>
      <c r="AX128" s="1450">
        <f t="shared" si="36"/>
        <v>300</v>
      </c>
      <c r="AY128" s="1393">
        <f t="shared" si="30"/>
        <v>300</v>
      </c>
      <c r="AZ128" s="1247">
        <f t="shared" si="31"/>
        <v>0</v>
      </c>
      <c r="BA128" s="1247">
        <f t="shared" si="32"/>
        <v>0</v>
      </c>
      <c r="BB128" s="1385">
        <f t="shared" si="37"/>
        <v>300</v>
      </c>
    </row>
    <row r="129" spans="1:54" ht="15.6" x14ac:dyDescent="0.3">
      <c r="A129" s="1216"/>
      <c r="B129" s="954"/>
      <c r="C129" s="1223"/>
      <c r="D129" s="1487"/>
      <c r="E129" s="1217"/>
      <c r="F129" s="954"/>
      <c r="G129" s="1223"/>
      <c r="H129" s="1487"/>
      <c r="I129" s="1217"/>
      <c r="J129" s="954"/>
      <c r="K129" s="1223"/>
      <c r="L129" s="1487"/>
      <c r="M129" s="1217">
        <v>50</v>
      </c>
      <c r="N129" s="1104" t="s">
        <v>1970</v>
      </c>
      <c r="O129" s="1251"/>
      <c r="P129" s="1251"/>
      <c r="Q129" s="1251"/>
      <c r="R129" s="1508"/>
      <c r="S129" s="1508"/>
      <c r="T129" s="1508"/>
      <c r="U129" s="1365">
        <v>2376</v>
      </c>
      <c r="V129" s="1487">
        <v>2376</v>
      </c>
      <c r="W129" s="1223"/>
      <c r="X129" s="1487"/>
      <c r="Y129" s="1223"/>
      <c r="Z129" s="1487"/>
      <c r="AA129" s="1149"/>
      <c r="AB129" s="1016"/>
      <c r="AC129" s="1219"/>
      <c r="AD129" s="1219"/>
      <c r="AE129" s="1528"/>
      <c r="AF129" s="1528"/>
      <c r="AG129" s="1217"/>
      <c r="AH129" s="954"/>
      <c r="AI129" s="1223"/>
      <c r="AJ129" s="1223"/>
      <c r="AK129" s="1223"/>
      <c r="AL129" s="1487"/>
      <c r="AM129" s="1487"/>
      <c r="AN129" s="1487"/>
      <c r="AO129" s="1149"/>
      <c r="AP129" s="954"/>
      <c r="AQ129" s="989"/>
      <c r="AR129" s="989"/>
      <c r="AS129" s="1544"/>
      <c r="AT129" s="1585"/>
      <c r="AU129" s="1561">
        <f t="shared" si="33"/>
        <v>2376</v>
      </c>
      <c r="AV129" s="1447">
        <f t="shared" si="34"/>
        <v>0</v>
      </c>
      <c r="AW129" s="1447">
        <f t="shared" si="35"/>
        <v>0</v>
      </c>
      <c r="AX129" s="1450">
        <f t="shared" si="36"/>
        <v>2376</v>
      </c>
      <c r="AY129" s="1393">
        <f t="shared" si="30"/>
        <v>2376</v>
      </c>
      <c r="AZ129" s="1247">
        <f t="shared" si="31"/>
        <v>0</v>
      </c>
      <c r="BA129" s="1247">
        <f t="shared" si="32"/>
        <v>0</v>
      </c>
      <c r="BB129" s="1385">
        <f t="shared" si="37"/>
        <v>2376</v>
      </c>
    </row>
    <row r="130" spans="1:54" ht="15.6" x14ac:dyDescent="0.3">
      <c r="A130" s="1216"/>
      <c r="B130" s="954"/>
      <c r="C130" s="1223"/>
      <c r="D130" s="1487"/>
      <c r="E130" s="1217"/>
      <c r="F130" s="954"/>
      <c r="G130" s="1223"/>
      <c r="H130" s="1487"/>
      <c r="I130" s="1217"/>
      <c r="J130" s="954"/>
      <c r="K130" s="1223"/>
      <c r="L130" s="1487"/>
      <c r="M130" s="1217">
        <v>51</v>
      </c>
      <c r="N130" s="1104" t="s">
        <v>1971</v>
      </c>
      <c r="O130" s="1251"/>
      <c r="P130" s="1251"/>
      <c r="Q130" s="1251"/>
      <c r="R130" s="1508"/>
      <c r="S130" s="1508"/>
      <c r="T130" s="1508"/>
      <c r="U130" s="1365">
        <v>252</v>
      </c>
      <c r="V130" s="1487">
        <v>252</v>
      </c>
      <c r="W130" s="1223"/>
      <c r="X130" s="1487"/>
      <c r="Y130" s="1223"/>
      <c r="Z130" s="1487"/>
      <c r="AA130" s="1149"/>
      <c r="AB130" s="1016"/>
      <c r="AC130" s="1219"/>
      <c r="AD130" s="1219"/>
      <c r="AE130" s="1528"/>
      <c r="AF130" s="1528"/>
      <c r="AG130" s="1217"/>
      <c r="AH130" s="954"/>
      <c r="AI130" s="1223"/>
      <c r="AJ130" s="1223"/>
      <c r="AK130" s="1223"/>
      <c r="AL130" s="1487"/>
      <c r="AM130" s="1487"/>
      <c r="AN130" s="1487"/>
      <c r="AO130" s="1149"/>
      <c r="AP130" s="954"/>
      <c r="AQ130" s="989"/>
      <c r="AR130" s="989"/>
      <c r="AS130" s="1544"/>
      <c r="AT130" s="1585"/>
      <c r="AU130" s="1561">
        <f t="shared" si="33"/>
        <v>252</v>
      </c>
      <c r="AV130" s="1447">
        <f t="shared" si="34"/>
        <v>0</v>
      </c>
      <c r="AW130" s="1447">
        <f t="shared" si="35"/>
        <v>0</v>
      </c>
      <c r="AX130" s="1450">
        <f t="shared" si="36"/>
        <v>252</v>
      </c>
      <c r="AY130" s="1393">
        <f t="shared" si="30"/>
        <v>252</v>
      </c>
      <c r="AZ130" s="1247">
        <f t="shared" si="31"/>
        <v>0</v>
      </c>
      <c r="BA130" s="1247">
        <f t="shared" si="32"/>
        <v>0</v>
      </c>
      <c r="BB130" s="1385">
        <f t="shared" si="37"/>
        <v>252</v>
      </c>
    </row>
    <row r="131" spans="1:54" ht="15.6" x14ac:dyDescent="0.3">
      <c r="A131" s="1216"/>
      <c r="B131" s="954"/>
      <c r="C131" s="1223"/>
      <c r="D131" s="1487"/>
      <c r="E131" s="1217"/>
      <c r="F131" s="954"/>
      <c r="G131" s="1223"/>
      <c r="H131" s="1487"/>
      <c r="I131" s="1217"/>
      <c r="J131" s="954"/>
      <c r="K131" s="1223"/>
      <c r="L131" s="1487"/>
      <c r="M131" s="1217">
        <v>52</v>
      </c>
      <c r="N131" s="1104" t="s">
        <v>1972</v>
      </c>
      <c r="O131" s="1251"/>
      <c r="P131" s="1251"/>
      <c r="Q131" s="1251"/>
      <c r="R131" s="1508"/>
      <c r="S131" s="1508"/>
      <c r="T131" s="1508"/>
      <c r="U131" s="1365">
        <v>2743</v>
      </c>
      <c r="V131" s="1487"/>
      <c r="W131" s="1223"/>
      <c r="X131" s="1487"/>
      <c r="Y131" s="1223"/>
      <c r="Z131" s="1487"/>
      <c r="AA131" s="1149"/>
      <c r="AB131" s="1016"/>
      <c r="AC131" s="1219"/>
      <c r="AD131" s="1219"/>
      <c r="AE131" s="1528"/>
      <c r="AF131" s="1528"/>
      <c r="AG131" s="1217"/>
      <c r="AH131" s="954"/>
      <c r="AI131" s="1223"/>
      <c r="AJ131" s="1223"/>
      <c r="AK131" s="1223"/>
      <c r="AL131" s="1487"/>
      <c r="AM131" s="1487"/>
      <c r="AN131" s="1487"/>
      <c r="AO131" s="1149"/>
      <c r="AP131" s="954"/>
      <c r="AQ131" s="989"/>
      <c r="AR131" s="989"/>
      <c r="AS131" s="1544"/>
      <c r="AT131" s="1585"/>
      <c r="AU131" s="1561">
        <f t="shared" si="33"/>
        <v>0</v>
      </c>
      <c r="AV131" s="1447">
        <f t="shared" si="34"/>
        <v>0</v>
      </c>
      <c r="AW131" s="1447">
        <f t="shared" si="35"/>
        <v>0</v>
      </c>
      <c r="AX131" s="1450">
        <f t="shared" si="36"/>
        <v>0</v>
      </c>
      <c r="AY131" s="1393">
        <f t="shared" si="30"/>
        <v>2743</v>
      </c>
      <c r="AZ131" s="1247">
        <f t="shared" si="31"/>
        <v>0</v>
      </c>
      <c r="BA131" s="1247">
        <f t="shared" si="32"/>
        <v>0</v>
      </c>
      <c r="BB131" s="1385">
        <f t="shared" si="37"/>
        <v>2743</v>
      </c>
    </row>
    <row r="132" spans="1:54" ht="15.6" x14ac:dyDescent="0.3">
      <c r="A132" s="1216"/>
      <c r="B132" s="954"/>
      <c r="C132" s="1223"/>
      <c r="D132" s="1487"/>
      <c r="E132" s="1217"/>
      <c r="F132" s="954"/>
      <c r="G132" s="1223"/>
      <c r="H132" s="1487"/>
      <c r="I132" s="1217"/>
      <c r="J132" s="954"/>
      <c r="K132" s="1223"/>
      <c r="L132" s="1487"/>
      <c r="M132" s="1217">
        <v>53</v>
      </c>
      <c r="N132" s="1104" t="s">
        <v>1973</v>
      </c>
      <c r="O132" s="1251"/>
      <c r="P132" s="1251"/>
      <c r="Q132" s="1251"/>
      <c r="R132" s="1508"/>
      <c r="S132" s="1508"/>
      <c r="T132" s="1508"/>
      <c r="U132" s="1223">
        <v>630</v>
      </c>
      <c r="V132" s="1487">
        <v>630</v>
      </c>
      <c r="W132" s="1223"/>
      <c r="X132" s="1487"/>
      <c r="Y132" s="1223"/>
      <c r="Z132" s="1487"/>
      <c r="AA132" s="1149"/>
      <c r="AB132" s="1016"/>
      <c r="AC132" s="1219"/>
      <c r="AD132" s="1219"/>
      <c r="AE132" s="1528"/>
      <c r="AF132" s="1528"/>
      <c r="AG132" s="1217"/>
      <c r="AH132" s="954"/>
      <c r="AI132" s="1223"/>
      <c r="AJ132" s="1223"/>
      <c r="AK132" s="1223"/>
      <c r="AL132" s="1487"/>
      <c r="AM132" s="1487"/>
      <c r="AN132" s="1487"/>
      <c r="AO132" s="1149"/>
      <c r="AP132" s="954"/>
      <c r="AQ132" s="989"/>
      <c r="AR132" s="989"/>
      <c r="AS132" s="1544"/>
      <c r="AT132" s="1585"/>
      <c r="AU132" s="1561">
        <f t="shared" si="33"/>
        <v>630</v>
      </c>
      <c r="AV132" s="1447">
        <f t="shared" si="34"/>
        <v>0</v>
      </c>
      <c r="AW132" s="1447">
        <f t="shared" si="35"/>
        <v>0</v>
      </c>
      <c r="AX132" s="1450">
        <f t="shared" si="36"/>
        <v>630</v>
      </c>
      <c r="AY132" s="1393">
        <f t="shared" ref="AY132:AY153" si="38">SUM(O132+U132+Y132+AC132+AI132+AQ132)</f>
        <v>630</v>
      </c>
      <c r="AZ132" s="1247">
        <f t="shared" ref="AZ132:AZ153" si="39">SUM(P132+AD132+AJ132+AR132)</f>
        <v>0</v>
      </c>
      <c r="BA132" s="1247">
        <f t="shared" ref="BA132:BA153" si="40">SUM(C132+G132+K132+Q132+W132+AK132)</f>
        <v>0</v>
      </c>
      <c r="BB132" s="1385">
        <f t="shared" si="37"/>
        <v>630</v>
      </c>
    </row>
    <row r="133" spans="1:54" ht="15.6" x14ac:dyDescent="0.3">
      <c r="A133" s="1216"/>
      <c r="B133" s="954"/>
      <c r="C133" s="1223"/>
      <c r="D133" s="1487"/>
      <c r="E133" s="1217"/>
      <c r="F133" s="954"/>
      <c r="G133" s="1223"/>
      <c r="H133" s="1487"/>
      <c r="I133" s="1217"/>
      <c r="J133" s="954"/>
      <c r="K133" s="1223"/>
      <c r="L133" s="1487"/>
      <c r="M133" s="1217">
        <v>55</v>
      </c>
      <c r="N133" s="1104" t="s">
        <v>1974</v>
      </c>
      <c r="O133" s="1251"/>
      <c r="P133" s="1251"/>
      <c r="Q133" s="1251"/>
      <c r="R133" s="1508"/>
      <c r="S133" s="1508"/>
      <c r="T133" s="1508"/>
      <c r="U133" s="1223">
        <v>1181</v>
      </c>
      <c r="V133" s="1487">
        <v>1181</v>
      </c>
      <c r="W133" s="1223"/>
      <c r="X133" s="1487"/>
      <c r="Y133" s="1223"/>
      <c r="Z133" s="1487"/>
      <c r="AA133" s="1149"/>
      <c r="AB133" s="1016"/>
      <c r="AC133" s="1219"/>
      <c r="AD133" s="1219"/>
      <c r="AE133" s="1528"/>
      <c r="AF133" s="1528"/>
      <c r="AG133" s="1217"/>
      <c r="AH133" s="954"/>
      <c r="AI133" s="1223"/>
      <c r="AJ133" s="1223"/>
      <c r="AK133" s="1223"/>
      <c r="AL133" s="1487"/>
      <c r="AM133" s="1487"/>
      <c r="AN133" s="1487"/>
      <c r="AO133" s="1149"/>
      <c r="AP133" s="954"/>
      <c r="AQ133" s="989"/>
      <c r="AR133" s="989"/>
      <c r="AS133" s="1544"/>
      <c r="AT133" s="1585"/>
      <c r="AU133" s="1561">
        <f t="shared" ref="AU133:AU160" si="41">R133+V133+Z133+AE133+AL133+AS133</f>
        <v>1181</v>
      </c>
      <c r="AV133" s="1447">
        <f t="shared" ref="AV133:AV153" si="42">S133+AF133+AM133+AT133</f>
        <v>0</v>
      </c>
      <c r="AW133" s="1447">
        <f t="shared" ref="AW133:AW153" si="43">D133+H133+L133+T133+X133+AN133</f>
        <v>0</v>
      </c>
      <c r="AX133" s="1450">
        <f t="shared" si="36"/>
        <v>1181</v>
      </c>
      <c r="AY133" s="1393">
        <f t="shared" si="38"/>
        <v>1181</v>
      </c>
      <c r="AZ133" s="1247">
        <f t="shared" si="39"/>
        <v>0</v>
      </c>
      <c r="BA133" s="1247">
        <f t="shared" si="40"/>
        <v>0</v>
      </c>
      <c r="BB133" s="1385">
        <f t="shared" si="37"/>
        <v>1181</v>
      </c>
    </row>
    <row r="134" spans="1:54" ht="15.6" x14ac:dyDescent="0.3">
      <c r="A134" s="1216"/>
      <c r="B134" s="954"/>
      <c r="C134" s="1223"/>
      <c r="D134" s="1487"/>
      <c r="E134" s="1217"/>
      <c r="F134" s="954"/>
      <c r="G134" s="1223"/>
      <c r="H134" s="1487"/>
      <c r="I134" s="1217"/>
      <c r="J134" s="954"/>
      <c r="K134" s="1223"/>
      <c r="L134" s="1487"/>
      <c r="M134" s="1217">
        <v>56</v>
      </c>
      <c r="N134" s="1104" t="s">
        <v>1975</v>
      </c>
      <c r="O134" s="1251"/>
      <c r="P134" s="1251"/>
      <c r="Q134" s="1251"/>
      <c r="R134" s="1508"/>
      <c r="S134" s="1508"/>
      <c r="T134" s="1508"/>
      <c r="U134" s="1365">
        <v>4724</v>
      </c>
      <c r="V134" s="1487">
        <v>5000</v>
      </c>
      <c r="W134" s="1223"/>
      <c r="X134" s="1487"/>
      <c r="Y134" s="1223"/>
      <c r="Z134" s="1487"/>
      <c r="AA134" s="1149"/>
      <c r="AB134" s="1016"/>
      <c r="AC134" s="1219"/>
      <c r="AD134" s="1219"/>
      <c r="AE134" s="1528"/>
      <c r="AF134" s="1528"/>
      <c r="AG134" s="1217"/>
      <c r="AH134" s="954"/>
      <c r="AI134" s="1223"/>
      <c r="AJ134" s="1223"/>
      <c r="AK134" s="1223"/>
      <c r="AL134" s="1487"/>
      <c r="AM134" s="1487"/>
      <c r="AN134" s="1487"/>
      <c r="AO134" s="1149"/>
      <c r="AP134" s="954"/>
      <c r="AQ134" s="989"/>
      <c r="AR134" s="989"/>
      <c r="AS134" s="1544"/>
      <c r="AT134" s="1585"/>
      <c r="AU134" s="1561">
        <f t="shared" si="41"/>
        <v>5000</v>
      </c>
      <c r="AV134" s="1447">
        <f t="shared" si="42"/>
        <v>0</v>
      </c>
      <c r="AW134" s="1447">
        <f t="shared" si="43"/>
        <v>0</v>
      </c>
      <c r="AX134" s="1450">
        <f t="shared" si="36"/>
        <v>5000</v>
      </c>
      <c r="AY134" s="1393">
        <f t="shared" si="38"/>
        <v>4724</v>
      </c>
      <c r="AZ134" s="1247">
        <f t="shared" si="39"/>
        <v>0</v>
      </c>
      <c r="BA134" s="1247">
        <f t="shared" si="40"/>
        <v>0</v>
      </c>
      <c r="BB134" s="1385">
        <f t="shared" si="37"/>
        <v>4724</v>
      </c>
    </row>
    <row r="135" spans="1:54" ht="15.6" x14ac:dyDescent="0.3">
      <c r="A135" s="1216"/>
      <c r="B135" s="954"/>
      <c r="C135" s="1223"/>
      <c r="D135" s="1487"/>
      <c r="E135" s="1217"/>
      <c r="F135" s="954"/>
      <c r="G135" s="1223"/>
      <c r="H135" s="1487"/>
      <c r="I135" s="1217"/>
      <c r="J135" s="954"/>
      <c r="K135" s="1223"/>
      <c r="L135" s="1487"/>
      <c r="M135" s="1217">
        <v>57</v>
      </c>
      <c r="N135" s="1104" t="s">
        <v>1976</v>
      </c>
      <c r="O135" s="1251"/>
      <c r="P135" s="1251"/>
      <c r="Q135" s="1251"/>
      <c r="R135" s="1508"/>
      <c r="S135" s="1508"/>
      <c r="T135" s="1508"/>
      <c r="U135" s="1365">
        <v>6000</v>
      </c>
      <c r="V135" s="1487">
        <v>6000</v>
      </c>
      <c r="W135" s="1223"/>
      <c r="X135" s="1487"/>
      <c r="Y135" s="1223"/>
      <c r="Z135" s="1487"/>
      <c r="AA135" s="1149"/>
      <c r="AB135" s="1016"/>
      <c r="AC135" s="1219"/>
      <c r="AD135" s="1219"/>
      <c r="AE135" s="1528"/>
      <c r="AF135" s="1528"/>
      <c r="AG135" s="1217"/>
      <c r="AH135" s="954"/>
      <c r="AI135" s="1223"/>
      <c r="AJ135" s="1223"/>
      <c r="AK135" s="1223"/>
      <c r="AL135" s="1487"/>
      <c r="AM135" s="1487"/>
      <c r="AN135" s="1487"/>
      <c r="AO135" s="1149"/>
      <c r="AP135" s="954"/>
      <c r="AQ135" s="989"/>
      <c r="AR135" s="989"/>
      <c r="AS135" s="1544"/>
      <c r="AT135" s="1585"/>
      <c r="AU135" s="1561">
        <f t="shared" si="41"/>
        <v>6000</v>
      </c>
      <c r="AV135" s="1447">
        <f t="shared" si="42"/>
        <v>0</v>
      </c>
      <c r="AW135" s="1447">
        <f t="shared" si="43"/>
        <v>0</v>
      </c>
      <c r="AX135" s="1450">
        <f t="shared" ref="AX135:AX153" si="44">SUM(AU135:AW135)</f>
        <v>6000</v>
      </c>
      <c r="AY135" s="1393">
        <f t="shared" si="38"/>
        <v>6000</v>
      </c>
      <c r="AZ135" s="1247">
        <f t="shared" si="39"/>
        <v>0</v>
      </c>
      <c r="BA135" s="1247">
        <f t="shared" si="40"/>
        <v>0</v>
      </c>
      <c r="BB135" s="1385">
        <f t="shared" ref="BB135:BB198" si="45">SUM(AY135:BA135)</f>
        <v>6000</v>
      </c>
    </row>
    <row r="136" spans="1:54" ht="15.6" x14ac:dyDescent="0.3">
      <c r="A136" s="1216"/>
      <c r="B136" s="954"/>
      <c r="C136" s="1223"/>
      <c r="D136" s="1487"/>
      <c r="E136" s="1217"/>
      <c r="F136" s="954"/>
      <c r="G136" s="1223"/>
      <c r="H136" s="1487"/>
      <c r="I136" s="1217"/>
      <c r="J136" s="954"/>
      <c r="K136" s="1223"/>
      <c r="L136" s="1487"/>
      <c r="M136" s="1217">
        <v>58</v>
      </c>
      <c r="N136" s="1104" t="s">
        <v>1977</v>
      </c>
      <c r="O136" s="1251"/>
      <c r="P136" s="1251"/>
      <c r="Q136" s="1251"/>
      <c r="R136" s="1508"/>
      <c r="S136" s="1508"/>
      <c r="T136" s="1508"/>
      <c r="U136" s="1223">
        <v>2500</v>
      </c>
      <c r="V136" s="1487">
        <v>2500</v>
      </c>
      <c r="W136" s="1223"/>
      <c r="X136" s="1487"/>
      <c r="Y136" s="1223"/>
      <c r="Z136" s="1487"/>
      <c r="AA136" s="1149"/>
      <c r="AB136" s="1016"/>
      <c r="AC136" s="1219"/>
      <c r="AD136" s="1219"/>
      <c r="AE136" s="1528"/>
      <c r="AF136" s="1528"/>
      <c r="AG136" s="1217"/>
      <c r="AH136" s="954"/>
      <c r="AI136" s="1223"/>
      <c r="AJ136" s="1223"/>
      <c r="AK136" s="1223"/>
      <c r="AL136" s="1487"/>
      <c r="AM136" s="1487"/>
      <c r="AN136" s="1487"/>
      <c r="AO136" s="1149"/>
      <c r="AP136" s="954"/>
      <c r="AQ136" s="989"/>
      <c r="AR136" s="989"/>
      <c r="AS136" s="1544"/>
      <c r="AT136" s="1585"/>
      <c r="AU136" s="1561">
        <f t="shared" si="41"/>
        <v>2500</v>
      </c>
      <c r="AV136" s="1447">
        <f t="shared" si="42"/>
        <v>0</v>
      </c>
      <c r="AW136" s="1447">
        <f t="shared" si="43"/>
        <v>0</v>
      </c>
      <c r="AX136" s="1450">
        <f t="shared" si="44"/>
        <v>2500</v>
      </c>
      <c r="AY136" s="1393">
        <f t="shared" si="38"/>
        <v>2500</v>
      </c>
      <c r="AZ136" s="1247">
        <f t="shared" si="39"/>
        <v>0</v>
      </c>
      <c r="BA136" s="1247">
        <f t="shared" si="40"/>
        <v>0</v>
      </c>
      <c r="BB136" s="1385">
        <f t="shared" si="45"/>
        <v>2500</v>
      </c>
    </row>
    <row r="137" spans="1:54" ht="15.6" x14ac:dyDescent="0.3">
      <c r="A137" s="1216"/>
      <c r="B137" s="954"/>
      <c r="C137" s="1223"/>
      <c r="D137" s="1487"/>
      <c r="E137" s="1217"/>
      <c r="F137" s="954"/>
      <c r="G137" s="1223"/>
      <c r="H137" s="1487"/>
      <c r="I137" s="1217"/>
      <c r="J137" s="954"/>
      <c r="K137" s="1223"/>
      <c r="L137" s="1487"/>
      <c r="M137" s="1217">
        <v>59</v>
      </c>
      <c r="N137" s="1104" t="s">
        <v>1978</v>
      </c>
      <c r="O137" s="1251"/>
      <c r="P137" s="1251"/>
      <c r="Q137" s="1251"/>
      <c r="R137" s="1508"/>
      <c r="S137" s="1508"/>
      <c r="T137" s="1508"/>
      <c r="U137" s="1223">
        <v>600</v>
      </c>
      <c r="V137" s="1487">
        <v>700</v>
      </c>
      <c r="W137" s="1223"/>
      <c r="X137" s="1487"/>
      <c r="Y137" s="1223"/>
      <c r="Z137" s="1487"/>
      <c r="AA137" s="1149"/>
      <c r="AB137" s="1016"/>
      <c r="AC137" s="1219"/>
      <c r="AD137" s="1219"/>
      <c r="AE137" s="1528"/>
      <c r="AF137" s="1528"/>
      <c r="AG137" s="1217"/>
      <c r="AH137" s="954"/>
      <c r="AI137" s="1223"/>
      <c r="AJ137" s="1223"/>
      <c r="AK137" s="1223"/>
      <c r="AL137" s="1487"/>
      <c r="AM137" s="1487"/>
      <c r="AN137" s="1487"/>
      <c r="AO137" s="1149"/>
      <c r="AP137" s="954"/>
      <c r="AQ137" s="989"/>
      <c r="AR137" s="989"/>
      <c r="AS137" s="1544"/>
      <c r="AT137" s="1585"/>
      <c r="AU137" s="1561">
        <f t="shared" si="41"/>
        <v>700</v>
      </c>
      <c r="AV137" s="1447">
        <f t="shared" si="42"/>
        <v>0</v>
      </c>
      <c r="AW137" s="1447">
        <f t="shared" si="43"/>
        <v>0</v>
      </c>
      <c r="AX137" s="1450">
        <f t="shared" si="44"/>
        <v>700</v>
      </c>
      <c r="AY137" s="1393">
        <f t="shared" si="38"/>
        <v>600</v>
      </c>
      <c r="AZ137" s="1247">
        <f t="shared" si="39"/>
        <v>0</v>
      </c>
      <c r="BA137" s="1247">
        <f t="shared" si="40"/>
        <v>0</v>
      </c>
      <c r="BB137" s="1385">
        <f t="shared" si="45"/>
        <v>600</v>
      </c>
    </row>
    <row r="138" spans="1:54" ht="15.6" x14ac:dyDescent="0.3">
      <c r="A138" s="1216"/>
      <c r="B138" s="954"/>
      <c r="C138" s="1223"/>
      <c r="D138" s="1487"/>
      <c r="E138" s="1217"/>
      <c r="F138" s="954"/>
      <c r="G138" s="1223"/>
      <c r="H138" s="1487"/>
      <c r="I138" s="1217"/>
      <c r="J138" s="954"/>
      <c r="K138" s="1223"/>
      <c r="L138" s="1487"/>
      <c r="M138" s="1217">
        <v>60</v>
      </c>
      <c r="N138" s="1104" t="s">
        <v>1979</v>
      </c>
      <c r="O138" s="1251"/>
      <c r="P138" s="1251"/>
      <c r="Q138" s="1251"/>
      <c r="R138" s="1508"/>
      <c r="S138" s="1508"/>
      <c r="T138" s="1508"/>
      <c r="U138" s="1365">
        <v>600</v>
      </c>
      <c r="V138" s="1487">
        <v>700</v>
      </c>
      <c r="W138" s="1223"/>
      <c r="X138" s="1487"/>
      <c r="Y138" s="1223"/>
      <c r="Z138" s="1487"/>
      <c r="AA138" s="1149"/>
      <c r="AB138" s="1016"/>
      <c r="AC138" s="1219"/>
      <c r="AD138" s="1219"/>
      <c r="AE138" s="1528"/>
      <c r="AF138" s="1528"/>
      <c r="AG138" s="1217"/>
      <c r="AH138" s="954"/>
      <c r="AI138" s="1223"/>
      <c r="AJ138" s="1223"/>
      <c r="AK138" s="1223"/>
      <c r="AL138" s="1487"/>
      <c r="AM138" s="1487"/>
      <c r="AN138" s="1487"/>
      <c r="AO138" s="1149"/>
      <c r="AP138" s="954"/>
      <c r="AQ138" s="989"/>
      <c r="AR138" s="989"/>
      <c r="AS138" s="1544"/>
      <c r="AT138" s="1585"/>
      <c r="AU138" s="1561">
        <f t="shared" si="41"/>
        <v>700</v>
      </c>
      <c r="AV138" s="1447">
        <f t="shared" si="42"/>
        <v>0</v>
      </c>
      <c r="AW138" s="1447">
        <f t="shared" si="43"/>
        <v>0</v>
      </c>
      <c r="AX138" s="1450">
        <f t="shared" si="44"/>
        <v>700</v>
      </c>
      <c r="AY138" s="1393">
        <f t="shared" si="38"/>
        <v>600</v>
      </c>
      <c r="AZ138" s="1247">
        <f t="shared" si="39"/>
        <v>0</v>
      </c>
      <c r="BA138" s="1247">
        <f t="shared" si="40"/>
        <v>0</v>
      </c>
      <c r="BB138" s="1385">
        <f t="shared" si="45"/>
        <v>600</v>
      </c>
    </row>
    <row r="139" spans="1:54" ht="15.6" x14ac:dyDescent="0.3">
      <c r="A139" s="1216"/>
      <c r="B139" s="954"/>
      <c r="C139" s="1223"/>
      <c r="D139" s="1487"/>
      <c r="E139" s="1217"/>
      <c r="F139" s="954"/>
      <c r="G139" s="1223"/>
      <c r="H139" s="1487"/>
      <c r="I139" s="1217"/>
      <c r="J139" s="954"/>
      <c r="K139" s="1223"/>
      <c r="L139" s="1487"/>
      <c r="M139" s="1217">
        <v>61</v>
      </c>
      <c r="N139" s="1104" t="s">
        <v>1980</v>
      </c>
      <c r="O139" s="1251"/>
      <c r="P139" s="1251"/>
      <c r="Q139" s="1251"/>
      <c r="R139" s="1508"/>
      <c r="S139" s="1508"/>
      <c r="T139" s="1508"/>
      <c r="U139" s="1365">
        <v>2472</v>
      </c>
      <c r="V139" s="1487">
        <v>2500</v>
      </c>
      <c r="W139" s="1223"/>
      <c r="X139" s="1487"/>
      <c r="Y139" s="1223"/>
      <c r="Z139" s="1487"/>
      <c r="AA139" s="1149"/>
      <c r="AB139" s="1016"/>
      <c r="AC139" s="1219"/>
      <c r="AD139" s="1219"/>
      <c r="AE139" s="1528"/>
      <c r="AF139" s="1528"/>
      <c r="AG139" s="1217"/>
      <c r="AH139" s="954"/>
      <c r="AI139" s="1223"/>
      <c r="AJ139" s="1223"/>
      <c r="AK139" s="1223"/>
      <c r="AL139" s="1487"/>
      <c r="AM139" s="1487"/>
      <c r="AN139" s="1487"/>
      <c r="AO139" s="1149"/>
      <c r="AP139" s="954"/>
      <c r="AQ139" s="989"/>
      <c r="AR139" s="989"/>
      <c r="AS139" s="1544"/>
      <c r="AT139" s="1585"/>
      <c r="AU139" s="1561">
        <f t="shared" si="41"/>
        <v>2500</v>
      </c>
      <c r="AV139" s="1447">
        <f t="shared" si="42"/>
        <v>0</v>
      </c>
      <c r="AW139" s="1447">
        <f t="shared" si="43"/>
        <v>0</v>
      </c>
      <c r="AX139" s="1450">
        <f t="shared" si="44"/>
        <v>2500</v>
      </c>
      <c r="AY139" s="1393">
        <f t="shared" si="38"/>
        <v>2472</v>
      </c>
      <c r="AZ139" s="1247">
        <f t="shared" si="39"/>
        <v>0</v>
      </c>
      <c r="BA139" s="1247">
        <f t="shared" si="40"/>
        <v>0</v>
      </c>
      <c r="BB139" s="1385">
        <f t="shared" si="45"/>
        <v>2472</v>
      </c>
    </row>
    <row r="140" spans="1:54" ht="15.6" x14ac:dyDescent="0.3">
      <c r="A140" s="1216"/>
      <c r="B140" s="954"/>
      <c r="C140" s="1223"/>
      <c r="D140" s="1487"/>
      <c r="E140" s="1217"/>
      <c r="F140" s="954"/>
      <c r="G140" s="1223"/>
      <c r="H140" s="1487"/>
      <c r="I140" s="1217"/>
      <c r="J140" s="954"/>
      <c r="K140" s="1223"/>
      <c r="L140" s="1487"/>
      <c r="M140" s="1217">
        <v>62</v>
      </c>
      <c r="N140" s="1104" t="s">
        <v>1981</v>
      </c>
      <c r="O140" s="1251"/>
      <c r="P140" s="1251"/>
      <c r="Q140" s="1251"/>
      <c r="R140" s="1508"/>
      <c r="S140" s="1508"/>
      <c r="T140" s="1508"/>
      <c r="U140" s="1223">
        <v>350</v>
      </c>
      <c r="V140" s="1487">
        <v>350</v>
      </c>
      <c r="W140" s="1223"/>
      <c r="X140" s="1487"/>
      <c r="Y140" s="1223"/>
      <c r="Z140" s="1487"/>
      <c r="AA140" s="1149"/>
      <c r="AB140" s="1016"/>
      <c r="AC140" s="1219"/>
      <c r="AD140" s="1219"/>
      <c r="AE140" s="1528"/>
      <c r="AF140" s="1528"/>
      <c r="AG140" s="1217"/>
      <c r="AH140" s="954"/>
      <c r="AI140" s="1223"/>
      <c r="AJ140" s="1223"/>
      <c r="AK140" s="1223"/>
      <c r="AL140" s="1487"/>
      <c r="AM140" s="1487"/>
      <c r="AN140" s="1487"/>
      <c r="AO140" s="1149"/>
      <c r="AP140" s="954"/>
      <c r="AQ140" s="989"/>
      <c r="AR140" s="989"/>
      <c r="AS140" s="1544"/>
      <c r="AT140" s="1585"/>
      <c r="AU140" s="1561">
        <f t="shared" si="41"/>
        <v>350</v>
      </c>
      <c r="AV140" s="1447">
        <f t="shared" si="42"/>
        <v>0</v>
      </c>
      <c r="AW140" s="1447">
        <f t="shared" si="43"/>
        <v>0</v>
      </c>
      <c r="AX140" s="1450">
        <f t="shared" si="44"/>
        <v>350</v>
      </c>
      <c r="AY140" s="1393">
        <f t="shared" si="38"/>
        <v>350</v>
      </c>
      <c r="AZ140" s="1247">
        <f t="shared" si="39"/>
        <v>0</v>
      </c>
      <c r="BA140" s="1247">
        <f t="shared" si="40"/>
        <v>0</v>
      </c>
      <c r="BB140" s="1385">
        <f t="shared" si="45"/>
        <v>350</v>
      </c>
    </row>
    <row r="141" spans="1:54" ht="15.6" x14ac:dyDescent="0.3">
      <c r="A141" s="1216"/>
      <c r="B141" s="954"/>
      <c r="C141" s="1223"/>
      <c r="D141" s="1487"/>
      <c r="E141" s="1217"/>
      <c r="F141" s="954"/>
      <c r="G141" s="1223"/>
      <c r="H141" s="1487"/>
      <c r="I141" s="1217"/>
      <c r="J141" s="954"/>
      <c r="K141" s="1223"/>
      <c r="L141" s="1487"/>
      <c r="M141" s="1217">
        <v>63</v>
      </c>
      <c r="N141" s="1104" t="s">
        <v>1982</v>
      </c>
      <c r="O141" s="1247"/>
      <c r="P141" s="1247"/>
      <c r="Q141" s="1247"/>
      <c r="R141" s="1424"/>
      <c r="S141" s="1424"/>
      <c r="T141" s="1424"/>
      <c r="U141" s="1223"/>
      <c r="V141" s="1487"/>
      <c r="W141" s="1223"/>
      <c r="X141" s="1487"/>
      <c r="Y141" s="1223"/>
      <c r="Z141" s="1487"/>
      <c r="AA141" s="1149"/>
      <c r="AB141" s="1016"/>
      <c r="AC141" s="1219"/>
      <c r="AD141" s="1219"/>
      <c r="AE141" s="1528"/>
      <c r="AF141" s="1528"/>
      <c r="AG141" s="1217"/>
      <c r="AH141" s="954"/>
      <c r="AI141" s="1223"/>
      <c r="AJ141" s="1223"/>
      <c r="AK141" s="1223"/>
      <c r="AL141" s="1487"/>
      <c r="AM141" s="1487"/>
      <c r="AN141" s="1487"/>
      <c r="AO141" s="1149"/>
      <c r="AP141" s="954"/>
      <c r="AQ141" s="989"/>
      <c r="AR141" s="989"/>
      <c r="AS141" s="1544"/>
      <c r="AT141" s="1585"/>
      <c r="AU141" s="1561">
        <f t="shared" si="41"/>
        <v>0</v>
      </c>
      <c r="AV141" s="1447">
        <f t="shared" si="42"/>
        <v>0</v>
      </c>
      <c r="AW141" s="1447">
        <f t="shared" si="43"/>
        <v>0</v>
      </c>
      <c r="AX141" s="1450">
        <f t="shared" si="44"/>
        <v>0</v>
      </c>
      <c r="AY141" s="1393">
        <f t="shared" si="38"/>
        <v>0</v>
      </c>
      <c r="AZ141" s="1247">
        <f t="shared" si="39"/>
        <v>0</v>
      </c>
      <c r="BA141" s="1247">
        <f t="shared" si="40"/>
        <v>0</v>
      </c>
      <c r="BB141" s="1385">
        <f t="shared" si="45"/>
        <v>0</v>
      </c>
    </row>
    <row r="142" spans="1:54" ht="15.6" x14ac:dyDescent="0.3">
      <c r="A142" s="1216"/>
      <c r="B142" s="954"/>
      <c r="C142" s="1223"/>
      <c r="D142" s="1487"/>
      <c r="E142" s="1217"/>
      <c r="F142" s="954"/>
      <c r="G142" s="1223"/>
      <c r="H142" s="1487"/>
      <c r="I142" s="1217"/>
      <c r="J142" s="954"/>
      <c r="K142" s="1223"/>
      <c r="L142" s="1487"/>
      <c r="M142" s="1217">
        <v>65</v>
      </c>
      <c r="N142" s="1252" t="s">
        <v>1983</v>
      </c>
      <c r="O142" s="1247"/>
      <c r="P142" s="1247"/>
      <c r="Q142" s="1247"/>
      <c r="R142" s="1424"/>
      <c r="S142" s="1424"/>
      <c r="T142" s="1424"/>
      <c r="U142" s="1223">
        <v>3048</v>
      </c>
      <c r="V142" s="1487">
        <v>3100</v>
      </c>
      <c r="W142" s="1223"/>
      <c r="X142" s="1487"/>
      <c r="Y142" s="1223"/>
      <c r="Z142" s="1487"/>
      <c r="AA142" s="1149"/>
      <c r="AB142" s="1016"/>
      <c r="AC142" s="1219"/>
      <c r="AD142" s="1219"/>
      <c r="AE142" s="1528"/>
      <c r="AF142" s="1528"/>
      <c r="AG142" s="1217"/>
      <c r="AH142" s="954"/>
      <c r="AI142" s="1223"/>
      <c r="AJ142" s="1223"/>
      <c r="AK142" s="1223"/>
      <c r="AL142" s="1487"/>
      <c r="AM142" s="1487"/>
      <c r="AN142" s="1487"/>
      <c r="AO142" s="1149"/>
      <c r="AP142" s="954"/>
      <c r="AQ142" s="989"/>
      <c r="AR142" s="989"/>
      <c r="AS142" s="1544"/>
      <c r="AT142" s="1585"/>
      <c r="AU142" s="1561">
        <f t="shared" si="41"/>
        <v>3100</v>
      </c>
      <c r="AV142" s="1447">
        <f t="shared" si="42"/>
        <v>0</v>
      </c>
      <c r="AW142" s="1447">
        <f t="shared" si="43"/>
        <v>0</v>
      </c>
      <c r="AX142" s="1450">
        <f t="shared" si="44"/>
        <v>3100</v>
      </c>
      <c r="AY142" s="1393">
        <f t="shared" si="38"/>
        <v>3048</v>
      </c>
      <c r="AZ142" s="1247">
        <f t="shared" si="39"/>
        <v>0</v>
      </c>
      <c r="BA142" s="1247">
        <f t="shared" si="40"/>
        <v>0</v>
      </c>
      <c r="BB142" s="1385">
        <f t="shared" si="45"/>
        <v>3048</v>
      </c>
    </row>
    <row r="143" spans="1:54" ht="15.6" x14ac:dyDescent="0.3">
      <c r="A143" s="1216"/>
      <c r="B143" s="954"/>
      <c r="C143" s="1223"/>
      <c r="D143" s="1487"/>
      <c r="E143" s="1217"/>
      <c r="F143" s="954"/>
      <c r="G143" s="1223"/>
      <c r="H143" s="1487"/>
      <c r="I143" s="1217"/>
      <c r="J143" s="954"/>
      <c r="K143" s="1223"/>
      <c r="L143" s="1487"/>
      <c r="M143" s="1217">
        <v>66</v>
      </c>
      <c r="N143" s="1104" t="s">
        <v>1984</v>
      </c>
      <c r="O143" s="1247"/>
      <c r="P143" s="1247"/>
      <c r="Q143" s="1247"/>
      <c r="R143" s="1424"/>
      <c r="S143" s="1424"/>
      <c r="T143" s="1424"/>
      <c r="U143" s="1223"/>
      <c r="V143" s="1487"/>
      <c r="W143" s="1223"/>
      <c r="X143" s="1487"/>
      <c r="Y143" s="1223">
        <v>236</v>
      </c>
      <c r="Z143" s="1487">
        <v>236</v>
      </c>
      <c r="AA143" s="1149"/>
      <c r="AB143" s="1016"/>
      <c r="AC143" s="1219"/>
      <c r="AD143" s="1219"/>
      <c r="AE143" s="1528"/>
      <c r="AF143" s="1528"/>
      <c r="AG143" s="1217"/>
      <c r="AH143" s="954"/>
      <c r="AI143" s="1223"/>
      <c r="AJ143" s="1223"/>
      <c r="AK143" s="1223"/>
      <c r="AL143" s="1487"/>
      <c r="AM143" s="1487"/>
      <c r="AN143" s="1487"/>
      <c r="AO143" s="1149"/>
      <c r="AP143" s="954"/>
      <c r="AQ143" s="989"/>
      <c r="AR143" s="989"/>
      <c r="AS143" s="1544"/>
      <c r="AT143" s="1585"/>
      <c r="AU143" s="1561">
        <f t="shared" si="41"/>
        <v>236</v>
      </c>
      <c r="AV143" s="1447">
        <f t="shared" si="42"/>
        <v>0</v>
      </c>
      <c r="AW143" s="1447">
        <f t="shared" si="43"/>
        <v>0</v>
      </c>
      <c r="AX143" s="1450">
        <f t="shared" si="44"/>
        <v>236</v>
      </c>
      <c r="AY143" s="1393">
        <f t="shared" si="38"/>
        <v>236</v>
      </c>
      <c r="AZ143" s="1247">
        <f t="shared" si="39"/>
        <v>0</v>
      </c>
      <c r="BA143" s="1247">
        <f t="shared" si="40"/>
        <v>0</v>
      </c>
      <c r="BB143" s="1385">
        <f t="shared" si="45"/>
        <v>236</v>
      </c>
    </row>
    <row r="144" spans="1:54" ht="15.6" x14ac:dyDescent="0.3">
      <c r="A144" s="1216"/>
      <c r="B144" s="954"/>
      <c r="C144" s="1223"/>
      <c r="D144" s="1487"/>
      <c r="E144" s="1217"/>
      <c r="F144" s="954"/>
      <c r="G144" s="1223"/>
      <c r="H144" s="1487"/>
      <c r="I144" s="1217"/>
      <c r="J144" s="954"/>
      <c r="K144" s="1223"/>
      <c r="L144" s="1487"/>
      <c r="M144" s="1217">
        <v>67</v>
      </c>
      <c r="N144" s="1104" t="s">
        <v>1985</v>
      </c>
      <c r="O144" s="1247"/>
      <c r="P144" s="1247"/>
      <c r="Q144" s="1247"/>
      <c r="R144" s="1424"/>
      <c r="S144" s="1424"/>
      <c r="T144" s="1424"/>
      <c r="U144" s="1223"/>
      <c r="V144" s="1487"/>
      <c r="W144" s="1223"/>
      <c r="X144" s="1487"/>
      <c r="Y144" s="1223">
        <v>391</v>
      </c>
      <c r="Z144" s="1487">
        <v>391</v>
      </c>
      <c r="AA144" s="1149"/>
      <c r="AB144" s="1016"/>
      <c r="AC144" s="1219"/>
      <c r="AD144" s="1219"/>
      <c r="AE144" s="1528"/>
      <c r="AF144" s="1528"/>
      <c r="AG144" s="1217"/>
      <c r="AH144" s="954"/>
      <c r="AI144" s="1223"/>
      <c r="AJ144" s="1223"/>
      <c r="AK144" s="1223"/>
      <c r="AL144" s="1487"/>
      <c r="AM144" s="1487"/>
      <c r="AN144" s="1487"/>
      <c r="AO144" s="1149"/>
      <c r="AP144" s="954"/>
      <c r="AQ144" s="989"/>
      <c r="AR144" s="989"/>
      <c r="AS144" s="1544"/>
      <c r="AT144" s="1585"/>
      <c r="AU144" s="1561">
        <f t="shared" si="41"/>
        <v>391</v>
      </c>
      <c r="AV144" s="1447">
        <f t="shared" si="42"/>
        <v>0</v>
      </c>
      <c r="AW144" s="1447">
        <f t="shared" si="43"/>
        <v>0</v>
      </c>
      <c r="AX144" s="1450">
        <f t="shared" si="44"/>
        <v>391</v>
      </c>
      <c r="AY144" s="1393">
        <f t="shared" si="38"/>
        <v>391</v>
      </c>
      <c r="AZ144" s="1247">
        <f t="shared" si="39"/>
        <v>0</v>
      </c>
      <c r="BA144" s="1247">
        <f t="shared" si="40"/>
        <v>0</v>
      </c>
      <c r="BB144" s="1385">
        <f t="shared" si="45"/>
        <v>391</v>
      </c>
    </row>
    <row r="145" spans="1:54" ht="15.6" x14ac:dyDescent="0.3">
      <c r="A145" s="1216"/>
      <c r="B145" s="954"/>
      <c r="C145" s="1223"/>
      <c r="D145" s="1487"/>
      <c r="E145" s="1217"/>
      <c r="F145" s="954"/>
      <c r="G145" s="1223"/>
      <c r="H145" s="1487"/>
      <c r="I145" s="1217"/>
      <c r="J145" s="954"/>
      <c r="K145" s="1223"/>
      <c r="L145" s="1487"/>
      <c r="M145" s="1217">
        <v>68</v>
      </c>
      <c r="N145" s="1104" t="s">
        <v>1986</v>
      </c>
      <c r="O145" s="1247"/>
      <c r="P145" s="1247"/>
      <c r="Q145" s="1247"/>
      <c r="R145" s="1424"/>
      <c r="S145" s="1424"/>
      <c r="T145" s="1424"/>
      <c r="U145" s="1223"/>
      <c r="V145" s="1487"/>
      <c r="W145" s="1223"/>
      <c r="X145" s="1487"/>
      <c r="Y145" s="1223">
        <v>315</v>
      </c>
      <c r="Z145" s="1487">
        <v>315</v>
      </c>
      <c r="AA145" s="1149"/>
      <c r="AB145" s="1016"/>
      <c r="AC145" s="1219"/>
      <c r="AD145" s="1219"/>
      <c r="AE145" s="1528"/>
      <c r="AF145" s="1528"/>
      <c r="AG145" s="1217"/>
      <c r="AH145" s="954"/>
      <c r="AI145" s="1223"/>
      <c r="AJ145" s="1223"/>
      <c r="AK145" s="1223"/>
      <c r="AL145" s="1487"/>
      <c r="AM145" s="1487"/>
      <c r="AN145" s="1487"/>
      <c r="AO145" s="1149"/>
      <c r="AP145" s="954"/>
      <c r="AQ145" s="989"/>
      <c r="AR145" s="989"/>
      <c r="AS145" s="1544"/>
      <c r="AT145" s="1585"/>
      <c r="AU145" s="1561">
        <f t="shared" si="41"/>
        <v>315</v>
      </c>
      <c r="AV145" s="1447">
        <f t="shared" si="42"/>
        <v>0</v>
      </c>
      <c r="AW145" s="1447">
        <f t="shared" si="43"/>
        <v>0</v>
      </c>
      <c r="AX145" s="1450">
        <f t="shared" si="44"/>
        <v>315</v>
      </c>
      <c r="AY145" s="1393">
        <f t="shared" si="38"/>
        <v>315</v>
      </c>
      <c r="AZ145" s="1247">
        <f t="shared" si="39"/>
        <v>0</v>
      </c>
      <c r="BA145" s="1247">
        <f t="shared" si="40"/>
        <v>0</v>
      </c>
      <c r="BB145" s="1385">
        <f t="shared" si="45"/>
        <v>315</v>
      </c>
    </row>
    <row r="146" spans="1:54" ht="15.6" x14ac:dyDescent="0.3">
      <c r="A146" s="1216"/>
      <c r="B146" s="954"/>
      <c r="C146" s="1223"/>
      <c r="D146" s="1487"/>
      <c r="E146" s="1217"/>
      <c r="F146" s="954"/>
      <c r="G146" s="1223"/>
      <c r="H146" s="1487"/>
      <c r="I146" s="1217"/>
      <c r="J146" s="954"/>
      <c r="K146" s="1223"/>
      <c r="L146" s="1487"/>
      <c r="M146" s="1217">
        <v>69</v>
      </c>
      <c r="N146" s="1104" t="s">
        <v>1987</v>
      </c>
      <c r="O146" s="1247"/>
      <c r="P146" s="1247"/>
      <c r="Q146" s="1247"/>
      <c r="R146" s="1424"/>
      <c r="S146" s="1424"/>
      <c r="T146" s="1424"/>
      <c r="U146" s="1223"/>
      <c r="V146" s="1487"/>
      <c r="W146" s="1223"/>
      <c r="X146" s="1487"/>
      <c r="Y146" s="1223">
        <v>1920</v>
      </c>
      <c r="Z146" s="1487">
        <v>1920</v>
      </c>
      <c r="AA146" s="1149"/>
      <c r="AB146" s="1016"/>
      <c r="AC146" s="1219"/>
      <c r="AD146" s="1219"/>
      <c r="AE146" s="1528"/>
      <c r="AF146" s="1528"/>
      <c r="AG146" s="1217"/>
      <c r="AH146" s="954"/>
      <c r="AI146" s="1223"/>
      <c r="AJ146" s="1223"/>
      <c r="AK146" s="1223"/>
      <c r="AL146" s="1487"/>
      <c r="AM146" s="1487"/>
      <c r="AN146" s="1487"/>
      <c r="AO146" s="1149"/>
      <c r="AP146" s="954"/>
      <c r="AQ146" s="989"/>
      <c r="AR146" s="989"/>
      <c r="AS146" s="1544"/>
      <c r="AT146" s="1585"/>
      <c r="AU146" s="1561">
        <f t="shared" si="41"/>
        <v>1920</v>
      </c>
      <c r="AV146" s="1447">
        <f t="shared" si="42"/>
        <v>0</v>
      </c>
      <c r="AW146" s="1447">
        <f t="shared" si="43"/>
        <v>0</v>
      </c>
      <c r="AX146" s="1450">
        <f t="shared" si="44"/>
        <v>1920</v>
      </c>
      <c r="AY146" s="1393">
        <f t="shared" si="38"/>
        <v>1920</v>
      </c>
      <c r="AZ146" s="1247">
        <f t="shared" si="39"/>
        <v>0</v>
      </c>
      <c r="BA146" s="1247">
        <f t="shared" si="40"/>
        <v>0</v>
      </c>
      <c r="BB146" s="1385">
        <f t="shared" si="45"/>
        <v>1920</v>
      </c>
    </row>
    <row r="147" spans="1:54" ht="15.6" x14ac:dyDescent="0.3">
      <c r="A147" s="1216"/>
      <c r="B147" s="954"/>
      <c r="C147" s="1223"/>
      <c r="D147" s="1487"/>
      <c r="E147" s="1217"/>
      <c r="F147" s="954"/>
      <c r="G147" s="1223"/>
      <c r="H147" s="1487"/>
      <c r="I147" s="1217"/>
      <c r="J147" s="954"/>
      <c r="K147" s="1223"/>
      <c r="L147" s="1487"/>
      <c r="M147" s="1217">
        <v>70</v>
      </c>
      <c r="N147" s="1104" t="s">
        <v>1988</v>
      </c>
      <c r="O147" s="1247"/>
      <c r="P147" s="1247"/>
      <c r="Q147" s="1247"/>
      <c r="R147" s="1424"/>
      <c r="S147" s="1424"/>
      <c r="T147" s="1424"/>
      <c r="U147" s="1223"/>
      <c r="V147" s="1487"/>
      <c r="W147" s="1223"/>
      <c r="X147" s="1487"/>
      <c r="Y147" s="1223">
        <v>236</v>
      </c>
      <c r="Z147" s="1487">
        <v>236</v>
      </c>
      <c r="AA147" s="1149"/>
      <c r="AB147" s="1016"/>
      <c r="AC147" s="1219"/>
      <c r="AD147" s="1219"/>
      <c r="AE147" s="1528"/>
      <c r="AF147" s="1528"/>
      <c r="AG147" s="1217"/>
      <c r="AH147" s="954"/>
      <c r="AI147" s="1223"/>
      <c r="AJ147" s="1223"/>
      <c r="AK147" s="1223"/>
      <c r="AL147" s="1487"/>
      <c r="AM147" s="1487"/>
      <c r="AN147" s="1487"/>
      <c r="AO147" s="1149"/>
      <c r="AP147" s="954"/>
      <c r="AQ147" s="989"/>
      <c r="AR147" s="989"/>
      <c r="AS147" s="1544"/>
      <c r="AT147" s="1585"/>
      <c r="AU147" s="1561">
        <f t="shared" si="41"/>
        <v>236</v>
      </c>
      <c r="AV147" s="1447">
        <f t="shared" si="42"/>
        <v>0</v>
      </c>
      <c r="AW147" s="1447">
        <f t="shared" si="43"/>
        <v>0</v>
      </c>
      <c r="AX147" s="1450">
        <f t="shared" si="44"/>
        <v>236</v>
      </c>
      <c r="AY147" s="1393">
        <f t="shared" si="38"/>
        <v>236</v>
      </c>
      <c r="AZ147" s="1247">
        <f t="shared" si="39"/>
        <v>0</v>
      </c>
      <c r="BA147" s="1247">
        <f t="shared" si="40"/>
        <v>0</v>
      </c>
      <c r="BB147" s="1385">
        <f t="shared" si="45"/>
        <v>236</v>
      </c>
    </row>
    <row r="148" spans="1:54" ht="15.6" x14ac:dyDescent="0.3">
      <c r="A148" s="1216"/>
      <c r="B148" s="954"/>
      <c r="C148" s="1223"/>
      <c r="D148" s="1487"/>
      <c r="E148" s="1217"/>
      <c r="F148" s="954"/>
      <c r="G148" s="1223"/>
      <c r="H148" s="1487"/>
      <c r="I148" s="1217"/>
      <c r="J148" s="954"/>
      <c r="K148" s="1223"/>
      <c r="L148" s="1487"/>
      <c r="M148" s="1217">
        <v>71</v>
      </c>
      <c r="N148" s="1104" t="s">
        <v>1989</v>
      </c>
      <c r="O148" s="1247"/>
      <c r="P148" s="1247"/>
      <c r="Q148" s="1247"/>
      <c r="R148" s="1424"/>
      <c r="S148" s="1424"/>
      <c r="T148" s="1424"/>
      <c r="U148" s="1223"/>
      <c r="V148" s="1487"/>
      <c r="W148" s="1223"/>
      <c r="X148" s="1487"/>
      <c r="Y148" s="1223">
        <v>1496</v>
      </c>
      <c r="Z148" s="1487">
        <v>1496</v>
      </c>
      <c r="AA148" s="1149"/>
      <c r="AB148" s="1016"/>
      <c r="AC148" s="1219"/>
      <c r="AD148" s="1219"/>
      <c r="AE148" s="1528"/>
      <c r="AF148" s="1528"/>
      <c r="AG148" s="1217"/>
      <c r="AH148" s="954"/>
      <c r="AI148" s="1223"/>
      <c r="AJ148" s="1223"/>
      <c r="AK148" s="1223"/>
      <c r="AL148" s="1487"/>
      <c r="AM148" s="1487"/>
      <c r="AN148" s="1487"/>
      <c r="AO148" s="1149"/>
      <c r="AP148" s="954"/>
      <c r="AQ148" s="989"/>
      <c r="AR148" s="989"/>
      <c r="AS148" s="1544"/>
      <c r="AT148" s="1585"/>
      <c r="AU148" s="1561">
        <f t="shared" si="41"/>
        <v>1496</v>
      </c>
      <c r="AV148" s="1447">
        <f t="shared" si="42"/>
        <v>0</v>
      </c>
      <c r="AW148" s="1447">
        <f t="shared" si="43"/>
        <v>0</v>
      </c>
      <c r="AX148" s="1450">
        <f t="shared" si="44"/>
        <v>1496</v>
      </c>
      <c r="AY148" s="1393">
        <f t="shared" si="38"/>
        <v>1496</v>
      </c>
      <c r="AZ148" s="1247">
        <f t="shared" si="39"/>
        <v>0</v>
      </c>
      <c r="BA148" s="1247">
        <f t="shared" si="40"/>
        <v>0</v>
      </c>
      <c r="BB148" s="1385">
        <f t="shared" si="45"/>
        <v>1496</v>
      </c>
    </row>
    <row r="149" spans="1:54" ht="15.6" x14ac:dyDescent="0.3">
      <c r="A149" s="1216"/>
      <c r="B149" s="954"/>
      <c r="C149" s="1223"/>
      <c r="D149" s="1487"/>
      <c r="E149" s="1217"/>
      <c r="F149" s="954"/>
      <c r="G149" s="1223"/>
      <c r="H149" s="1487"/>
      <c r="I149" s="1217"/>
      <c r="J149" s="954"/>
      <c r="K149" s="1223"/>
      <c r="L149" s="1487"/>
      <c r="M149" s="1217">
        <v>72</v>
      </c>
      <c r="N149" s="1104" t="s">
        <v>1990</v>
      </c>
      <c r="O149" s="1247"/>
      <c r="P149" s="1247"/>
      <c r="Q149" s="1247"/>
      <c r="R149" s="1424"/>
      <c r="S149" s="1424"/>
      <c r="T149" s="1424"/>
      <c r="U149" s="1223"/>
      <c r="V149" s="1487"/>
      <c r="W149" s="1223"/>
      <c r="X149" s="1487"/>
      <c r="Y149" s="1223"/>
      <c r="Z149" s="1487"/>
      <c r="AA149" s="1149"/>
      <c r="AB149" s="1016"/>
      <c r="AC149" s="1219"/>
      <c r="AD149" s="1219"/>
      <c r="AE149" s="1528"/>
      <c r="AF149" s="1528"/>
      <c r="AG149" s="1217"/>
      <c r="AH149" s="954"/>
      <c r="AI149" s="1223"/>
      <c r="AJ149" s="1223"/>
      <c r="AK149" s="1223"/>
      <c r="AL149" s="1487"/>
      <c r="AM149" s="1487"/>
      <c r="AN149" s="1487"/>
      <c r="AO149" s="1149"/>
      <c r="AP149" s="954"/>
      <c r="AQ149" s="989"/>
      <c r="AR149" s="989"/>
      <c r="AS149" s="1544"/>
      <c r="AT149" s="1585"/>
      <c r="AU149" s="1561">
        <f t="shared" si="41"/>
        <v>0</v>
      </c>
      <c r="AV149" s="1447">
        <f t="shared" si="42"/>
        <v>0</v>
      </c>
      <c r="AW149" s="1447">
        <f t="shared" si="43"/>
        <v>0</v>
      </c>
      <c r="AX149" s="1450">
        <f t="shared" si="44"/>
        <v>0</v>
      </c>
      <c r="AY149" s="1393">
        <f t="shared" si="38"/>
        <v>0</v>
      </c>
      <c r="AZ149" s="1247">
        <f t="shared" si="39"/>
        <v>0</v>
      </c>
      <c r="BA149" s="1247">
        <f t="shared" si="40"/>
        <v>0</v>
      </c>
      <c r="BB149" s="1385">
        <f t="shared" si="45"/>
        <v>0</v>
      </c>
    </row>
    <row r="150" spans="1:54" ht="15.6" x14ac:dyDescent="0.3">
      <c r="A150" s="1216"/>
      <c r="B150" s="954"/>
      <c r="C150" s="1223"/>
      <c r="D150" s="1487"/>
      <c r="E150" s="1217"/>
      <c r="F150" s="954"/>
      <c r="G150" s="1223"/>
      <c r="H150" s="1487"/>
      <c r="I150" s="1217"/>
      <c r="J150" s="954"/>
      <c r="K150" s="1223"/>
      <c r="L150" s="1487"/>
      <c r="M150" s="1217">
        <v>73</v>
      </c>
      <c r="N150" s="1104" t="s">
        <v>1991</v>
      </c>
      <c r="O150" s="1247"/>
      <c r="P150" s="1247"/>
      <c r="Q150" s="1247"/>
      <c r="R150" s="1424"/>
      <c r="S150" s="1424"/>
      <c r="T150" s="1424"/>
      <c r="U150" s="1223"/>
      <c r="V150" s="1487"/>
      <c r="W150" s="1223"/>
      <c r="X150" s="1487"/>
      <c r="Y150" s="1223">
        <v>236</v>
      </c>
      <c r="Z150" s="1487">
        <v>236</v>
      </c>
      <c r="AA150" s="1149"/>
      <c r="AB150" s="1016"/>
      <c r="AC150" s="1219"/>
      <c r="AD150" s="1219"/>
      <c r="AE150" s="1528"/>
      <c r="AF150" s="1528"/>
      <c r="AG150" s="1217"/>
      <c r="AH150" s="954"/>
      <c r="AI150" s="1223"/>
      <c r="AJ150" s="1223"/>
      <c r="AK150" s="1223"/>
      <c r="AL150" s="1487"/>
      <c r="AM150" s="1487"/>
      <c r="AN150" s="1487"/>
      <c r="AO150" s="1149"/>
      <c r="AP150" s="954"/>
      <c r="AQ150" s="989"/>
      <c r="AR150" s="989"/>
      <c r="AS150" s="1544"/>
      <c r="AT150" s="1585"/>
      <c r="AU150" s="1561">
        <f t="shared" si="41"/>
        <v>236</v>
      </c>
      <c r="AV150" s="1447">
        <f t="shared" si="42"/>
        <v>0</v>
      </c>
      <c r="AW150" s="1447">
        <f t="shared" si="43"/>
        <v>0</v>
      </c>
      <c r="AX150" s="1450">
        <f t="shared" si="44"/>
        <v>236</v>
      </c>
      <c r="AY150" s="1393">
        <f t="shared" si="38"/>
        <v>236</v>
      </c>
      <c r="AZ150" s="1247">
        <f t="shared" si="39"/>
        <v>0</v>
      </c>
      <c r="BA150" s="1247">
        <f t="shared" si="40"/>
        <v>0</v>
      </c>
      <c r="BB150" s="1385">
        <f t="shared" si="45"/>
        <v>236</v>
      </c>
    </row>
    <row r="151" spans="1:54" ht="15.6" x14ac:dyDescent="0.3">
      <c r="A151" s="1216"/>
      <c r="B151" s="954"/>
      <c r="C151" s="1223"/>
      <c r="D151" s="1487"/>
      <c r="E151" s="1217"/>
      <c r="F151" s="954"/>
      <c r="G151" s="1223"/>
      <c r="H151" s="1487"/>
      <c r="I151" s="1217"/>
      <c r="J151" s="954"/>
      <c r="K151" s="1223"/>
      <c r="L151" s="1487"/>
      <c r="M151" s="1217">
        <v>74</v>
      </c>
      <c r="N151" s="1104" t="s">
        <v>1992</v>
      </c>
      <c r="O151" s="1247"/>
      <c r="P151" s="1247"/>
      <c r="Q151" s="1247"/>
      <c r="R151" s="1424"/>
      <c r="S151" s="1424"/>
      <c r="T151" s="1424"/>
      <c r="U151" s="1223"/>
      <c r="V151" s="1487"/>
      <c r="W151" s="1223"/>
      <c r="X151" s="1487"/>
      <c r="Y151" s="1223">
        <v>100</v>
      </c>
      <c r="Z151" s="1487">
        <v>100</v>
      </c>
      <c r="AA151" s="1149"/>
      <c r="AB151" s="1016"/>
      <c r="AC151" s="1219"/>
      <c r="AD151" s="1219"/>
      <c r="AE151" s="1528"/>
      <c r="AF151" s="1528"/>
      <c r="AG151" s="1217"/>
      <c r="AH151" s="954"/>
      <c r="AI151" s="1223"/>
      <c r="AJ151" s="1223"/>
      <c r="AK151" s="1223"/>
      <c r="AL151" s="1487"/>
      <c r="AM151" s="1487"/>
      <c r="AN151" s="1487"/>
      <c r="AO151" s="1149"/>
      <c r="AP151" s="954"/>
      <c r="AQ151" s="989"/>
      <c r="AR151" s="989"/>
      <c r="AS151" s="1544"/>
      <c r="AT151" s="1585"/>
      <c r="AU151" s="1561">
        <f t="shared" si="41"/>
        <v>100</v>
      </c>
      <c r="AV151" s="1447">
        <f t="shared" si="42"/>
        <v>0</v>
      </c>
      <c r="AW151" s="1447">
        <f t="shared" si="43"/>
        <v>0</v>
      </c>
      <c r="AX151" s="1450">
        <f t="shared" si="44"/>
        <v>100</v>
      </c>
      <c r="AY151" s="1393">
        <f t="shared" si="38"/>
        <v>100</v>
      </c>
      <c r="AZ151" s="1247">
        <f t="shared" si="39"/>
        <v>0</v>
      </c>
      <c r="BA151" s="1247">
        <f t="shared" si="40"/>
        <v>0</v>
      </c>
      <c r="BB151" s="1385">
        <f t="shared" si="45"/>
        <v>100</v>
      </c>
    </row>
    <row r="152" spans="1:54" ht="15.6" x14ac:dyDescent="0.3">
      <c r="A152" s="1216"/>
      <c r="B152" s="954"/>
      <c r="C152" s="1223"/>
      <c r="D152" s="1487"/>
      <c r="E152" s="1217"/>
      <c r="F152" s="954"/>
      <c r="G152" s="1223"/>
      <c r="H152" s="1487"/>
      <c r="I152" s="1217"/>
      <c r="J152" s="954"/>
      <c r="K152" s="1223"/>
      <c r="L152" s="1487"/>
      <c r="M152" s="1217">
        <v>75</v>
      </c>
      <c r="N152" s="956" t="s">
        <v>1993</v>
      </c>
      <c r="O152" s="1247"/>
      <c r="P152" s="1247"/>
      <c r="Q152" s="1247"/>
      <c r="R152" s="1424"/>
      <c r="S152" s="1424"/>
      <c r="T152" s="1424"/>
      <c r="U152" s="1223"/>
      <c r="V152" s="1487"/>
      <c r="W152" s="1223"/>
      <c r="X152" s="1487"/>
      <c r="Y152" s="1223"/>
      <c r="Z152" s="1487"/>
      <c r="AA152" s="1149"/>
      <c r="AB152" s="1016"/>
      <c r="AC152" s="1219"/>
      <c r="AD152" s="1219"/>
      <c r="AE152" s="1528"/>
      <c r="AF152" s="1528"/>
      <c r="AG152" s="1217"/>
      <c r="AH152" s="954"/>
      <c r="AI152" s="1223"/>
      <c r="AJ152" s="1223"/>
      <c r="AK152" s="1223"/>
      <c r="AL152" s="1487"/>
      <c r="AM152" s="1487"/>
      <c r="AN152" s="1487"/>
      <c r="AO152" s="1149"/>
      <c r="AP152" s="954"/>
      <c r="AQ152" s="989"/>
      <c r="AR152" s="989"/>
      <c r="AS152" s="1544"/>
      <c r="AT152" s="1585"/>
      <c r="AU152" s="1561">
        <f t="shared" si="41"/>
        <v>0</v>
      </c>
      <c r="AV152" s="1447">
        <f t="shared" si="42"/>
        <v>0</v>
      </c>
      <c r="AW152" s="1447">
        <f t="shared" si="43"/>
        <v>0</v>
      </c>
      <c r="AX152" s="1450">
        <f t="shared" si="44"/>
        <v>0</v>
      </c>
      <c r="AY152" s="1393">
        <f t="shared" si="38"/>
        <v>0</v>
      </c>
      <c r="AZ152" s="1247">
        <f t="shared" si="39"/>
        <v>0</v>
      </c>
      <c r="BA152" s="1247">
        <f t="shared" si="40"/>
        <v>0</v>
      </c>
      <c r="BB152" s="1385">
        <f t="shared" si="45"/>
        <v>0</v>
      </c>
    </row>
    <row r="153" spans="1:54" ht="16.2" thickBot="1" x14ac:dyDescent="0.35">
      <c r="A153" s="1216"/>
      <c r="B153" s="959"/>
      <c r="C153" s="1230"/>
      <c r="D153" s="1488"/>
      <c r="E153" s="1227"/>
      <c r="F153" s="959"/>
      <c r="G153" s="1230"/>
      <c r="H153" s="1488"/>
      <c r="I153" s="1227"/>
      <c r="J153" s="959"/>
      <c r="K153" s="1230"/>
      <c r="L153" s="1488"/>
      <c r="M153" s="1227">
        <v>76</v>
      </c>
      <c r="N153" s="1253" t="s">
        <v>1994</v>
      </c>
      <c r="O153" s="1254"/>
      <c r="P153" s="1254"/>
      <c r="Q153" s="1254"/>
      <c r="R153" s="1425"/>
      <c r="S153" s="1425"/>
      <c r="T153" s="1425"/>
      <c r="U153" s="1230"/>
      <c r="V153" s="1488"/>
      <c r="W153" s="1230"/>
      <c r="X153" s="1488"/>
      <c r="Y153" s="1230"/>
      <c r="Z153" s="1488"/>
      <c r="AA153" s="1040"/>
      <c r="AB153" s="1027"/>
      <c r="AC153" s="1229"/>
      <c r="AD153" s="1229"/>
      <c r="AE153" s="1529"/>
      <c r="AF153" s="1529"/>
      <c r="AG153" s="1227"/>
      <c r="AH153" s="959"/>
      <c r="AI153" s="1230"/>
      <c r="AJ153" s="1230"/>
      <c r="AK153" s="1230"/>
      <c r="AL153" s="1488"/>
      <c r="AM153" s="1488"/>
      <c r="AN153" s="1488"/>
      <c r="AO153" s="1040"/>
      <c r="AP153" s="959"/>
      <c r="AQ153" s="1000"/>
      <c r="AR153" s="1000"/>
      <c r="AS153" s="1545"/>
      <c r="AT153" s="1586"/>
      <c r="AU153" s="1564">
        <f t="shared" si="41"/>
        <v>0</v>
      </c>
      <c r="AV153" s="1447">
        <f t="shared" si="42"/>
        <v>0</v>
      </c>
      <c r="AW153" s="1447">
        <f t="shared" si="43"/>
        <v>0</v>
      </c>
      <c r="AX153" s="1450">
        <f t="shared" si="44"/>
        <v>0</v>
      </c>
      <c r="AY153" s="1393">
        <f t="shared" si="38"/>
        <v>0</v>
      </c>
      <c r="AZ153" s="1247">
        <f t="shared" si="39"/>
        <v>0</v>
      </c>
      <c r="BA153" s="1247">
        <f t="shared" si="40"/>
        <v>0</v>
      </c>
      <c r="BB153" s="1385">
        <f t="shared" si="45"/>
        <v>0</v>
      </c>
    </row>
    <row r="154" spans="1:54" s="1371" customFormat="1" ht="16.2" thickBot="1" x14ac:dyDescent="0.35">
      <c r="A154" s="1374"/>
      <c r="B154" s="1369" t="s">
        <v>1526</v>
      </c>
      <c r="C154" s="1375">
        <f>SUM(C68:C153)</f>
        <v>11260</v>
      </c>
      <c r="D154" s="1429">
        <f>SUM(D68:D153)</f>
        <v>11260</v>
      </c>
      <c r="E154" s="1233"/>
      <c r="F154" s="1233" t="s">
        <v>1526</v>
      </c>
      <c r="G154" s="1257">
        <f>SUM(G68:G153)</f>
        <v>4400</v>
      </c>
      <c r="H154" s="1429">
        <f>SUM(H68:H153)</f>
        <v>4400</v>
      </c>
      <c r="I154" s="1233"/>
      <c r="J154" s="1233" t="s">
        <v>1526</v>
      </c>
      <c r="K154" s="1257">
        <f>SUM(K68:K153)</f>
        <v>5832</v>
      </c>
      <c r="L154" s="1429">
        <f>SUM(L68:L153)</f>
        <v>5440</v>
      </c>
      <c r="M154" s="1233">
        <v>76</v>
      </c>
      <c r="N154" s="1376" t="s">
        <v>1995</v>
      </c>
      <c r="O154" s="1256">
        <f t="shared" ref="O154:Y154" si="46">SUM(O68:O153)</f>
        <v>272511</v>
      </c>
      <c r="P154" s="1256">
        <f t="shared" si="46"/>
        <v>0</v>
      </c>
      <c r="Q154" s="1256">
        <f t="shared" si="46"/>
        <v>1500</v>
      </c>
      <c r="R154" s="1429">
        <f t="shared" si="46"/>
        <v>230789</v>
      </c>
      <c r="S154" s="1429">
        <f t="shared" si="46"/>
        <v>2000</v>
      </c>
      <c r="T154" s="1429">
        <f t="shared" si="46"/>
        <v>1500</v>
      </c>
      <c r="U154" s="1256">
        <f>SUM(U68:U153)</f>
        <v>47096</v>
      </c>
      <c r="V154" s="1429">
        <f>SUM(V68:V153)</f>
        <v>41026</v>
      </c>
      <c r="W154" s="1256">
        <f t="shared" si="46"/>
        <v>500</v>
      </c>
      <c r="X154" s="1429">
        <f>SUM(X68:X153)</f>
        <v>500</v>
      </c>
      <c r="Y154" s="1256">
        <f t="shared" si="46"/>
        <v>4930</v>
      </c>
      <c r="Z154" s="1429">
        <f>SUM(Z68:Z153)</f>
        <v>4930</v>
      </c>
      <c r="AA154" s="1233"/>
      <c r="AB154" s="1233" t="s">
        <v>1526</v>
      </c>
      <c r="AC154" s="1256">
        <f t="shared" ref="AC154:AF154" si="47">SUM(AC68:AC153)</f>
        <v>27958</v>
      </c>
      <c r="AD154" s="1256">
        <f t="shared" si="47"/>
        <v>22782</v>
      </c>
      <c r="AE154" s="1429">
        <f t="shared" si="47"/>
        <v>15450</v>
      </c>
      <c r="AF154" s="1429">
        <f t="shared" si="47"/>
        <v>20293</v>
      </c>
      <c r="AG154" s="1233"/>
      <c r="AH154" s="1233" t="s">
        <v>1526</v>
      </c>
      <c r="AI154" s="1257">
        <f t="shared" ref="AI154:AN154" si="48">SUM(AI68:AI153)</f>
        <v>9994</v>
      </c>
      <c r="AJ154" s="1257">
        <f t="shared" si="48"/>
        <v>0</v>
      </c>
      <c r="AK154" s="1257">
        <f t="shared" si="48"/>
        <v>2423</v>
      </c>
      <c r="AL154" s="1429">
        <f t="shared" si="48"/>
        <v>9352</v>
      </c>
      <c r="AM154" s="1429">
        <f t="shared" si="48"/>
        <v>0</v>
      </c>
      <c r="AN154" s="1429">
        <f t="shared" si="48"/>
        <v>2234</v>
      </c>
      <c r="AO154" s="1233"/>
      <c r="AP154" s="1233" t="s">
        <v>1526</v>
      </c>
      <c r="AQ154" s="1257">
        <f>SUM(AQ68:AQ153)</f>
        <v>103209</v>
      </c>
      <c r="AR154" s="1257">
        <f>SUM(AR68:AR153)</f>
        <v>1200</v>
      </c>
      <c r="AS154" s="1429">
        <f t="shared" ref="AS154:AT154" si="49">SUM(AS68:AS153)</f>
        <v>99360</v>
      </c>
      <c r="AT154" s="1594">
        <f t="shared" si="49"/>
        <v>0</v>
      </c>
      <c r="AU154" s="1565">
        <f t="shared" si="41"/>
        <v>400907</v>
      </c>
      <c r="AV154" s="1451">
        <f t="shared" ref="AV154:BB154" si="50">SUM(AV68:AV153)</f>
        <v>22293</v>
      </c>
      <c r="AW154" s="1451">
        <f t="shared" si="50"/>
        <v>25334</v>
      </c>
      <c r="AX154" s="1452">
        <f t="shared" si="50"/>
        <v>448534</v>
      </c>
      <c r="AY154" s="1397">
        <f t="shared" si="50"/>
        <v>465698</v>
      </c>
      <c r="AZ154" s="1375">
        <f t="shared" si="50"/>
        <v>23982</v>
      </c>
      <c r="BA154" s="1375">
        <f t="shared" si="50"/>
        <v>25915</v>
      </c>
      <c r="BB154" s="1389">
        <f t="shared" si="50"/>
        <v>515595</v>
      </c>
    </row>
    <row r="155" spans="1:54" s="1371" customFormat="1" ht="15.6" x14ac:dyDescent="0.3">
      <c r="A155" s="952"/>
      <c r="B155" s="1032" t="s">
        <v>1527</v>
      </c>
      <c r="C155" s="1067"/>
      <c r="D155" s="1493"/>
      <c r="E155" s="974"/>
      <c r="F155" s="1032" t="s">
        <v>1527</v>
      </c>
      <c r="G155" s="1067"/>
      <c r="H155" s="1493"/>
      <c r="I155" s="974"/>
      <c r="J155" s="1032" t="s">
        <v>1527</v>
      </c>
      <c r="K155" s="1067"/>
      <c r="L155" s="1493"/>
      <c r="M155" s="974"/>
      <c r="N155" s="1378" t="s">
        <v>93</v>
      </c>
      <c r="O155" s="1259"/>
      <c r="P155" s="1259"/>
      <c r="Q155" s="1259"/>
      <c r="R155" s="1430"/>
      <c r="S155" s="1430"/>
      <c r="T155" s="1430"/>
      <c r="U155" s="1067"/>
      <c r="V155" s="1493"/>
      <c r="W155" s="1067"/>
      <c r="X155" s="1493"/>
      <c r="Y155" s="1067"/>
      <c r="Z155" s="1493"/>
      <c r="AA155" s="974"/>
      <c r="AB155" s="1032" t="s">
        <v>1527</v>
      </c>
      <c r="AC155" s="1259"/>
      <c r="AD155" s="1259"/>
      <c r="AE155" s="1430"/>
      <c r="AF155" s="1430"/>
      <c r="AG155" s="974"/>
      <c r="AH155" s="1032" t="s">
        <v>1527</v>
      </c>
      <c r="AI155" s="1067"/>
      <c r="AJ155" s="1067"/>
      <c r="AK155" s="1067"/>
      <c r="AL155" s="1493"/>
      <c r="AM155" s="1493"/>
      <c r="AN155" s="1493"/>
      <c r="AO155" s="974"/>
      <c r="AP155" s="1032" t="s">
        <v>1527</v>
      </c>
      <c r="AQ155" s="1067"/>
      <c r="AR155" s="1067"/>
      <c r="AS155" s="1493"/>
      <c r="AT155" s="1595"/>
      <c r="AU155" s="1566"/>
      <c r="AV155" s="1453"/>
      <c r="AW155" s="1459"/>
      <c r="AX155" s="1454"/>
      <c r="AY155" s="1396"/>
      <c r="AZ155" s="1219"/>
      <c r="BA155" s="1219"/>
      <c r="BB155" s="1386"/>
    </row>
    <row r="156" spans="1:54" ht="15.6" x14ac:dyDescent="0.3">
      <c r="A156" s="1216">
        <v>1</v>
      </c>
      <c r="B156" s="1217"/>
      <c r="C156" s="1294"/>
      <c r="D156" s="1494"/>
      <c r="E156" s="1217">
        <v>1</v>
      </c>
      <c r="F156" s="1217"/>
      <c r="G156" s="1294"/>
      <c r="H156" s="1494"/>
      <c r="I156" s="1217">
        <v>1</v>
      </c>
      <c r="J156" s="1217"/>
      <c r="K156" s="1294"/>
      <c r="L156" s="1494"/>
      <c r="M156" s="1217">
        <v>1</v>
      </c>
      <c r="N156" s="1217"/>
      <c r="O156" s="1295"/>
      <c r="P156" s="1295"/>
      <c r="Q156" s="1295"/>
      <c r="R156" s="1431"/>
      <c r="S156" s="1431"/>
      <c r="T156" s="1431"/>
      <c r="U156" s="1294"/>
      <c r="V156" s="1494"/>
      <c r="W156" s="1294"/>
      <c r="X156" s="1494"/>
      <c r="Y156" s="1294"/>
      <c r="Z156" s="1494"/>
      <c r="AA156" s="1149">
        <v>1</v>
      </c>
      <c r="AB156" s="1149"/>
      <c r="AC156" s="1261"/>
      <c r="AD156" s="1261"/>
      <c r="AE156" s="1532"/>
      <c r="AF156" s="1532"/>
      <c r="AG156" s="1217">
        <v>1</v>
      </c>
      <c r="AH156" s="1217"/>
      <c r="AI156" s="1294"/>
      <c r="AJ156" s="1294"/>
      <c r="AK156" s="1294"/>
      <c r="AL156" s="1494"/>
      <c r="AM156" s="1494"/>
      <c r="AN156" s="1494"/>
      <c r="AO156" s="1149">
        <v>1</v>
      </c>
      <c r="AP156" s="1149"/>
      <c r="AQ156" s="1302"/>
      <c r="AR156" s="1302"/>
      <c r="AS156" s="1550"/>
      <c r="AT156" s="1596"/>
      <c r="AU156" s="1561">
        <f t="shared" si="41"/>
        <v>0</v>
      </c>
      <c r="AV156" s="1447">
        <f t="shared" ref="AV156:AV160" si="51">S156+AF156+AM156+AT156</f>
        <v>0</v>
      </c>
      <c r="AW156" s="1447">
        <f t="shared" ref="AW156:AW160" si="52">D156+H156+L156+T156+X156+AN156</f>
        <v>0</v>
      </c>
      <c r="AX156" s="1450">
        <f t="shared" ref="AX156:AX160" si="53">SUM(AU156:AW156)</f>
        <v>0</v>
      </c>
      <c r="AY156" s="1393">
        <f>SUM(O156+U156+Y156+AC156+AI156+AQ156)</f>
        <v>0</v>
      </c>
      <c r="AZ156" s="1247">
        <f>SUM(P156+AD156+AJ156+AR156)</f>
        <v>0</v>
      </c>
      <c r="BA156" s="1247">
        <f>SUM(C156+G156+K156+Q156+W156+AK156)</f>
        <v>0</v>
      </c>
      <c r="BB156" s="1385">
        <f t="shared" si="45"/>
        <v>0</v>
      </c>
    </row>
    <row r="157" spans="1:54" ht="15.6" x14ac:dyDescent="0.3">
      <c r="A157" s="1216">
        <v>2</v>
      </c>
      <c r="B157" s="1217"/>
      <c r="C157" s="1294"/>
      <c r="D157" s="1494"/>
      <c r="E157" s="1217">
        <v>2</v>
      </c>
      <c r="F157" s="1217"/>
      <c r="G157" s="1294"/>
      <c r="H157" s="1494"/>
      <c r="I157" s="1217">
        <v>2</v>
      </c>
      <c r="J157" s="1217"/>
      <c r="K157" s="1294"/>
      <c r="L157" s="1494"/>
      <c r="M157" s="1217">
        <v>2</v>
      </c>
      <c r="N157" s="1217"/>
      <c r="O157" s="1295"/>
      <c r="P157" s="1295"/>
      <c r="Q157" s="1295"/>
      <c r="R157" s="1431"/>
      <c r="S157" s="1431"/>
      <c r="T157" s="1431"/>
      <c r="U157" s="1294"/>
      <c r="V157" s="1494"/>
      <c r="W157" s="1294"/>
      <c r="X157" s="1494"/>
      <c r="Y157" s="1294"/>
      <c r="Z157" s="1494"/>
      <c r="AA157" s="1149">
        <v>2</v>
      </c>
      <c r="AB157" s="1149"/>
      <c r="AC157" s="1261"/>
      <c r="AD157" s="1261"/>
      <c r="AE157" s="1532"/>
      <c r="AF157" s="1532"/>
      <c r="AG157" s="1217">
        <v>2</v>
      </c>
      <c r="AH157" s="1217"/>
      <c r="AI157" s="1294"/>
      <c r="AJ157" s="1294"/>
      <c r="AK157" s="1294"/>
      <c r="AL157" s="1494"/>
      <c r="AM157" s="1494"/>
      <c r="AN157" s="1494"/>
      <c r="AO157" s="1149">
        <v>2</v>
      </c>
      <c r="AP157" s="1149"/>
      <c r="AQ157" s="1302"/>
      <c r="AR157" s="1302"/>
      <c r="AS157" s="1550"/>
      <c r="AT157" s="1596"/>
      <c r="AU157" s="1561">
        <f t="shared" si="41"/>
        <v>0</v>
      </c>
      <c r="AV157" s="1447">
        <f t="shared" si="51"/>
        <v>0</v>
      </c>
      <c r="AW157" s="1447">
        <f t="shared" si="52"/>
        <v>0</v>
      </c>
      <c r="AX157" s="1450">
        <f t="shared" si="53"/>
        <v>0</v>
      </c>
      <c r="AY157" s="1393">
        <f>SUM(O157+U157+Y157+AC157+AI157+AQ157)</f>
        <v>0</v>
      </c>
      <c r="AZ157" s="1247">
        <f>SUM(P157+AD157+AJ157+AR157)</f>
        <v>0</v>
      </c>
      <c r="BA157" s="1247">
        <f>SUM(C157+G157+K157+Q157+W157+AK157)</f>
        <v>0</v>
      </c>
      <c r="BB157" s="1385">
        <f t="shared" si="45"/>
        <v>0</v>
      </c>
    </row>
    <row r="158" spans="1:54" ht="15.6" x14ac:dyDescent="0.3">
      <c r="A158" s="1216">
        <v>3</v>
      </c>
      <c r="B158" s="1217"/>
      <c r="C158" s="1294"/>
      <c r="D158" s="1494"/>
      <c r="E158" s="1217">
        <v>3</v>
      </c>
      <c r="F158" s="1217"/>
      <c r="G158" s="1294"/>
      <c r="H158" s="1494"/>
      <c r="I158" s="1217">
        <v>3</v>
      </c>
      <c r="J158" s="1217"/>
      <c r="K158" s="1294"/>
      <c r="L158" s="1494"/>
      <c r="M158" s="1217">
        <v>3</v>
      </c>
      <c r="N158" s="1217"/>
      <c r="O158" s="1295"/>
      <c r="P158" s="1295"/>
      <c r="Q158" s="1295"/>
      <c r="R158" s="1431"/>
      <c r="S158" s="1431"/>
      <c r="T158" s="1431"/>
      <c r="U158" s="1294"/>
      <c r="V158" s="1494"/>
      <c r="W158" s="1294"/>
      <c r="X158" s="1494"/>
      <c r="Y158" s="1294"/>
      <c r="Z158" s="1494"/>
      <c r="AA158" s="1149">
        <v>3</v>
      </c>
      <c r="AB158" s="1149"/>
      <c r="AC158" s="1261"/>
      <c r="AD158" s="1261"/>
      <c r="AE158" s="1532"/>
      <c r="AF158" s="1532"/>
      <c r="AG158" s="1217">
        <v>3</v>
      </c>
      <c r="AH158" s="1217"/>
      <c r="AI158" s="1294"/>
      <c r="AJ158" s="1294"/>
      <c r="AK158" s="1294"/>
      <c r="AL158" s="1494"/>
      <c r="AM158" s="1494"/>
      <c r="AN158" s="1494"/>
      <c r="AO158" s="1149">
        <v>3</v>
      </c>
      <c r="AP158" s="1149"/>
      <c r="AQ158" s="1302"/>
      <c r="AR158" s="1302"/>
      <c r="AS158" s="1550"/>
      <c r="AT158" s="1596"/>
      <c r="AU158" s="1561">
        <f t="shared" si="41"/>
        <v>0</v>
      </c>
      <c r="AV158" s="1447">
        <f t="shared" si="51"/>
        <v>0</v>
      </c>
      <c r="AW158" s="1447">
        <f t="shared" si="52"/>
        <v>0</v>
      </c>
      <c r="AX158" s="1450">
        <f t="shared" si="53"/>
        <v>0</v>
      </c>
      <c r="AY158" s="1393">
        <f>SUM(O158+U158+Y158+AC158+AI158+AQ158)</f>
        <v>0</v>
      </c>
      <c r="AZ158" s="1247">
        <f>SUM(P158+AD158+AJ158+AR158)</f>
        <v>0</v>
      </c>
      <c r="BA158" s="1247">
        <f>SUM(C158+G158+K158+Q158+W158+AK158)</f>
        <v>0</v>
      </c>
      <c r="BB158" s="1385">
        <f t="shared" si="45"/>
        <v>0</v>
      </c>
    </row>
    <row r="159" spans="1:54" ht="15.6" x14ac:dyDescent="0.3">
      <c r="A159" s="1216">
        <v>4</v>
      </c>
      <c r="B159" s="1217"/>
      <c r="C159" s="1294"/>
      <c r="D159" s="1494"/>
      <c r="E159" s="1217">
        <v>4</v>
      </c>
      <c r="F159" s="1217"/>
      <c r="G159" s="1294"/>
      <c r="H159" s="1494"/>
      <c r="I159" s="1217">
        <v>4</v>
      </c>
      <c r="J159" s="1217"/>
      <c r="K159" s="1294"/>
      <c r="L159" s="1494"/>
      <c r="M159" s="1217">
        <v>4</v>
      </c>
      <c r="N159" s="1217"/>
      <c r="O159" s="1295"/>
      <c r="P159" s="1295"/>
      <c r="Q159" s="1295"/>
      <c r="R159" s="1431"/>
      <c r="S159" s="1431"/>
      <c r="T159" s="1431"/>
      <c r="U159" s="1294"/>
      <c r="V159" s="1494"/>
      <c r="W159" s="1294"/>
      <c r="X159" s="1494"/>
      <c r="Y159" s="1294"/>
      <c r="Z159" s="1494"/>
      <c r="AA159" s="1149"/>
      <c r="AB159" s="1149"/>
      <c r="AC159" s="1261"/>
      <c r="AD159" s="1261"/>
      <c r="AE159" s="1532"/>
      <c r="AF159" s="1532"/>
      <c r="AG159" s="1217">
        <v>4</v>
      </c>
      <c r="AH159" s="1217"/>
      <c r="AI159" s="1294"/>
      <c r="AJ159" s="1294"/>
      <c r="AK159" s="1294"/>
      <c r="AL159" s="1494"/>
      <c r="AM159" s="1494"/>
      <c r="AN159" s="1494"/>
      <c r="AO159" s="1149">
        <v>4</v>
      </c>
      <c r="AP159" s="1149"/>
      <c r="AQ159" s="1302"/>
      <c r="AR159" s="1302"/>
      <c r="AS159" s="1550"/>
      <c r="AT159" s="1596"/>
      <c r="AU159" s="1561">
        <f t="shared" si="41"/>
        <v>0</v>
      </c>
      <c r="AV159" s="1447">
        <f t="shared" si="51"/>
        <v>0</v>
      </c>
      <c r="AW159" s="1447">
        <f t="shared" si="52"/>
        <v>0</v>
      </c>
      <c r="AX159" s="1450">
        <f t="shared" si="53"/>
        <v>0</v>
      </c>
      <c r="AY159" s="1393">
        <f>SUM(O159+U159+Y159+AC159+AI159+AQ159)</f>
        <v>0</v>
      </c>
      <c r="AZ159" s="1247">
        <f>SUM(P159+AD159+AJ159+AR159)</f>
        <v>0</v>
      </c>
      <c r="BA159" s="1247">
        <f>SUM(C159+G159+K159+Q159+W159+AK159)</f>
        <v>0</v>
      </c>
      <c r="BB159" s="1385">
        <f t="shared" si="45"/>
        <v>0</v>
      </c>
    </row>
    <row r="160" spans="1:54" ht="16.2" thickBot="1" x14ac:dyDescent="0.35">
      <c r="A160" s="1216">
        <v>5</v>
      </c>
      <c r="B160" s="1227"/>
      <c r="C160" s="1333"/>
      <c r="D160" s="1441"/>
      <c r="E160" s="1227">
        <v>5</v>
      </c>
      <c r="F160" s="1227"/>
      <c r="G160" s="1333"/>
      <c r="H160" s="1441"/>
      <c r="I160" s="1227">
        <v>5</v>
      </c>
      <c r="J160" s="1227"/>
      <c r="K160" s="1333"/>
      <c r="L160" s="1441"/>
      <c r="M160" s="1227">
        <v>5</v>
      </c>
      <c r="N160" s="1227"/>
      <c r="O160" s="1355"/>
      <c r="P160" s="1355"/>
      <c r="Q160" s="1355"/>
      <c r="R160" s="1432"/>
      <c r="S160" s="1432"/>
      <c r="T160" s="1432"/>
      <c r="U160" s="1333"/>
      <c r="V160" s="1441"/>
      <c r="W160" s="1333"/>
      <c r="X160" s="1441"/>
      <c r="Y160" s="1333"/>
      <c r="Z160" s="1441"/>
      <c r="AA160" s="1040"/>
      <c r="AB160" s="1040"/>
      <c r="AC160" s="1264"/>
      <c r="AD160" s="1264"/>
      <c r="AE160" s="1533"/>
      <c r="AF160" s="1533"/>
      <c r="AG160" s="1227">
        <v>5</v>
      </c>
      <c r="AH160" s="1227"/>
      <c r="AI160" s="1333"/>
      <c r="AJ160" s="1333"/>
      <c r="AK160" s="1333"/>
      <c r="AL160" s="1441"/>
      <c r="AM160" s="1441"/>
      <c r="AN160" s="1441"/>
      <c r="AO160" s="1040">
        <v>5</v>
      </c>
      <c r="AP160" s="1040"/>
      <c r="AQ160" s="1159"/>
      <c r="AR160" s="1159"/>
      <c r="AS160" s="1551"/>
      <c r="AT160" s="1597"/>
      <c r="AU160" s="1561">
        <f t="shared" si="41"/>
        <v>0</v>
      </c>
      <c r="AV160" s="1447">
        <f t="shared" si="51"/>
        <v>0</v>
      </c>
      <c r="AW160" s="1447">
        <f t="shared" si="52"/>
        <v>0</v>
      </c>
      <c r="AX160" s="1450">
        <f t="shared" si="53"/>
        <v>0</v>
      </c>
      <c r="AY160" s="1393">
        <f>SUM(O160+U160+Y160+AC160+AI160+AQ160)</f>
        <v>0</v>
      </c>
      <c r="AZ160" s="1247">
        <f>SUM(P160+AD160+AJ160+AR160)</f>
        <v>0</v>
      </c>
      <c r="BA160" s="1247">
        <f>SUM(C160+G160+K160+Q160+W160+AK160)</f>
        <v>0</v>
      </c>
      <c r="BB160" s="1385">
        <f t="shared" si="45"/>
        <v>0</v>
      </c>
    </row>
    <row r="161" spans="1:54" ht="16.2" thickBot="1" x14ac:dyDescent="0.35">
      <c r="A161" s="1255"/>
      <c r="B161" s="1369" t="s">
        <v>1543</v>
      </c>
      <c r="C161" s="1267">
        <f>SUM(C155:C160)</f>
        <v>0</v>
      </c>
      <c r="D161" s="1434">
        <f>SUM(D155:D160)</f>
        <v>0</v>
      </c>
      <c r="E161" s="1232"/>
      <c r="F161" s="1232" t="s">
        <v>1543</v>
      </c>
      <c r="G161" s="1267">
        <f>SUM(G155:G160)</f>
        <v>0</v>
      </c>
      <c r="H161" s="1434">
        <f>SUM(H155:H160)</f>
        <v>0</v>
      </c>
      <c r="I161" s="1232"/>
      <c r="J161" s="1232" t="s">
        <v>1543</v>
      </c>
      <c r="K161" s="1267">
        <f>SUM(K155:K160)</f>
        <v>0</v>
      </c>
      <c r="L161" s="1434">
        <f>SUM(L155:L160)</f>
        <v>0</v>
      </c>
      <c r="M161" s="1232"/>
      <c r="N161" s="1232" t="s">
        <v>1543</v>
      </c>
      <c r="O161" s="1353">
        <f t="shared" ref="O161:Y161" si="54">SUM(O155:O160)</f>
        <v>0</v>
      </c>
      <c r="P161" s="1353">
        <f t="shared" si="54"/>
        <v>0</v>
      </c>
      <c r="Q161" s="1353">
        <f t="shared" si="54"/>
        <v>0</v>
      </c>
      <c r="R161" s="1434">
        <f t="shared" si="54"/>
        <v>0</v>
      </c>
      <c r="S161" s="1434">
        <f t="shared" si="54"/>
        <v>0</v>
      </c>
      <c r="T161" s="1434">
        <f t="shared" si="54"/>
        <v>0</v>
      </c>
      <c r="U161" s="1353">
        <f t="shared" si="54"/>
        <v>0</v>
      </c>
      <c r="V161" s="1434">
        <f>SUM(V155:V160)</f>
        <v>0</v>
      </c>
      <c r="W161" s="1353">
        <f t="shared" si="54"/>
        <v>0</v>
      </c>
      <c r="X161" s="1434">
        <f>SUM(X155:X160)</f>
        <v>0</v>
      </c>
      <c r="Y161" s="1353">
        <f t="shared" si="54"/>
        <v>0</v>
      </c>
      <c r="Z161" s="1434">
        <f>SUM(Z155:Z160)</f>
        <v>0</v>
      </c>
      <c r="AA161" s="1233"/>
      <c r="AB161" s="1233" t="s">
        <v>1543</v>
      </c>
      <c r="AC161" s="1256">
        <f t="shared" ref="AC161:AF161" si="55">SUM(AC155:AC160)</f>
        <v>0</v>
      </c>
      <c r="AD161" s="1256">
        <f t="shared" si="55"/>
        <v>0</v>
      </c>
      <c r="AE161" s="1434">
        <f t="shared" si="55"/>
        <v>0</v>
      </c>
      <c r="AF161" s="1434">
        <f t="shared" si="55"/>
        <v>0</v>
      </c>
      <c r="AG161" s="1232"/>
      <c r="AH161" s="1232" t="s">
        <v>1543</v>
      </c>
      <c r="AI161" s="1267">
        <f t="shared" ref="AI161:AN161" si="56">SUM(AI155:AI160)</f>
        <v>0</v>
      </c>
      <c r="AJ161" s="1267">
        <f t="shared" si="56"/>
        <v>0</v>
      </c>
      <c r="AK161" s="1267">
        <f t="shared" si="56"/>
        <v>0</v>
      </c>
      <c r="AL161" s="1434">
        <f t="shared" si="56"/>
        <v>0</v>
      </c>
      <c r="AM161" s="1434">
        <f t="shared" si="56"/>
        <v>0</v>
      </c>
      <c r="AN161" s="1434">
        <f t="shared" si="56"/>
        <v>0</v>
      </c>
      <c r="AO161" s="1233"/>
      <c r="AP161" s="1233" t="s">
        <v>1543</v>
      </c>
      <c r="AQ161" s="1257">
        <f t="shared" ref="AQ161:BB161" si="57">SUM(AQ155:AQ160)</f>
        <v>0</v>
      </c>
      <c r="AR161" s="1257">
        <f t="shared" si="57"/>
        <v>0</v>
      </c>
      <c r="AS161" s="1434">
        <f t="shared" si="57"/>
        <v>0</v>
      </c>
      <c r="AT161" s="1598">
        <f t="shared" si="57"/>
        <v>0</v>
      </c>
      <c r="AU161" s="1562">
        <f t="shared" si="57"/>
        <v>0</v>
      </c>
      <c r="AV161" s="1456">
        <f t="shared" si="57"/>
        <v>0</v>
      </c>
      <c r="AW161" s="1457">
        <f t="shared" si="57"/>
        <v>0</v>
      </c>
      <c r="AX161" s="1458">
        <f t="shared" si="57"/>
        <v>0</v>
      </c>
      <c r="AY161" s="1398">
        <f t="shared" si="57"/>
        <v>0</v>
      </c>
      <c r="AZ161" s="1257">
        <f t="shared" si="57"/>
        <v>0</v>
      </c>
      <c r="BA161" s="1267">
        <f t="shared" si="57"/>
        <v>0</v>
      </c>
      <c r="BB161" s="1399">
        <f t="shared" si="57"/>
        <v>0</v>
      </c>
    </row>
    <row r="162" spans="1:54" s="1371" customFormat="1" ht="15.6" x14ac:dyDescent="0.3">
      <c r="A162" s="952"/>
      <c r="B162" s="1032" t="s">
        <v>1695</v>
      </c>
      <c r="C162" s="1067"/>
      <c r="D162" s="1493"/>
      <c r="E162" s="974"/>
      <c r="F162" s="1032" t="s">
        <v>1695</v>
      </c>
      <c r="G162" s="1067"/>
      <c r="H162" s="1493"/>
      <c r="I162" s="974"/>
      <c r="J162" s="1032" t="s">
        <v>1695</v>
      </c>
      <c r="K162" s="1067"/>
      <c r="L162" s="1493"/>
      <c r="M162" s="974"/>
      <c r="N162" s="1032" t="s">
        <v>1695</v>
      </c>
      <c r="O162" s="1259"/>
      <c r="P162" s="1259"/>
      <c r="Q162" s="1259"/>
      <c r="R162" s="1430"/>
      <c r="S162" s="1430"/>
      <c r="T162" s="1430"/>
      <c r="U162" s="1067"/>
      <c r="V162" s="1493"/>
      <c r="W162" s="1067"/>
      <c r="X162" s="1493"/>
      <c r="Y162" s="1067"/>
      <c r="Z162" s="1493"/>
      <c r="AA162" s="974"/>
      <c r="AB162" s="1032" t="s">
        <v>1695</v>
      </c>
      <c r="AC162" s="1259"/>
      <c r="AD162" s="1259"/>
      <c r="AE162" s="1430"/>
      <c r="AF162" s="1430"/>
      <c r="AG162" s="974"/>
      <c r="AH162" s="1032" t="s">
        <v>1695</v>
      </c>
      <c r="AI162" s="1067"/>
      <c r="AJ162" s="1067"/>
      <c r="AK162" s="1067"/>
      <c r="AL162" s="1493"/>
      <c r="AM162" s="1493"/>
      <c r="AN162" s="1493"/>
      <c r="AO162" s="974"/>
      <c r="AP162" s="1032" t="s">
        <v>1695</v>
      </c>
      <c r="AQ162" s="1067"/>
      <c r="AR162" s="1067"/>
      <c r="AS162" s="1493"/>
      <c r="AT162" s="1595"/>
      <c r="AU162" s="1563"/>
      <c r="AV162" s="1453"/>
      <c r="AW162" s="1459"/>
      <c r="AX162" s="1454"/>
      <c r="AY162" s="1396">
        <f t="shared" ref="AY162:AY167" si="58">SUM(O162+U162+Y162+AC162+AI162+AQ162)</f>
        <v>0</v>
      </c>
      <c r="AZ162" s="1219">
        <f t="shared" ref="AZ162:AZ167" si="59">SUM(P162+AD162+AJ162+AR162)</f>
        <v>0</v>
      </c>
      <c r="BA162" s="1219">
        <f t="shared" ref="BA162:BA167" si="60">SUM(C162+G162+K162+Q162+W162+AK162)</f>
        <v>0</v>
      </c>
      <c r="BB162" s="1386">
        <f t="shared" si="45"/>
        <v>0</v>
      </c>
    </row>
    <row r="163" spans="1:54" ht="15.6" x14ac:dyDescent="0.3">
      <c r="A163" s="1216">
        <v>1</v>
      </c>
      <c r="B163" s="1217"/>
      <c r="C163" s="1294"/>
      <c r="D163" s="1494"/>
      <c r="E163" s="1217">
        <v>1</v>
      </c>
      <c r="F163" s="1217"/>
      <c r="G163" s="1294"/>
      <c r="H163" s="1494"/>
      <c r="I163" s="1217">
        <v>1</v>
      </c>
      <c r="J163" s="1217"/>
      <c r="K163" s="1294"/>
      <c r="L163" s="1494"/>
      <c r="M163" s="1217">
        <v>1</v>
      </c>
      <c r="N163" s="1217"/>
      <c r="O163" s="1295"/>
      <c r="P163" s="1295"/>
      <c r="Q163" s="1295"/>
      <c r="R163" s="1431"/>
      <c r="S163" s="1431"/>
      <c r="T163" s="1431"/>
      <c r="U163" s="1294"/>
      <c r="V163" s="1494"/>
      <c r="W163" s="1294"/>
      <c r="X163" s="1494"/>
      <c r="Y163" s="1294"/>
      <c r="Z163" s="1494"/>
      <c r="AA163" s="1217">
        <v>1</v>
      </c>
      <c r="AB163" s="1217"/>
      <c r="AC163" s="1261"/>
      <c r="AD163" s="1261"/>
      <c r="AE163" s="1532"/>
      <c r="AF163" s="1532"/>
      <c r="AG163" s="1217">
        <v>1</v>
      </c>
      <c r="AH163" s="1217"/>
      <c r="AI163" s="1294"/>
      <c r="AJ163" s="1294"/>
      <c r="AK163" s="1294"/>
      <c r="AL163" s="1494"/>
      <c r="AM163" s="1494"/>
      <c r="AN163" s="1494"/>
      <c r="AO163" s="1217">
        <v>1</v>
      </c>
      <c r="AP163" s="1217"/>
      <c r="AQ163" s="1262"/>
      <c r="AR163" s="1262"/>
      <c r="AS163" s="1552"/>
      <c r="AT163" s="1599"/>
      <c r="AU163" s="1561">
        <f t="shared" ref="AU163:AU167" si="61">R163+V163+Z163+AE163+AL163+AS163</f>
        <v>0</v>
      </c>
      <c r="AV163" s="1447">
        <f t="shared" ref="AV163:AV167" si="62">S163+AF163+AM163+AT163</f>
        <v>0</v>
      </c>
      <c r="AW163" s="1447">
        <f t="shared" ref="AW163:AW167" si="63">D163+H163+L163+T163+X163+AN163</f>
        <v>0</v>
      </c>
      <c r="AX163" s="1450">
        <f t="shared" ref="AX163:AX167" si="64">SUM(AU163:AW163)</f>
        <v>0</v>
      </c>
      <c r="AY163" s="1393">
        <f t="shared" si="58"/>
        <v>0</v>
      </c>
      <c r="AZ163" s="1247">
        <f t="shared" si="59"/>
        <v>0</v>
      </c>
      <c r="BA163" s="1247">
        <f t="shared" si="60"/>
        <v>0</v>
      </c>
      <c r="BB163" s="1385">
        <f t="shared" si="45"/>
        <v>0</v>
      </c>
    </row>
    <row r="164" spans="1:54" ht="15.6" x14ac:dyDescent="0.3">
      <c r="A164" s="1216">
        <v>2</v>
      </c>
      <c r="B164" s="1217"/>
      <c r="C164" s="1294"/>
      <c r="D164" s="1494"/>
      <c r="E164" s="1217">
        <v>2</v>
      </c>
      <c r="F164" s="1217"/>
      <c r="G164" s="1294"/>
      <c r="H164" s="1494"/>
      <c r="I164" s="1217">
        <v>2</v>
      </c>
      <c r="J164" s="1217"/>
      <c r="K164" s="1294"/>
      <c r="L164" s="1494"/>
      <c r="M164" s="1217">
        <v>2</v>
      </c>
      <c r="N164" s="1217"/>
      <c r="O164" s="1295"/>
      <c r="P164" s="1295"/>
      <c r="Q164" s="1295"/>
      <c r="R164" s="1431"/>
      <c r="S164" s="1431"/>
      <c r="T164" s="1431"/>
      <c r="U164" s="1294"/>
      <c r="V164" s="1494"/>
      <c r="W164" s="1294"/>
      <c r="X164" s="1494"/>
      <c r="Y164" s="1294"/>
      <c r="Z164" s="1494"/>
      <c r="AA164" s="1217">
        <v>2</v>
      </c>
      <c r="AB164" s="1217"/>
      <c r="AC164" s="1261"/>
      <c r="AD164" s="1261"/>
      <c r="AE164" s="1532"/>
      <c r="AF164" s="1532"/>
      <c r="AG164" s="1217">
        <v>2</v>
      </c>
      <c r="AH164" s="1217"/>
      <c r="AI164" s="1294"/>
      <c r="AJ164" s="1294"/>
      <c r="AK164" s="1294"/>
      <c r="AL164" s="1494"/>
      <c r="AM164" s="1494"/>
      <c r="AN164" s="1494"/>
      <c r="AO164" s="1217">
        <v>2</v>
      </c>
      <c r="AP164" s="1217"/>
      <c r="AQ164" s="1262"/>
      <c r="AR164" s="1262"/>
      <c r="AS164" s="1552"/>
      <c r="AT164" s="1599"/>
      <c r="AU164" s="1561">
        <f t="shared" si="61"/>
        <v>0</v>
      </c>
      <c r="AV164" s="1447">
        <f t="shared" si="62"/>
        <v>0</v>
      </c>
      <c r="AW164" s="1447">
        <f t="shared" si="63"/>
        <v>0</v>
      </c>
      <c r="AX164" s="1450">
        <f t="shared" si="64"/>
        <v>0</v>
      </c>
      <c r="AY164" s="1393">
        <f t="shared" si="58"/>
        <v>0</v>
      </c>
      <c r="AZ164" s="1247">
        <f t="shared" si="59"/>
        <v>0</v>
      </c>
      <c r="BA164" s="1247">
        <f t="shared" si="60"/>
        <v>0</v>
      </c>
      <c r="BB164" s="1385">
        <f t="shared" si="45"/>
        <v>0</v>
      </c>
    </row>
    <row r="165" spans="1:54" ht="15.6" x14ac:dyDescent="0.3">
      <c r="A165" s="1216">
        <v>3</v>
      </c>
      <c r="B165" s="1217"/>
      <c r="C165" s="1294"/>
      <c r="D165" s="1494"/>
      <c r="E165" s="1217">
        <v>3</v>
      </c>
      <c r="F165" s="1217"/>
      <c r="G165" s="1294"/>
      <c r="H165" s="1494"/>
      <c r="I165" s="1217">
        <v>3</v>
      </c>
      <c r="J165" s="1217"/>
      <c r="K165" s="1294"/>
      <c r="L165" s="1494"/>
      <c r="M165" s="1217">
        <v>3</v>
      </c>
      <c r="N165" s="1217"/>
      <c r="O165" s="1295"/>
      <c r="P165" s="1295"/>
      <c r="Q165" s="1295"/>
      <c r="R165" s="1431"/>
      <c r="S165" s="1431"/>
      <c r="T165" s="1431"/>
      <c r="U165" s="1294"/>
      <c r="V165" s="1494"/>
      <c r="W165" s="1294"/>
      <c r="X165" s="1494"/>
      <c r="Y165" s="1294"/>
      <c r="Z165" s="1494"/>
      <c r="AA165" s="1217">
        <v>3</v>
      </c>
      <c r="AB165" s="1217"/>
      <c r="AC165" s="1261"/>
      <c r="AD165" s="1261"/>
      <c r="AE165" s="1532"/>
      <c r="AF165" s="1532"/>
      <c r="AG165" s="1217">
        <v>3</v>
      </c>
      <c r="AH165" s="1217"/>
      <c r="AI165" s="1294"/>
      <c r="AJ165" s="1294"/>
      <c r="AK165" s="1294"/>
      <c r="AL165" s="1494"/>
      <c r="AM165" s="1494"/>
      <c r="AN165" s="1494"/>
      <c r="AO165" s="1217">
        <v>3</v>
      </c>
      <c r="AP165" s="1217"/>
      <c r="AQ165" s="1262"/>
      <c r="AR165" s="1262"/>
      <c r="AS165" s="1552"/>
      <c r="AT165" s="1599"/>
      <c r="AU165" s="1561">
        <f t="shared" si="61"/>
        <v>0</v>
      </c>
      <c r="AV165" s="1447">
        <f t="shared" si="62"/>
        <v>0</v>
      </c>
      <c r="AW165" s="1447">
        <f t="shared" si="63"/>
        <v>0</v>
      </c>
      <c r="AX165" s="1450">
        <f t="shared" si="64"/>
        <v>0</v>
      </c>
      <c r="AY165" s="1393">
        <f t="shared" si="58"/>
        <v>0</v>
      </c>
      <c r="AZ165" s="1247">
        <f t="shared" si="59"/>
        <v>0</v>
      </c>
      <c r="BA165" s="1247">
        <f t="shared" si="60"/>
        <v>0</v>
      </c>
      <c r="BB165" s="1385">
        <f t="shared" si="45"/>
        <v>0</v>
      </c>
    </row>
    <row r="166" spans="1:54" ht="15.6" x14ac:dyDescent="0.3">
      <c r="A166" s="1216">
        <v>4</v>
      </c>
      <c r="B166" s="1217"/>
      <c r="C166" s="1294"/>
      <c r="D166" s="1494"/>
      <c r="E166" s="1217">
        <v>4</v>
      </c>
      <c r="F166" s="1217"/>
      <c r="G166" s="1294"/>
      <c r="H166" s="1494"/>
      <c r="I166" s="1217">
        <v>4</v>
      </c>
      <c r="J166" s="1217"/>
      <c r="K166" s="1294"/>
      <c r="L166" s="1494"/>
      <c r="M166" s="1217">
        <v>4</v>
      </c>
      <c r="N166" s="1217"/>
      <c r="O166" s="1295"/>
      <c r="P166" s="1295"/>
      <c r="Q166" s="1295"/>
      <c r="R166" s="1431"/>
      <c r="S166" s="1431"/>
      <c r="T166" s="1431"/>
      <c r="U166" s="1294"/>
      <c r="V166" s="1494"/>
      <c r="W166" s="1294"/>
      <c r="X166" s="1494"/>
      <c r="Y166" s="1294"/>
      <c r="Z166" s="1494"/>
      <c r="AA166" s="1217">
        <v>4</v>
      </c>
      <c r="AB166" s="1217"/>
      <c r="AC166" s="1261"/>
      <c r="AD166" s="1261"/>
      <c r="AE166" s="1532"/>
      <c r="AF166" s="1532"/>
      <c r="AG166" s="1217">
        <v>4</v>
      </c>
      <c r="AH166" s="1217"/>
      <c r="AI166" s="1294"/>
      <c r="AJ166" s="1294"/>
      <c r="AK166" s="1294"/>
      <c r="AL166" s="1494"/>
      <c r="AM166" s="1494"/>
      <c r="AN166" s="1494"/>
      <c r="AO166" s="1217">
        <v>4</v>
      </c>
      <c r="AP166" s="1217"/>
      <c r="AQ166" s="1262"/>
      <c r="AR166" s="1262"/>
      <c r="AS166" s="1552"/>
      <c r="AT166" s="1599"/>
      <c r="AU166" s="1561">
        <f t="shared" si="61"/>
        <v>0</v>
      </c>
      <c r="AV166" s="1447">
        <f t="shared" si="62"/>
        <v>0</v>
      </c>
      <c r="AW166" s="1447">
        <f t="shared" si="63"/>
        <v>0</v>
      </c>
      <c r="AX166" s="1450">
        <f t="shared" si="64"/>
        <v>0</v>
      </c>
      <c r="AY166" s="1393">
        <f t="shared" si="58"/>
        <v>0</v>
      </c>
      <c r="AZ166" s="1247">
        <f t="shared" si="59"/>
        <v>0</v>
      </c>
      <c r="BA166" s="1247">
        <f t="shared" si="60"/>
        <v>0</v>
      </c>
      <c r="BB166" s="1385">
        <f t="shared" si="45"/>
        <v>0</v>
      </c>
    </row>
    <row r="167" spans="1:54" ht="16.2" thickBot="1" x14ac:dyDescent="0.35">
      <c r="A167" s="1216">
        <v>5</v>
      </c>
      <c r="B167" s="1227"/>
      <c r="C167" s="1333"/>
      <c r="D167" s="1441"/>
      <c r="E167" s="1227">
        <v>5</v>
      </c>
      <c r="F167" s="1227"/>
      <c r="G167" s="1333"/>
      <c r="H167" s="1441"/>
      <c r="I167" s="1227">
        <v>5</v>
      </c>
      <c r="J167" s="1227"/>
      <c r="K167" s="1333"/>
      <c r="L167" s="1441"/>
      <c r="M167" s="1227">
        <v>5</v>
      </c>
      <c r="N167" s="1227"/>
      <c r="O167" s="1355"/>
      <c r="P167" s="1355"/>
      <c r="Q167" s="1355"/>
      <c r="R167" s="1432"/>
      <c r="S167" s="1432"/>
      <c r="T167" s="1432"/>
      <c r="U167" s="1333"/>
      <c r="V167" s="1441"/>
      <c r="W167" s="1333"/>
      <c r="X167" s="1441"/>
      <c r="Y167" s="1333"/>
      <c r="Z167" s="1441"/>
      <c r="AA167" s="1227">
        <v>5</v>
      </c>
      <c r="AB167" s="1227"/>
      <c r="AC167" s="1264"/>
      <c r="AD167" s="1264"/>
      <c r="AE167" s="1533"/>
      <c r="AF167" s="1533"/>
      <c r="AG167" s="1227">
        <v>5</v>
      </c>
      <c r="AH167" s="1227"/>
      <c r="AI167" s="1333"/>
      <c r="AJ167" s="1333"/>
      <c r="AK167" s="1333"/>
      <c r="AL167" s="1441"/>
      <c r="AM167" s="1441"/>
      <c r="AN167" s="1441"/>
      <c r="AO167" s="1227">
        <v>5</v>
      </c>
      <c r="AP167" s="1227"/>
      <c r="AQ167" s="1075"/>
      <c r="AR167" s="1075"/>
      <c r="AS167" s="1444"/>
      <c r="AT167" s="1600"/>
      <c r="AU167" s="1561">
        <f t="shared" si="61"/>
        <v>0</v>
      </c>
      <c r="AV167" s="1447">
        <f t="shared" si="62"/>
        <v>0</v>
      </c>
      <c r="AW167" s="1447">
        <f t="shared" si="63"/>
        <v>0</v>
      </c>
      <c r="AX167" s="1450">
        <f t="shared" si="64"/>
        <v>0</v>
      </c>
      <c r="AY167" s="1393">
        <f t="shared" si="58"/>
        <v>0</v>
      </c>
      <c r="AZ167" s="1247">
        <f t="shared" si="59"/>
        <v>0</v>
      </c>
      <c r="BA167" s="1247">
        <f t="shared" si="60"/>
        <v>0</v>
      </c>
      <c r="BB167" s="1385">
        <f t="shared" si="45"/>
        <v>0</v>
      </c>
    </row>
    <row r="168" spans="1:54" s="1371" customFormat="1" ht="16.2" thickBot="1" x14ac:dyDescent="0.35">
      <c r="A168" s="1374"/>
      <c r="B168" s="1369" t="s">
        <v>1696</v>
      </c>
      <c r="C168" s="1257">
        <f>SUM(C162:C167)</f>
        <v>0</v>
      </c>
      <c r="D168" s="1433">
        <f>SUM(D162:D167)</f>
        <v>0</v>
      </c>
      <c r="E168" s="1233"/>
      <c r="F168" s="1233" t="s">
        <v>1696</v>
      </c>
      <c r="G168" s="1257">
        <f>SUM(G162:G167)</f>
        <v>0</v>
      </c>
      <c r="H168" s="1433">
        <f>SUM(H162:H167)</f>
        <v>0</v>
      </c>
      <c r="I168" s="1233"/>
      <c r="J168" s="1233" t="s">
        <v>1696</v>
      </c>
      <c r="K168" s="1257">
        <f>SUM(K162:K167)</f>
        <v>0</v>
      </c>
      <c r="L168" s="1433">
        <f>SUM(L162:L167)</f>
        <v>0</v>
      </c>
      <c r="M168" s="1233"/>
      <c r="N168" s="1233" t="s">
        <v>1696</v>
      </c>
      <c r="O168" s="1375">
        <f t="shared" ref="O168:Y168" si="65">SUM(O162:O167)</f>
        <v>0</v>
      </c>
      <c r="P168" s="1375">
        <f t="shared" si="65"/>
        <v>0</v>
      </c>
      <c r="Q168" s="1375">
        <f t="shared" si="65"/>
        <v>0</v>
      </c>
      <c r="R168" s="1433">
        <f t="shared" si="65"/>
        <v>0</v>
      </c>
      <c r="S168" s="1433">
        <f t="shared" si="65"/>
        <v>0</v>
      </c>
      <c r="T168" s="1433">
        <f t="shared" si="65"/>
        <v>0</v>
      </c>
      <c r="U168" s="1375">
        <f t="shared" si="65"/>
        <v>0</v>
      </c>
      <c r="V168" s="1433">
        <f>SUM(V162:V167)</f>
        <v>0</v>
      </c>
      <c r="W168" s="1375">
        <f t="shared" si="65"/>
        <v>0</v>
      </c>
      <c r="X168" s="1433">
        <f>SUM(X162:X167)</f>
        <v>0</v>
      </c>
      <c r="Y168" s="1375">
        <f t="shared" si="65"/>
        <v>0</v>
      </c>
      <c r="Z168" s="1433">
        <f>SUM(Z162:Z167)</f>
        <v>0</v>
      </c>
      <c r="AA168" s="1233"/>
      <c r="AB168" s="1233" t="s">
        <v>1696</v>
      </c>
      <c r="AC168" s="1256">
        <f t="shared" ref="AC168:AF168" si="66">SUM(AC162:AC167)</f>
        <v>0</v>
      </c>
      <c r="AD168" s="1256">
        <f t="shared" si="66"/>
        <v>0</v>
      </c>
      <c r="AE168" s="1433">
        <f t="shared" si="66"/>
        <v>0</v>
      </c>
      <c r="AF168" s="1433">
        <f t="shared" si="66"/>
        <v>0</v>
      </c>
      <c r="AG168" s="1233"/>
      <c r="AH168" s="1233" t="s">
        <v>1696</v>
      </c>
      <c r="AI168" s="1257">
        <f t="shared" ref="AI168:AN168" si="67">SUM(AI162:AI167)</f>
        <v>0</v>
      </c>
      <c r="AJ168" s="1257">
        <f t="shared" si="67"/>
        <v>0</v>
      </c>
      <c r="AK168" s="1257">
        <f t="shared" si="67"/>
        <v>0</v>
      </c>
      <c r="AL168" s="1433">
        <f t="shared" si="67"/>
        <v>0</v>
      </c>
      <c r="AM168" s="1433">
        <f t="shared" si="67"/>
        <v>0</v>
      </c>
      <c r="AN168" s="1433">
        <f t="shared" si="67"/>
        <v>0</v>
      </c>
      <c r="AO168" s="1233"/>
      <c r="AP168" s="1233" t="s">
        <v>1696</v>
      </c>
      <c r="AQ168" s="1257">
        <f t="shared" ref="AQ168:BB168" si="68">SUM(AQ162:AQ167)</f>
        <v>0</v>
      </c>
      <c r="AR168" s="1257">
        <f t="shared" si="68"/>
        <v>0</v>
      </c>
      <c r="AS168" s="1433">
        <f t="shared" si="68"/>
        <v>0</v>
      </c>
      <c r="AT168" s="1601">
        <f t="shared" si="68"/>
        <v>0</v>
      </c>
      <c r="AU168" s="1562">
        <f t="shared" si="68"/>
        <v>0</v>
      </c>
      <c r="AV168" s="1456">
        <f t="shared" si="68"/>
        <v>0</v>
      </c>
      <c r="AW168" s="1456">
        <f t="shared" si="68"/>
        <v>0</v>
      </c>
      <c r="AX168" s="1448">
        <f t="shared" si="68"/>
        <v>0</v>
      </c>
      <c r="AY168" s="1398">
        <f t="shared" si="68"/>
        <v>0</v>
      </c>
      <c r="AZ168" s="1257">
        <f t="shared" si="68"/>
        <v>0</v>
      </c>
      <c r="BA168" s="1257">
        <f t="shared" si="68"/>
        <v>0</v>
      </c>
      <c r="BB168" s="1400">
        <f t="shared" si="68"/>
        <v>0</v>
      </c>
    </row>
    <row r="169" spans="1:54" s="1371" customFormat="1" ht="15.6" x14ac:dyDescent="0.3">
      <c r="A169" s="952"/>
      <c r="B169" s="1032" t="s">
        <v>1572</v>
      </c>
      <c r="C169" s="1272"/>
      <c r="D169" s="1495"/>
      <c r="E169" s="974"/>
      <c r="F169" s="1032" t="s">
        <v>1572</v>
      </c>
      <c r="G169" s="1272"/>
      <c r="H169" s="1495"/>
      <c r="I169" s="974"/>
      <c r="J169" s="1032" t="s">
        <v>1572</v>
      </c>
      <c r="K169" s="1272"/>
      <c r="L169" s="1495"/>
      <c r="M169" s="974"/>
      <c r="N169" s="1032" t="s">
        <v>1572</v>
      </c>
      <c r="O169" s="1269"/>
      <c r="P169" s="1269"/>
      <c r="Q169" s="1269"/>
      <c r="R169" s="1518"/>
      <c r="S169" s="1518"/>
      <c r="T169" s="1518"/>
      <c r="U169" s="1272"/>
      <c r="V169" s="1495"/>
      <c r="W169" s="1272"/>
      <c r="X169" s="1495"/>
      <c r="Y169" s="1272"/>
      <c r="Z169" s="1495"/>
      <c r="AA169" s="974"/>
      <c r="AB169" s="1032" t="s">
        <v>1572</v>
      </c>
      <c r="AC169" s="1259"/>
      <c r="AD169" s="1259"/>
      <c r="AE169" s="1430"/>
      <c r="AF169" s="1430"/>
      <c r="AG169" s="974"/>
      <c r="AH169" s="1032" t="s">
        <v>1572</v>
      </c>
      <c r="AI169" s="1272"/>
      <c r="AJ169" s="1272"/>
      <c r="AK169" s="1272"/>
      <c r="AL169" s="1495"/>
      <c r="AM169" s="1495"/>
      <c r="AN169" s="1495"/>
      <c r="AO169" s="974"/>
      <c r="AP169" s="1032" t="s">
        <v>1572</v>
      </c>
      <c r="AQ169" s="1067"/>
      <c r="AR169" s="1067"/>
      <c r="AS169" s="1493"/>
      <c r="AT169" s="1595"/>
      <c r="AU169" s="1567"/>
      <c r="AV169" s="1459"/>
      <c r="AW169" s="1459"/>
      <c r="AX169" s="1460">
        <f t="shared" ref="AX169:AX231" si="69">SUM(AU169:AW169)</f>
        <v>0</v>
      </c>
      <c r="AY169" s="1396">
        <f t="shared" ref="AY169:AY174" si="70">SUM(O169+U169+Y169+AC169+AI169+AQ169)</f>
        <v>0</v>
      </c>
      <c r="AZ169" s="1219">
        <f t="shared" ref="AZ169:AZ174" si="71">SUM(P169+AD169+AJ169+AR169)</f>
        <v>0</v>
      </c>
      <c r="BA169" s="1219">
        <f t="shared" ref="BA169:BA174" si="72">SUM(C169+G169+K169+Q169+W169+AK169)</f>
        <v>0</v>
      </c>
      <c r="BB169" s="1386">
        <f t="shared" si="45"/>
        <v>0</v>
      </c>
    </row>
    <row r="170" spans="1:54" ht="15.6" x14ac:dyDescent="0.3">
      <c r="A170" s="1216">
        <v>1</v>
      </c>
      <c r="B170" s="956"/>
      <c r="C170" s="1335"/>
      <c r="D170" s="1496"/>
      <c r="E170" s="1217">
        <v>1</v>
      </c>
      <c r="F170" s="956"/>
      <c r="G170" s="1335"/>
      <c r="H170" s="1496"/>
      <c r="I170" s="1217">
        <v>1</v>
      </c>
      <c r="J170" s="1218"/>
      <c r="K170" s="1335"/>
      <c r="L170" s="1496"/>
      <c r="M170" s="1217">
        <v>1</v>
      </c>
      <c r="N170" s="956"/>
      <c r="O170" s="1357"/>
      <c r="P170" s="1357"/>
      <c r="Q170" s="1357"/>
      <c r="R170" s="1519"/>
      <c r="S170" s="1519"/>
      <c r="T170" s="1519"/>
      <c r="U170" s="1335"/>
      <c r="V170" s="1496"/>
      <c r="W170" s="1335"/>
      <c r="X170" s="1496"/>
      <c r="Y170" s="1335"/>
      <c r="Z170" s="1496"/>
      <c r="AA170" s="1217">
        <v>1</v>
      </c>
      <c r="AB170" s="956"/>
      <c r="AC170" s="1261"/>
      <c r="AD170" s="1261"/>
      <c r="AE170" s="1532"/>
      <c r="AF170" s="1532"/>
      <c r="AG170" s="1217">
        <v>1</v>
      </c>
      <c r="AH170" s="956"/>
      <c r="AI170" s="1335"/>
      <c r="AJ170" s="1335"/>
      <c r="AK170" s="1335"/>
      <c r="AL170" s="1496"/>
      <c r="AM170" s="1496"/>
      <c r="AN170" s="1496"/>
      <c r="AO170" s="1217">
        <v>1</v>
      </c>
      <c r="AP170" s="956"/>
      <c r="AQ170" s="1262"/>
      <c r="AR170" s="1262"/>
      <c r="AS170" s="1552"/>
      <c r="AT170" s="1599"/>
      <c r="AU170" s="1561">
        <f t="shared" ref="AU170:AU174" si="73">R170+V170+Z170+AE170+AL170+AS170</f>
        <v>0</v>
      </c>
      <c r="AV170" s="1447">
        <f t="shared" ref="AV170:AV174" si="74">S170+AF170+AM170+AT170</f>
        <v>0</v>
      </c>
      <c r="AW170" s="1447">
        <f t="shared" ref="AW170:AW174" si="75">D170+H170+L170+T170+X170+AN170</f>
        <v>0</v>
      </c>
      <c r="AX170" s="1450">
        <f t="shared" si="69"/>
        <v>0</v>
      </c>
      <c r="AY170" s="1393">
        <f t="shared" si="70"/>
        <v>0</v>
      </c>
      <c r="AZ170" s="1247">
        <f t="shared" si="71"/>
        <v>0</v>
      </c>
      <c r="BA170" s="1247">
        <f t="shared" si="72"/>
        <v>0</v>
      </c>
      <c r="BB170" s="1385">
        <f t="shared" si="45"/>
        <v>0</v>
      </c>
    </row>
    <row r="171" spans="1:54" ht="15.6" x14ac:dyDescent="0.3">
      <c r="A171" s="1216">
        <v>2</v>
      </c>
      <c r="B171" s="956"/>
      <c r="C171" s="1335"/>
      <c r="D171" s="1496"/>
      <c r="E171" s="1217">
        <v>2</v>
      </c>
      <c r="F171" s="956"/>
      <c r="G171" s="1335"/>
      <c r="H171" s="1496"/>
      <c r="I171" s="1217">
        <v>2</v>
      </c>
      <c r="J171" s="1218"/>
      <c r="K171" s="1335"/>
      <c r="L171" s="1496"/>
      <c r="M171" s="1217">
        <v>2</v>
      </c>
      <c r="N171" s="956"/>
      <c r="O171" s="1357"/>
      <c r="P171" s="1357"/>
      <c r="Q171" s="1357"/>
      <c r="R171" s="1519"/>
      <c r="S171" s="1519"/>
      <c r="T171" s="1519"/>
      <c r="U171" s="1335"/>
      <c r="V171" s="1496"/>
      <c r="W171" s="1335"/>
      <c r="X171" s="1496"/>
      <c r="Y171" s="1335"/>
      <c r="Z171" s="1496"/>
      <c r="AA171" s="1217">
        <v>2</v>
      </c>
      <c r="AB171" s="956"/>
      <c r="AC171" s="1261"/>
      <c r="AD171" s="1261"/>
      <c r="AE171" s="1532"/>
      <c r="AF171" s="1532"/>
      <c r="AG171" s="1217">
        <v>2</v>
      </c>
      <c r="AH171" s="956"/>
      <c r="AI171" s="1335"/>
      <c r="AJ171" s="1335"/>
      <c r="AK171" s="1335"/>
      <c r="AL171" s="1496"/>
      <c r="AM171" s="1496"/>
      <c r="AN171" s="1496"/>
      <c r="AO171" s="1217">
        <v>2</v>
      </c>
      <c r="AP171" s="956"/>
      <c r="AQ171" s="1262"/>
      <c r="AR171" s="1262"/>
      <c r="AS171" s="1552"/>
      <c r="AT171" s="1599"/>
      <c r="AU171" s="1561">
        <f t="shared" si="73"/>
        <v>0</v>
      </c>
      <c r="AV171" s="1447">
        <f t="shared" si="74"/>
        <v>0</v>
      </c>
      <c r="AW171" s="1447">
        <f t="shared" si="75"/>
        <v>0</v>
      </c>
      <c r="AX171" s="1450">
        <f t="shared" si="69"/>
        <v>0</v>
      </c>
      <c r="AY171" s="1393">
        <f t="shared" si="70"/>
        <v>0</v>
      </c>
      <c r="AZ171" s="1247">
        <f t="shared" si="71"/>
        <v>0</v>
      </c>
      <c r="BA171" s="1247">
        <f t="shared" si="72"/>
        <v>0</v>
      </c>
      <c r="BB171" s="1385">
        <f t="shared" si="45"/>
        <v>0</v>
      </c>
    </row>
    <row r="172" spans="1:54" ht="15.6" x14ac:dyDescent="0.3">
      <c r="A172" s="1216"/>
      <c r="B172" s="956"/>
      <c r="C172" s="1335"/>
      <c r="D172" s="1496"/>
      <c r="E172" s="1217"/>
      <c r="F172" s="956"/>
      <c r="G172" s="1335"/>
      <c r="H172" s="1496"/>
      <c r="I172" s="1217">
        <v>3</v>
      </c>
      <c r="J172" s="1218"/>
      <c r="K172" s="1335"/>
      <c r="L172" s="1496"/>
      <c r="M172" s="1217"/>
      <c r="N172" s="956"/>
      <c r="O172" s="1357"/>
      <c r="P172" s="1357"/>
      <c r="Q172" s="1357"/>
      <c r="R172" s="1519"/>
      <c r="S172" s="1519"/>
      <c r="T172" s="1519"/>
      <c r="U172" s="1335"/>
      <c r="V172" s="1496"/>
      <c r="W172" s="1335"/>
      <c r="X172" s="1496"/>
      <c r="Y172" s="1335"/>
      <c r="Z172" s="1496"/>
      <c r="AA172" s="1217"/>
      <c r="AB172" s="956"/>
      <c r="AC172" s="1261"/>
      <c r="AD172" s="1261"/>
      <c r="AE172" s="1532"/>
      <c r="AF172" s="1532"/>
      <c r="AG172" s="1217"/>
      <c r="AH172" s="956"/>
      <c r="AI172" s="1335"/>
      <c r="AJ172" s="1335"/>
      <c r="AK172" s="1335"/>
      <c r="AL172" s="1496"/>
      <c r="AM172" s="1496"/>
      <c r="AN172" s="1496"/>
      <c r="AO172" s="1217"/>
      <c r="AP172" s="956"/>
      <c r="AQ172" s="1262"/>
      <c r="AR172" s="1262"/>
      <c r="AS172" s="1552"/>
      <c r="AT172" s="1599"/>
      <c r="AU172" s="1561">
        <f t="shared" si="73"/>
        <v>0</v>
      </c>
      <c r="AV172" s="1447">
        <f t="shared" si="74"/>
        <v>0</v>
      </c>
      <c r="AW172" s="1447">
        <f t="shared" si="75"/>
        <v>0</v>
      </c>
      <c r="AX172" s="1450">
        <f t="shared" si="69"/>
        <v>0</v>
      </c>
      <c r="AY172" s="1393">
        <f t="shared" si="70"/>
        <v>0</v>
      </c>
      <c r="AZ172" s="1247">
        <f t="shared" si="71"/>
        <v>0</v>
      </c>
      <c r="BA172" s="1247">
        <f t="shared" si="72"/>
        <v>0</v>
      </c>
      <c r="BB172" s="1385">
        <f t="shared" si="45"/>
        <v>0</v>
      </c>
    </row>
    <row r="173" spans="1:54" ht="15.6" x14ac:dyDescent="0.3">
      <c r="A173" s="1216"/>
      <c r="B173" s="956"/>
      <c r="C173" s="1335"/>
      <c r="D173" s="1496"/>
      <c r="E173" s="1217"/>
      <c r="F173" s="956"/>
      <c r="G173" s="1335"/>
      <c r="H173" s="1496"/>
      <c r="I173" s="1217">
        <v>4</v>
      </c>
      <c r="J173" s="956"/>
      <c r="K173" s="1335"/>
      <c r="L173" s="1496"/>
      <c r="M173" s="1217"/>
      <c r="N173" s="956"/>
      <c r="O173" s="1357"/>
      <c r="P173" s="1357"/>
      <c r="Q173" s="1357"/>
      <c r="R173" s="1519"/>
      <c r="S173" s="1519"/>
      <c r="T173" s="1519"/>
      <c r="U173" s="1335"/>
      <c r="V173" s="1496"/>
      <c r="W173" s="1335"/>
      <c r="X173" s="1496"/>
      <c r="Y173" s="1335"/>
      <c r="Z173" s="1496"/>
      <c r="AA173" s="1217"/>
      <c r="AB173" s="956"/>
      <c r="AC173" s="1261"/>
      <c r="AD173" s="1261"/>
      <c r="AE173" s="1532"/>
      <c r="AF173" s="1532"/>
      <c r="AG173" s="1217"/>
      <c r="AH173" s="956"/>
      <c r="AI173" s="1335"/>
      <c r="AJ173" s="1335"/>
      <c r="AK173" s="1335"/>
      <c r="AL173" s="1496"/>
      <c r="AM173" s="1496"/>
      <c r="AN173" s="1496"/>
      <c r="AO173" s="1217"/>
      <c r="AP173" s="956"/>
      <c r="AQ173" s="1262"/>
      <c r="AR173" s="1262"/>
      <c r="AS173" s="1552"/>
      <c r="AT173" s="1599"/>
      <c r="AU173" s="1561">
        <f t="shared" si="73"/>
        <v>0</v>
      </c>
      <c r="AV173" s="1447">
        <f t="shared" si="74"/>
        <v>0</v>
      </c>
      <c r="AW173" s="1447">
        <f t="shared" si="75"/>
        <v>0</v>
      </c>
      <c r="AX173" s="1450">
        <f t="shared" si="69"/>
        <v>0</v>
      </c>
      <c r="AY173" s="1393">
        <f t="shared" si="70"/>
        <v>0</v>
      </c>
      <c r="AZ173" s="1247">
        <f t="shared" si="71"/>
        <v>0</v>
      </c>
      <c r="BA173" s="1247">
        <f t="shared" si="72"/>
        <v>0</v>
      </c>
      <c r="BB173" s="1385">
        <f t="shared" si="45"/>
        <v>0</v>
      </c>
    </row>
    <row r="174" spans="1:54" ht="16.2" thickBot="1" x14ac:dyDescent="0.35">
      <c r="A174" s="1216"/>
      <c r="B174" s="961"/>
      <c r="C174" s="1336"/>
      <c r="D174" s="1497"/>
      <c r="E174" s="1227"/>
      <c r="F174" s="961"/>
      <c r="G174" s="1336"/>
      <c r="H174" s="1497"/>
      <c r="I174" s="1227">
        <v>5</v>
      </c>
      <c r="J174" s="1226"/>
      <c r="K174" s="1336"/>
      <c r="L174" s="1497"/>
      <c r="M174" s="1227"/>
      <c r="N174" s="961"/>
      <c r="O174" s="1358"/>
      <c r="P174" s="1358"/>
      <c r="Q174" s="1358"/>
      <c r="R174" s="1520"/>
      <c r="S174" s="1520"/>
      <c r="T174" s="1520"/>
      <c r="U174" s="1336"/>
      <c r="V174" s="1497"/>
      <c r="W174" s="1336"/>
      <c r="X174" s="1497"/>
      <c r="Y174" s="1336"/>
      <c r="Z174" s="1497"/>
      <c r="AA174" s="1227"/>
      <c r="AB174" s="961"/>
      <c r="AC174" s="1264"/>
      <c r="AD174" s="1264"/>
      <c r="AE174" s="1533"/>
      <c r="AF174" s="1533"/>
      <c r="AG174" s="1227"/>
      <c r="AH174" s="961"/>
      <c r="AI174" s="1336"/>
      <c r="AJ174" s="1336"/>
      <c r="AK174" s="1336"/>
      <c r="AL174" s="1497"/>
      <c r="AM174" s="1497"/>
      <c r="AN174" s="1497"/>
      <c r="AO174" s="1227"/>
      <c r="AP174" s="961"/>
      <c r="AQ174" s="1075"/>
      <c r="AR174" s="1075"/>
      <c r="AS174" s="1444"/>
      <c r="AT174" s="1600"/>
      <c r="AU174" s="1561">
        <f t="shared" si="73"/>
        <v>0</v>
      </c>
      <c r="AV174" s="1447">
        <f t="shared" si="74"/>
        <v>0</v>
      </c>
      <c r="AW174" s="1447">
        <f t="shared" si="75"/>
        <v>0</v>
      </c>
      <c r="AX174" s="1462">
        <f t="shared" si="69"/>
        <v>0</v>
      </c>
      <c r="AY174" s="1393">
        <f t="shared" si="70"/>
        <v>0</v>
      </c>
      <c r="AZ174" s="1247">
        <f t="shared" si="71"/>
        <v>0</v>
      </c>
      <c r="BA174" s="1247">
        <f t="shared" si="72"/>
        <v>0</v>
      </c>
      <c r="BB174" s="1385">
        <f t="shared" si="45"/>
        <v>0</v>
      </c>
    </row>
    <row r="175" spans="1:54" s="1371" customFormat="1" ht="16.2" thickBot="1" x14ac:dyDescent="0.35">
      <c r="A175" s="1374"/>
      <c r="B175" s="1265" t="s">
        <v>1573</v>
      </c>
      <c r="C175" s="1257">
        <f>SUM(C169:C174)</f>
        <v>0</v>
      </c>
      <c r="D175" s="1433">
        <f>SUM(D169:D174)</f>
        <v>0</v>
      </c>
      <c r="E175" s="1233"/>
      <c r="F175" s="1266" t="s">
        <v>1573</v>
      </c>
      <c r="G175" s="1257">
        <f>SUM(G169:G171)</f>
        <v>0</v>
      </c>
      <c r="H175" s="1433">
        <f>SUM(H169:H174)</f>
        <v>0</v>
      </c>
      <c r="I175" s="1233"/>
      <c r="J175" s="1266" t="s">
        <v>1573</v>
      </c>
      <c r="K175" s="1257">
        <f>SUM(K169:K171)</f>
        <v>0</v>
      </c>
      <c r="L175" s="1433">
        <f>SUM(L169:L174)</f>
        <v>0</v>
      </c>
      <c r="M175" s="1233"/>
      <c r="N175" s="1266" t="s">
        <v>1573</v>
      </c>
      <c r="O175" s="1256">
        <f t="shared" ref="O175:Q175" si="76">SUM(O169:O171)</f>
        <v>0</v>
      </c>
      <c r="P175" s="1256">
        <f t="shared" si="76"/>
        <v>0</v>
      </c>
      <c r="Q175" s="1256">
        <f t="shared" si="76"/>
        <v>0</v>
      </c>
      <c r="R175" s="1433">
        <f t="shared" ref="R175:T175" si="77">SUM(R169:R174)</f>
        <v>0</v>
      </c>
      <c r="S175" s="1433">
        <f t="shared" si="77"/>
        <v>0</v>
      </c>
      <c r="T175" s="1433">
        <f t="shared" si="77"/>
        <v>0</v>
      </c>
      <c r="U175" s="1257">
        <f>SUM(U169:U171)</f>
        <v>0</v>
      </c>
      <c r="V175" s="1433">
        <f>SUM(V169:V174)</f>
        <v>0</v>
      </c>
      <c r="W175" s="1257">
        <f>SUM(W169:W171)</f>
        <v>0</v>
      </c>
      <c r="X175" s="1433">
        <f>SUM(X169:X174)</f>
        <v>0</v>
      </c>
      <c r="Y175" s="1257">
        <f>SUM(Y169:Y171)</f>
        <v>0</v>
      </c>
      <c r="Z175" s="1433">
        <f>SUM(Z169:Z174)</f>
        <v>0</v>
      </c>
      <c r="AA175" s="1233"/>
      <c r="AB175" s="1266" t="s">
        <v>1573</v>
      </c>
      <c r="AC175" s="1258">
        <f t="shared" ref="AC175:AF175" si="78">SUM(AC169:AC174)</f>
        <v>0</v>
      </c>
      <c r="AD175" s="1258">
        <f t="shared" si="78"/>
        <v>0</v>
      </c>
      <c r="AE175" s="1433">
        <f t="shared" si="78"/>
        <v>0</v>
      </c>
      <c r="AF175" s="1433">
        <f t="shared" si="78"/>
        <v>0</v>
      </c>
      <c r="AG175" s="1233"/>
      <c r="AH175" s="1266" t="s">
        <v>1573</v>
      </c>
      <c r="AI175" s="1258">
        <f t="shared" ref="AI175:AN175" si="79">SUM(AI169:AI174)</f>
        <v>0</v>
      </c>
      <c r="AJ175" s="1258">
        <f t="shared" si="79"/>
        <v>0</v>
      </c>
      <c r="AK175" s="1258">
        <f t="shared" si="79"/>
        <v>0</v>
      </c>
      <c r="AL175" s="1433">
        <f t="shared" si="79"/>
        <v>0</v>
      </c>
      <c r="AM175" s="1433">
        <f t="shared" si="79"/>
        <v>0</v>
      </c>
      <c r="AN175" s="1433">
        <f t="shared" si="79"/>
        <v>0</v>
      </c>
      <c r="AO175" s="1233"/>
      <c r="AP175" s="1266" t="s">
        <v>1573</v>
      </c>
      <c r="AQ175" s="1257">
        <f>SUM(AQ169:AQ171)</f>
        <v>0</v>
      </c>
      <c r="AR175" s="1257">
        <f>SUM(AR169:AR171)</f>
        <v>0</v>
      </c>
      <c r="AS175" s="1433">
        <f t="shared" ref="AS175:AT175" si="80">SUM(AS169:AS174)</f>
        <v>0</v>
      </c>
      <c r="AT175" s="1601">
        <f t="shared" si="80"/>
        <v>0</v>
      </c>
      <c r="AU175" s="1562">
        <f t="shared" ref="AU175:AV175" si="81">SUM(AU169:AU171)</f>
        <v>0</v>
      </c>
      <c r="AV175" s="1456">
        <f t="shared" si="81"/>
        <v>0</v>
      </c>
      <c r="AW175" s="1456">
        <f t="shared" ref="AW175:AX175" si="82">SUM(AW169:AW174)</f>
        <v>0</v>
      </c>
      <c r="AX175" s="1448">
        <f t="shared" si="82"/>
        <v>0</v>
      </c>
      <c r="AY175" s="1398">
        <f t="shared" ref="AY175:AZ175" si="83">SUM(AY169:AY171)</f>
        <v>0</v>
      </c>
      <c r="AZ175" s="1257">
        <f t="shared" si="83"/>
        <v>0</v>
      </c>
      <c r="BA175" s="1257">
        <f t="shared" ref="BA175:BB175" si="84">SUM(BA169:BA174)</f>
        <v>0</v>
      </c>
      <c r="BB175" s="1400">
        <f t="shared" si="84"/>
        <v>0</v>
      </c>
    </row>
    <row r="176" spans="1:54" s="1371" customFormat="1" ht="15.6" x14ac:dyDescent="0.3">
      <c r="A176" s="952"/>
      <c r="B176" s="974" t="s">
        <v>1545</v>
      </c>
      <c r="C176" s="1268"/>
      <c r="D176" s="1498"/>
      <c r="E176" s="974"/>
      <c r="F176" s="974" t="s">
        <v>1545</v>
      </c>
      <c r="G176" s="1268"/>
      <c r="H176" s="1498"/>
      <c r="I176" s="974"/>
      <c r="J176" s="974" t="s">
        <v>1545</v>
      </c>
      <c r="K176" s="1268"/>
      <c r="L176" s="1498"/>
      <c r="M176" s="974"/>
      <c r="N176" s="974" t="s">
        <v>1545</v>
      </c>
      <c r="O176" s="1282"/>
      <c r="P176" s="1282"/>
      <c r="Q176" s="1282"/>
      <c r="R176" s="1521"/>
      <c r="S176" s="1521"/>
      <c r="T176" s="1521"/>
      <c r="U176" s="1268"/>
      <c r="V176" s="1498"/>
      <c r="W176" s="1268"/>
      <c r="X176" s="1498"/>
      <c r="Y176" s="1268"/>
      <c r="Z176" s="1498"/>
      <c r="AA176" s="974"/>
      <c r="AB176" s="974" t="s">
        <v>1545</v>
      </c>
      <c r="AC176" s="1259"/>
      <c r="AD176" s="1259"/>
      <c r="AE176" s="1430"/>
      <c r="AF176" s="1430"/>
      <c r="AG176" s="974"/>
      <c r="AH176" s="974" t="s">
        <v>1545</v>
      </c>
      <c r="AI176" s="1268"/>
      <c r="AJ176" s="1268"/>
      <c r="AK176" s="1268"/>
      <c r="AL176" s="1498"/>
      <c r="AM176" s="1498"/>
      <c r="AN176" s="1498"/>
      <c r="AO176" s="974"/>
      <c r="AP176" s="974" t="s">
        <v>1545</v>
      </c>
      <c r="AQ176" s="1268"/>
      <c r="AR176" s="1268"/>
      <c r="AS176" s="1498"/>
      <c r="AT176" s="1602"/>
      <c r="AU176" s="1563"/>
      <c r="AV176" s="1453"/>
      <c r="AW176" s="1459"/>
      <c r="AX176" s="1454">
        <f t="shared" si="69"/>
        <v>0</v>
      </c>
      <c r="AY176" s="1396">
        <f t="shared" ref="AY176:AY181" si="85">SUM(O176+U176+Y176+AC176+AI176+AQ176)</f>
        <v>0</v>
      </c>
      <c r="AZ176" s="1219">
        <f t="shared" ref="AZ176:AZ181" si="86">SUM(P176+AD176+AJ176+AR176)</f>
        <v>0</v>
      </c>
      <c r="BA176" s="1219">
        <f t="shared" ref="BA176:BA181" si="87">SUM(C176+G176+K176+Q176+W176+AK176)</f>
        <v>0</v>
      </c>
      <c r="BB176" s="1386">
        <f t="shared" si="45"/>
        <v>0</v>
      </c>
    </row>
    <row r="177" spans="1:54" ht="15.6" x14ac:dyDescent="0.3">
      <c r="A177" s="1216">
        <v>1</v>
      </c>
      <c r="B177" s="1218"/>
      <c r="C177" s="1335"/>
      <c r="D177" s="1496"/>
      <c r="E177" s="1217">
        <v>1</v>
      </c>
      <c r="F177" s="1218"/>
      <c r="G177" s="1335"/>
      <c r="H177" s="1496"/>
      <c r="I177" s="1217">
        <v>1</v>
      </c>
      <c r="J177" s="1217"/>
      <c r="K177" s="1335"/>
      <c r="L177" s="1496"/>
      <c r="M177" s="1217">
        <v>1</v>
      </c>
      <c r="N177" s="1218"/>
      <c r="O177" s="1357"/>
      <c r="P177" s="1357"/>
      <c r="Q177" s="1357"/>
      <c r="R177" s="1519"/>
      <c r="S177" s="1519"/>
      <c r="T177" s="1519"/>
      <c r="U177" s="1335"/>
      <c r="V177" s="1496"/>
      <c r="W177" s="1335"/>
      <c r="X177" s="1496"/>
      <c r="Y177" s="1335"/>
      <c r="Z177" s="1496"/>
      <c r="AA177" s="1217">
        <v>1</v>
      </c>
      <c r="AB177" s="1218"/>
      <c r="AC177" s="1261"/>
      <c r="AD177" s="1261"/>
      <c r="AE177" s="1532"/>
      <c r="AF177" s="1532"/>
      <c r="AG177" s="1217">
        <v>1</v>
      </c>
      <c r="AH177" s="1218"/>
      <c r="AI177" s="1335"/>
      <c r="AJ177" s="1335"/>
      <c r="AK177" s="1335"/>
      <c r="AL177" s="1496"/>
      <c r="AM177" s="1496"/>
      <c r="AN177" s="1496"/>
      <c r="AO177" s="1149">
        <v>1</v>
      </c>
      <c r="AP177" s="954" t="s">
        <v>1549</v>
      </c>
      <c r="AQ177" s="1048"/>
      <c r="AR177" s="1048"/>
      <c r="AS177" s="1553"/>
      <c r="AT177" s="1603"/>
      <c r="AU177" s="1561">
        <f t="shared" ref="AU177:AU181" si="88">R177+V177+Z177+AE177+AL177+AS177</f>
        <v>0</v>
      </c>
      <c r="AV177" s="1447">
        <f t="shared" ref="AV177:AV181" si="89">S177+AF177+AM177+AT177</f>
        <v>0</v>
      </c>
      <c r="AW177" s="1447">
        <f t="shared" ref="AW177:AW181" si="90">D177+H177+L177+T177+X177+AN177</f>
        <v>0</v>
      </c>
      <c r="AX177" s="1450">
        <f t="shared" si="69"/>
        <v>0</v>
      </c>
      <c r="AY177" s="1393">
        <f t="shared" si="85"/>
        <v>0</v>
      </c>
      <c r="AZ177" s="1247">
        <f t="shared" si="86"/>
        <v>0</v>
      </c>
      <c r="BA177" s="1247">
        <f t="shared" si="87"/>
        <v>0</v>
      </c>
      <c r="BB177" s="1385">
        <f t="shared" si="45"/>
        <v>0</v>
      </c>
    </row>
    <row r="178" spans="1:54" ht="15.6" x14ac:dyDescent="0.3">
      <c r="A178" s="1216">
        <v>2</v>
      </c>
      <c r="B178" s="1218"/>
      <c r="C178" s="1335"/>
      <c r="D178" s="1496"/>
      <c r="E178" s="1217">
        <v>2</v>
      </c>
      <c r="F178" s="1218"/>
      <c r="G178" s="1335"/>
      <c r="H178" s="1496"/>
      <c r="I178" s="1217">
        <v>2</v>
      </c>
      <c r="J178" s="1217"/>
      <c r="K178" s="1335"/>
      <c r="L178" s="1496"/>
      <c r="M178" s="1217">
        <v>2</v>
      </c>
      <c r="N178" s="1218"/>
      <c r="O178" s="1357"/>
      <c r="P178" s="1357"/>
      <c r="Q178" s="1357"/>
      <c r="R178" s="1519"/>
      <c r="S178" s="1519"/>
      <c r="T178" s="1519"/>
      <c r="U178" s="1335"/>
      <c r="V178" s="1496"/>
      <c r="W178" s="1335"/>
      <c r="X178" s="1496"/>
      <c r="Y178" s="1335"/>
      <c r="Z178" s="1496"/>
      <c r="AA178" s="1217">
        <v>2</v>
      </c>
      <c r="AB178" s="1218"/>
      <c r="AC178" s="1261"/>
      <c r="AD178" s="1261"/>
      <c r="AE178" s="1532"/>
      <c r="AF178" s="1532"/>
      <c r="AG178" s="1217">
        <v>2</v>
      </c>
      <c r="AH178" s="1218"/>
      <c r="AI178" s="1335"/>
      <c r="AJ178" s="1335"/>
      <c r="AK178" s="1335"/>
      <c r="AL178" s="1496"/>
      <c r="AM178" s="1496"/>
      <c r="AN178" s="1496"/>
      <c r="AO178" s="1149">
        <v>2</v>
      </c>
      <c r="AP178" s="954" t="s">
        <v>1551</v>
      </c>
      <c r="AQ178" s="1048"/>
      <c r="AR178" s="1048"/>
      <c r="AS178" s="1553"/>
      <c r="AT178" s="1603"/>
      <c r="AU178" s="1561">
        <f t="shared" si="88"/>
        <v>0</v>
      </c>
      <c r="AV178" s="1447">
        <f t="shared" si="89"/>
        <v>0</v>
      </c>
      <c r="AW178" s="1447">
        <f t="shared" si="90"/>
        <v>0</v>
      </c>
      <c r="AX178" s="1450">
        <f t="shared" si="69"/>
        <v>0</v>
      </c>
      <c r="AY178" s="1393">
        <f t="shared" si="85"/>
        <v>0</v>
      </c>
      <c r="AZ178" s="1247">
        <f t="shared" si="86"/>
        <v>0</v>
      </c>
      <c r="BA178" s="1247">
        <f t="shared" si="87"/>
        <v>0</v>
      </c>
      <c r="BB178" s="1385">
        <f t="shared" si="45"/>
        <v>0</v>
      </c>
    </row>
    <row r="179" spans="1:54" ht="15.6" x14ac:dyDescent="0.3">
      <c r="A179" s="1216">
        <v>3</v>
      </c>
      <c r="B179" s="1218"/>
      <c r="C179" s="1335"/>
      <c r="D179" s="1496"/>
      <c r="E179" s="1217">
        <v>3</v>
      </c>
      <c r="F179" s="1218"/>
      <c r="G179" s="1335"/>
      <c r="H179" s="1496"/>
      <c r="I179" s="1217">
        <v>3</v>
      </c>
      <c r="J179" s="1217"/>
      <c r="K179" s="1335"/>
      <c r="L179" s="1496"/>
      <c r="M179" s="1217">
        <v>3</v>
      </c>
      <c r="N179" s="1218"/>
      <c r="O179" s="1357"/>
      <c r="P179" s="1357"/>
      <c r="Q179" s="1357"/>
      <c r="R179" s="1519"/>
      <c r="S179" s="1519"/>
      <c r="T179" s="1519"/>
      <c r="U179" s="1335"/>
      <c r="V179" s="1496"/>
      <c r="W179" s="1335"/>
      <c r="X179" s="1496"/>
      <c r="Y179" s="1335"/>
      <c r="Z179" s="1496"/>
      <c r="AA179" s="1217">
        <v>3</v>
      </c>
      <c r="AB179" s="1218"/>
      <c r="AC179" s="1261"/>
      <c r="AD179" s="1261"/>
      <c r="AE179" s="1532"/>
      <c r="AF179" s="1532"/>
      <c r="AG179" s="1217">
        <v>3</v>
      </c>
      <c r="AH179" s="1218"/>
      <c r="AI179" s="1335"/>
      <c r="AJ179" s="1335"/>
      <c r="AK179" s="1335"/>
      <c r="AL179" s="1496"/>
      <c r="AM179" s="1496"/>
      <c r="AN179" s="1496"/>
      <c r="AO179" s="1149">
        <v>3</v>
      </c>
      <c r="AP179" s="956"/>
      <c r="AQ179" s="1048"/>
      <c r="AR179" s="1048"/>
      <c r="AS179" s="1553"/>
      <c r="AT179" s="1603"/>
      <c r="AU179" s="1561">
        <f t="shared" si="88"/>
        <v>0</v>
      </c>
      <c r="AV179" s="1447">
        <f t="shared" si="89"/>
        <v>0</v>
      </c>
      <c r="AW179" s="1447">
        <f t="shared" si="90"/>
        <v>0</v>
      </c>
      <c r="AX179" s="1450">
        <f t="shared" si="69"/>
        <v>0</v>
      </c>
      <c r="AY179" s="1393">
        <f t="shared" si="85"/>
        <v>0</v>
      </c>
      <c r="AZ179" s="1247">
        <f t="shared" si="86"/>
        <v>0</v>
      </c>
      <c r="BA179" s="1247">
        <f t="shared" si="87"/>
        <v>0</v>
      </c>
      <c r="BB179" s="1385">
        <f t="shared" si="45"/>
        <v>0</v>
      </c>
    </row>
    <row r="180" spans="1:54" ht="15.6" x14ac:dyDescent="0.3">
      <c r="A180" s="1216">
        <v>4</v>
      </c>
      <c r="B180" s="956"/>
      <c r="C180" s="1335"/>
      <c r="D180" s="1496"/>
      <c r="E180" s="1217">
        <v>4</v>
      </c>
      <c r="F180" s="956"/>
      <c r="G180" s="1335"/>
      <c r="H180" s="1496"/>
      <c r="I180" s="1217">
        <v>4</v>
      </c>
      <c r="J180" s="1217"/>
      <c r="K180" s="1335"/>
      <c r="L180" s="1496"/>
      <c r="M180" s="1217">
        <v>4</v>
      </c>
      <c r="N180" s="956"/>
      <c r="O180" s="1357"/>
      <c r="P180" s="1357"/>
      <c r="Q180" s="1357"/>
      <c r="R180" s="1519"/>
      <c r="S180" s="1519"/>
      <c r="T180" s="1519"/>
      <c r="U180" s="1335"/>
      <c r="V180" s="1496"/>
      <c r="W180" s="1335"/>
      <c r="X180" s="1496"/>
      <c r="Y180" s="1335"/>
      <c r="Z180" s="1496"/>
      <c r="AA180" s="1217">
        <v>4</v>
      </c>
      <c r="AB180" s="956"/>
      <c r="AC180" s="1261"/>
      <c r="AD180" s="1261"/>
      <c r="AE180" s="1532"/>
      <c r="AF180" s="1532"/>
      <c r="AG180" s="1217">
        <v>4</v>
      </c>
      <c r="AH180" s="956"/>
      <c r="AI180" s="1335"/>
      <c r="AJ180" s="1335"/>
      <c r="AK180" s="1335"/>
      <c r="AL180" s="1496"/>
      <c r="AM180" s="1496"/>
      <c r="AN180" s="1496"/>
      <c r="AO180" s="1149">
        <v>4</v>
      </c>
      <c r="AP180" s="956"/>
      <c r="AQ180" s="1048"/>
      <c r="AR180" s="1048"/>
      <c r="AS180" s="1553"/>
      <c r="AT180" s="1603"/>
      <c r="AU180" s="1561">
        <f t="shared" si="88"/>
        <v>0</v>
      </c>
      <c r="AV180" s="1447">
        <f t="shared" si="89"/>
        <v>0</v>
      </c>
      <c r="AW180" s="1447">
        <f t="shared" si="90"/>
        <v>0</v>
      </c>
      <c r="AX180" s="1450">
        <f t="shared" si="69"/>
        <v>0</v>
      </c>
      <c r="AY180" s="1393">
        <f t="shared" si="85"/>
        <v>0</v>
      </c>
      <c r="AZ180" s="1247">
        <f t="shared" si="86"/>
        <v>0</v>
      </c>
      <c r="BA180" s="1247">
        <f t="shared" si="87"/>
        <v>0</v>
      </c>
      <c r="BB180" s="1385">
        <f t="shared" si="45"/>
        <v>0</v>
      </c>
    </row>
    <row r="181" spans="1:54" ht="16.2" thickBot="1" x14ac:dyDescent="0.35">
      <c r="A181" s="1216">
        <v>5</v>
      </c>
      <c r="B181" s="1226"/>
      <c r="C181" s="1336"/>
      <c r="D181" s="1497"/>
      <c r="E181" s="1227">
        <v>5</v>
      </c>
      <c r="F181" s="1226"/>
      <c r="G181" s="1336"/>
      <c r="H181" s="1497"/>
      <c r="I181" s="1227"/>
      <c r="J181" s="1227"/>
      <c r="K181" s="1336"/>
      <c r="L181" s="1497"/>
      <c r="M181" s="1227">
        <v>5</v>
      </c>
      <c r="N181" s="1226"/>
      <c r="O181" s="1358"/>
      <c r="P181" s="1358"/>
      <c r="Q181" s="1358"/>
      <c r="R181" s="1520"/>
      <c r="S181" s="1520"/>
      <c r="T181" s="1520"/>
      <c r="U181" s="1336"/>
      <c r="V181" s="1497"/>
      <c r="W181" s="1336"/>
      <c r="X181" s="1497"/>
      <c r="Y181" s="1336"/>
      <c r="Z181" s="1497"/>
      <c r="AA181" s="1227">
        <v>5</v>
      </c>
      <c r="AB181" s="1226"/>
      <c r="AC181" s="1264"/>
      <c r="AD181" s="1264"/>
      <c r="AE181" s="1533"/>
      <c r="AF181" s="1533"/>
      <c r="AG181" s="1227">
        <v>5</v>
      </c>
      <c r="AH181" s="1226"/>
      <c r="AI181" s="1336"/>
      <c r="AJ181" s="1336"/>
      <c r="AK181" s="1336"/>
      <c r="AL181" s="1497"/>
      <c r="AM181" s="1497"/>
      <c r="AN181" s="1497"/>
      <c r="AO181" s="1040">
        <v>5</v>
      </c>
      <c r="AP181" s="961"/>
      <c r="AQ181" s="1101"/>
      <c r="AR181" s="1101"/>
      <c r="AS181" s="1554"/>
      <c r="AT181" s="1604"/>
      <c r="AU181" s="1561">
        <f t="shared" si="88"/>
        <v>0</v>
      </c>
      <c r="AV181" s="1447">
        <f t="shared" si="89"/>
        <v>0</v>
      </c>
      <c r="AW181" s="1447">
        <f t="shared" si="90"/>
        <v>0</v>
      </c>
      <c r="AX181" s="1462">
        <f t="shared" si="69"/>
        <v>0</v>
      </c>
      <c r="AY181" s="1393">
        <f t="shared" si="85"/>
        <v>0</v>
      </c>
      <c r="AZ181" s="1247">
        <f t="shared" si="86"/>
        <v>0</v>
      </c>
      <c r="BA181" s="1247">
        <f t="shared" si="87"/>
        <v>0</v>
      </c>
      <c r="BB181" s="1385">
        <f t="shared" si="45"/>
        <v>0</v>
      </c>
    </row>
    <row r="182" spans="1:54" s="1371" customFormat="1" ht="27.6" thickBot="1" x14ac:dyDescent="0.35">
      <c r="A182" s="1374"/>
      <c r="B182" s="1369" t="s">
        <v>1553</v>
      </c>
      <c r="C182" s="1257">
        <f>SUM(C176:C181)</f>
        <v>0</v>
      </c>
      <c r="D182" s="1433">
        <f>SUM(D176:D181)</f>
        <v>0</v>
      </c>
      <c r="E182" s="1233"/>
      <c r="F182" s="1233" t="s">
        <v>1553</v>
      </c>
      <c r="G182" s="1257">
        <f>SUM(G176:G181)</f>
        <v>0</v>
      </c>
      <c r="H182" s="1433">
        <f>SUM(H176:H181)</f>
        <v>0</v>
      </c>
      <c r="I182" s="1233"/>
      <c r="J182" s="1233" t="s">
        <v>1553</v>
      </c>
      <c r="K182" s="1257">
        <f>SUM(K176:K181)</f>
        <v>0</v>
      </c>
      <c r="L182" s="1433">
        <f>SUM(L176:L181)</f>
        <v>0</v>
      </c>
      <c r="M182" s="1233"/>
      <c r="N182" s="1233" t="s">
        <v>1553</v>
      </c>
      <c r="O182" s="1256">
        <f t="shared" ref="O182:Z182" si="91">SUM(O176:O181)</f>
        <v>0</v>
      </c>
      <c r="P182" s="1256">
        <f t="shared" si="91"/>
        <v>0</v>
      </c>
      <c r="Q182" s="1256">
        <f t="shared" si="91"/>
        <v>0</v>
      </c>
      <c r="R182" s="1433">
        <f t="shared" si="91"/>
        <v>0</v>
      </c>
      <c r="S182" s="1433">
        <f t="shared" si="91"/>
        <v>0</v>
      </c>
      <c r="T182" s="1433">
        <f t="shared" si="91"/>
        <v>0</v>
      </c>
      <c r="U182" s="1257">
        <f t="shared" si="91"/>
        <v>0</v>
      </c>
      <c r="V182" s="1433">
        <f t="shared" si="91"/>
        <v>0</v>
      </c>
      <c r="W182" s="1257">
        <f t="shared" si="91"/>
        <v>0</v>
      </c>
      <c r="X182" s="1433">
        <f t="shared" si="91"/>
        <v>0</v>
      </c>
      <c r="Y182" s="1257">
        <f t="shared" si="91"/>
        <v>0</v>
      </c>
      <c r="Z182" s="1433">
        <f t="shared" si="91"/>
        <v>0</v>
      </c>
      <c r="AA182" s="1233"/>
      <c r="AB182" s="1233" t="s">
        <v>1545</v>
      </c>
      <c r="AC182" s="1258">
        <f t="shared" ref="AC182:AF182" si="92">SUM(AC176:AC181)</f>
        <v>0</v>
      </c>
      <c r="AD182" s="1258">
        <f t="shared" si="92"/>
        <v>0</v>
      </c>
      <c r="AE182" s="1433">
        <f t="shared" si="92"/>
        <v>0</v>
      </c>
      <c r="AF182" s="1433">
        <f t="shared" si="92"/>
        <v>0</v>
      </c>
      <c r="AG182" s="1233"/>
      <c r="AH182" s="1233" t="s">
        <v>1553</v>
      </c>
      <c r="AI182" s="1258">
        <f t="shared" ref="AI182:AN182" si="93">SUM(AI176:AI181)</f>
        <v>0</v>
      </c>
      <c r="AJ182" s="1258">
        <f t="shared" si="93"/>
        <v>0</v>
      </c>
      <c r="AK182" s="1258">
        <f t="shared" si="93"/>
        <v>0</v>
      </c>
      <c r="AL182" s="1433">
        <f t="shared" si="93"/>
        <v>0</v>
      </c>
      <c r="AM182" s="1433">
        <f t="shared" si="93"/>
        <v>0</v>
      </c>
      <c r="AN182" s="1433">
        <f t="shared" si="93"/>
        <v>0</v>
      </c>
      <c r="AO182" s="1233"/>
      <c r="AP182" s="1233" t="s">
        <v>1553</v>
      </c>
      <c r="AQ182" s="1257">
        <f>SUM(AQ176:AQ181)</f>
        <v>0</v>
      </c>
      <c r="AR182" s="1257">
        <f>SUM(AR176:AR181)</f>
        <v>0</v>
      </c>
      <c r="AS182" s="1433">
        <f t="shared" ref="AS182:BB182" si="94">SUM(AS176:AS181)</f>
        <v>0</v>
      </c>
      <c r="AT182" s="1601">
        <f t="shared" si="94"/>
        <v>0</v>
      </c>
      <c r="AU182" s="1562">
        <f t="shared" si="94"/>
        <v>0</v>
      </c>
      <c r="AV182" s="1456">
        <f t="shared" si="94"/>
        <v>0</v>
      </c>
      <c r="AW182" s="1456">
        <f t="shared" si="94"/>
        <v>0</v>
      </c>
      <c r="AX182" s="1448">
        <f t="shared" si="94"/>
        <v>0</v>
      </c>
      <c r="AY182" s="1398">
        <f t="shared" si="94"/>
        <v>0</v>
      </c>
      <c r="AZ182" s="1257">
        <f t="shared" si="94"/>
        <v>0</v>
      </c>
      <c r="BA182" s="1257">
        <f t="shared" si="94"/>
        <v>0</v>
      </c>
      <c r="BB182" s="1400">
        <f t="shared" si="94"/>
        <v>0</v>
      </c>
    </row>
    <row r="183" spans="1:54" s="1371" customFormat="1" ht="15.6" x14ac:dyDescent="0.3">
      <c r="A183" s="952"/>
      <c r="B183" s="974" t="s">
        <v>1554</v>
      </c>
      <c r="C183" s="1067"/>
      <c r="D183" s="1493"/>
      <c r="E183" s="974"/>
      <c r="F183" s="974" t="s">
        <v>1554</v>
      </c>
      <c r="G183" s="1067"/>
      <c r="H183" s="1493"/>
      <c r="I183" s="974"/>
      <c r="J183" s="974" t="s">
        <v>1996</v>
      </c>
      <c r="K183" s="1067"/>
      <c r="L183" s="1493"/>
      <c r="M183" s="974"/>
      <c r="N183" s="974" t="s">
        <v>1554</v>
      </c>
      <c r="O183" s="1259"/>
      <c r="P183" s="1259"/>
      <c r="Q183" s="1259"/>
      <c r="R183" s="1430"/>
      <c r="S183" s="1430"/>
      <c r="T183" s="1430"/>
      <c r="U183" s="1067"/>
      <c r="V183" s="1493"/>
      <c r="W183" s="1067"/>
      <c r="X183" s="1493"/>
      <c r="Y183" s="1067"/>
      <c r="Z183" s="1493"/>
      <c r="AA183" s="974">
        <v>1</v>
      </c>
      <c r="AB183" s="974" t="s">
        <v>1554</v>
      </c>
      <c r="AC183" s="1269"/>
      <c r="AD183" s="1269"/>
      <c r="AE183" s="1518"/>
      <c r="AF183" s="1518"/>
      <c r="AG183" s="974"/>
      <c r="AH183" s="974" t="s">
        <v>1554</v>
      </c>
      <c r="AI183" s="1067"/>
      <c r="AJ183" s="1067"/>
      <c r="AK183" s="1067"/>
      <c r="AL183" s="1493"/>
      <c r="AM183" s="1493"/>
      <c r="AN183" s="1493"/>
      <c r="AO183" s="974"/>
      <c r="AP183" s="974" t="s">
        <v>1554</v>
      </c>
      <c r="AQ183" s="1067"/>
      <c r="AR183" s="1067"/>
      <c r="AS183" s="1493"/>
      <c r="AT183" s="1595"/>
      <c r="AU183" s="1563"/>
      <c r="AV183" s="1453"/>
      <c r="AW183" s="1459"/>
      <c r="AX183" s="1454">
        <f t="shared" si="69"/>
        <v>0</v>
      </c>
      <c r="AY183" s="1396">
        <f t="shared" ref="AY183:AY188" si="95">SUM(O183+U183+Y183+AC183+AI183+AQ183)</f>
        <v>0</v>
      </c>
      <c r="AZ183" s="1219">
        <f t="shared" ref="AZ183:AZ188" si="96">SUM(P183+AD183+AJ183+AR183)</f>
        <v>0</v>
      </c>
      <c r="BA183" s="1219">
        <f t="shared" ref="BA183:BA188" si="97">SUM(C183+G183+K183+Q183+W183+AK183)</f>
        <v>0</v>
      </c>
      <c r="BB183" s="1386">
        <f t="shared" si="45"/>
        <v>0</v>
      </c>
    </row>
    <row r="184" spans="1:54" ht="15.6" x14ac:dyDescent="0.3">
      <c r="A184" s="1216">
        <v>1</v>
      </c>
      <c r="B184" s="1217"/>
      <c r="C184" s="1294"/>
      <c r="D184" s="1494"/>
      <c r="E184" s="1217">
        <v>1</v>
      </c>
      <c r="F184" s="1217"/>
      <c r="G184" s="1294"/>
      <c r="H184" s="1494"/>
      <c r="I184" s="1217">
        <v>1</v>
      </c>
      <c r="J184" s="956"/>
      <c r="K184" s="1294"/>
      <c r="L184" s="1494"/>
      <c r="M184" s="1217">
        <v>1</v>
      </c>
      <c r="N184" s="1217"/>
      <c r="O184" s="1295"/>
      <c r="P184" s="1295"/>
      <c r="Q184" s="1295"/>
      <c r="R184" s="1431"/>
      <c r="S184" s="1431"/>
      <c r="T184" s="1431"/>
      <c r="U184" s="1294"/>
      <c r="V184" s="1494"/>
      <c r="W184" s="1294"/>
      <c r="X184" s="1494"/>
      <c r="Y184" s="1294"/>
      <c r="Z184" s="1494"/>
      <c r="AA184" s="1149">
        <v>2</v>
      </c>
      <c r="AB184" s="1217"/>
      <c r="AC184" s="1270"/>
      <c r="AD184" s="1270"/>
      <c r="AE184" s="1534"/>
      <c r="AF184" s="1534"/>
      <c r="AG184" s="1217">
        <v>1</v>
      </c>
      <c r="AH184" s="1217"/>
      <c r="AI184" s="1294"/>
      <c r="AJ184" s="1294"/>
      <c r="AK184" s="1294"/>
      <c r="AL184" s="1494"/>
      <c r="AM184" s="1494"/>
      <c r="AN184" s="1494"/>
      <c r="AO184" s="1149">
        <v>1</v>
      </c>
      <c r="AP184" s="1149"/>
      <c r="AQ184" s="1262"/>
      <c r="AR184" s="1262"/>
      <c r="AS184" s="1552"/>
      <c r="AT184" s="1599"/>
      <c r="AU184" s="1561">
        <f t="shared" ref="AU184:AU188" si="98">R184+V184+Z184+AE184+AL184+AS184</f>
        <v>0</v>
      </c>
      <c r="AV184" s="1447">
        <f t="shared" ref="AV184:AV188" si="99">S184+AF184+AM184+AT184</f>
        <v>0</v>
      </c>
      <c r="AW184" s="1447">
        <f t="shared" ref="AW184:AW188" si="100">D184+H184+L184+T184+X184+AN184</f>
        <v>0</v>
      </c>
      <c r="AX184" s="1463">
        <f t="shared" si="69"/>
        <v>0</v>
      </c>
      <c r="AY184" s="1393">
        <f t="shared" si="95"/>
        <v>0</v>
      </c>
      <c r="AZ184" s="1247">
        <f t="shared" si="96"/>
        <v>0</v>
      </c>
      <c r="BA184" s="1247">
        <f t="shared" si="97"/>
        <v>0</v>
      </c>
      <c r="BB184" s="1385">
        <f t="shared" si="45"/>
        <v>0</v>
      </c>
    </row>
    <row r="185" spans="1:54" ht="15.6" x14ac:dyDescent="0.3">
      <c r="A185" s="1216">
        <v>2</v>
      </c>
      <c r="B185" s="1217"/>
      <c r="C185" s="1294"/>
      <c r="D185" s="1494"/>
      <c r="E185" s="1217">
        <v>2</v>
      </c>
      <c r="F185" s="1217"/>
      <c r="G185" s="1294"/>
      <c r="H185" s="1494"/>
      <c r="I185" s="1217">
        <v>2</v>
      </c>
      <c r="J185" s="956"/>
      <c r="K185" s="1294"/>
      <c r="L185" s="1494"/>
      <c r="M185" s="1217">
        <v>2</v>
      </c>
      <c r="N185" s="1217"/>
      <c r="O185" s="1295"/>
      <c r="P185" s="1295"/>
      <c r="Q185" s="1295"/>
      <c r="R185" s="1431"/>
      <c r="S185" s="1431"/>
      <c r="T185" s="1431"/>
      <c r="U185" s="1294"/>
      <c r="V185" s="1494"/>
      <c r="W185" s="1294"/>
      <c r="X185" s="1494"/>
      <c r="Y185" s="1294"/>
      <c r="Z185" s="1494"/>
      <c r="AA185" s="1149">
        <v>3</v>
      </c>
      <c r="AB185" s="1217"/>
      <c r="AC185" s="1270"/>
      <c r="AD185" s="1270"/>
      <c r="AE185" s="1534"/>
      <c r="AF185" s="1534"/>
      <c r="AG185" s="1217">
        <v>2</v>
      </c>
      <c r="AH185" s="1217"/>
      <c r="AI185" s="1294"/>
      <c r="AJ185" s="1294"/>
      <c r="AK185" s="1294"/>
      <c r="AL185" s="1494"/>
      <c r="AM185" s="1494"/>
      <c r="AN185" s="1494"/>
      <c r="AO185" s="1149">
        <v>2</v>
      </c>
      <c r="AP185" s="1149"/>
      <c r="AQ185" s="1262"/>
      <c r="AR185" s="1262"/>
      <c r="AS185" s="1552"/>
      <c r="AT185" s="1599"/>
      <c r="AU185" s="1561">
        <f t="shared" si="98"/>
        <v>0</v>
      </c>
      <c r="AV185" s="1447">
        <f t="shared" si="99"/>
        <v>0</v>
      </c>
      <c r="AW185" s="1447">
        <f t="shared" si="100"/>
        <v>0</v>
      </c>
      <c r="AX185" s="1463">
        <f t="shared" si="69"/>
        <v>0</v>
      </c>
      <c r="AY185" s="1393">
        <f t="shared" si="95"/>
        <v>0</v>
      </c>
      <c r="AZ185" s="1247">
        <f t="shared" si="96"/>
        <v>0</v>
      </c>
      <c r="BA185" s="1247">
        <f t="shared" si="97"/>
        <v>0</v>
      </c>
      <c r="BB185" s="1385">
        <f t="shared" si="45"/>
        <v>0</v>
      </c>
    </row>
    <row r="186" spans="1:54" ht="15.6" x14ac:dyDescent="0.3">
      <c r="A186" s="1216">
        <v>3</v>
      </c>
      <c r="B186" s="1217"/>
      <c r="C186" s="1294"/>
      <c r="D186" s="1494"/>
      <c r="E186" s="1217">
        <v>3</v>
      </c>
      <c r="F186" s="1217"/>
      <c r="G186" s="1294"/>
      <c r="H186" s="1494"/>
      <c r="I186" s="1217"/>
      <c r="J186" s="956"/>
      <c r="K186" s="1294"/>
      <c r="L186" s="1494"/>
      <c r="M186" s="1217">
        <v>3</v>
      </c>
      <c r="N186" s="1217"/>
      <c r="O186" s="1295"/>
      <c r="P186" s="1295"/>
      <c r="Q186" s="1295"/>
      <c r="R186" s="1431"/>
      <c r="S186" s="1431"/>
      <c r="T186" s="1431"/>
      <c r="U186" s="1294"/>
      <c r="V186" s="1494"/>
      <c r="W186" s="1294"/>
      <c r="X186" s="1494"/>
      <c r="Y186" s="1294"/>
      <c r="Z186" s="1494"/>
      <c r="AA186" s="1149"/>
      <c r="AB186" s="1217"/>
      <c r="AC186" s="1270"/>
      <c r="AD186" s="1270"/>
      <c r="AE186" s="1534"/>
      <c r="AF186" s="1534"/>
      <c r="AG186" s="1217">
        <v>3</v>
      </c>
      <c r="AH186" s="1217"/>
      <c r="AI186" s="1294"/>
      <c r="AJ186" s="1294"/>
      <c r="AK186" s="1294"/>
      <c r="AL186" s="1494"/>
      <c r="AM186" s="1494"/>
      <c r="AN186" s="1494"/>
      <c r="AO186" s="1149">
        <v>3</v>
      </c>
      <c r="AP186" s="1149"/>
      <c r="AQ186" s="1262"/>
      <c r="AR186" s="1262"/>
      <c r="AS186" s="1552"/>
      <c r="AT186" s="1599"/>
      <c r="AU186" s="1561">
        <f t="shared" si="98"/>
        <v>0</v>
      </c>
      <c r="AV186" s="1447">
        <f t="shared" si="99"/>
        <v>0</v>
      </c>
      <c r="AW186" s="1447">
        <f t="shared" si="100"/>
        <v>0</v>
      </c>
      <c r="AX186" s="1463">
        <f t="shared" si="69"/>
        <v>0</v>
      </c>
      <c r="AY186" s="1393">
        <f t="shared" si="95"/>
        <v>0</v>
      </c>
      <c r="AZ186" s="1247">
        <f t="shared" si="96"/>
        <v>0</v>
      </c>
      <c r="BA186" s="1247">
        <f t="shared" si="97"/>
        <v>0</v>
      </c>
      <c r="BB186" s="1385">
        <f t="shared" si="45"/>
        <v>0</v>
      </c>
    </row>
    <row r="187" spans="1:54" ht="15.6" x14ac:dyDescent="0.3">
      <c r="A187" s="1216"/>
      <c r="B187" s="1217"/>
      <c r="C187" s="1294"/>
      <c r="D187" s="1494"/>
      <c r="E187" s="1217"/>
      <c r="F187" s="1217"/>
      <c r="G187" s="1294"/>
      <c r="H187" s="1494"/>
      <c r="I187" s="1217"/>
      <c r="J187" s="956"/>
      <c r="K187" s="1294"/>
      <c r="L187" s="1494"/>
      <c r="M187" s="1217">
        <v>4</v>
      </c>
      <c r="N187" s="1217"/>
      <c r="O187" s="1295"/>
      <c r="P187" s="1295"/>
      <c r="Q187" s="1295"/>
      <c r="R187" s="1431"/>
      <c r="S187" s="1431"/>
      <c r="T187" s="1431"/>
      <c r="U187" s="1294"/>
      <c r="V187" s="1494"/>
      <c r="W187" s="1294"/>
      <c r="X187" s="1494"/>
      <c r="Y187" s="1294"/>
      <c r="Z187" s="1494"/>
      <c r="AA187" s="1149"/>
      <c r="AB187" s="1217"/>
      <c r="AC187" s="1270"/>
      <c r="AD187" s="1270"/>
      <c r="AE187" s="1534"/>
      <c r="AF187" s="1534"/>
      <c r="AG187" s="1217">
        <v>4</v>
      </c>
      <c r="AH187" s="1217"/>
      <c r="AI187" s="1294"/>
      <c r="AJ187" s="1294"/>
      <c r="AK187" s="1294"/>
      <c r="AL187" s="1494"/>
      <c r="AM187" s="1494"/>
      <c r="AN187" s="1494"/>
      <c r="AO187" s="1149">
        <v>4</v>
      </c>
      <c r="AP187" s="1149"/>
      <c r="AQ187" s="1262"/>
      <c r="AR187" s="1262"/>
      <c r="AS187" s="1552"/>
      <c r="AT187" s="1599"/>
      <c r="AU187" s="1561">
        <f t="shared" si="98"/>
        <v>0</v>
      </c>
      <c r="AV187" s="1447">
        <f t="shared" si="99"/>
        <v>0</v>
      </c>
      <c r="AW187" s="1447">
        <f t="shared" si="100"/>
        <v>0</v>
      </c>
      <c r="AX187" s="1463">
        <f t="shared" si="69"/>
        <v>0</v>
      </c>
      <c r="AY187" s="1393">
        <f t="shared" si="95"/>
        <v>0</v>
      </c>
      <c r="AZ187" s="1247">
        <f t="shared" si="96"/>
        <v>0</v>
      </c>
      <c r="BA187" s="1247">
        <f t="shared" si="97"/>
        <v>0</v>
      </c>
      <c r="BB187" s="1385">
        <f t="shared" si="45"/>
        <v>0</v>
      </c>
    </row>
    <row r="188" spans="1:54" ht="16.2" thickBot="1" x14ac:dyDescent="0.35">
      <c r="A188" s="1216">
        <v>4</v>
      </c>
      <c r="B188" s="1227"/>
      <c r="C188" s="1333"/>
      <c r="D188" s="1441"/>
      <c r="E188" s="1227">
        <v>4</v>
      </c>
      <c r="F188" s="1227"/>
      <c r="G188" s="1333"/>
      <c r="H188" s="1441"/>
      <c r="I188" s="1227"/>
      <c r="J188" s="961"/>
      <c r="K188" s="1333"/>
      <c r="L188" s="1441"/>
      <c r="M188" s="1227"/>
      <c r="N188" s="1227"/>
      <c r="O188" s="1355"/>
      <c r="P188" s="1355"/>
      <c r="Q188" s="1355"/>
      <c r="R188" s="1432"/>
      <c r="S188" s="1432"/>
      <c r="T188" s="1432"/>
      <c r="U188" s="1333"/>
      <c r="V188" s="1441"/>
      <c r="W188" s="1333"/>
      <c r="X188" s="1441"/>
      <c r="Y188" s="1333"/>
      <c r="Z188" s="1441"/>
      <c r="AA188" s="1040"/>
      <c r="AB188" s="1227"/>
      <c r="AC188" s="1271"/>
      <c r="AD188" s="1271"/>
      <c r="AE188" s="1535"/>
      <c r="AF188" s="1535"/>
      <c r="AG188" s="1227"/>
      <c r="AH188" s="1227"/>
      <c r="AI188" s="1333"/>
      <c r="AJ188" s="1333"/>
      <c r="AK188" s="1333"/>
      <c r="AL188" s="1441"/>
      <c r="AM188" s="1441"/>
      <c r="AN188" s="1441"/>
      <c r="AO188" s="1040"/>
      <c r="AP188" s="1040"/>
      <c r="AQ188" s="1075"/>
      <c r="AR188" s="1075"/>
      <c r="AS188" s="1444"/>
      <c r="AT188" s="1600"/>
      <c r="AU188" s="1561">
        <f t="shared" si="98"/>
        <v>0</v>
      </c>
      <c r="AV188" s="1447">
        <f t="shared" si="99"/>
        <v>0</v>
      </c>
      <c r="AW188" s="1447">
        <f t="shared" si="100"/>
        <v>0</v>
      </c>
      <c r="AX188" s="1464">
        <f t="shared" si="69"/>
        <v>0</v>
      </c>
      <c r="AY188" s="1393">
        <f t="shared" si="95"/>
        <v>0</v>
      </c>
      <c r="AZ188" s="1247">
        <f t="shared" si="96"/>
        <v>0</v>
      </c>
      <c r="BA188" s="1247">
        <f t="shared" si="97"/>
        <v>0</v>
      </c>
      <c r="BB188" s="1385">
        <f t="shared" si="45"/>
        <v>0</v>
      </c>
    </row>
    <row r="189" spans="1:54" s="1371" customFormat="1" ht="27.6" thickBot="1" x14ac:dyDescent="0.35">
      <c r="A189" s="1374"/>
      <c r="B189" s="1369" t="s">
        <v>1571</v>
      </c>
      <c r="C189" s="1257">
        <f>SUM(C183:C188)</f>
        <v>0</v>
      </c>
      <c r="D189" s="1433">
        <f>SUM(D183:D188)</f>
        <v>0</v>
      </c>
      <c r="E189" s="1233"/>
      <c r="F189" s="1233" t="s">
        <v>1571</v>
      </c>
      <c r="G189" s="1257">
        <f>SUM(G183:G188)</f>
        <v>0</v>
      </c>
      <c r="H189" s="1433">
        <f>SUM(H183:H188)</f>
        <v>0</v>
      </c>
      <c r="I189" s="1233"/>
      <c r="J189" s="1233" t="s">
        <v>1997</v>
      </c>
      <c r="K189" s="1257">
        <f>SUM(K183:K188)</f>
        <v>0</v>
      </c>
      <c r="L189" s="1433">
        <f>SUM(L183:L188)</f>
        <v>0</v>
      </c>
      <c r="M189" s="1233"/>
      <c r="N189" s="1233" t="s">
        <v>1571</v>
      </c>
      <c r="O189" s="1256">
        <f t="shared" ref="O189:Q189" si="101">SUM(O183:O187)</f>
        <v>0</v>
      </c>
      <c r="P189" s="1256">
        <f t="shared" si="101"/>
        <v>0</v>
      </c>
      <c r="Q189" s="1256">
        <f t="shared" si="101"/>
        <v>0</v>
      </c>
      <c r="R189" s="1433">
        <f t="shared" ref="R189:Z189" si="102">SUM(R183:R188)</f>
        <v>0</v>
      </c>
      <c r="S189" s="1433">
        <f t="shared" si="102"/>
        <v>0</v>
      </c>
      <c r="T189" s="1433">
        <f t="shared" si="102"/>
        <v>0</v>
      </c>
      <c r="U189" s="1257">
        <f t="shared" si="102"/>
        <v>0</v>
      </c>
      <c r="V189" s="1433">
        <f t="shared" si="102"/>
        <v>0</v>
      </c>
      <c r="W189" s="1257">
        <f t="shared" si="102"/>
        <v>0</v>
      </c>
      <c r="X189" s="1433">
        <f t="shared" si="102"/>
        <v>0</v>
      </c>
      <c r="Y189" s="1257">
        <f t="shared" si="102"/>
        <v>0</v>
      </c>
      <c r="Z189" s="1433">
        <f t="shared" si="102"/>
        <v>0</v>
      </c>
      <c r="AA189" s="1233"/>
      <c r="AB189" s="1233" t="s">
        <v>1571</v>
      </c>
      <c r="AC189" s="1258">
        <f t="shared" ref="AC189:AF189" si="103">SUM(AC183:AC188)</f>
        <v>0</v>
      </c>
      <c r="AD189" s="1258">
        <f t="shared" si="103"/>
        <v>0</v>
      </c>
      <c r="AE189" s="1433">
        <f t="shared" si="103"/>
        <v>0</v>
      </c>
      <c r="AF189" s="1433">
        <f t="shared" si="103"/>
        <v>0</v>
      </c>
      <c r="AG189" s="1233"/>
      <c r="AH189" s="1233" t="s">
        <v>1571</v>
      </c>
      <c r="AI189" s="1258">
        <f t="shared" ref="AI189:AN189" si="104">SUM(AI183:AI188)</f>
        <v>0</v>
      </c>
      <c r="AJ189" s="1258">
        <f t="shared" si="104"/>
        <v>0</v>
      </c>
      <c r="AK189" s="1258">
        <f t="shared" si="104"/>
        <v>0</v>
      </c>
      <c r="AL189" s="1433">
        <f t="shared" si="104"/>
        <v>0</v>
      </c>
      <c r="AM189" s="1433">
        <f t="shared" si="104"/>
        <v>0</v>
      </c>
      <c r="AN189" s="1433">
        <f t="shared" si="104"/>
        <v>0</v>
      </c>
      <c r="AO189" s="1233"/>
      <c r="AP189" s="1233" t="s">
        <v>1571</v>
      </c>
      <c r="AQ189" s="1257">
        <f>SUM(AQ183:AQ187)</f>
        <v>0</v>
      </c>
      <c r="AR189" s="1257">
        <f>SUM(AR183:AR187)</f>
        <v>0</v>
      </c>
      <c r="AS189" s="1433">
        <f t="shared" ref="AS189:BB189" si="105">SUM(AS183:AS188)</f>
        <v>0</v>
      </c>
      <c r="AT189" s="1601">
        <f t="shared" si="105"/>
        <v>0</v>
      </c>
      <c r="AU189" s="1562">
        <f t="shared" si="105"/>
        <v>0</v>
      </c>
      <c r="AV189" s="1456">
        <f t="shared" si="105"/>
        <v>0</v>
      </c>
      <c r="AW189" s="1456">
        <f t="shared" si="105"/>
        <v>0</v>
      </c>
      <c r="AX189" s="1448">
        <f t="shared" si="105"/>
        <v>0</v>
      </c>
      <c r="AY189" s="1398">
        <f t="shared" si="105"/>
        <v>0</v>
      </c>
      <c r="AZ189" s="1257">
        <f t="shared" si="105"/>
        <v>0</v>
      </c>
      <c r="BA189" s="1257">
        <f t="shared" si="105"/>
        <v>0</v>
      </c>
      <c r="BB189" s="1400">
        <f t="shared" si="105"/>
        <v>0</v>
      </c>
    </row>
    <row r="190" spans="1:54" s="1371" customFormat="1" ht="15.6" x14ac:dyDescent="0.3">
      <c r="A190" s="952"/>
      <c r="B190" s="1032" t="s">
        <v>1574</v>
      </c>
      <c r="C190" s="1272"/>
      <c r="D190" s="1495"/>
      <c r="E190" s="974"/>
      <c r="F190" s="1032" t="s">
        <v>1574</v>
      </c>
      <c r="G190" s="1272"/>
      <c r="H190" s="1495"/>
      <c r="I190" s="974"/>
      <c r="J190" s="1032" t="s">
        <v>1574</v>
      </c>
      <c r="K190" s="1272"/>
      <c r="L190" s="1495"/>
      <c r="M190" s="974"/>
      <c r="N190" s="1032" t="s">
        <v>1574</v>
      </c>
      <c r="O190" s="1269"/>
      <c r="P190" s="1269"/>
      <c r="Q190" s="1269"/>
      <c r="R190" s="1518"/>
      <c r="S190" s="1518"/>
      <c r="T190" s="1518"/>
      <c r="U190" s="1272"/>
      <c r="V190" s="1495"/>
      <c r="W190" s="1272"/>
      <c r="X190" s="1495"/>
      <c r="Y190" s="1272"/>
      <c r="Z190" s="1495"/>
      <c r="AA190" s="974"/>
      <c r="AB190" s="1032" t="s">
        <v>1574</v>
      </c>
      <c r="AC190" s="1269"/>
      <c r="AD190" s="1269"/>
      <c r="AE190" s="1518"/>
      <c r="AF190" s="1518"/>
      <c r="AG190" s="974"/>
      <c r="AH190" s="1032" t="s">
        <v>1574</v>
      </c>
      <c r="AI190" s="1272"/>
      <c r="AJ190" s="1272"/>
      <c r="AK190" s="1272"/>
      <c r="AL190" s="1495"/>
      <c r="AM190" s="1495"/>
      <c r="AN190" s="1495"/>
      <c r="AO190" s="974"/>
      <c r="AP190" s="1032" t="s">
        <v>1574</v>
      </c>
      <c r="AQ190" s="1272"/>
      <c r="AR190" s="1272"/>
      <c r="AS190" s="1495"/>
      <c r="AT190" s="1605"/>
      <c r="AU190" s="1567"/>
      <c r="AV190" s="1459"/>
      <c r="AW190" s="1459"/>
      <c r="AX190" s="1460"/>
      <c r="AY190" s="1396">
        <f>SUM(O190+U190+Y190+AC190+AI190+AQ190)</f>
        <v>0</v>
      </c>
      <c r="AZ190" s="1219">
        <f>SUM(P190+AD190+AJ190+AR190)</f>
        <v>0</v>
      </c>
      <c r="BA190" s="1219">
        <f>SUM(C190+G190+K190+Q190+W190+AK190)</f>
        <v>0</v>
      </c>
      <c r="BB190" s="1386">
        <f t="shared" si="45"/>
        <v>0</v>
      </c>
    </row>
    <row r="191" spans="1:54" ht="15.6" x14ac:dyDescent="0.3">
      <c r="A191" s="1216">
        <v>1</v>
      </c>
      <c r="B191" s="1218"/>
      <c r="C191" s="1335"/>
      <c r="D191" s="1496"/>
      <c r="E191" s="1217">
        <v>1</v>
      </c>
      <c r="F191" s="1218"/>
      <c r="G191" s="1335"/>
      <c r="H191" s="1496"/>
      <c r="I191" s="1217">
        <v>1</v>
      </c>
      <c r="J191" s="1218"/>
      <c r="K191" s="1335"/>
      <c r="L191" s="1496"/>
      <c r="M191" s="1217">
        <v>1</v>
      </c>
      <c r="N191" s="1218"/>
      <c r="O191" s="1357"/>
      <c r="P191" s="1357"/>
      <c r="Q191" s="1357"/>
      <c r="R191" s="1519"/>
      <c r="S191" s="1519"/>
      <c r="T191" s="1519"/>
      <c r="U191" s="1335"/>
      <c r="V191" s="1496"/>
      <c r="W191" s="1335"/>
      <c r="X191" s="1496"/>
      <c r="Y191" s="1335"/>
      <c r="Z191" s="1496"/>
      <c r="AA191" s="1149">
        <v>1</v>
      </c>
      <c r="AB191" s="956"/>
      <c r="AC191" s="1270"/>
      <c r="AD191" s="1270"/>
      <c r="AE191" s="1534"/>
      <c r="AF191" s="1534"/>
      <c r="AG191" s="1217">
        <v>1</v>
      </c>
      <c r="AH191" s="1218"/>
      <c r="AI191" s="1335"/>
      <c r="AJ191" s="1335"/>
      <c r="AK191" s="1335"/>
      <c r="AL191" s="1496"/>
      <c r="AM191" s="1496"/>
      <c r="AN191" s="1496"/>
      <c r="AO191" s="1149">
        <v>1</v>
      </c>
      <c r="AP191" s="956"/>
      <c r="AQ191" s="1048"/>
      <c r="AR191" s="1048"/>
      <c r="AS191" s="1553"/>
      <c r="AT191" s="1603"/>
      <c r="AU191" s="1561">
        <f t="shared" ref="AU191:AU193" si="106">R191+V191+Z191+AE191+AL191+AS191</f>
        <v>0</v>
      </c>
      <c r="AV191" s="1447">
        <f t="shared" ref="AV191:AV193" si="107">S191+AF191+AM191+AT191</f>
        <v>0</v>
      </c>
      <c r="AW191" s="1447">
        <f t="shared" ref="AW191:AW193" si="108">D191+H191+L191+T191+X191+AN191</f>
        <v>0</v>
      </c>
      <c r="AX191" s="1450"/>
      <c r="AY191" s="1393">
        <f>SUM(O191+U191+Y191+AC191+AI191+AQ191)</f>
        <v>0</v>
      </c>
      <c r="AZ191" s="1247">
        <f>SUM(P191+AD191+AJ191+AR191)</f>
        <v>0</v>
      </c>
      <c r="BA191" s="1247">
        <f>SUM(C191+G191+K191+Q191+W191+AK191)</f>
        <v>0</v>
      </c>
      <c r="BB191" s="1385">
        <f t="shared" si="45"/>
        <v>0</v>
      </c>
    </row>
    <row r="192" spans="1:54" ht="15.6" x14ac:dyDescent="0.3">
      <c r="A192" s="1216">
        <v>2</v>
      </c>
      <c r="B192" s="1218"/>
      <c r="C192" s="1335"/>
      <c r="D192" s="1496"/>
      <c r="E192" s="1217">
        <v>2</v>
      </c>
      <c r="F192" s="1218"/>
      <c r="G192" s="1335"/>
      <c r="H192" s="1496"/>
      <c r="I192" s="1217">
        <v>2</v>
      </c>
      <c r="J192" s="1218"/>
      <c r="K192" s="1335"/>
      <c r="L192" s="1496"/>
      <c r="M192" s="1217">
        <v>2</v>
      </c>
      <c r="N192" s="1218"/>
      <c r="O192" s="1357"/>
      <c r="P192" s="1357"/>
      <c r="Q192" s="1357"/>
      <c r="R192" s="1519"/>
      <c r="S192" s="1519"/>
      <c r="T192" s="1519"/>
      <c r="U192" s="1335"/>
      <c r="V192" s="1496"/>
      <c r="W192" s="1335"/>
      <c r="X192" s="1496"/>
      <c r="Y192" s="1335"/>
      <c r="Z192" s="1496"/>
      <c r="AA192" s="1149">
        <v>2</v>
      </c>
      <c r="AB192" s="956"/>
      <c r="AC192" s="1270"/>
      <c r="AD192" s="1270"/>
      <c r="AE192" s="1534"/>
      <c r="AF192" s="1534"/>
      <c r="AG192" s="1217">
        <v>2</v>
      </c>
      <c r="AH192" s="1218"/>
      <c r="AI192" s="1335"/>
      <c r="AJ192" s="1335"/>
      <c r="AK192" s="1335"/>
      <c r="AL192" s="1496"/>
      <c r="AM192" s="1496"/>
      <c r="AN192" s="1496"/>
      <c r="AO192" s="1149">
        <v>2</v>
      </c>
      <c r="AP192" s="956"/>
      <c r="AQ192" s="1048"/>
      <c r="AR192" s="1048"/>
      <c r="AS192" s="1553"/>
      <c r="AT192" s="1603"/>
      <c r="AU192" s="1561">
        <f t="shared" si="106"/>
        <v>0</v>
      </c>
      <c r="AV192" s="1447">
        <f t="shared" si="107"/>
        <v>0</v>
      </c>
      <c r="AW192" s="1447">
        <f t="shared" si="108"/>
        <v>0</v>
      </c>
      <c r="AX192" s="1450"/>
      <c r="AY192" s="1393">
        <f>SUM(O192+U192+Y192+AC192+AI192+AQ192)</f>
        <v>0</v>
      </c>
      <c r="AZ192" s="1247">
        <f>SUM(P192+AD192+AJ192+AR192)</f>
        <v>0</v>
      </c>
      <c r="BA192" s="1247">
        <f>SUM(C192+G192+K192+Q192+W192+AK192)</f>
        <v>0</v>
      </c>
      <c r="BB192" s="1385">
        <f t="shared" si="45"/>
        <v>0</v>
      </c>
    </row>
    <row r="193" spans="1:54" ht="16.2" thickBot="1" x14ac:dyDescent="0.35">
      <c r="A193" s="1216">
        <v>3</v>
      </c>
      <c r="B193" s="1226"/>
      <c r="C193" s="1336"/>
      <c r="D193" s="1497"/>
      <c r="E193" s="1227">
        <v>3</v>
      </c>
      <c r="F193" s="1226"/>
      <c r="G193" s="1336"/>
      <c r="H193" s="1497"/>
      <c r="I193" s="1227">
        <v>3</v>
      </c>
      <c r="J193" s="1226"/>
      <c r="K193" s="1336"/>
      <c r="L193" s="1497"/>
      <c r="M193" s="1227">
        <v>3</v>
      </c>
      <c r="N193" s="1226"/>
      <c r="O193" s="1358"/>
      <c r="P193" s="1358"/>
      <c r="Q193" s="1358"/>
      <c r="R193" s="1520"/>
      <c r="S193" s="1520"/>
      <c r="T193" s="1520"/>
      <c r="U193" s="1336"/>
      <c r="V193" s="1497"/>
      <c r="W193" s="1336"/>
      <c r="X193" s="1497"/>
      <c r="Y193" s="1336"/>
      <c r="Z193" s="1497"/>
      <c r="AA193" s="1040"/>
      <c r="AB193" s="961"/>
      <c r="AC193" s="1271"/>
      <c r="AD193" s="1271"/>
      <c r="AE193" s="1535"/>
      <c r="AF193" s="1535"/>
      <c r="AG193" s="1227">
        <v>3</v>
      </c>
      <c r="AH193" s="1226"/>
      <c r="AI193" s="1336"/>
      <c r="AJ193" s="1336"/>
      <c r="AK193" s="1336"/>
      <c r="AL193" s="1497"/>
      <c r="AM193" s="1497"/>
      <c r="AN193" s="1497"/>
      <c r="AO193" s="1040"/>
      <c r="AP193" s="961"/>
      <c r="AQ193" s="1101"/>
      <c r="AR193" s="1101"/>
      <c r="AS193" s="1554"/>
      <c r="AT193" s="1604"/>
      <c r="AU193" s="1561">
        <f t="shared" si="106"/>
        <v>0</v>
      </c>
      <c r="AV193" s="1447">
        <f t="shared" si="107"/>
        <v>0</v>
      </c>
      <c r="AW193" s="1447">
        <f t="shared" si="108"/>
        <v>0</v>
      </c>
      <c r="AX193" s="1462"/>
      <c r="AY193" s="1393">
        <f>SUM(O193+U193+Y193+AC193+AI193+AQ193)</f>
        <v>0</v>
      </c>
      <c r="AZ193" s="1247">
        <f>SUM(P193+AD193+AJ193+AR193)</f>
        <v>0</v>
      </c>
      <c r="BA193" s="1247">
        <f>SUM(C193+G193+K193+Q193+W193+AK193)</f>
        <v>0</v>
      </c>
      <c r="BB193" s="1385">
        <f t="shared" si="45"/>
        <v>0</v>
      </c>
    </row>
    <row r="194" spans="1:54" s="1371" customFormat="1" ht="16.2" thickBot="1" x14ac:dyDescent="0.35">
      <c r="A194" s="1379"/>
      <c r="B194" s="1370" t="s">
        <v>1580</v>
      </c>
      <c r="C194" s="1275">
        <f>SUM(C190:C193)</f>
        <v>0</v>
      </c>
      <c r="D194" s="1437">
        <f>SUM(D190:D193)</f>
        <v>0</v>
      </c>
      <c r="E194" s="1273"/>
      <c r="F194" s="1133" t="s">
        <v>1580</v>
      </c>
      <c r="G194" s="1275">
        <f>SUM(G190:G193)</f>
        <v>0</v>
      </c>
      <c r="H194" s="1437">
        <f>SUM(H190:H193)</f>
        <v>0</v>
      </c>
      <c r="I194" s="1273"/>
      <c r="J194" s="1133" t="s">
        <v>1580</v>
      </c>
      <c r="K194" s="1275">
        <f>SUM(K190:K193)</f>
        <v>0</v>
      </c>
      <c r="L194" s="1437">
        <f>SUM(L190:L193)</f>
        <v>0</v>
      </c>
      <c r="M194" s="1273"/>
      <c r="N194" s="1133" t="s">
        <v>1580</v>
      </c>
      <c r="O194" s="1274">
        <f t="shared" ref="O194:Z194" si="109">SUM(O190:O193)</f>
        <v>0</v>
      </c>
      <c r="P194" s="1274">
        <f t="shared" si="109"/>
        <v>0</v>
      </c>
      <c r="Q194" s="1274">
        <f t="shared" si="109"/>
        <v>0</v>
      </c>
      <c r="R194" s="1437">
        <f t="shared" si="109"/>
        <v>0</v>
      </c>
      <c r="S194" s="1437">
        <f t="shared" si="109"/>
        <v>0</v>
      </c>
      <c r="T194" s="1437">
        <f t="shared" si="109"/>
        <v>0</v>
      </c>
      <c r="U194" s="1275">
        <f t="shared" si="109"/>
        <v>0</v>
      </c>
      <c r="V194" s="1437">
        <f t="shared" si="109"/>
        <v>0</v>
      </c>
      <c r="W194" s="1275">
        <f t="shared" si="109"/>
        <v>0</v>
      </c>
      <c r="X194" s="1437">
        <f t="shared" si="109"/>
        <v>0</v>
      </c>
      <c r="Y194" s="1275">
        <f t="shared" si="109"/>
        <v>0</v>
      </c>
      <c r="Z194" s="1437">
        <f t="shared" si="109"/>
        <v>0</v>
      </c>
      <c r="AA194" s="1273"/>
      <c r="AB194" s="1133" t="s">
        <v>1580</v>
      </c>
      <c r="AC194" s="1275">
        <f t="shared" ref="AC194:AF194" si="110">SUM(AC190:AC193)</f>
        <v>0</v>
      </c>
      <c r="AD194" s="1275">
        <f t="shared" si="110"/>
        <v>0</v>
      </c>
      <c r="AE194" s="1437">
        <f t="shared" si="110"/>
        <v>0</v>
      </c>
      <c r="AF194" s="1437">
        <f t="shared" si="110"/>
        <v>0</v>
      </c>
      <c r="AG194" s="1273"/>
      <c r="AH194" s="1133" t="s">
        <v>1580</v>
      </c>
      <c r="AI194" s="1275">
        <f t="shared" ref="AI194:AN194" si="111">SUM(AI190:AI193)</f>
        <v>0</v>
      </c>
      <c r="AJ194" s="1275">
        <f t="shared" si="111"/>
        <v>0</v>
      </c>
      <c r="AK194" s="1275">
        <f t="shared" si="111"/>
        <v>0</v>
      </c>
      <c r="AL194" s="1437">
        <f t="shared" si="111"/>
        <v>0</v>
      </c>
      <c r="AM194" s="1437">
        <f t="shared" si="111"/>
        <v>0</v>
      </c>
      <c r="AN194" s="1437">
        <f t="shared" si="111"/>
        <v>0</v>
      </c>
      <c r="AO194" s="1273"/>
      <c r="AP194" s="1133" t="s">
        <v>1580</v>
      </c>
      <c r="AQ194" s="1275">
        <f>SUM(AQ190:AQ193)</f>
        <v>0</v>
      </c>
      <c r="AR194" s="1275">
        <f>SUM(AR190:AR193)</f>
        <v>0</v>
      </c>
      <c r="AS194" s="1437">
        <f t="shared" ref="AS194:BB194" si="112">SUM(AS190:AS193)</f>
        <v>0</v>
      </c>
      <c r="AT194" s="1606">
        <f t="shared" si="112"/>
        <v>0</v>
      </c>
      <c r="AU194" s="1568">
        <f t="shared" si="112"/>
        <v>0</v>
      </c>
      <c r="AV194" s="1465">
        <f t="shared" si="112"/>
        <v>0</v>
      </c>
      <c r="AW194" s="1465">
        <f t="shared" si="112"/>
        <v>0</v>
      </c>
      <c r="AX194" s="1466">
        <f t="shared" si="112"/>
        <v>0</v>
      </c>
      <c r="AY194" s="1401">
        <f t="shared" si="112"/>
        <v>0</v>
      </c>
      <c r="AZ194" s="1275">
        <f t="shared" si="112"/>
        <v>0</v>
      </c>
      <c r="BA194" s="1275">
        <f t="shared" si="112"/>
        <v>0</v>
      </c>
      <c r="BB194" s="1402">
        <f t="shared" si="112"/>
        <v>0</v>
      </c>
    </row>
    <row r="195" spans="1:54" s="1371" customFormat="1" ht="30" customHeight="1" thickBot="1" x14ac:dyDescent="0.35">
      <c r="A195" s="2504" t="s">
        <v>1581</v>
      </c>
      <c r="B195" s="2505"/>
      <c r="C195" s="1375">
        <f>SUM(C189+C182+C161+C154+C67+C59+C175+C194)</f>
        <v>17608</v>
      </c>
      <c r="D195" s="1429">
        <f>SUM(D189+D182+D161+D154+D67+D59+D175+D194)</f>
        <v>12303</v>
      </c>
      <c r="E195" s="2505" t="s">
        <v>1581</v>
      </c>
      <c r="F195" s="2505"/>
      <c r="G195" s="1257">
        <f t="shared" ref="G195" si="113">SUM(G189+G182+G161+G154+G67+G59+G175+G194)</f>
        <v>5811</v>
      </c>
      <c r="H195" s="1429">
        <f>SUM(H189+H182+H161+H154+H67+H59+H175+H194)</f>
        <v>5789</v>
      </c>
      <c r="I195" s="2505" t="s">
        <v>1581</v>
      </c>
      <c r="J195" s="2505"/>
      <c r="K195" s="1257">
        <f t="shared" ref="K195" si="114">SUM(K189+K182+K161+K154+K67+K59+K175+K194)</f>
        <v>5832</v>
      </c>
      <c r="L195" s="1429">
        <f>SUM(L189+L182+L161+L154+L67+L59+L175+L194)</f>
        <v>5440</v>
      </c>
      <c r="M195" s="2505" t="s">
        <v>1581</v>
      </c>
      <c r="N195" s="2505"/>
      <c r="O195" s="1256">
        <f t="shared" ref="O195:Y195" si="115">SUM(O189+O182+O161+O154+O67+O59+O175+O194)</f>
        <v>272511</v>
      </c>
      <c r="P195" s="1256">
        <f t="shared" si="115"/>
        <v>9991</v>
      </c>
      <c r="Q195" s="1256">
        <f t="shared" si="115"/>
        <v>1500</v>
      </c>
      <c r="R195" s="1429">
        <f t="shared" si="115"/>
        <v>230789</v>
      </c>
      <c r="S195" s="1429">
        <f t="shared" si="115"/>
        <v>11823</v>
      </c>
      <c r="T195" s="1429">
        <f t="shared" si="115"/>
        <v>1500</v>
      </c>
      <c r="U195" s="1257">
        <f t="shared" si="115"/>
        <v>47096</v>
      </c>
      <c r="V195" s="1429">
        <f t="shared" si="115"/>
        <v>41026</v>
      </c>
      <c r="W195" s="1375">
        <f t="shared" si="115"/>
        <v>500</v>
      </c>
      <c r="X195" s="1429">
        <f>SUM(X189+X182+X161+X154+X67+X59+X175+X194)</f>
        <v>500</v>
      </c>
      <c r="Y195" s="1257">
        <f t="shared" si="115"/>
        <v>14410</v>
      </c>
      <c r="Z195" s="1429">
        <f>SUM(Z189+Z182+Z161+Z154+Z67+Z59+Z175+Z194)</f>
        <v>14264</v>
      </c>
      <c r="AA195" s="2505" t="s">
        <v>1581</v>
      </c>
      <c r="AB195" s="2505"/>
      <c r="AC195" s="1257">
        <f t="shared" ref="AC195:AF195" si="116">SUM(AC189+AC182+AC161+AC154+AC67+AC59+AC175+AC194)</f>
        <v>56977</v>
      </c>
      <c r="AD195" s="1257">
        <f t="shared" si="116"/>
        <v>22782</v>
      </c>
      <c r="AE195" s="1429">
        <f t="shared" si="116"/>
        <v>16825</v>
      </c>
      <c r="AF195" s="1429">
        <f t="shared" si="116"/>
        <v>20293</v>
      </c>
      <c r="AG195" s="2505" t="s">
        <v>1581</v>
      </c>
      <c r="AH195" s="2505"/>
      <c r="AI195" s="1257">
        <f t="shared" ref="AI195:AN195" si="117">SUM(AI189+AI182+AI161+AI154+AI67+AI59+AI175+AI194)</f>
        <v>1132181</v>
      </c>
      <c r="AJ195" s="1257">
        <f t="shared" si="117"/>
        <v>36081</v>
      </c>
      <c r="AK195" s="1257">
        <f t="shared" si="117"/>
        <v>276970</v>
      </c>
      <c r="AL195" s="1429">
        <f t="shared" si="117"/>
        <v>1193328</v>
      </c>
      <c r="AM195" s="1429">
        <f t="shared" si="117"/>
        <v>33954</v>
      </c>
      <c r="AN195" s="1429">
        <f t="shared" si="117"/>
        <v>244610</v>
      </c>
      <c r="AO195" s="2505" t="s">
        <v>1581</v>
      </c>
      <c r="AP195" s="2505"/>
      <c r="AQ195" s="1257">
        <f t="shared" ref="AQ195:BB195" si="118">SUM(AQ189+AQ182+AQ161+AQ154+AQ67+AQ59+AQ175+AQ194)</f>
        <v>530481</v>
      </c>
      <c r="AR195" s="1257">
        <f t="shared" si="118"/>
        <v>2487</v>
      </c>
      <c r="AS195" s="1429">
        <f t="shared" si="118"/>
        <v>507725</v>
      </c>
      <c r="AT195" s="1594">
        <f t="shared" si="118"/>
        <v>28485</v>
      </c>
      <c r="AU195" s="1569">
        <f t="shared" si="118"/>
        <v>2003957</v>
      </c>
      <c r="AV195" s="1451">
        <f t="shared" si="118"/>
        <v>94555</v>
      </c>
      <c r="AW195" s="1451">
        <f t="shared" si="118"/>
        <v>270142</v>
      </c>
      <c r="AX195" s="1452">
        <f t="shared" si="118"/>
        <v>2368654</v>
      </c>
      <c r="AY195" s="1397">
        <f t="shared" si="118"/>
        <v>2053656</v>
      </c>
      <c r="AZ195" s="1375">
        <f t="shared" si="118"/>
        <v>71341</v>
      </c>
      <c r="BA195" s="1375">
        <f t="shared" si="118"/>
        <v>308221</v>
      </c>
      <c r="BB195" s="1389">
        <f t="shared" si="118"/>
        <v>2433218</v>
      </c>
    </row>
    <row r="196" spans="1:54" s="1371" customFormat="1" ht="27" x14ac:dyDescent="0.3">
      <c r="A196" s="973"/>
      <c r="B196" s="1032" t="s">
        <v>1584</v>
      </c>
      <c r="C196" s="1277"/>
      <c r="D196" s="1499"/>
      <c r="E196" s="974"/>
      <c r="F196" s="1032" t="s">
        <v>1584</v>
      </c>
      <c r="G196" s="1277"/>
      <c r="H196" s="1499"/>
      <c r="I196" s="974"/>
      <c r="J196" s="1032" t="s">
        <v>1998</v>
      </c>
      <c r="K196" s="1277"/>
      <c r="L196" s="1499"/>
      <c r="M196" s="974"/>
      <c r="N196" s="1032" t="s">
        <v>1584</v>
      </c>
      <c r="O196" s="1276"/>
      <c r="P196" s="1276"/>
      <c r="Q196" s="1276"/>
      <c r="R196" s="1435"/>
      <c r="S196" s="1435"/>
      <c r="T196" s="1435"/>
      <c r="U196" s="1277"/>
      <c r="V196" s="1499"/>
      <c r="W196" s="1277"/>
      <c r="X196" s="1499"/>
      <c r="Y196" s="1277"/>
      <c r="Z196" s="1499"/>
      <c r="AA196" s="974"/>
      <c r="AB196" s="1032" t="s">
        <v>1584</v>
      </c>
      <c r="AC196" s="1276"/>
      <c r="AD196" s="1276"/>
      <c r="AE196" s="1435"/>
      <c r="AF196" s="1435"/>
      <c r="AG196" s="974"/>
      <c r="AH196" s="1032" t="s">
        <v>1584</v>
      </c>
      <c r="AI196" s="1277"/>
      <c r="AJ196" s="1277"/>
      <c r="AK196" s="1277"/>
      <c r="AL196" s="1499"/>
      <c r="AM196" s="1499"/>
      <c r="AN196" s="1499"/>
      <c r="AO196" s="974"/>
      <c r="AP196" s="1032" t="s">
        <v>1584</v>
      </c>
      <c r="AQ196" s="1277"/>
      <c r="AR196" s="1277"/>
      <c r="AS196" s="1499"/>
      <c r="AT196" s="1607"/>
      <c r="AU196" s="1567"/>
      <c r="AV196" s="1459"/>
      <c r="AW196" s="1459"/>
      <c r="AX196" s="1460">
        <f t="shared" si="69"/>
        <v>0</v>
      </c>
      <c r="AY196" s="1396">
        <f>SUM(O196+U196+Y196+AC196+AI196+AQ196)</f>
        <v>0</v>
      </c>
      <c r="AZ196" s="1219">
        <f>SUM(P196+AD196+AJ196+AR196)</f>
        <v>0</v>
      </c>
      <c r="BA196" s="1219">
        <f>SUM(C196+G196+K196+Q196+W196+AK196)</f>
        <v>0</v>
      </c>
      <c r="BB196" s="1386">
        <f t="shared" si="45"/>
        <v>0</v>
      </c>
    </row>
    <row r="197" spans="1:54" ht="15.6" x14ac:dyDescent="0.3">
      <c r="A197" s="1216"/>
      <c r="B197" s="956"/>
      <c r="C197" s="1337"/>
      <c r="D197" s="1500"/>
      <c r="E197" s="1217"/>
      <c r="F197" s="956"/>
      <c r="G197" s="1337"/>
      <c r="H197" s="1500"/>
      <c r="I197" s="1217"/>
      <c r="J197" s="956"/>
      <c r="K197" s="1337"/>
      <c r="L197" s="1500"/>
      <c r="M197" s="1217"/>
      <c r="N197" s="956"/>
      <c r="O197" s="1352"/>
      <c r="P197" s="1352"/>
      <c r="Q197" s="1352"/>
      <c r="R197" s="1428"/>
      <c r="S197" s="1428"/>
      <c r="T197" s="1428"/>
      <c r="U197" s="1337"/>
      <c r="V197" s="1500"/>
      <c r="W197" s="1337"/>
      <c r="X197" s="1500"/>
      <c r="Y197" s="1337"/>
      <c r="Z197" s="1500"/>
      <c r="AA197" s="1149">
        <v>1</v>
      </c>
      <c r="AB197" s="956"/>
      <c r="AC197" s="1278"/>
      <c r="AD197" s="1278"/>
      <c r="AE197" s="1536"/>
      <c r="AF197" s="1536"/>
      <c r="AG197" s="1217"/>
      <c r="AH197" s="956"/>
      <c r="AI197" s="1337"/>
      <c r="AJ197" s="1337"/>
      <c r="AK197" s="1337"/>
      <c r="AL197" s="1500"/>
      <c r="AM197" s="1500"/>
      <c r="AN197" s="1500"/>
      <c r="AO197" s="1149"/>
      <c r="AP197" s="956"/>
      <c r="AQ197" s="1246"/>
      <c r="AR197" s="1246"/>
      <c r="AS197" s="1549"/>
      <c r="AT197" s="1593"/>
      <c r="AU197" s="1561">
        <f t="shared" ref="AU197:AU198" si="119">R197+V197+Z197+AE197+AL197+AS197</f>
        <v>0</v>
      </c>
      <c r="AV197" s="1447">
        <f t="shared" ref="AV197:AV198" si="120">S197+AF197+AM197+AT197</f>
        <v>0</v>
      </c>
      <c r="AW197" s="1447">
        <f t="shared" ref="AW197:AW198" si="121">D197+H197+L197+T197+X197+AN197</f>
        <v>0</v>
      </c>
      <c r="AX197" s="1450">
        <f t="shared" si="69"/>
        <v>0</v>
      </c>
      <c r="AY197" s="1393">
        <f>SUM(O197+U197+Y197+AC197+AI197+AQ197)</f>
        <v>0</v>
      </c>
      <c r="AZ197" s="1247">
        <f>SUM(P197+AD197+AJ197+AR197)</f>
        <v>0</v>
      </c>
      <c r="BA197" s="1247">
        <f>SUM(C197+G197+K197+Q197+W197+AK197)</f>
        <v>0</v>
      </c>
      <c r="BB197" s="1385">
        <f t="shared" si="45"/>
        <v>0</v>
      </c>
    </row>
    <row r="198" spans="1:54" ht="16.2" thickBot="1" x14ac:dyDescent="0.35">
      <c r="A198" s="1225"/>
      <c r="B198" s="961"/>
      <c r="C198" s="1338"/>
      <c r="D198" s="1501"/>
      <c r="E198" s="1227"/>
      <c r="F198" s="961"/>
      <c r="G198" s="1338"/>
      <c r="H198" s="1501"/>
      <c r="I198" s="1227"/>
      <c r="J198" s="961"/>
      <c r="K198" s="1338"/>
      <c r="L198" s="1501"/>
      <c r="M198" s="1227"/>
      <c r="N198" s="961"/>
      <c r="O198" s="1359"/>
      <c r="P198" s="1359"/>
      <c r="Q198" s="1359"/>
      <c r="R198" s="1436"/>
      <c r="S198" s="1436"/>
      <c r="T198" s="1436"/>
      <c r="U198" s="1338"/>
      <c r="V198" s="1501"/>
      <c r="W198" s="1338"/>
      <c r="X198" s="1501"/>
      <c r="Y198" s="1338"/>
      <c r="Z198" s="1501"/>
      <c r="AA198" s="1040">
        <v>2</v>
      </c>
      <c r="AB198" s="961"/>
      <c r="AC198" s="1279"/>
      <c r="AD198" s="1279"/>
      <c r="AE198" s="1537"/>
      <c r="AF198" s="1537"/>
      <c r="AG198" s="1227"/>
      <c r="AH198" s="961"/>
      <c r="AI198" s="1338"/>
      <c r="AJ198" s="1338"/>
      <c r="AK198" s="1338"/>
      <c r="AL198" s="1501"/>
      <c r="AM198" s="1501"/>
      <c r="AN198" s="1501"/>
      <c r="AO198" s="1040"/>
      <c r="AP198" s="961"/>
      <c r="AQ198" s="1280"/>
      <c r="AR198" s="1280"/>
      <c r="AS198" s="1555"/>
      <c r="AT198" s="1608"/>
      <c r="AU198" s="1561">
        <f t="shared" si="119"/>
        <v>0</v>
      </c>
      <c r="AV198" s="1447">
        <f t="shared" si="120"/>
        <v>0</v>
      </c>
      <c r="AW198" s="1447">
        <f t="shared" si="121"/>
        <v>0</v>
      </c>
      <c r="AX198" s="1462">
        <f t="shared" si="69"/>
        <v>0</v>
      </c>
      <c r="AY198" s="1393">
        <f>SUM(O198+U198+Y198+AC198+AI198+AQ198)</f>
        <v>0</v>
      </c>
      <c r="AZ198" s="1247">
        <f>SUM(P198+AD198+AJ198+AR198)</f>
        <v>0</v>
      </c>
      <c r="BA198" s="1247">
        <f>SUM(C198+G198+K198+Q198+W198+AK198)</f>
        <v>0</v>
      </c>
      <c r="BB198" s="1385">
        <f t="shared" si="45"/>
        <v>0</v>
      </c>
    </row>
    <row r="199" spans="1:54" s="1371" customFormat="1" ht="27.6" thickBot="1" x14ac:dyDescent="0.35">
      <c r="A199" s="1369"/>
      <c r="B199" s="1266" t="s">
        <v>1587</v>
      </c>
      <c r="C199" s="1380">
        <f>SUM(C196:C198)</f>
        <v>0</v>
      </c>
      <c r="D199" s="1438">
        <f>SUM(D196:D198)</f>
        <v>0</v>
      </c>
      <c r="E199" s="1233"/>
      <c r="F199" s="1266" t="s">
        <v>1587</v>
      </c>
      <c r="G199" s="1380">
        <f>SUM(G196:G198)</f>
        <v>0</v>
      </c>
      <c r="H199" s="1438">
        <f>SUM(H196:H198)</f>
        <v>0</v>
      </c>
      <c r="I199" s="1233"/>
      <c r="J199" s="1266" t="s">
        <v>1999</v>
      </c>
      <c r="K199" s="1380">
        <f>SUM(K196:K198)</f>
        <v>0</v>
      </c>
      <c r="L199" s="1438">
        <f>SUM(L196:L198)</f>
        <v>0</v>
      </c>
      <c r="M199" s="1233"/>
      <c r="N199" s="1266" t="s">
        <v>1587</v>
      </c>
      <c r="O199" s="1281">
        <f t="shared" ref="O199:Z199" si="122">SUM(O196:O198)</f>
        <v>0</v>
      </c>
      <c r="P199" s="1281">
        <f t="shared" si="122"/>
        <v>0</v>
      </c>
      <c r="Q199" s="1281">
        <f t="shared" si="122"/>
        <v>0</v>
      </c>
      <c r="R199" s="1438">
        <f t="shared" si="122"/>
        <v>0</v>
      </c>
      <c r="S199" s="1438">
        <f t="shared" si="122"/>
        <v>0</v>
      </c>
      <c r="T199" s="1438">
        <f t="shared" si="122"/>
        <v>0</v>
      </c>
      <c r="U199" s="1380">
        <f t="shared" si="122"/>
        <v>0</v>
      </c>
      <c r="V199" s="1438">
        <f t="shared" si="122"/>
        <v>0</v>
      </c>
      <c r="W199" s="1380">
        <f t="shared" si="122"/>
        <v>0</v>
      </c>
      <c r="X199" s="1438">
        <f t="shared" si="122"/>
        <v>0</v>
      </c>
      <c r="Y199" s="1380">
        <f t="shared" si="122"/>
        <v>0</v>
      </c>
      <c r="Z199" s="1438">
        <f t="shared" si="122"/>
        <v>0</v>
      </c>
      <c r="AA199" s="1233"/>
      <c r="AB199" s="1266" t="s">
        <v>1587</v>
      </c>
      <c r="AC199" s="1380">
        <f t="shared" ref="AC199:AF199" si="123">SUM(AC196:AC198)</f>
        <v>0</v>
      </c>
      <c r="AD199" s="1380">
        <f t="shared" si="123"/>
        <v>0</v>
      </c>
      <c r="AE199" s="1438">
        <f t="shared" si="123"/>
        <v>0</v>
      </c>
      <c r="AF199" s="1438">
        <f t="shared" si="123"/>
        <v>0</v>
      </c>
      <c r="AG199" s="1233"/>
      <c r="AH199" s="1266" t="s">
        <v>1587</v>
      </c>
      <c r="AI199" s="1380">
        <f t="shared" ref="AI199:AN199" si="124">SUM(AI196:AI198)</f>
        <v>0</v>
      </c>
      <c r="AJ199" s="1380">
        <f t="shared" si="124"/>
        <v>0</v>
      </c>
      <c r="AK199" s="1380">
        <f t="shared" si="124"/>
        <v>0</v>
      </c>
      <c r="AL199" s="1438">
        <f t="shared" si="124"/>
        <v>0</v>
      </c>
      <c r="AM199" s="1438">
        <f t="shared" si="124"/>
        <v>0</v>
      </c>
      <c r="AN199" s="1438">
        <f t="shared" si="124"/>
        <v>0</v>
      </c>
      <c r="AO199" s="1233"/>
      <c r="AP199" s="1266" t="s">
        <v>1587</v>
      </c>
      <c r="AQ199" s="1380">
        <f>SUM(AQ196:AQ198)</f>
        <v>0</v>
      </c>
      <c r="AR199" s="1380">
        <f>SUM(AR196:AR198)</f>
        <v>0</v>
      </c>
      <c r="AS199" s="1438">
        <f t="shared" ref="AS199:BB199" si="125">SUM(AS196:AS198)</f>
        <v>0</v>
      </c>
      <c r="AT199" s="1609">
        <f t="shared" si="125"/>
        <v>0</v>
      </c>
      <c r="AU199" s="1570">
        <f t="shared" si="125"/>
        <v>0</v>
      </c>
      <c r="AV199" s="1467">
        <f t="shared" si="125"/>
        <v>0</v>
      </c>
      <c r="AW199" s="1467">
        <f t="shared" si="125"/>
        <v>0</v>
      </c>
      <c r="AX199" s="1468">
        <f t="shared" si="125"/>
        <v>0</v>
      </c>
      <c r="AY199" s="1403">
        <f t="shared" si="125"/>
        <v>0</v>
      </c>
      <c r="AZ199" s="1380">
        <f t="shared" si="125"/>
        <v>0</v>
      </c>
      <c r="BA199" s="1380">
        <f t="shared" si="125"/>
        <v>0</v>
      </c>
      <c r="BB199" s="1404">
        <f t="shared" si="125"/>
        <v>0</v>
      </c>
    </row>
    <row r="200" spans="1:54" s="1371" customFormat="1" ht="30" customHeight="1" thickBot="1" x14ac:dyDescent="0.35">
      <c r="A200" s="2506" t="s">
        <v>1588</v>
      </c>
      <c r="B200" s="2503"/>
      <c r="C200" s="1257">
        <f>C199</f>
        <v>0</v>
      </c>
      <c r="D200" s="1433">
        <f>D199</f>
        <v>0</v>
      </c>
      <c r="E200" s="2503" t="s">
        <v>1588</v>
      </c>
      <c r="F200" s="2503"/>
      <c r="G200" s="1257">
        <f>G199</f>
        <v>0</v>
      </c>
      <c r="H200" s="1433">
        <f>H199</f>
        <v>0</v>
      </c>
      <c r="I200" s="2503" t="s">
        <v>1588</v>
      </c>
      <c r="J200" s="2503"/>
      <c r="K200" s="1257">
        <f>K199</f>
        <v>0</v>
      </c>
      <c r="L200" s="1433">
        <f>L199</f>
        <v>0</v>
      </c>
      <c r="M200" s="2503" t="s">
        <v>1588</v>
      </c>
      <c r="N200" s="2503"/>
      <c r="O200" s="1256">
        <f t="shared" ref="O200:Z200" si="126">O199</f>
        <v>0</v>
      </c>
      <c r="P200" s="1256">
        <f t="shared" si="126"/>
        <v>0</v>
      </c>
      <c r="Q200" s="1256">
        <f t="shared" si="126"/>
        <v>0</v>
      </c>
      <c r="R200" s="1433">
        <f t="shared" si="126"/>
        <v>0</v>
      </c>
      <c r="S200" s="1433">
        <f t="shared" si="126"/>
        <v>0</v>
      </c>
      <c r="T200" s="1433">
        <f t="shared" si="126"/>
        <v>0</v>
      </c>
      <c r="U200" s="1257">
        <f t="shared" si="126"/>
        <v>0</v>
      </c>
      <c r="V200" s="1433">
        <f t="shared" si="126"/>
        <v>0</v>
      </c>
      <c r="W200" s="1257">
        <f t="shared" si="126"/>
        <v>0</v>
      </c>
      <c r="X200" s="1433">
        <f t="shared" si="126"/>
        <v>0</v>
      </c>
      <c r="Y200" s="1257">
        <f t="shared" si="126"/>
        <v>0</v>
      </c>
      <c r="Z200" s="1433">
        <f t="shared" si="126"/>
        <v>0</v>
      </c>
      <c r="AA200" s="2503" t="s">
        <v>1588</v>
      </c>
      <c r="AB200" s="2503"/>
      <c r="AC200" s="1257">
        <f t="shared" ref="AC200:AF200" si="127">AC199</f>
        <v>0</v>
      </c>
      <c r="AD200" s="1257">
        <f t="shared" si="127"/>
        <v>0</v>
      </c>
      <c r="AE200" s="1433">
        <f t="shared" si="127"/>
        <v>0</v>
      </c>
      <c r="AF200" s="1433">
        <f t="shared" si="127"/>
        <v>0</v>
      </c>
      <c r="AG200" s="2503" t="s">
        <v>1588</v>
      </c>
      <c r="AH200" s="2503"/>
      <c r="AI200" s="1257">
        <f t="shared" ref="AI200:AN200" si="128">AI199</f>
        <v>0</v>
      </c>
      <c r="AJ200" s="1257">
        <f t="shared" si="128"/>
        <v>0</v>
      </c>
      <c r="AK200" s="1257">
        <f t="shared" si="128"/>
        <v>0</v>
      </c>
      <c r="AL200" s="1433">
        <f t="shared" si="128"/>
        <v>0</v>
      </c>
      <c r="AM200" s="1433">
        <f t="shared" si="128"/>
        <v>0</v>
      </c>
      <c r="AN200" s="1433">
        <f t="shared" si="128"/>
        <v>0</v>
      </c>
      <c r="AO200" s="2503" t="s">
        <v>1588</v>
      </c>
      <c r="AP200" s="2503"/>
      <c r="AQ200" s="1257">
        <f>AQ199</f>
        <v>0</v>
      </c>
      <c r="AR200" s="1257">
        <f>AR199</f>
        <v>0</v>
      </c>
      <c r="AS200" s="1433">
        <f t="shared" ref="AS200:BB200" si="129">AS199</f>
        <v>0</v>
      </c>
      <c r="AT200" s="1601">
        <f t="shared" si="129"/>
        <v>0</v>
      </c>
      <c r="AU200" s="1562">
        <f t="shared" si="129"/>
        <v>0</v>
      </c>
      <c r="AV200" s="1456">
        <f t="shared" si="129"/>
        <v>0</v>
      </c>
      <c r="AW200" s="1456">
        <f t="shared" si="129"/>
        <v>0</v>
      </c>
      <c r="AX200" s="1448">
        <f t="shared" si="129"/>
        <v>0</v>
      </c>
      <c r="AY200" s="1398">
        <f t="shared" si="129"/>
        <v>0</v>
      </c>
      <c r="AZ200" s="1257">
        <f t="shared" si="129"/>
        <v>0</v>
      </c>
      <c r="BA200" s="1257">
        <f t="shared" si="129"/>
        <v>0</v>
      </c>
      <c r="BB200" s="1400">
        <f t="shared" si="129"/>
        <v>0</v>
      </c>
    </row>
    <row r="201" spans="1:54" s="1371" customFormat="1" ht="15" customHeight="1" x14ac:dyDescent="0.3">
      <c r="A201" s="973"/>
      <c r="B201" s="974" t="s">
        <v>106</v>
      </c>
      <c r="C201" s="1268"/>
      <c r="D201" s="1498"/>
      <c r="E201" s="974"/>
      <c r="F201" s="974" t="s">
        <v>106</v>
      </c>
      <c r="G201" s="1268"/>
      <c r="H201" s="1498"/>
      <c r="I201" s="974"/>
      <c r="J201" s="974" t="s">
        <v>106</v>
      </c>
      <c r="K201" s="1268"/>
      <c r="L201" s="1498"/>
      <c r="M201" s="974"/>
      <c r="N201" s="974" t="s">
        <v>106</v>
      </c>
      <c r="O201" s="1282"/>
      <c r="P201" s="1282"/>
      <c r="Q201" s="1282"/>
      <c r="R201" s="1521"/>
      <c r="S201" s="1521"/>
      <c r="T201" s="1521"/>
      <c r="U201" s="1268"/>
      <c r="V201" s="1498"/>
      <c r="W201" s="1268"/>
      <c r="X201" s="1498"/>
      <c r="Y201" s="1268"/>
      <c r="Z201" s="1498"/>
      <c r="AA201" s="974"/>
      <c r="AB201" s="974" t="s">
        <v>106</v>
      </c>
      <c r="AC201" s="1282"/>
      <c r="AD201" s="1282"/>
      <c r="AE201" s="1521"/>
      <c r="AF201" s="1521"/>
      <c r="AG201" s="974"/>
      <c r="AH201" s="974" t="s">
        <v>106</v>
      </c>
      <c r="AI201" s="1268"/>
      <c r="AJ201" s="1268"/>
      <c r="AK201" s="1268"/>
      <c r="AL201" s="1498"/>
      <c r="AM201" s="1498"/>
      <c r="AN201" s="1498"/>
      <c r="AO201" s="974"/>
      <c r="AP201" s="974" t="s">
        <v>106</v>
      </c>
      <c r="AQ201" s="1268"/>
      <c r="AR201" s="1268"/>
      <c r="AS201" s="1498"/>
      <c r="AT201" s="1602"/>
      <c r="AU201" s="1563"/>
      <c r="AV201" s="1453"/>
      <c r="AW201" s="1459"/>
      <c r="AX201" s="1454">
        <f t="shared" si="69"/>
        <v>0</v>
      </c>
      <c r="AY201" s="1396">
        <f t="shared" ref="AY201:AY231" si="130">SUM(O201+U201+Y201+AC201+AI201+AQ201)</f>
        <v>0</v>
      </c>
      <c r="AZ201" s="1219">
        <f t="shared" ref="AZ201:AZ231" si="131">SUM(P201+AD201+AJ201+AR201)</f>
        <v>0</v>
      </c>
      <c r="BA201" s="1219">
        <f t="shared" ref="BA201:BA231" si="132">SUM(C201+G201+K201+Q201+W201+AK201)</f>
        <v>0</v>
      </c>
      <c r="BB201" s="1386">
        <f t="shared" ref="BB201:BB262" si="133">SUM(AY201:BA201)</f>
        <v>0</v>
      </c>
    </row>
    <row r="202" spans="1:54" ht="15.6" x14ac:dyDescent="0.3">
      <c r="A202" s="1216">
        <v>1</v>
      </c>
      <c r="B202" s="956"/>
      <c r="C202" s="1335"/>
      <c r="D202" s="1496"/>
      <c r="E202" s="1217">
        <v>1</v>
      </c>
      <c r="F202" s="956"/>
      <c r="G202" s="1335"/>
      <c r="H202" s="1496"/>
      <c r="I202" s="1217">
        <v>1</v>
      </c>
      <c r="J202" s="956"/>
      <c r="K202" s="1335"/>
      <c r="L202" s="1496"/>
      <c r="M202" s="1217">
        <v>1</v>
      </c>
      <c r="N202" s="1217" t="s">
        <v>1320</v>
      </c>
      <c r="O202" s="1360"/>
      <c r="P202" s="1360"/>
      <c r="Q202" s="1360"/>
      <c r="R202" s="1439"/>
      <c r="S202" s="1439"/>
      <c r="T202" s="1439"/>
      <c r="U202" s="1335"/>
      <c r="V202" s="1496"/>
      <c r="W202" s="1335"/>
      <c r="X202" s="1496"/>
      <c r="Y202" s="1335"/>
      <c r="Z202" s="1496"/>
      <c r="AA202" s="1149"/>
      <c r="AB202" s="956" t="s">
        <v>2000</v>
      </c>
      <c r="AC202" s="1219"/>
      <c r="AD202" s="1270"/>
      <c r="AE202" s="1534"/>
      <c r="AF202" s="1534"/>
      <c r="AG202" s="1217">
        <v>1</v>
      </c>
      <c r="AH202" s="956"/>
      <c r="AI202" s="1335"/>
      <c r="AJ202" s="1335"/>
      <c r="AK202" s="1335"/>
      <c r="AL202" s="1496"/>
      <c r="AM202" s="1496"/>
      <c r="AN202" s="1496"/>
      <c r="AO202" s="1149">
        <v>1</v>
      </c>
      <c r="AP202" s="954" t="s">
        <v>1590</v>
      </c>
      <c r="AQ202" s="1048"/>
      <c r="AR202" s="1048"/>
      <c r="AS202" s="1553"/>
      <c r="AT202" s="1603"/>
      <c r="AU202" s="1561">
        <f t="shared" ref="AU202:AU231" si="134">R202+V202+Z202+AE202+AL202+AS202</f>
        <v>0</v>
      </c>
      <c r="AV202" s="1447">
        <f t="shared" ref="AV202:AV231" si="135">S202+AF202+AM202+AT202</f>
        <v>0</v>
      </c>
      <c r="AW202" s="1447">
        <f t="shared" ref="AW202:AW231" si="136">D202+H202+L202+T202+X202+AN202</f>
        <v>0</v>
      </c>
      <c r="AX202" s="1463">
        <f t="shared" si="69"/>
        <v>0</v>
      </c>
      <c r="AY202" s="1393">
        <f t="shared" si="130"/>
        <v>0</v>
      </c>
      <c r="AZ202" s="1247">
        <f t="shared" si="131"/>
        <v>0</v>
      </c>
      <c r="BA202" s="1247">
        <f t="shared" si="132"/>
        <v>0</v>
      </c>
      <c r="BB202" s="1385">
        <f t="shared" si="133"/>
        <v>0</v>
      </c>
    </row>
    <row r="203" spans="1:54" ht="15.6" x14ac:dyDescent="0.3">
      <c r="A203" s="1216">
        <v>2</v>
      </c>
      <c r="B203" s="956"/>
      <c r="C203" s="1335"/>
      <c r="D203" s="1496"/>
      <c r="E203" s="1217">
        <v>2</v>
      </c>
      <c r="F203" s="956"/>
      <c r="G203" s="1335"/>
      <c r="H203" s="1496"/>
      <c r="I203" s="1217">
        <v>2</v>
      </c>
      <c r="J203" s="956"/>
      <c r="K203" s="1335"/>
      <c r="L203" s="1496"/>
      <c r="M203" s="1217">
        <v>2</v>
      </c>
      <c r="N203" s="954" t="s">
        <v>2282</v>
      </c>
      <c r="O203" s="1360">
        <f>4500-4500</f>
        <v>0</v>
      </c>
      <c r="P203" s="1360"/>
      <c r="Q203" s="1360"/>
      <c r="R203" s="1439">
        <v>4000</v>
      </c>
      <c r="S203" s="1439"/>
      <c r="T203" s="1439"/>
      <c r="U203" s="1335"/>
      <c r="V203" s="1496"/>
      <c r="W203" s="1335"/>
      <c r="X203" s="1496"/>
      <c r="Y203" s="1223"/>
      <c r="Z203" s="1487"/>
      <c r="AA203" s="1149">
        <v>1</v>
      </c>
      <c r="AB203" s="954"/>
      <c r="AC203" s="1270"/>
      <c r="AD203" s="1270"/>
      <c r="AE203" s="1534"/>
      <c r="AF203" s="1534"/>
      <c r="AG203" s="1217">
        <v>2</v>
      </c>
      <c r="AH203" s="956"/>
      <c r="AI203" s="1335"/>
      <c r="AJ203" s="1335"/>
      <c r="AK203" s="1335"/>
      <c r="AL203" s="1496"/>
      <c r="AM203" s="1496"/>
      <c r="AN203" s="1496"/>
      <c r="AO203" s="1149">
        <v>2</v>
      </c>
      <c r="AP203" s="954" t="s">
        <v>1596</v>
      </c>
      <c r="AQ203" s="1048"/>
      <c r="AR203" s="1048"/>
      <c r="AS203" s="1553"/>
      <c r="AT203" s="1603"/>
      <c r="AU203" s="1561">
        <f t="shared" si="134"/>
        <v>4000</v>
      </c>
      <c r="AV203" s="1447">
        <f t="shared" si="135"/>
        <v>0</v>
      </c>
      <c r="AW203" s="1447">
        <f t="shared" si="136"/>
        <v>0</v>
      </c>
      <c r="AX203" s="1463">
        <f t="shared" si="69"/>
        <v>4000</v>
      </c>
      <c r="AY203" s="1393">
        <f t="shared" si="130"/>
        <v>0</v>
      </c>
      <c r="AZ203" s="1247">
        <f t="shared" si="131"/>
        <v>0</v>
      </c>
      <c r="BA203" s="1247">
        <f t="shared" si="132"/>
        <v>0</v>
      </c>
      <c r="BB203" s="1385">
        <f t="shared" si="133"/>
        <v>0</v>
      </c>
    </row>
    <row r="204" spans="1:54" ht="15.6" x14ac:dyDescent="0.3">
      <c r="A204" s="1216">
        <v>3</v>
      </c>
      <c r="B204" s="956"/>
      <c r="C204" s="1335"/>
      <c r="D204" s="1496"/>
      <c r="E204" s="1217">
        <v>3</v>
      </c>
      <c r="F204" s="956"/>
      <c r="G204" s="1335"/>
      <c r="H204" s="1496"/>
      <c r="I204" s="1217">
        <v>3</v>
      </c>
      <c r="J204" s="956"/>
      <c r="K204" s="1335"/>
      <c r="L204" s="1496"/>
      <c r="M204" s="1217">
        <v>3</v>
      </c>
      <c r="N204" s="954" t="s">
        <v>2001</v>
      </c>
      <c r="O204" s="1247">
        <f>5000+5000</f>
        <v>10000</v>
      </c>
      <c r="P204" s="1247"/>
      <c r="Q204" s="1247"/>
      <c r="R204" s="1424"/>
      <c r="S204" s="1424"/>
      <c r="T204" s="1424"/>
      <c r="U204" s="1335"/>
      <c r="V204" s="1496"/>
      <c r="W204" s="1335"/>
      <c r="X204" s="1496"/>
      <c r="Y204" s="1223"/>
      <c r="Z204" s="1487"/>
      <c r="AA204" s="1149">
        <v>2</v>
      </c>
      <c r="AB204" s="954"/>
      <c r="AC204" s="1270"/>
      <c r="AD204" s="1270"/>
      <c r="AE204" s="1534"/>
      <c r="AF204" s="1534"/>
      <c r="AG204" s="1217">
        <v>3</v>
      </c>
      <c r="AH204" s="956"/>
      <c r="AI204" s="1335"/>
      <c r="AJ204" s="1335"/>
      <c r="AK204" s="1335"/>
      <c r="AL204" s="1496"/>
      <c r="AM204" s="1496"/>
      <c r="AN204" s="1496"/>
      <c r="AO204" s="1149">
        <v>3</v>
      </c>
      <c r="AP204" s="954" t="s">
        <v>1602</v>
      </c>
      <c r="AQ204" s="1048"/>
      <c r="AR204" s="1048"/>
      <c r="AS204" s="1553"/>
      <c r="AT204" s="1603"/>
      <c r="AU204" s="1561">
        <f t="shared" si="134"/>
        <v>0</v>
      </c>
      <c r="AV204" s="1447">
        <f t="shared" si="135"/>
        <v>0</v>
      </c>
      <c r="AW204" s="1447">
        <f t="shared" si="136"/>
        <v>0</v>
      </c>
      <c r="AX204" s="1450">
        <f t="shared" si="69"/>
        <v>0</v>
      </c>
      <c r="AY204" s="1393">
        <f t="shared" si="130"/>
        <v>10000</v>
      </c>
      <c r="AZ204" s="1247">
        <f t="shared" si="131"/>
        <v>0</v>
      </c>
      <c r="BA204" s="1247">
        <f t="shared" si="132"/>
        <v>0</v>
      </c>
      <c r="BB204" s="1385">
        <f t="shared" si="133"/>
        <v>10000</v>
      </c>
    </row>
    <row r="205" spans="1:54" ht="15.6" x14ac:dyDescent="0.3">
      <c r="A205" s="1216"/>
      <c r="B205" s="956"/>
      <c r="C205" s="1335"/>
      <c r="D205" s="1496"/>
      <c r="E205" s="1217"/>
      <c r="F205" s="956"/>
      <c r="G205" s="1335"/>
      <c r="H205" s="1496"/>
      <c r="I205" s="1217"/>
      <c r="J205" s="956"/>
      <c r="K205" s="1335"/>
      <c r="L205" s="1496"/>
      <c r="M205" s="1217">
        <v>4</v>
      </c>
      <c r="N205" s="954" t="s">
        <v>2002</v>
      </c>
      <c r="O205" s="1247">
        <v>14000</v>
      </c>
      <c r="P205" s="1247"/>
      <c r="Q205" s="1247"/>
      <c r="R205" s="1424">
        <f>14000-7000</f>
        <v>7000</v>
      </c>
      <c r="S205" s="1424"/>
      <c r="T205" s="1424"/>
      <c r="U205" s="1335"/>
      <c r="V205" s="1496"/>
      <c r="W205" s="1335"/>
      <c r="X205" s="1496"/>
      <c r="Y205" s="1335"/>
      <c r="Z205" s="1496"/>
      <c r="AA205" s="1149">
        <v>3</v>
      </c>
      <c r="AB205" s="954"/>
      <c r="AC205" s="1270"/>
      <c r="AD205" s="1270"/>
      <c r="AE205" s="1534"/>
      <c r="AF205" s="1534"/>
      <c r="AG205" s="1217"/>
      <c r="AH205" s="956"/>
      <c r="AI205" s="1335"/>
      <c r="AJ205" s="1335"/>
      <c r="AK205" s="1335"/>
      <c r="AL205" s="1496"/>
      <c r="AM205" s="1496"/>
      <c r="AN205" s="1496"/>
      <c r="AO205" s="1149">
        <v>4</v>
      </c>
      <c r="AP205" s="954" t="s">
        <v>1606</v>
      </c>
      <c r="AQ205" s="989">
        <v>2000</v>
      </c>
      <c r="AR205" s="1048"/>
      <c r="AS205" s="1553">
        <v>2540</v>
      </c>
      <c r="AT205" s="1603"/>
      <c r="AU205" s="1561">
        <f t="shared" si="134"/>
        <v>9540</v>
      </c>
      <c r="AV205" s="1447">
        <f t="shared" si="135"/>
        <v>0</v>
      </c>
      <c r="AW205" s="1447">
        <f t="shared" si="136"/>
        <v>0</v>
      </c>
      <c r="AX205" s="1450">
        <f t="shared" si="69"/>
        <v>9540</v>
      </c>
      <c r="AY205" s="1393">
        <f t="shared" si="130"/>
        <v>16000</v>
      </c>
      <c r="AZ205" s="1247">
        <f t="shared" si="131"/>
        <v>0</v>
      </c>
      <c r="BA205" s="1247">
        <f t="shared" si="132"/>
        <v>0</v>
      </c>
      <c r="BB205" s="1385">
        <f t="shared" si="133"/>
        <v>16000</v>
      </c>
    </row>
    <row r="206" spans="1:54" ht="15.6" x14ac:dyDescent="0.3">
      <c r="A206" s="1216"/>
      <c r="B206" s="956"/>
      <c r="C206" s="1335"/>
      <c r="D206" s="1496"/>
      <c r="E206" s="1217"/>
      <c r="F206" s="956"/>
      <c r="G206" s="1335"/>
      <c r="H206" s="1496"/>
      <c r="I206" s="1217"/>
      <c r="J206" s="956"/>
      <c r="K206" s="1335"/>
      <c r="L206" s="1496"/>
      <c r="M206" s="1217">
        <v>5</v>
      </c>
      <c r="N206" s="954" t="s">
        <v>916</v>
      </c>
      <c r="O206" s="1247">
        <v>5700</v>
      </c>
      <c r="P206" s="1247"/>
      <c r="Q206" s="1247"/>
      <c r="R206" s="1424"/>
      <c r="S206" s="1424"/>
      <c r="T206" s="1424"/>
      <c r="U206" s="1335"/>
      <c r="V206" s="1496"/>
      <c r="W206" s="1335"/>
      <c r="X206" s="1496"/>
      <c r="Y206" s="1335"/>
      <c r="Z206" s="1496"/>
      <c r="AA206" s="1149">
        <v>4</v>
      </c>
      <c r="AB206" s="954"/>
      <c r="AC206" s="1270"/>
      <c r="AD206" s="1270"/>
      <c r="AE206" s="1534"/>
      <c r="AF206" s="1534"/>
      <c r="AG206" s="1217"/>
      <c r="AH206" s="956"/>
      <c r="AI206" s="1335"/>
      <c r="AJ206" s="1335"/>
      <c r="AK206" s="1335"/>
      <c r="AL206" s="1496"/>
      <c r="AM206" s="1496"/>
      <c r="AN206" s="1496"/>
      <c r="AO206" s="1149">
        <v>5</v>
      </c>
      <c r="AP206" s="954" t="s">
        <v>1611</v>
      </c>
      <c r="AQ206" s="1048"/>
      <c r="AR206" s="1048"/>
      <c r="AS206" s="1553"/>
      <c r="AT206" s="1603"/>
      <c r="AU206" s="1561">
        <f t="shared" si="134"/>
        <v>0</v>
      </c>
      <c r="AV206" s="1447">
        <f t="shared" si="135"/>
        <v>0</v>
      </c>
      <c r="AW206" s="1447">
        <f t="shared" si="136"/>
        <v>0</v>
      </c>
      <c r="AX206" s="1450">
        <f t="shared" si="69"/>
        <v>0</v>
      </c>
      <c r="AY206" s="1393">
        <f t="shared" si="130"/>
        <v>5700</v>
      </c>
      <c r="AZ206" s="1247">
        <f t="shared" si="131"/>
        <v>0</v>
      </c>
      <c r="BA206" s="1247">
        <f t="shared" si="132"/>
        <v>0</v>
      </c>
      <c r="BB206" s="1385">
        <f t="shared" si="133"/>
        <v>5700</v>
      </c>
    </row>
    <row r="207" spans="1:54" ht="15.6" x14ac:dyDescent="0.3">
      <c r="A207" s="1216"/>
      <c r="B207" s="956"/>
      <c r="C207" s="1335"/>
      <c r="D207" s="1496"/>
      <c r="E207" s="1217"/>
      <c r="F207" s="956"/>
      <c r="G207" s="1335"/>
      <c r="H207" s="1496"/>
      <c r="I207" s="1217"/>
      <c r="J207" s="956"/>
      <c r="K207" s="1335"/>
      <c r="L207" s="1496"/>
      <c r="M207" s="1217">
        <v>6</v>
      </c>
      <c r="N207" s="1283" t="s">
        <v>2003</v>
      </c>
      <c r="O207" s="1247"/>
      <c r="P207" s="1247"/>
      <c r="Q207" s="1247"/>
      <c r="R207" s="1424"/>
      <c r="S207" s="1424"/>
      <c r="T207" s="1424"/>
      <c r="U207" s="1223">
        <v>900</v>
      </c>
      <c r="V207" s="1487"/>
      <c r="W207" s="1335"/>
      <c r="X207" s="1496"/>
      <c r="Y207" s="1335"/>
      <c r="Z207" s="1496"/>
      <c r="AA207" s="1149"/>
      <c r="AB207" s="954"/>
      <c r="AC207" s="1270"/>
      <c r="AD207" s="1270"/>
      <c r="AE207" s="1534"/>
      <c r="AF207" s="1534"/>
      <c r="AG207" s="1217"/>
      <c r="AH207" s="956"/>
      <c r="AI207" s="1335"/>
      <c r="AJ207" s="1335"/>
      <c r="AK207" s="1335"/>
      <c r="AL207" s="1496"/>
      <c r="AM207" s="1496"/>
      <c r="AN207" s="1496"/>
      <c r="AO207" s="1149">
        <v>6</v>
      </c>
      <c r="AP207" s="981" t="s">
        <v>1595</v>
      </c>
      <c r="AQ207" s="1048"/>
      <c r="AR207" s="1048"/>
      <c r="AS207" s="1553"/>
      <c r="AT207" s="1603"/>
      <c r="AU207" s="1561">
        <f t="shared" si="134"/>
        <v>0</v>
      </c>
      <c r="AV207" s="1447">
        <f t="shared" si="135"/>
        <v>0</v>
      </c>
      <c r="AW207" s="1447">
        <f t="shared" si="136"/>
        <v>0</v>
      </c>
      <c r="AX207" s="1450">
        <f t="shared" si="69"/>
        <v>0</v>
      </c>
      <c r="AY207" s="1393">
        <f t="shared" si="130"/>
        <v>900</v>
      </c>
      <c r="AZ207" s="1247">
        <f t="shared" si="131"/>
        <v>0</v>
      </c>
      <c r="BA207" s="1247">
        <f t="shared" si="132"/>
        <v>0</v>
      </c>
      <c r="BB207" s="1385">
        <f t="shared" si="133"/>
        <v>900</v>
      </c>
    </row>
    <row r="208" spans="1:54" ht="15.6" x14ac:dyDescent="0.3">
      <c r="A208" s="1216"/>
      <c r="B208" s="956"/>
      <c r="C208" s="1335"/>
      <c r="D208" s="1496"/>
      <c r="E208" s="1217"/>
      <c r="F208" s="956"/>
      <c r="G208" s="1335"/>
      <c r="H208" s="1496"/>
      <c r="I208" s="1217"/>
      <c r="J208" s="956"/>
      <c r="K208" s="1335"/>
      <c r="L208" s="1496"/>
      <c r="M208" s="1217">
        <v>7</v>
      </c>
      <c r="N208" s="1283" t="s">
        <v>2285</v>
      </c>
      <c r="O208" s="1247"/>
      <c r="P208" s="1247"/>
      <c r="Q208" s="1247"/>
      <c r="R208" s="1424"/>
      <c r="S208" s="1424"/>
      <c r="T208" s="1424"/>
      <c r="U208" s="1223">
        <v>1250</v>
      </c>
      <c r="V208" s="1487">
        <v>3000</v>
      </c>
      <c r="W208" s="1335"/>
      <c r="X208" s="1496"/>
      <c r="Y208" s="1335"/>
      <c r="Z208" s="1496"/>
      <c r="AA208" s="1149"/>
      <c r="AB208" s="954"/>
      <c r="AC208" s="1270"/>
      <c r="AD208" s="1270"/>
      <c r="AE208" s="1534"/>
      <c r="AF208" s="1534"/>
      <c r="AG208" s="1217"/>
      <c r="AH208" s="956"/>
      <c r="AI208" s="1335"/>
      <c r="AJ208" s="1335"/>
      <c r="AK208" s="1335"/>
      <c r="AL208" s="1496"/>
      <c r="AM208" s="1496"/>
      <c r="AN208" s="1496"/>
      <c r="AO208" s="1149">
        <v>7</v>
      </c>
      <c r="AP208" s="954" t="s">
        <v>1614</v>
      </c>
      <c r="AQ208" s="1048"/>
      <c r="AR208" s="1048"/>
      <c r="AS208" s="1553"/>
      <c r="AT208" s="1603"/>
      <c r="AU208" s="1561">
        <f t="shared" si="134"/>
        <v>3000</v>
      </c>
      <c r="AV208" s="1447">
        <f t="shared" si="135"/>
        <v>0</v>
      </c>
      <c r="AW208" s="1447">
        <f t="shared" si="136"/>
        <v>0</v>
      </c>
      <c r="AX208" s="1450">
        <f t="shared" si="69"/>
        <v>3000</v>
      </c>
      <c r="AY208" s="1393">
        <f t="shared" si="130"/>
        <v>1250</v>
      </c>
      <c r="AZ208" s="1247">
        <f t="shared" si="131"/>
        <v>0</v>
      </c>
      <c r="BA208" s="1247">
        <f t="shared" si="132"/>
        <v>0</v>
      </c>
      <c r="BB208" s="1385">
        <f t="shared" si="133"/>
        <v>1250</v>
      </c>
    </row>
    <row r="209" spans="1:54" ht="15.6" x14ac:dyDescent="0.3">
      <c r="A209" s="1216"/>
      <c r="B209" s="956"/>
      <c r="C209" s="1335"/>
      <c r="D209" s="1496"/>
      <c r="E209" s="1217"/>
      <c r="F209" s="956"/>
      <c r="G209" s="1335"/>
      <c r="H209" s="1496"/>
      <c r="I209" s="1217"/>
      <c r="J209" s="956"/>
      <c r="K209" s="1335"/>
      <c r="L209" s="1496"/>
      <c r="M209" s="1217">
        <v>8</v>
      </c>
      <c r="N209" s="1283" t="s">
        <v>2004</v>
      </c>
      <c r="O209" s="1247"/>
      <c r="P209" s="1247"/>
      <c r="Q209" s="1247"/>
      <c r="R209" s="1424"/>
      <c r="S209" s="1424"/>
      <c r="T209" s="1424"/>
      <c r="U209" s="1223">
        <v>2500</v>
      </c>
      <c r="V209" s="1487"/>
      <c r="W209" s="1335"/>
      <c r="X209" s="1496"/>
      <c r="Y209" s="1335"/>
      <c r="Z209" s="1496"/>
      <c r="AA209" s="1149"/>
      <c r="AB209" s="954"/>
      <c r="AC209" s="1270"/>
      <c r="AD209" s="1270"/>
      <c r="AE209" s="1534"/>
      <c r="AF209" s="1534"/>
      <c r="AG209" s="1217"/>
      <c r="AH209" s="956"/>
      <c r="AI209" s="1335"/>
      <c r="AJ209" s="1335"/>
      <c r="AK209" s="1335"/>
      <c r="AL209" s="1496"/>
      <c r="AM209" s="1496"/>
      <c r="AN209" s="1496"/>
      <c r="AO209" s="1149">
        <v>8</v>
      </c>
      <c r="AP209" s="981" t="s">
        <v>1595</v>
      </c>
      <c r="AQ209" s="1048"/>
      <c r="AR209" s="1048"/>
      <c r="AS209" s="1553"/>
      <c r="AT209" s="1603"/>
      <c r="AU209" s="1561">
        <f t="shared" si="134"/>
        <v>0</v>
      </c>
      <c r="AV209" s="1447">
        <f t="shared" si="135"/>
        <v>0</v>
      </c>
      <c r="AW209" s="1447">
        <f t="shared" si="136"/>
        <v>0</v>
      </c>
      <c r="AX209" s="1450">
        <f t="shared" si="69"/>
        <v>0</v>
      </c>
      <c r="AY209" s="1393">
        <f t="shared" si="130"/>
        <v>2500</v>
      </c>
      <c r="AZ209" s="1247">
        <f t="shared" si="131"/>
        <v>0</v>
      </c>
      <c r="BA209" s="1247">
        <f t="shared" si="132"/>
        <v>0</v>
      </c>
      <c r="BB209" s="1385">
        <f t="shared" si="133"/>
        <v>2500</v>
      </c>
    </row>
    <row r="210" spans="1:54" ht="15.6" x14ac:dyDescent="0.3">
      <c r="A210" s="1216"/>
      <c r="B210" s="956"/>
      <c r="C210" s="1335"/>
      <c r="D210" s="1496"/>
      <c r="E210" s="1217"/>
      <c r="F210" s="956"/>
      <c r="G210" s="1335"/>
      <c r="H210" s="1496"/>
      <c r="I210" s="1217"/>
      <c r="J210" s="956"/>
      <c r="K210" s="1335"/>
      <c r="L210" s="1496"/>
      <c r="M210" s="1217">
        <v>9</v>
      </c>
      <c r="N210" s="1283" t="s">
        <v>2005</v>
      </c>
      <c r="O210" s="1247"/>
      <c r="P210" s="1247"/>
      <c r="Q210" s="1247"/>
      <c r="R210" s="1424"/>
      <c r="S210" s="1424"/>
      <c r="T210" s="1424"/>
      <c r="U210" s="1223">
        <v>10000</v>
      </c>
      <c r="V210" s="1487">
        <v>10000</v>
      </c>
      <c r="W210" s="1335"/>
      <c r="X210" s="1496"/>
      <c r="Y210" s="1335"/>
      <c r="Z210" s="1496"/>
      <c r="AA210" s="1149"/>
      <c r="AB210" s="954"/>
      <c r="AC210" s="1270"/>
      <c r="AD210" s="1270"/>
      <c r="AE210" s="1534"/>
      <c r="AF210" s="1534"/>
      <c r="AG210" s="1217"/>
      <c r="AH210" s="956"/>
      <c r="AI210" s="1335"/>
      <c r="AJ210" s="1335"/>
      <c r="AK210" s="1335"/>
      <c r="AL210" s="1496"/>
      <c r="AM210" s="1496"/>
      <c r="AN210" s="1496"/>
      <c r="AO210" s="1149">
        <v>9</v>
      </c>
      <c r="AP210" s="1104" t="s">
        <v>2006</v>
      </c>
      <c r="AQ210" s="1223"/>
      <c r="AR210" s="1048"/>
      <c r="AS210" s="1553"/>
      <c r="AT210" s="1603"/>
      <c r="AU210" s="1561">
        <f t="shared" si="134"/>
        <v>10000</v>
      </c>
      <c r="AV210" s="1447">
        <f t="shared" si="135"/>
        <v>0</v>
      </c>
      <c r="AW210" s="1447">
        <f t="shared" si="136"/>
        <v>0</v>
      </c>
      <c r="AX210" s="1450">
        <f t="shared" si="69"/>
        <v>10000</v>
      </c>
      <c r="AY210" s="1393">
        <f t="shared" si="130"/>
        <v>10000</v>
      </c>
      <c r="AZ210" s="1247">
        <f t="shared" si="131"/>
        <v>0</v>
      </c>
      <c r="BA210" s="1247">
        <f t="shared" si="132"/>
        <v>0</v>
      </c>
      <c r="BB210" s="1385">
        <f t="shared" si="133"/>
        <v>10000</v>
      </c>
    </row>
    <row r="211" spans="1:54" ht="15.6" x14ac:dyDescent="0.3">
      <c r="A211" s="1216"/>
      <c r="B211" s="956"/>
      <c r="C211" s="1335"/>
      <c r="D211" s="1496"/>
      <c r="E211" s="1217"/>
      <c r="F211" s="956"/>
      <c r="G211" s="1335"/>
      <c r="H211" s="1496"/>
      <c r="I211" s="1217"/>
      <c r="J211" s="956"/>
      <c r="K211" s="1335"/>
      <c r="L211" s="1496"/>
      <c r="M211" s="1217"/>
      <c r="N211" s="1283" t="s">
        <v>2007</v>
      </c>
      <c r="O211" s="1247"/>
      <c r="P211" s="1247"/>
      <c r="Q211" s="1247"/>
      <c r="R211" s="1424"/>
      <c r="S211" s="1424"/>
      <c r="T211" s="1424"/>
      <c r="U211" s="1223">
        <v>1000</v>
      </c>
      <c r="V211" s="1487"/>
      <c r="W211" s="1335"/>
      <c r="X211" s="1496"/>
      <c r="Y211" s="1335"/>
      <c r="Z211" s="1496"/>
      <c r="AA211" s="1149"/>
      <c r="AB211" s="954"/>
      <c r="AC211" s="1270"/>
      <c r="AD211" s="1270"/>
      <c r="AE211" s="1534"/>
      <c r="AF211" s="1534"/>
      <c r="AG211" s="1217"/>
      <c r="AH211" s="956"/>
      <c r="AI211" s="1335"/>
      <c r="AJ211" s="1335"/>
      <c r="AK211" s="1335"/>
      <c r="AL211" s="1496"/>
      <c r="AM211" s="1496"/>
      <c r="AN211" s="1496"/>
      <c r="AO211" s="1149">
        <v>10</v>
      </c>
      <c r="AP211" s="1104" t="s">
        <v>2008</v>
      </c>
      <c r="AQ211" s="1223"/>
      <c r="AR211" s="1048"/>
      <c r="AS211" s="1553"/>
      <c r="AT211" s="1603"/>
      <c r="AU211" s="1561">
        <f t="shared" si="134"/>
        <v>0</v>
      </c>
      <c r="AV211" s="1447">
        <f t="shared" si="135"/>
        <v>0</v>
      </c>
      <c r="AW211" s="1447">
        <f t="shared" si="136"/>
        <v>0</v>
      </c>
      <c r="AX211" s="1450">
        <f t="shared" si="69"/>
        <v>0</v>
      </c>
      <c r="AY211" s="1393">
        <f t="shared" si="130"/>
        <v>1000</v>
      </c>
      <c r="AZ211" s="1247">
        <f t="shared" si="131"/>
        <v>0</v>
      </c>
      <c r="BA211" s="1247">
        <f t="shared" si="132"/>
        <v>0</v>
      </c>
      <c r="BB211" s="1385">
        <f t="shared" si="133"/>
        <v>1000</v>
      </c>
    </row>
    <row r="212" spans="1:54" ht="26.4" x14ac:dyDescent="0.3">
      <c r="A212" s="1216"/>
      <c r="B212" s="956"/>
      <c r="C212" s="1335"/>
      <c r="D212" s="1496"/>
      <c r="E212" s="1217"/>
      <c r="F212" s="956"/>
      <c r="G212" s="1335"/>
      <c r="H212" s="1496"/>
      <c r="I212" s="1217"/>
      <c r="J212" s="956"/>
      <c r="K212" s="1335"/>
      <c r="L212" s="1496"/>
      <c r="M212" s="1217"/>
      <c r="N212" s="1283" t="s">
        <v>2009</v>
      </c>
      <c r="O212" s="1247"/>
      <c r="P212" s="1247"/>
      <c r="Q212" s="1247"/>
      <c r="R212" s="1424"/>
      <c r="S212" s="1424"/>
      <c r="T212" s="1424"/>
      <c r="U212" s="1223">
        <v>22000</v>
      </c>
      <c r="V212" s="1487">
        <v>22000</v>
      </c>
      <c r="W212" s="1335"/>
      <c r="X212" s="1496"/>
      <c r="Y212" s="1335"/>
      <c r="Z212" s="1496"/>
      <c r="AA212" s="1149"/>
      <c r="AB212" s="954"/>
      <c r="AC212" s="1270"/>
      <c r="AD212" s="1270"/>
      <c r="AE212" s="1534"/>
      <c r="AF212" s="1534"/>
      <c r="AG212" s="1217"/>
      <c r="AH212" s="956"/>
      <c r="AI212" s="1335"/>
      <c r="AJ212" s="1335"/>
      <c r="AK212" s="1335"/>
      <c r="AL212" s="1496"/>
      <c r="AM212" s="1496"/>
      <c r="AN212" s="1496"/>
      <c r="AO212" s="1149"/>
      <c r="AP212" s="1104" t="s">
        <v>2010</v>
      </c>
      <c r="AQ212" s="1223"/>
      <c r="AR212" s="1048"/>
      <c r="AS212" s="1553"/>
      <c r="AT212" s="1603"/>
      <c r="AU212" s="1561">
        <f t="shared" si="134"/>
        <v>22000</v>
      </c>
      <c r="AV212" s="1447">
        <f t="shared" si="135"/>
        <v>0</v>
      </c>
      <c r="AW212" s="1447">
        <f t="shared" si="136"/>
        <v>0</v>
      </c>
      <c r="AX212" s="1450">
        <f t="shared" si="69"/>
        <v>22000</v>
      </c>
      <c r="AY212" s="1393">
        <f t="shared" si="130"/>
        <v>22000</v>
      </c>
      <c r="AZ212" s="1247">
        <f t="shared" si="131"/>
        <v>0</v>
      </c>
      <c r="BA212" s="1247">
        <f t="shared" si="132"/>
        <v>0</v>
      </c>
      <c r="BB212" s="1385">
        <f t="shared" si="133"/>
        <v>22000</v>
      </c>
    </row>
    <row r="213" spans="1:54" ht="15.6" x14ac:dyDescent="0.3">
      <c r="A213" s="1216"/>
      <c r="B213" s="956"/>
      <c r="C213" s="1335"/>
      <c r="D213" s="1496"/>
      <c r="E213" s="1217"/>
      <c r="F213" s="956"/>
      <c r="G213" s="1335"/>
      <c r="H213" s="1496"/>
      <c r="I213" s="1217"/>
      <c r="J213" s="956"/>
      <c r="K213" s="1335"/>
      <c r="L213" s="1496"/>
      <c r="M213" s="1217"/>
      <c r="N213" s="1283" t="s">
        <v>918</v>
      </c>
      <c r="O213" s="1247"/>
      <c r="P213" s="1247"/>
      <c r="Q213" s="1247"/>
      <c r="R213" s="1424"/>
      <c r="S213" s="1424"/>
      <c r="T213" s="1424"/>
      <c r="U213" s="1223">
        <v>7000</v>
      </c>
      <c r="V213" s="1487"/>
      <c r="W213" s="1335"/>
      <c r="X213" s="1496"/>
      <c r="Y213" s="1335"/>
      <c r="Z213" s="1496"/>
      <c r="AA213" s="1149"/>
      <c r="AB213" s="954"/>
      <c r="AC213" s="1270"/>
      <c r="AD213" s="1270"/>
      <c r="AE213" s="1534"/>
      <c r="AF213" s="1534"/>
      <c r="AG213" s="1217"/>
      <c r="AH213" s="956"/>
      <c r="AI213" s="1335"/>
      <c r="AJ213" s="1335"/>
      <c r="AK213" s="1335"/>
      <c r="AL213" s="1496"/>
      <c r="AM213" s="1496"/>
      <c r="AN213" s="1496"/>
      <c r="AO213" s="1149"/>
      <c r="AP213" s="1104" t="s">
        <v>2011</v>
      </c>
      <c r="AQ213" s="1223"/>
      <c r="AR213" s="1048"/>
      <c r="AS213" s="1553"/>
      <c r="AT213" s="1603"/>
      <c r="AU213" s="1561">
        <f t="shared" si="134"/>
        <v>0</v>
      </c>
      <c r="AV213" s="1447">
        <f t="shared" si="135"/>
        <v>0</v>
      </c>
      <c r="AW213" s="1447">
        <f t="shared" si="136"/>
        <v>0</v>
      </c>
      <c r="AX213" s="1450">
        <f t="shared" si="69"/>
        <v>0</v>
      </c>
      <c r="AY213" s="1393">
        <f t="shared" si="130"/>
        <v>7000</v>
      </c>
      <c r="AZ213" s="1247">
        <f t="shared" si="131"/>
        <v>0</v>
      </c>
      <c r="BA213" s="1247">
        <f t="shared" si="132"/>
        <v>0</v>
      </c>
      <c r="BB213" s="1385">
        <f t="shared" si="133"/>
        <v>7000</v>
      </c>
    </row>
    <row r="214" spans="1:54" ht="15.6" x14ac:dyDescent="0.3">
      <c r="A214" s="1216"/>
      <c r="B214" s="956"/>
      <c r="C214" s="1335"/>
      <c r="D214" s="1496"/>
      <c r="E214" s="1217"/>
      <c r="F214" s="956"/>
      <c r="G214" s="1335"/>
      <c r="H214" s="1496"/>
      <c r="I214" s="1217"/>
      <c r="J214" s="956"/>
      <c r="K214" s="1335"/>
      <c r="L214" s="1496"/>
      <c r="M214" s="1217"/>
      <c r="N214" s="1283" t="s">
        <v>919</v>
      </c>
      <c r="O214" s="1247"/>
      <c r="P214" s="1247"/>
      <c r="Q214" s="1247"/>
      <c r="R214" s="1424"/>
      <c r="S214" s="1424"/>
      <c r="T214" s="1424"/>
      <c r="U214" s="1223">
        <v>2400</v>
      </c>
      <c r="V214" s="1487"/>
      <c r="W214" s="1335"/>
      <c r="X214" s="1496"/>
      <c r="Y214" s="1335"/>
      <c r="Z214" s="1496"/>
      <c r="AA214" s="1149"/>
      <c r="AB214" s="954"/>
      <c r="AC214" s="1270"/>
      <c r="AD214" s="1270"/>
      <c r="AE214" s="1534"/>
      <c r="AF214" s="1534"/>
      <c r="AG214" s="1217"/>
      <c r="AH214" s="956"/>
      <c r="AI214" s="1335"/>
      <c r="AJ214" s="1335"/>
      <c r="AK214" s="1335"/>
      <c r="AL214" s="1496"/>
      <c r="AM214" s="1496"/>
      <c r="AN214" s="1496"/>
      <c r="AO214" s="1149"/>
      <c r="AP214" s="1104"/>
      <c r="AQ214" s="1223"/>
      <c r="AR214" s="1048"/>
      <c r="AS214" s="1553"/>
      <c r="AT214" s="1603"/>
      <c r="AU214" s="1561">
        <f t="shared" si="134"/>
        <v>0</v>
      </c>
      <c r="AV214" s="1447">
        <f t="shared" si="135"/>
        <v>0</v>
      </c>
      <c r="AW214" s="1447">
        <f t="shared" si="136"/>
        <v>0</v>
      </c>
      <c r="AX214" s="1450">
        <f t="shared" si="69"/>
        <v>0</v>
      </c>
      <c r="AY214" s="1393">
        <f t="shared" si="130"/>
        <v>2400</v>
      </c>
      <c r="AZ214" s="1247">
        <f t="shared" si="131"/>
        <v>0</v>
      </c>
      <c r="BA214" s="1247">
        <f t="shared" si="132"/>
        <v>0</v>
      </c>
      <c r="BB214" s="1385">
        <f t="shared" si="133"/>
        <v>2400</v>
      </c>
    </row>
    <row r="215" spans="1:54" ht="15.6" x14ac:dyDescent="0.3">
      <c r="A215" s="1216"/>
      <c r="B215" s="956"/>
      <c r="C215" s="1335"/>
      <c r="D215" s="1496"/>
      <c r="E215" s="1217"/>
      <c r="F215" s="956"/>
      <c r="G215" s="1335"/>
      <c r="H215" s="1496"/>
      <c r="I215" s="1217"/>
      <c r="J215" s="956"/>
      <c r="K215" s="1335"/>
      <c r="L215" s="1496"/>
      <c r="M215" s="1217"/>
      <c r="N215" s="1283" t="s">
        <v>2012</v>
      </c>
      <c r="O215" s="1247"/>
      <c r="P215" s="1247"/>
      <c r="Q215" s="1247"/>
      <c r="R215" s="1424"/>
      <c r="S215" s="1424"/>
      <c r="T215" s="1424"/>
      <c r="U215" s="1223">
        <v>9000</v>
      </c>
      <c r="V215" s="1487"/>
      <c r="W215" s="1335"/>
      <c r="X215" s="1496"/>
      <c r="Y215" s="1335"/>
      <c r="Z215" s="1496"/>
      <c r="AA215" s="1149"/>
      <c r="AB215" s="954"/>
      <c r="AC215" s="1270"/>
      <c r="AD215" s="1270"/>
      <c r="AE215" s="1534"/>
      <c r="AF215" s="1534"/>
      <c r="AG215" s="1217"/>
      <c r="AH215" s="956"/>
      <c r="AI215" s="1335"/>
      <c r="AJ215" s="1335"/>
      <c r="AK215" s="1335"/>
      <c r="AL215" s="1496"/>
      <c r="AM215" s="1496"/>
      <c r="AN215" s="1496"/>
      <c r="AO215" s="1149"/>
      <c r="AP215" s="1104"/>
      <c r="AQ215" s="1223"/>
      <c r="AR215" s="1048"/>
      <c r="AS215" s="1553"/>
      <c r="AT215" s="1603"/>
      <c r="AU215" s="1561">
        <f t="shared" si="134"/>
        <v>0</v>
      </c>
      <c r="AV215" s="1447">
        <f t="shared" si="135"/>
        <v>0</v>
      </c>
      <c r="AW215" s="1447">
        <f t="shared" si="136"/>
        <v>0</v>
      </c>
      <c r="AX215" s="1450">
        <f t="shared" si="69"/>
        <v>0</v>
      </c>
      <c r="AY215" s="1393">
        <f t="shared" si="130"/>
        <v>9000</v>
      </c>
      <c r="AZ215" s="1247">
        <f t="shared" si="131"/>
        <v>0</v>
      </c>
      <c r="BA215" s="1247">
        <f t="shared" si="132"/>
        <v>0</v>
      </c>
      <c r="BB215" s="1385">
        <f t="shared" si="133"/>
        <v>9000</v>
      </c>
    </row>
    <row r="216" spans="1:54" ht="15.6" x14ac:dyDescent="0.3">
      <c r="A216" s="1216"/>
      <c r="B216" s="956"/>
      <c r="C216" s="1335"/>
      <c r="D216" s="1496"/>
      <c r="E216" s="1217"/>
      <c r="F216" s="956"/>
      <c r="G216" s="1335"/>
      <c r="H216" s="1496"/>
      <c r="I216" s="1217"/>
      <c r="J216" s="956"/>
      <c r="K216" s="1335"/>
      <c r="L216" s="1496"/>
      <c r="M216" s="1217"/>
      <c r="N216" s="1283" t="s">
        <v>2013</v>
      </c>
      <c r="O216" s="1247"/>
      <c r="P216" s="1247"/>
      <c r="Q216" s="1247"/>
      <c r="R216" s="1424"/>
      <c r="S216" s="1424"/>
      <c r="T216" s="1424"/>
      <c r="U216" s="1223">
        <v>2800</v>
      </c>
      <c r="V216" s="1487"/>
      <c r="W216" s="1335"/>
      <c r="X216" s="1496"/>
      <c r="Y216" s="1335"/>
      <c r="Z216" s="1496"/>
      <c r="AA216" s="1149"/>
      <c r="AB216" s="954"/>
      <c r="AC216" s="1270"/>
      <c r="AD216" s="1270"/>
      <c r="AE216" s="1534"/>
      <c r="AF216" s="1534"/>
      <c r="AG216" s="1217"/>
      <c r="AH216" s="956"/>
      <c r="AI216" s="1335"/>
      <c r="AJ216" s="1335"/>
      <c r="AK216" s="1335"/>
      <c r="AL216" s="1496"/>
      <c r="AM216" s="1496"/>
      <c r="AN216" s="1496"/>
      <c r="AO216" s="1149"/>
      <c r="AP216" s="1104"/>
      <c r="AQ216" s="1223"/>
      <c r="AR216" s="1048"/>
      <c r="AS216" s="1553"/>
      <c r="AT216" s="1603"/>
      <c r="AU216" s="1561">
        <f t="shared" si="134"/>
        <v>0</v>
      </c>
      <c r="AV216" s="1447">
        <f t="shared" si="135"/>
        <v>0</v>
      </c>
      <c r="AW216" s="1447">
        <f t="shared" si="136"/>
        <v>0</v>
      </c>
      <c r="AX216" s="1450">
        <f t="shared" si="69"/>
        <v>0</v>
      </c>
      <c r="AY216" s="1393">
        <f t="shared" si="130"/>
        <v>2800</v>
      </c>
      <c r="AZ216" s="1247">
        <f t="shared" si="131"/>
        <v>0</v>
      </c>
      <c r="BA216" s="1247">
        <f t="shared" si="132"/>
        <v>0</v>
      </c>
      <c r="BB216" s="1385">
        <f t="shared" si="133"/>
        <v>2800</v>
      </c>
    </row>
    <row r="217" spans="1:54" ht="15.6" x14ac:dyDescent="0.3">
      <c r="A217" s="1216"/>
      <c r="B217" s="956"/>
      <c r="C217" s="1335"/>
      <c r="D217" s="1496"/>
      <c r="E217" s="1217"/>
      <c r="F217" s="956"/>
      <c r="G217" s="1335"/>
      <c r="H217" s="1496"/>
      <c r="I217" s="1217"/>
      <c r="J217" s="956"/>
      <c r="K217" s="1335"/>
      <c r="L217" s="1496"/>
      <c r="M217" s="1217"/>
      <c r="N217" s="1283" t="s">
        <v>2014</v>
      </c>
      <c r="O217" s="1247"/>
      <c r="P217" s="1247"/>
      <c r="Q217" s="1247"/>
      <c r="R217" s="1424"/>
      <c r="S217" s="1424"/>
      <c r="T217" s="1424"/>
      <c r="U217" s="1223">
        <v>4600</v>
      </c>
      <c r="V217" s="1487"/>
      <c r="W217" s="1335"/>
      <c r="X217" s="1496"/>
      <c r="Y217" s="1335"/>
      <c r="Z217" s="1496"/>
      <c r="AA217" s="1149"/>
      <c r="AB217" s="954"/>
      <c r="AC217" s="1270"/>
      <c r="AD217" s="1270"/>
      <c r="AE217" s="1534"/>
      <c r="AF217" s="1534"/>
      <c r="AG217" s="1217"/>
      <c r="AH217" s="956"/>
      <c r="AI217" s="1335"/>
      <c r="AJ217" s="1335"/>
      <c r="AK217" s="1335"/>
      <c r="AL217" s="1496"/>
      <c r="AM217" s="1496"/>
      <c r="AN217" s="1496"/>
      <c r="AO217" s="1149"/>
      <c r="AP217" s="1104"/>
      <c r="AQ217" s="1223"/>
      <c r="AR217" s="1048"/>
      <c r="AS217" s="1553"/>
      <c r="AT217" s="1603"/>
      <c r="AU217" s="1561">
        <f t="shared" si="134"/>
        <v>0</v>
      </c>
      <c r="AV217" s="1447">
        <f t="shared" si="135"/>
        <v>0</v>
      </c>
      <c r="AW217" s="1447">
        <f t="shared" si="136"/>
        <v>0</v>
      </c>
      <c r="AX217" s="1450">
        <f t="shared" si="69"/>
        <v>0</v>
      </c>
      <c r="AY217" s="1393">
        <f t="shared" si="130"/>
        <v>4600</v>
      </c>
      <c r="AZ217" s="1247">
        <f t="shared" si="131"/>
        <v>0</v>
      </c>
      <c r="BA217" s="1247">
        <f t="shared" si="132"/>
        <v>0</v>
      </c>
      <c r="BB217" s="1385">
        <f t="shared" si="133"/>
        <v>4600</v>
      </c>
    </row>
    <row r="218" spans="1:54" ht="26.4" x14ac:dyDescent="0.3">
      <c r="A218" s="1216"/>
      <c r="B218" s="956"/>
      <c r="C218" s="1335"/>
      <c r="D218" s="1496"/>
      <c r="E218" s="1217"/>
      <c r="F218" s="956"/>
      <c r="G218" s="1335"/>
      <c r="H218" s="1496"/>
      <c r="I218" s="1217"/>
      <c r="J218" s="956"/>
      <c r="K218" s="1335"/>
      <c r="L218" s="1496"/>
      <c r="M218" s="1217"/>
      <c r="N218" s="1283" t="s">
        <v>2015</v>
      </c>
      <c r="O218" s="1247"/>
      <c r="P218" s="1247"/>
      <c r="Q218" s="1247"/>
      <c r="R218" s="1424"/>
      <c r="S218" s="1424"/>
      <c r="T218" s="1424"/>
      <c r="U218" s="1223">
        <v>5000</v>
      </c>
      <c r="V218" s="1487"/>
      <c r="W218" s="1335"/>
      <c r="X218" s="1496"/>
      <c r="Y218" s="1335"/>
      <c r="Z218" s="1496"/>
      <c r="AA218" s="1149"/>
      <c r="AB218" s="954"/>
      <c r="AC218" s="1270"/>
      <c r="AD218" s="1270"/>
      <c r="AE218" s="1534"/>
      <c r="AF218" s="1534"/>
      <c r="AG218" s="1217"/>
      <c r="AH218" s="956"/>
      <c r="AI218" s="1335"/>
      <c r="AJ218" s="1335"/>
      <c r="AK218" s="1335"/>
      <c r="AL218" s="1496"/>
      <c r="AM218" s="1496"/>
      <c r="AN218" s="1496"/>
      <c r="AO218" s="1149"/>
      <c r="AP218" s="1104"/>
      <c r="AQ218" s="1223"/>
      <c r="AR218" s="1048"/>
      <c r="AS218" s="1553"/>
      <c r="AT218" s="1603"/>
      <c r="AU218" s="1561">
        <f t="shared" si="134"/>
        <v>0</v>
      </c>
      <c r="AV218" s="1447">
        <f t="shared" si="135"/>
        <v>0</v>
      </c>
      <c r="AW218" s="1447">
        <f t="shared" si="136"/>
        <v>0</v>
      </c>
      <c r="AX218" s="1450">
        <f t="shared" si="69"/>
        <v>0</v>
      </c>
      <c r="AY218" s="1393">
        <f t="shared" si="130"/>
        <v>5000</v>
      </c>
      <c r="AZ218" s="1247">
        <f t="shared" si="131"/>
        <v>0</v>
      </c>
      <c r="BA218" s="1247">
        <f t="shared" si="132"/>
        <v>0</v>
      </c>
      <c r="BB218" s="1385">
        <f t="shared" si="133"/>
        <v>5000</v>
      </c>
    </row>
    <row r="219" spans="1:54" ht="15.6" x14ac:dyDescent="0.3">
      <c r="A219" s="1216"/>
      <c r="B219" s="956"/>
      <c r="C219" s="1335"/>
      <c r="D219" s="1496"/>
      <c r="E219" s="1217"/>
      <c r="F219" s="956"/>
      <c r="G219" s="1335"/>
      <c r="H219" s="1496"/>
      <c r="I219" s="1217"/>
      <c r="J219" s="956"/>
      <c r="K219" s="1335"/>
      <c r="L219" s="1496"/>
      <c r="M219" s="1217"/>
      <c r="N219" s="1284" t="s">
        <v>2283</v>
      </c>
      <c r="O219" s="1247"/>
      <c r="P219" s="1247"/>
      <c r="Q219" s="1247"/>
      <c r="R219" s="1424">
        <v>381</v>
      </c>
      <c r="S219" s="1424"/>
      <c r="T219" s="1424"/>
      <c r="U219" s="1223"/>
      <c r="V219" s="1487"/>
      <c r="W219" s="1335"/>
      <c r="X219" s="1496"/>
      <c r="Y219" s="1335"/>
      <c r="Z219" s="1496"/>
      <c r="AA219" s="1149"/>
      <c r="AB219" s="954"/>
      <c r="AC219" s="1270"/>
      <c r="AD219" s="1270"/>
      <c r="AE219" s="1534"/>
      <c r="AF219" s="1534"/>
      <c r="AG219" s="1217"/>
      <c r="AH219" s="956"/>
      <c r="AI219" s="1335"/>
      <c r="AJ219" s="1335"/>
      <c r="AK219" s="1335"/>
      <c r="AL219" s="1496"/>
      <c r="AM219" s="1496"/>
      <c r="AN219" s="1496"/>
      <c r="AO219" s="1149"/>
      <c r="AP219" s="1104"/>
      <c r="AQ219" s="1223"/>
      <c r="AR219" s="1048"/>
      <c r="AS219" s="1553"/>
      <c r="AT219" s="1603"/>
      <c r="AU219" s="1561">
        <f t="shared" si="134"/>
        <v>381</v>
      </c>
      <c r="AV219" s="1447">
        <f t="shared" si="135"/>
        <v>0</v>
      </c>
      <c r="AW219" s="1447">
        <f t="shared" si="136"/>
        <v>0</v>
      </c>
      <c r="AX219" s="1450">
        <f t="shared" si="69"/>
        <v>381</v>
      </c>
      <c r="AY219" s="1393">
        <f t="shared" si="130"/>
        <v>0</v>
      </c>
      <c r="AZ219" s="1247">
        <f t="shared" si="131"/>
        <v>0</v>
      </c>
      <c r="BA219" s="1247">
        <f t="shared" si="132"/>
        <v>0</v>
      </c>
      <c r="BB219" s="1385">
        <f t="shared" si="133"/>
        <v>0</v>
      </c>
    </row>
    <row r="220" spans="1:54" ht="15.6" x14ac:dyDescent="0.3">
      <c r="A220" s="1216"/>
      <c r="B220" s="956"/>
      <c r="C220" s="1335"/>
      <c r="D220" s="1496"/>
      <c r="E220" s="1217"/>
      <c r="F220" s="956"/>
      <c r="G220" s="1335"/>
      <c r="H220" s="1496"/>
      <c r="I220" s="1217"/>
      <c r="J220" s="956"/>
      <c r="K220" s="1335"/>
      <c r="L220" s="1496"/>
      <c r="M220" s="1217"/>
      <c r="N220" s="1284" t="s">
        <v>2284</v>
      </c>
      <c r="O220" s="1247"/>
      <c r="P220" s="1247"/>
      <c r="Q220" s="1247"/>
      <c r="R220" s="1424">
        <v>5000</v>
      </c>
      <c r="S220" s="1424"/>
      <c r="T220" s="1424"/>
      <c r="U220" s="1223"/>
      <c r="V220" s="1487"/>
      <c r="W220" s="1335"/>
      <c r="X220" s="1496"/>
      <c r="Y220" s="1335"/>
      <c r="Z220" s="1496"/>
      <c r="AA220" s="1149"/>
      <c r="AB220" s="954"/>
      <c r="AC220" s="1270"/>
      <c r="AD220" s="1270"/>
      <c r="AE220" s="1534"/>
      <c r="AF220" s="1534"/>
      <c r="AG220" s="1217"/>
      <c r="AH220" s="956"/>
      <c r="AI220" s="1335"/>
      <c r="AJ220" s="1335"/>
      <c r="AK220" s="1335"/>
      <c r="AL220" s="1496"/>
      <c r="AM220" s="1496"/>
      <c r="AN220" s="1496"/>
      <c r="AO220" s="1149"/>
      <c r="AP220" s="1104"/>
      <c r="AQ220" s="1223"/>
      <c r="AR220" s="1048"/>
      <c r="AS220" s="1553"/>
      <c r="AT220" s="1603"/>
      <c r="AU220" s="1561">
        <f t="shared" si="134"/>
        <v>5000</v>
      </c>
      <c r="AV220" s="1447">
        <f t="shared" si="135"/>
        <v>0</v>
      </c>
      <c r="AW220" s="1447">
        <f t="shared" si="136"/>
        <v>0</v>
      </c>
      <c r="AX220" s="1450">
        <f t="shared" si="69"/>
        <v>5000</v>
      </c>
      <c r="AY220" s="1393">
        <f t="shared" si="130"/>
        <v>0</v>
      </c>
      <c r="AZ220" s="1247">
        <f t="shared" si="131"/>
        <v>0</v>
      </c>
      <c r="BA220" s="1247">
        <f t="shared" si="132"/>
        <v>0</v>
      </c>
      <c r="BB220" s="1385">
        <f t="shared" si="133"/>
        <v>0</v>
      </c>
    </row>
    <row r="221" spans="1:54" ht="15.6" x14ac:dyDescent="0.3">
      <c r="A221" s="1216"/>
      <c r="B221" s="956"/>
      <c r="C221" s="1335"/>
      <c r="D221" s="1496"/>
      <c r="E221" s="1217"/>
      <c r="F221" s="956"/>
      <c r="G221" s="1335"/>
      <c r="H221" s="1496"/>
      <c r="I221" s="1217"/>
      <c r="J221" s="956"/>
      <c r="K221" s="1335"/>
      <c r="L221" s="1496"/>
      <c r="M221" s="1217"/>
      <c r="N221" s="1284"/>
      <c r="O221" s="1247"/>
      <c r="P221" s="1247"/>
      <c r="Q221" s="1247"/>
      <c r="R221" s="1424"/>
      <c r="S221" s="1424"/>
      <c r="T221" s="1424"/>
      <c r="U221" s="1223"/>
      <c r="V221" s="1487"/>
      <c r="W221" s="1335"/>
      <c r="X221" s="1496"/>
      <c r="Y221" s="1335"/>
      <c r="Z221" s="1496"/>
      <c r="AA221" s="1149"/>
      <c r="AB221" s="954"/>
      <c r="AC221" s="1270"/>
      <c r="AD221" s="1270"/>
      <c r="AE221" s="1534"/>
      <c r="AF221" s="1534"/>
      <c r="AG221" s="1217"/>
      <c r="AH221" s="956"/>
      <c r="AI221" s="1335"/>
      <c r="AJ221" s="1335"/>
      <c r="AK221" s="1335"/>
      <c r="AL221" s="1496"/>
      <c r="AM221" s="1496"/>
      <c r="AN221" s="1496"/>
      <c r="AO221" s="1149"/>
      <c r="AP221" s="1104"/>
      <c r="AQ221" s="1223"/>
      <c r="AR221" s="1048"/>
      <c r="AS221" s="1553"/>
      <c r="AT221" s="1603"/>
      <c r="AU221" s="1561">
        <f t="shared" si="134"/>
        <v>0</v>
      </c>
      <c r="AV221" s="1447">
        <f t="shared" si="135"/>
        <v>0</v>
      </c>
      <c r="AW221" s="1447">
        <f t="shared" si="136"/>
        <v>0</v>
      </c>
      <c r="AX221" s="1450">
        <f t="shared" si="69"/>
        <v>0</v>
      </c>
      <c r="AY221" s="1393">
        <f t="shared" si="130"/>
        <v>0</v>
      </c>
      <c r="AZ221" s="1247">
        <f t="shared" si="131"/>
        <v>0</v>
      </c>
      <c r="BA221" s="1247">
        <f t="shared" si="132"/>
        <v>0</v>
      </c>
      <c r="BB221" s="1385">
        <f t="shared" si="133"/>
        <v>0</v>
      </c>
    </row>
    <row r="222" spans="1:54" ht="29.25" customHeight="1" x14ac:dyDescent="0.3">
      <c r="A222" s="1216"/>
      <c r="B222" s="956"/>
      <c r="C222" s="1335"/>
      <c r="D222" s="1496"/>
      <c r="E222" s="1217"/>
      <c r="F222" s="956"/>
      <c r="G222" s="1335"/>
      <c r="H222" s="1496"/>
      <c r="I222" s="1217"/>
      <c r="J222" s="956"/>
      <c r="K222" s="1335"/>
      <c r="L222" s="1496"/>
      <c r="M222" s="1217"/>
      <c r="N222" s="1284"/>
      <c r="O222" s="1247"/>
      <c r="P222" s="1247"/>
      <c r="Q222" s="1247"/>
      <c r="R222" s="1424"/>
      <c r="S222" s="1424"/>
      <c r="T222" s="1424"/>
      <c r="U222" s="1223"/>
      <c r="V222" s="1487"/>
      <c r="W222" s="1335"/>
      <c r="X222" s="1496"/>
      <c r="Y222" s="1335"/>
      <c r="Z222" s="1496"/>
      <c r="AA222" s="1149"/>
      <c r="AB222" s="954"/>
      <c r="AC222" s="1270"/>
      <c r="AD222" s="1270"/>
      <c r="AE222" s="1534"/>
      <c r="AF222" s="1534"/>
      <c r="AG222" s="1217"/>
      <c r="AH222" s="956"/>
      <c r="AI222" s="1335"/>
      <c r="AJ222" s="1335"/>
      <c r="AK222" s="1335"/>
      <c r="AL222" s="1496"/>
      <c r="AM222" s="1496"/>
      <c r="AN222" s="1496"/>
      <c r="AO222" s="1149"/>
      <c r="AP222" s="1105"/>
      <c r="AQ222" s="1223"/>
      <c r="AR222" s="1048"/>
      <c r="AS222" s="1553"/>
      <c r="AT222" s="1603"/>
      <c r="AU222" s="1561">
        <f t="shared" si="134"/>
        <v>0</v>
      </c>
      <c r="AV222" s="1447">
        <f t="shared" si="135"/>
        <v>0</v>
      </c>
      <c r="AW222" s="1447">
        <f t="shared" si="136"/>
        <v>0</v>
      </c>
      <c r="AX222" s="1450">
        <f t="shared" si="69"/>
        <v>0</v>
      </c>
      <c r="AY222" s="1393">
        <f t="shared" si="130"/>
        <v>0</v>
      </c>
      <c r="AZ222" s="1247">
        <f t="shared" si="131"/>
        <v>0</v>
      </c>
      <c r="BA222" s="1247">
        <f t="shared" si="132"/>
        <v>0</v>
      </c>
      <c r="BB222" s="1385">
        <f t="shared" si="133"/>
        <v>0</v>
      </c>
    </row>
    <row r="223" spans="1:54" ht="15.6" x14ac:dyDescent="0.3">
      <c r="A223" s="1216"/>
      <c r="B223" s="956"/>
      <c r="C223" s="1335"/>
      <c r="D223" s="1496"/>
      <c r="E223" s="1217"/>
      <c r="F223" s="956"/>
      <c r="G223" s="1335"/>
      <c r="H223" s="1496"/>
      <c r="I223" s="1217"/>
      <c r="J223" s="956"/>
      <c r="K223" s="1335"/>
      <c r="L223" s="1496"/>
      <c r="M223" s="1217"/>
      <c r="N223" s="1284"/>
      <c r="O223" s="1247"/>
      <c r="P223" s="1247"/>
      <c r="Q223" s="1247"/>
      <c r="R223" s="1424"/>
      <c r="S223" s="1424"/>
      <c r="T223" s="1424"/>
      <c r="U223" s="1223"/>
      <c r="V223" s="1487"/>
      <c r="W223" s="1335"/>
      <c r="X223" s="1496"/>
      <c r="Y223" s="1335"/>
      <c r="Z223" s="1496"/>
      <c r="AA223" s="1149"/>
      <c r="AB223" s="954"/>
      <c r="AC223" s="1270"/>
      <c r="AD223" s="1270"/>
      <c r="AE223" s="1534"/>
      <c r="AF223" s="1534"/>
      <c r="AG223" s="1217"/>
      <c r="AH223" s="956"/>
      <c r="AI223" s="1335"/>
      <c r="AJ223" s="1335"/>
      <c r="AK223" s="1335"/>
      <c r="AL223" s="1496"/>
      <c r="AM223" s="1496"/>
      <c r="AN223" s="1496"/>
      <c r="AO223" s="1149"/>
      <c r="AP223" s="1104"/>
      <c r="AQ223" s="1223"/>
      <c r="AR223" s="1048"/>
      <c r="AS223" s="1553"/>
      <c r="AT223" s="1603"/>
      <c r="AU223" s="1561">
        <f t="shared" si="134"/>
        <v>0</v>
      </c>
      <c r="AV223" s="1447">
        <f t="shared" si="135"/>
        <v>0</v>
      </c>
      <c r="AW223" s="1447">
        <f t="shared" si="136"/>
        <v>0</v>
      </c>
      <c r="AX223" s="1450">
        <f t="shared" si="69"/>
        <v>0</v>
      </c>
      <c r="AY223" s="1393">
        <f t="shared" si="130"/>
        <v>0</v>
      </c>
      <c r="AZ223" s="1247">
        <f t="shared" si="131"/>
        <v>0</v>
      </c>
      <c r="BA223" s="1247">
        <f t="shared" si="132"/>
        <v>0</v>
      </c>
      <c r="BB223" s="1385">
        <f t="shared" si="133"/>
        <v>0</v>
      </c>
    </row>
    <row r="224" spans="1:54" ht="15.6" x14ac:dyDescent="0.3">
      <c r="A224" s="1216"/>
      <c r="B224" s="956"/>
      <c r="C224" s="1335"/>
      <c r="D224" s="1496"/>
      <c r="E224" s="1217"/>
      <c r="F224" s="956"/>
      <c r="G224" s="1335"/>
      <c r="H224" s="1496"/>
      <c r="I224" s="1217"/>
      <c r="J224" s="956"/>
      <c r="K224" s="1335"/>
      <c r="L224" s="1496"/>
      <c r="M224" s="1217"/>
      <c r="N224" s="1285"/>
      <c r="O224" s="1247"/>
      <c r="P224" s="1247"/>
      <c r="Q224" s="1247"/>
      <c r="R224" s="1424"/>
      <c r="S224" s="1424"/>
      <c r="T224" s="1424"/>
      <c r="U224" s="1223"/>
      <c r="V224" s="1487"/>
      <c r="W224" s="1335"/>
      <c r="X224" s="1496"/>
      <c r="Y224" s="1335"/>
      <c r="Z224" s="1496"/>
      <c r="AA224" s="1149"/>
      <c r="AB224" s="954"/>
      <c r="AC224" s="1270"/>
      <c r="AD224" s="1270"/>
      <c r="AE224" s="1534"/>
      <c r="AF224" s="1534"/>
      <c r="AG224" s="1217"/>
      <c r="AH224" s="956"/>
      <c r="AI224" s="1335"/>
      <c r="AJ224" s="1335"/>
      <c r="AK224" s="1335"/>
      <c r="AL224" s="1496"/>
      <c r="AM224" s="1496"/>
      <c r="AN224" s="1496"/>
      <c r="AO224" s="1149"/>
      <c r="AP224" s="1104"/>
      <c r="AQ224" s="1368"/>
      <c r="AR224" s="1048"/>
      <c r="AS224" s="1553"/>
      <c r="AT224" s="1603"/>
      <c r="AU224" s="1561">
        <f t="shared" si="134"/>
        <v>0</v>
      </c>
      <c r="AV224" s="1447">
        <f t="shared" si="135"/>
        <v>0</v>
      </c>
      <c r="AW224" s="1447">
        <f t="shared" si="136"/>
        <v>0</v>
      </c>
      <c r="AX224" s="1450">
        <f t="shared" si="69"/>
        <v>0</v>
      </c>
      <c r="AY224" s="1393">
        <f t="shared" si="130"/>
        <v>0</v>
      </c>
      <c r="AZ224" s="1247">
        <f t="shared" si="131"/>
        <v>0</v>
      </c>
      <c r="BA224" s="1247">
        <f t="shared" si="132"/>
        <v>0</v>
      </c>
      <c r="BB224" s="1385">
        <f t="shared" si="133"/>
        <v>0</v>
      </c>
    </row>
    <row r="225" spans="1:54" ht="15.6" x14ac:dyDescent="0.3">
      <c r="A225" s="1216"/>
      <c r="B225" s="956"/>
      <c r="C225" s="1335"/>
      <c r="D225" s="1496"/>
      <c r="E225" s="1217"/>
      <c r="F225" s="956"/>
      <c r="G225" s="1335"/>
      <c r="H225" s="1496"/>
      <c r="I225" s="1217"/>
      <c r="J225" s="956"/>
      <c r="K225" s="1335"/>
      <c r="L225" s="1496"/>
      <c r="M225" s="1217"/>
      <c r="N225" s="1284"/>
      <c r="O225" s="1247"/>
      <c r="P225" s="1247"/>
      <c r="Q225" s="1247"/>
      <c r="R225" s="1424"/>
      <c r="S225" s="1424"/>
      <c r="T225" s="1424"/>
      <c r="U225" s="1223"/>
      <c r="V225" s="1487"/>
      <c r="W225" s="1335"/>
      <c r="X225" s="1496"/>
      <c r="Y225" s="1335"/>
      <c r="Z225" s="1496"/>
      <c r="AA225" s="1149"/>
      <c r="AB225" s="954"/>
      <c r="AC225" s="1270"/>
      <c r="AD225" s="1270"/>
      <c r="AE225" s="1534"/>
      <c r="AF225" s="1534"/>
      <c r="AG225" s="1217"/>
      <c r="AH225" s="956"/>
      <c r="AI225" s="1335"/>
      <c r="AJ225" s="1335"/>
      <c r="AK225" s="1335"/>
      <c r="AL225" s="1496"/>
      <c r="AM225" s="1496"/>
      <c r="AN225" s="1496"/>
      <c r="AO225" s="1149"/>
      <c r="AP225" s="1104"/>
      <c r="AQ225" s="1223"/>
      <c r="AR225" s="1048"/>
      <c r="AS225" s="1553"/>
      <c r="AT225" s="1603"/>
      <c r="AU225" s="1561">
        <f t="shared" si="134"/>
        <v>0</v>
      </c>
      <c r="AV225" s="1447">
        <f t="shared" si="135"/>
        <v>0</v>
      </c>
      <c r="AW225" s="1447">
        <f t="shared" si="136"/>
        <v>0</v>
      </c>
      <c r="AX225" s="1450">
        <f t="shared" si="69"/>
        <v>0</v>
      </c>
      <c r="AY225" s="1393">
        <f t="shared" si="130"/>
        <v>0</v>
      </c>
      <c r="AZ225" s="1247">
        <f t="shared" si="131"/>
        <v>0</v>
      </c>
      <c r="BA225" s="1247">
        <f t="shared" si="132"/>
        <v>0</v>
      </c>
      <c r="BB225" s="1385">
        <f t="shared" si="133"/>
        <v>0</v>
      </c>
    </row>
    <row r="226" spans="1:54" ht="15.6" x14ac:dyDescent="0.3">
      <c r="A226" s="1216"/>
      <c r="B226" s="956"/>
      <c r="C226" s="1335"/>
      <c r="D226" s="1496"/>
      <c r="E226" s="1217"/>
      <c r="F226" s="956"/>
      <c r="G226" s="1335"/>
      <c r="H226" s="1496"/>
      <c r="I226" s="1217"/>
      <c r="J226" s="956"/>
      <c r="K226" s="1335"/>
      <c r="L226" s="1496"/>
      <c r="M226" s="1217"/>
      <c r="N226" s="954"/>
      <c r="O226" s="1247"/>
      <c r="P226" s="1247"/>
      <c r="Q226" s="1247"/>
      <c r="R226" s="1424"/>
      <c r="S226" s="1424"/>
      <c r="T226" s="1424"/>
      <c r="U226" s="1223"/>
      <c r="V226" s="1487"/>
      <c r="W226" s="1335"/>
      <c r="X226" s="1496"/>
      <c r="Y226" s="1335"/>
      <c r="Z226" s="1496"/>
      <c r="AA226" s="1149"/>
      <c r="AB226" s="954"/>
      <c r="AC226" s="1270"/>
      <c r="AD226" s="1270"/>
      <c r="AE226" s="1534"/>
      <c r="AF226" s="1534"/>
      <c r="AG226" s="1217"/>
      <c r="AH226" s="956"/>
      <c r="AI226" s="1335"/>
      <c r="AJ226" s="1335"/>
      <c r="AK226" s="1335"/>
      <c r="AL226" s="1496"/>
      <c r="AM226" s="1496"/>
      <c r="AN226" s="1496"/>
      <c r="AO226" s="1149"/>
      <c r="AP226" s="954"/>
      <c r="AQ226" s="1048"/>
      <c r="AR226" s="1048"/>
      <c r="AS226" s="1553"/>
      <c r="AT226" s="1603"/>
      <c r="AU226" s="1561">
        <f t="shared" si="134"/>
        <v>0</v>
      </c>
      <c r="AV226" s="1447">
        <f t="shared" si="135"/>
        <v>0</v>
      </c>
      <c r="AW226" s="1447">
        <f t="shared" si="136"/>
        <v>0</v>
      </c>
      <c r="AX226" s="1450">
        <f t="shared" si="69"/>
        <v>0</v>
      </c>
      <c r="AY226" s="1393">
        <f t="shared" si="130"/>
        <v>0</v>
      </c>
      <c r="AZ226" s="1247">
        <f t="shared" si="131"/>
        <v>0</v>
      </c>
      <c r="BA226" s="1247">
        <f t="shared" si="132"/>
        <v>0</v>
      </c>
      <c r="BB226" s="1385">
        <f t="shared" si="133"/>
        <v>0</v>
      </c>
    </row>
    <row r="227" spans="1:54" ht="15.6" x14ac:dyDescent="0.3">
      <c r="A227" s="1216"/>
      <c r="B227" s="956"/>
      <c r="C227" s="1335"/>
      <c r="D227" s="1496"/>
      <c r="E227" s="1217"/>
      <c r="F227" s="956"/>
      <c r="G227" s="1335"/>
      <c r="H227" s="1496"/>
      <c r="I227" s="1217"/>
      <c r="J227" s="956"/>
      <c r="K227" s="1335"/>
      <c r="L227" s="1496"/>
      <c r="M227" s="1217"/>
      <c r="N227" s="954"/>
      <c r="O227" s="1247"/>
      <c r="P227" s="1247"/>
      <c r="Q227" s="1247"/>
      <c r="R227" s="1424"/>
      <c r="S227" s="1424"/>
      <c r="T227" s="1424"/>
      <c r="U227" s="1223"/>
      <c r="V227" s="1487"/>
      <c r="W227" s="1335"/>
      <c r="X227" s="1496"/>
      <c r="Y227" s="1335"/>
      <c r="Z227" s="1496"/>
      <c r="AA227" s="1149"/>
      <c r="AB227" s="954"/>
      <c r="AC227" s="1270"/>
      <c r="AD227" s="1270"/>
      <c r="AE227" s="1534"/>
      <c r="AF227" s="1534"/>
      <c r="AG227" s="1217"/>
      <c r="AH227" s="956"/>
      <c r="AI227" s="1335"/>
      <c r="AJ227" s="1335"/>
      <c r="AK227" s="1335"/>
      <c r="AL227" s="1496"/>
      <c r="AM227" s="1496"/>
      <c r="AN227" s="1496"/>
      <c r="AO227" s="1149"/>
      <c r="AP227" s="954"/>
      <c r="AQ227" s="1048"/>
      <c r="AR227" s="1048"/>
      <c r="AS227" s="1553"/>
      <c r="AT227" s="1603"/>
      <c r="AU227" s="1561">
        <f t="shared" si="134"/>
        <v>0</v>
      </c>
      <c r="AV227" s="1447">
        <f t="shared" si="135"/>
        <v>0</v>
      </c>
      <c r="AW227" s="1447">
        <f t="shared" si="136"/>
        <v>0</v>
      </c>
      <c r="AX227" s="1450">
        <f t="shared" si="69"/>
        <v>0</v>
      </c>
      <c r="AY227" s="1393">
        <f t="shared" si="130"/>
        <v>0</v>
      </c>
      <c r="AZ227" s="1247">
        <f t="shared" si="131"/>
        <v>0</v>
      </c>
      <c r="BA227" s="1247">
        <f t="shared" si="132"/>
        <v>0</v>
      </c>
      <c r="BB227" s="1385">
        <f t="shared" si="133"/>
        <v>0</v>
      </c>
    </row>
    <row r="228" spans="1:54" ht="15.6" x14ac:dyDescent="0.3">
      <c r="A228" s="1216"/>
      <c r="B228" s="956"/>
      <c r="C228" s="1335"/>
      <c r="D228" s="1496"/>
      <c r="E228" s="1217"/>
      <c r="F228" s="956"/>
      <c r="G228" s="1335"/>
      <c r="H228" s="1496"/>
      <c r="I228" s="1217"/>
      <c r="J228" s="956"/>
      <c r="K228" s="1335"/>
      <c r="L228" s="1496"/>
      <c r="M228" s="1217"/>
      <c r="N228" s="954"/>
      <c r="O228" s="1247"/>
      <c r="P228" s="1247"/>
      <c r="Q228" s="1247"/>
      <c r="R228" s="1424"/>
      <c r="S228" s="1424"/>
      <c r="T228" s="1424"/>
      <c r="U228" s="1335"/>
      <c r="V228" s="1496"/>
      <c r="W228" s="1335"/>
      <c r="X228" s="1496"/>
      <c r="Y228" s="1335"/>
      <c r="Z228" s="1496"/>
      <c r="AA228" s="1149"/>
      <c r="AB228" s="954"/>
      <c r="AC228" s="1270"/>
      <c r="AD228" s="1270"/>
      <c r="AE228" s="1534"/>
      <c r="AF228" s="1534"/>
      <c r="AG228" s="1217"/>
      <c r="AH228" s="956"/>
      <c r="AI228" s="1335"/>
      <c r="AJ228" s="1335"/>
      <c r="AK228" s="1335"/>
      <c r="AL228" s="1496"/>
      <c r="AM228" s="1496"/>
      <c r="AN228" s="1496"/>
      <c r="AO228" s="1149"/>
      <c r="AP228" s="954"/>
      <c r="AQ228" s="1048"/>
      <c r="AR228" s="1048"/>
      <c r="AS228" s="1553"/>
      <c r="AT228" s="1603"/>
      <c r="AU228" s="1561">
        <f t="shared" si="134"/>
        <v>0</v>
      </c>
      <c r="AV228" s="1447">
        <f t="shared" si="135"/>
        <v>0</v>
      </c>
      <c r="AW228" s="1447">
        <f t="shared" si="136"/>
        <v>0</v>
      </c>
      <c r="AX228" s="1450">
        <f t="shared" si="69"/>
        <v>0</v>
      </c>
      <c r="AY228" s="1393">
        <f t="shared" si="130"/>
        <v>0</v>
      </c>
      <c r="AZ228" s="1247">
        <f t="shared" si="131"/>
        <v>0</v>
      </c>
      <c r="BA228" s="1247">
        <f t="shared" si="132"/>
        <v>0</v>
      </c>
      <c r="BB228" s="1385">
        <f t="shared" si="133"/>
        <v>0</v>
      </c>
    </row>
    <row r="229" spans="1:54" ht="15.6" x14ac:dyDescent="0.3">
      <c r="A229" s="1216"/>
      <c r="B229" s="956"/>
      <c r="C229" s="1335"/>
      <c r="D229" s="1496"/>
      <c r="E229" s="1217"/>
      <c r="F229" s="956"/>
      <c r="G229" s="1335"/>
      <c r="H229" s="1496"/>
      <c r="I229" s="1217"/>
      <c r="J229" s="956"/>
      <c r="K229" s="1335"/>
      <c r="L229" s="1496"/>
      <c r="M229" s="1217"/>
      <c r="N229" s="954"/>
      <c r="O229" s="1247"/>
      <c r="P229" s="1247"/>
      <c r="Q229" s="1247"/>
      <c r="R229" s="1424"/>
      <c r="S229" s="1424"/>
      <c r="T229" s="1424"/>
      <c r="U229" s="1335"/>
      <c r="V229" s="1496"/>
      <c r="W229" s="1335"/>
      <c r="X229" s="1496"/>
      <c r="Y229" s="1335"/>
      <c r="Z229" s="1496"/>
      <c r="AA229" s="1149"/>
      <c r="AB229" s="954"/>
      <c r="AC229" s="1270"/>
      <c r="AD229" s="1270"/>
      <c r="AE229" s="1534"/>
      <c r="AF229" s="1534"/>
      <c r="AG229" s="1217"/>
      <c r="AH229" s="956"/>
      <c r="AI229" s="1335"/>
      <c r="AJ229" s="1335"/>
      <c r="AK229" s="1335"/>
      <c r="AL229" s="1496"/>
      <c r="AM229" s="1496"/>
      <c r="AN229" s="1496"/>
      <c r="AO229" s="1149"/>
      <c r="AP229" s="954"/>
      <c r="AQ229" s="1048"/>
      <c r="AR229" s="1048"/>
      <c r="AS229" s="1553"/>
      <c r="AT229" s="1603"/>
      <c r="AU229" s="1561">
        <f t="shared" si="134"/>
        <v>0</v>
      </c>
      <c r="AV229" s="1447">
        <f t="shared" si="135"/>
        <v>0</v>
      </c>
      <c r="AW229" s="1447">
        <f t="shared" si="136"/>
        <v>0</v>
      </c>
      <c r="AX229" s="1450">
        <f t="shared" si="69"/>
        <v>0</v>
      </c>
      <c r="AY229" s="1393">
        <f t="shared" si="130"/>
        <v>0</v>
      </c>
      <c r="AZ229" s="1247">
        <f t="shared" si="131"/>
        <v>0</v>
      </c>
      <c r="BA229" s="1247">
        <f t="shared" si="132"/>
        <v>0</v>
      </c>
      <c r="BB229" s="1385">
        <f t="shared" si="133"/>
        <v>0</v>
      </c>
    </row>
    <row r="230" spans="1:54" ht="15.6" x14ac:dyDescent="0.3">
      <c r="A230" s="1216"/>
      <c r="B230" s="956"/>
      <c r="C230" s="1335"/>
      <c r="D230" s="1496"/>
      <c r="E230" s="1217"/>
      <c r="F230" s="956"/>
      <c r="G230" s="1335"/>
      <c r="H230" s="1496"/>
      <c r="I230" s="1217"/>
      <c r="J230" s="956"/>
      <c r="K230" s="1335"/>
      <c r="L230" s="1496"/>
      <c r="M230" s="1217"/>
      <c r="N230" s="954"/>
      <c r="O230" s="1247"/>
      <c r="P230" s="1247"/>
      <c r="Q230" s="1247"/>
      <c r="R230" s="1424"/>
      <c r="S230" s="1424"/>
      <c r="T230" s="1424"/>
      <c r="U230" s="1335"/>
      <c r="V230" s="1496"/>
      <c r="W230" s="1335"/>
      <c r="X230" s="1496"/>
      <c r="Y230" s="1335"/>
      <c r="Z230" s="1496"/>
      <c r="AA230" s="1149"/>
      <c r="AB230" s="954"/>
      <c r="AC230" s="1270"/>
      <c r="AD230" s="1270"/>
      <c r="AE230" s="1534"/>
      <c r="AF230" s="1534"/>
      <c r="AG230" s="1217"/>
      <c r="AH230" s="956"/>
      <c r="AI230" s="1335"/>
      <c r="AJ230" s="1335"/>
      <c r="AK230" s="1335"/>
      <c r="AL230" s="1496"/>
      <c r="AM230" s="1496"/>
      <c r="AN230" s="1496"/>
      <c r="AO230" s="1149"/>
      <c r="AP230" s="954"/>
      <c r="AQ230" s="1048"/>
      <c r="AR230" s="1048"/>
      <c r="AS230" s="1553"/>
      <c r="AT230" s="1603"/>
      <c r="AU230" s="1561">
        <f t="shared" si="134"/>
        <v>0</v>
      </c>
      <c r="AV230" s="1447">
        <f t="shared" si="135"/>
        <v>0</v>
      </c>
      <c r="AW230" s="1447">
        <f t="shared" si="136"/>
        <v>0</v>
      </c>
      <c r="AX230" s="1450">
        <f t="shared" si="69"/>
        <v>0</v>
      </c>
      <c r="AY230" s="1393">
        <f t="shared" si="130"/>
        <v>0</v>
      </c>
      <c r="AZ230" s="1247">
        <f t="shared" si="131"/>
        <v>0</v>
      </c>
      <c r="BA230" s="1247">
        <f t="shared" si="132"/>
        <v>0</v>
      </c>
      <c r="BB230" s="1385">
        <f t="shared" si="133"/>
        <v>0</v>
      </c>
    </row>
    <row r="231" spans="1:54" ht="16.2" thickBot="1" x14ac:dyDescent="0.35">
      <c r="A231" s="1225"/>
      <c r="B231" s="961"/>
      <c r="C231" s="1336"/>
      <c r="D231" s="1497"/>
      <c r="E231" s="1227"/>
      <c r="F231" s="961"/>
      <c r="G231" s="1336"/>
      <c r="H231" s="1497"/>
      <c r="I231" s="1227"/>
      <c r="J231" s="961"/>
      <c r="K231" s="1336"/>
      <c r="L231" s="1497"/>
      <c r="M231" s="1227"/>
      <c r="N231" s="959"/>
      <c r="O231" s="1254"/>
      <c r="P231" s="1254"/>
      <c r="Q231" s="1254"/>
      <c r="R231" s="1425"/>
      <c r="S231" s="1425"/>
      <c r="T231" s="1425"/>
      <c r="U231" s="1336"/>
      <c r="V231" s="1497"/>
      <c r="W231" s="1336"/>
      <c r="X231" s="1497"/>
      <c r="Y231" s="1336"/>
      <c r="Z231" s="1497"/>
      <c r="AA231" s="1040"/>
      <c r="AB231" s="959"/>
      <c r="AC231" s="1271"/>
      <c r="AD231" s="1271"/>
      <c r="AE231" s="1535"/>
      <c r="AF231" s="1535"/>
      <c r="AG231" s="1227"/>
      <c r="AH231" s="961"/>
      <c r="AI231" s="1336"/>
      <c r="AJ231" s="1336"/>
      <c r="AK231" s="1336"/>
      <c r="AL231" s="1497"/>
      <c r="AM231" s="1497"/>
      <c r="AN231" s="1497"/>
      <c r="AO231" s="1040"/>
      <c r="AP231" s="959"/>
      <c r="AQ231" s="1101"/>
      <c r="AR231" s="1101"/>
      <c r="AS231" s="1554"/>
      <c r="AT231" s="1604"/>
      <c r="AU231" s="1561">
        <f t="shared" si="134"/>
        <v>0</v>
      </c>
      <c r="AV231" s="1447">
        <f t="shared" si="135"/>
        <v>0</v>
      </c>
      <c r="AW231" s="1447">
        <f t="shared" si="136"/>
        <v>0</v>
      </c>
      <c r="AX231" s="1462">
        <f t="shared" si="69"/>
        <v>0</v>
      </c>
      <c r="AY231" s="1393">
        <f t="shared" si="130"/>
        <v>0</v>
      </c>
      <c r="AZ231" s="1247">
        <f t="shared" si="131"/>
        <v>0</v>
      </c>
      <c r="BA231" s="1247">
        <f t="shared" si="132"/>
        <v>0</v>
      </c>
      <c r="BB231" s="1385">
        <f t="shared" si="133"/>
        <v>0</v>
      </c>
    </row>
    <row r="232" spans="1:54" s="1371" customFormat="1" ht="16.2" thickBot="1" x14ac:dyDescent="0.35">
      <c r="A232" s="1369"/>
      <c r="B232" s="1266" t="s">
        <v>1634</v>
      </c>
      <c r="C232" s="1375">
        <f>SUM(C201:C231)</f>
        <v>0</v>
      </c>
      <c r="D232" s="1429">
        <f>SUM(D201:D231)</f>
        <v>0</v>
      </c>
      <c r="E232" s="1233"/>
      <c r="F232" s="1266" t="s">
        <v>1634</v>
      </c>
      <c r="G232" s="1257">
        <f t="shared" ref="G232" si="137">SUM(G201:G231)</f>
        <v>0</v>
      </c>
      <c r="H232" s="1429">
        <f>SUM(H201:H231)</f>
        <v>0</v>
      </c>
      <c r="I232" s="1233"/>
      <c r="J232" s="1266" t="s">
        <v>1634</v>
      </c>
      <c r="K232" s="1257">
        <f t="shared" ref="K232" si="138">SUM(K201:K231)</f>
        <v>0</v>
      </c>
      <c r="L232" s="1429">
        <f>SUM(L201:L231)</f>
        <v>0</v>
      </c>
      <c r="M232" s="1233"/>
      <c r="N232" s="1266" t="s">
        <v>1634</v>
      </c>
      <c r="O232" s="1256">
        <f t="shared" ref="O232:Y232" si="139">SUM(O201:O231)</f>
        <v>29700</v>
      </c>
      <c r="P232" s="1256">
        <f t="shared" si="139"/>
        <v>0</v>
      </c>
      <c r="Q232" s="1256">
        <f t="shared" si="139"/>
        <v>0</v>
      </c>
      <c r="R232" s="1429">
        <f t="shared" si="139"/>
        <v>16381</v>
      </c>
      <c r="S232" s="1429">
        <f t="shared" si="139"/>
        <v>0</v>
      </c>
      <c r="T232" s="1429">
        <f t="shared" si="139"/>
        <v>0</v>
      </c>
      <c r="U232" s="1257">
        <f t="shared" si="139"/>
        <v>68450</v>
      </c>
      <c r="V232" s="1429">
        <f>SUM(V201:V231)</f>
        <v>35000</v>
      </c>
      <c r="W232" s="1257">
        <f t="shared" si="139"/>
        <v>0</v>
      </c>
      <c r="X232" s="1429">
        <f>SUM(X201:X231)</f>
        <v>0</v>
      </c>
      <c r="Y232" s="1257">
        <f t="shared" si="139"/>
        <v>0</v>
      </c>
      <c r="Z232" s="1429">
        <f>SUM(Z201:Z231)</f>
        <v>0</v>
      </c>
      <c r="AA232" s="1233"/>
      <c r="AB232" s="1266" t="s">
        <v>1634</v>
      </c>
      <c r="AC232" s="1256">
        <f t="shared" ref="AC232:AF232" si="140">SUM(AC201:AC231)</f>
        <v>0</v>
      </c>
      <c r="AD232" s="1256">
        <f t="shared" si="140"/>
        <v>0</v>
      </c>
      <c r="AE232" s="1429">
        <f t="shared" si="140"/>
        <v>0</v>
      </c>
      <c r="AF232" s="1429">
        <f t="shared" si="140"/>
        <v>0</v>
      </c>
      <c r="AG232" s="1233"/>
      <c r="AH232" s="1266" t="s">
        <v>1634</v>
      </c>
      <c r="AI232" s="1257">
        <f t="shared" ref="AI232:AN232" si="141">SUM(AI201:AI231)</f>
        <v>0</v>
      </c>
      <c r="AJ232" s="1257">
        <f t="shared" si="141"/>
        <v>0</v>
      </c>
      <c r="AK232" s="1257">
        <f t="shared" si="141"/>
        <v>0</v>
      </c>
      <c r="AL232" s="1429">
        <f t="shared" si="141"/>
        <v>0</v>
      </c>
      <c r="AM232" s="1429">
        <f t="shared" si="141"/>
        <v>0</v>
      </c>
      <c r="AN232" s="1429">
        <f t="shared" si="141"/>
        <v>0</v>
      </c>
      <c r="AO232" s="1233"/>
      <c r="AP232" s="1266" t="s">
        <v>1634</v>
      </c>
      <c r="AQ232" s="1257">
        <f t="shared" ref="AQ232:BB232" si="142">SUM(AQ201:AQ231)</f>
        <v>2000</v>
      </c>
      <c r="AR232" s="1257">
        <f t="shared" si="142"/>
        <v>0</v>
      </c>
      <c r="AS232" s="1429">
        <f t="shared" si="142"/>
        <v>2540</v>
      </c>
      <c r="AT232" s="1594">
        <f t="shared" si="142"/>
        <v>0</v>
      </c>
      <c r="AU232" s="1569">
        <f t="shared" si="142"/>
        <v>53921</v>
      </c>
      <c r="AV232" s="1451">
        <f t="shared" si="142"/>
        <v>0</v>
      </c>
      <c r="AW232" s="1451">
        <f t="shared" si="142"/>
        <v>0</v>
      </c>
      <c r="AX232" s="1452">
        <f t="shared" si="142"/>
        <v>53921</v>
      </c>
      <c r="AY232" s="1397">
        <f t="shared" si="142"/>
        <v>100150</v>
      </c>
      <c r="AZ232" s="1375">
        <f t="shared" si="142"/>
        <v>0</v>
      </c>
      <c r="BA232" s="1375">
        <f t="shared" si="142"/>
        <v>0</v>
      </c>
      <c r="BB232" s="1389">
        <f t="shared" si="142"/>
        <v>100150</v>
      </c>
    </row>
    <row r="233" spans="1:54" s="1371" customFormat="1" ht="15" customHeight="1" x14ac:dyDescent="0.3">
      <c r="A233" s="973"/>
      <c r="B233" s="1032" t="s">
        <v>108</v>
      </c>
      <c r="C233" s="1272"/>
      <c r="D233" s="1495"/>
      <c r="E233" s="974"/>
      <c r="F233" s="1032" t="s">
        <v>108</v>
      </c>
      <c r="G233" s="1272"/>
      <c r="H233" s="1495"/>
      <c r="I233" s="974"/>
      <c r="J233" s="1032" t="s">
        <v>108</v>
      </c>
      <c r="K233" s="1272"/>
      <c r="L233" s="1495"/>
      <c r="M233" s="974"/>
      <c r="N233" s="1032" t="s">
        <v>108</v>
      </c>
      <c r="O233" s="1269"/>
      <c r="P233" s="1269"/>
      <c r="Q233" s="1269"/>
      <c r="R233" s="1518"/>
      <c r="S233" s="1518"/>
      <c r="T233" s="1518"/>
      <c r="U233" s="1272"/>
      <c r="V233" s="1495"/>
      <c r="W233" s="1272"/>
      <c r="X233" s="1495"/>
      <c r="Y233" s="1272"/>
      <c r="Z233" s="1495"/>
      <c r="AA233" s="974"/>
      <c r="AB233" s="1032" t="s">
        <v>108</v>
      </c>
      <c r="AC233" s="1269"/>
      <c r="AD233" s="1269"/>
      <c r="AE233" s="1518"/>
      <c r="AF233" s="1518"/>
      <c r="AG233" s="974"/>
      <c r="AH233" s="1032" t="s">
        <v>108</v>
      </c>
      <c r="AI233" s="1272"/>
      <c r="AJ233" s="1272"/>
      <c r="AK233" s="1272"/>
      <c r="AL233" s="1495"/>
      <c r="AM233" s="1495"/>
      <c r="AN233" s="1495"/>
      <c r="AO233" s="974"/>
      <c r="AP233" s="1032" t="s">
        <v>108</v>
      </c>
      <c r="AQ233" s="1272"/>
      <c r="AR233" s="1272"/>
      <c r="AS233" s="1495"/>
      <c r="AT233" s="1605"/>
      <c r="AU233" s="1567"/>
      <c r="AV233" s="1459"/>
      <c r="AW233" s="1459"/>
      <c r="AX233" s="1460">
        <f t="shared" ref="AX233:AX276" si="143">SUM(AU233:AW233)</f>
        <v>0</v>
      </c>
      <c r="AY233" s="1396">
        <f t="shared" ref="AY233:AY238" si="144">SUM(O233+U233+Y233+AC233+AI233+AQ233)</f>
        <v>0</v>
      </c>
      <c r="AZ233" s="1219">
        <f t="shared" ref="AZ233:AZ238" si="145">SUM(P233+AD233+AJ233+AR233)</f>
        <v>0</v>
      </c>
      <c r="BA233" s="1219">
        <f t="shared" ref="BA233:BA238" si="146">SUM(C233+G233+K233+Q233+W233+AK233)</f>
        <v>0</v>
      </c>
      <c r="BB233" s="1386">
        <f t="shared" si="133"/>
        <v>0</v>
      </c>
    </row>
    <row r="234" spans="1:54" ht="15.6" x14ac:dyDescent="0.3">
      <c r="A234" s="1216">
        <v>1</v>
      </c>
      <c r="B234" s="956"/>
      <c r="C234" s="1335"/>
      <c r="D234" s="1496"/>
      <c r="E234" s="1217">
        <v>1</v>
      </c>
      <c r="F234" s="956"/>
      <c r="G234" s="1335"/>
      <c r="H234" s="1496"/>
      <c r="I234" s="1217">
        <v>1</v>
      </c>
      <c r="J234" s="956"/>
      <c r="K234" s="1335"/>
      <c r="L234" s="1496"/>
      <c r="M234" s="1217">
        <v>1</v>
      </c>
      <c r="N234" s="954" t="s">
        <v>2016</v>
      </c>
      <c r="O234" s="1247">
        <f>15070-15070</f>
        <v>0</v>
      </c>
      <c r="P234" s="1357"/>
      <c r="Q234" s="1357"/>
      <c r="R234" s="1519"/>
      <c r="S234" s="1519"/>
      <c r="T234" s="1519"/>
      <c r="U234" s="1335"/>
      <c r="V234" s="1496"/>
      <c r="W234" s="1335"/>
      <c r="X234" s="1496"/>
      <c r="Y234" s="1223"/>
      <c r="Z234" s="1487"/>
      <c r="AA234" s="1149">
        <v>1</v>
      </c>
      <c r="AB234" s="956"/>
      <c r="AC234" s="1270"/>
      <c r="AD234" s="1270"/>
      <c r="AE234" s="1534"/>
      <c r="AF234" s="1534"/>
      <c r="AG234" s="1217">
        <v>1</v>
      </c>
      <c r="AH234" s="956"/>
      <c r="AI234" s="1335"/>
      <c r="AJ234" s="1335"/>
      <c r="AK234" s="1335"/>
      <c r="AL234" s="1496"/>
      <c r="AM234" s="1496"/>
      <c r="AN234" s="1496"/>
      <c r="AO234" s="1149">
        <v>1</v>
      </c>
      <c r="AP234" s="956"/>
      <c r="AQ234" s="1048"/>
      <c r="AR234" s="1048"/>
      <c r="AS234" s="1553"/>
      <c r="AT234" s="1603"/>
      <c r="AU234" s="1561">
        <f t="shared" ref="AU234:AU238" si="147">R234+V234+Z234+AE234+AL234+AS234</f>
        <v>0</v>
      </c>
      <c r="AV234" s="1447">
        <f t="shared" ref="AV234:AV238" si="148">S234+AF234+AM234+AT234</f>
        <v>0</v>
      </c>
      <c r="AW234" s="1447">
        <f t="shared" ref="AW234:AW238" si="149">D234+H234+L234+T234+X234+AN234</f>
        <v>0</v>
      </c>
      <c r="AX234" s="1450">
        <f t="shared" si="143"/>
        <v>0</v>
      </c>
      <c r="AY234" s="1393">
        <f t="shared" si="144"/>
        <v>0</v>
      </c>
      <c r="AZ234" s="1247">
        <f t="shared" si="145"/>
        <v>0</v>
      </c>
      <c r="BA234" s="1247">
        <f t="shared" si="146"/>
        <v>0</v>
      </c>
      <c r="BB234" s="1385">
        <f t="shared" si="133"/>
        <v>0</v>
      </c>
    </row>
    <row r="235" spans="1:54" ht="15.6" x14ac:dyDescent="0.3">
      <c r="A235" s="1216">
        <v>2</v>
      </c>
      <c r="B235" s="956"/>
      <c r="C235" s="1335"/>
      <c r="D235" s="1496"/>
      <c r="E235" s="1217">
        <v>2</v>
      </c>
      <c r="F235" s="956"/>
      <c r="G235" s="1335"/>
      <c r="H235" s="1496"/>
      <c r="I235" s="1217">
        <v>2</v>
      </c>
      <c r="J235" s="956"/>
      <c r="K235" s="1335"/>
      <c r="L235" s="1496"/>
      <c r="M235" s="1217">
        <v>2</v>
      </c>
      <c r="N235" s="954" t="s">
        <v>2017</v>
      </c>
      <c r="O235" s="1247">
        <v>6800</v>
      </c>
      <c r="P235" s="1357"/>
      <c r="Q235" s="1357"/>
      <c r="R235" s="1519"/>
      <c r="S235" s="1519"/>
      <c r="T235" s="1519"/>
      <c r="U235" s="1335"/>
      <c r="V235" s="1496"/>
      <c r="W235" s="1335"/>
      <c r="X235" s="1496"/>
      <c r="Y235" s="1335"/>
      <c r="Z235" s="1496"/>
      <c r="AA235" s="1149">
        <v>2</v>
      </c>
      <c r="AB235" s="956"/>
      <c r="AC235" s="1270"/>
      <c r="AD235" s="1270"/>
      <c r="AE235" s="1534"/>
      <c r="AF235" s="1534"/>
      <c r="AG235" s="1217">
        <v>2</v>
      </c>
      <c r="AH235" s="956"/>
      <c r="AI235" s="1335"/>
      <c r="AJ235" s="1335"/>
      <c r="AK235" s="1335"/>
      <c r="AL235" s="1496"/>
      <c r="AM235" s="1496"/>
      <c r="AN235" s="1496"/>
      <c r="AO235" s="1149">
        <v>2</v>
      </c>
      <c r="AP235" s="956"/>
      <c r="AQ235" s="1048"/>
      <c r="AR235" s="1048"/>
      <c r="AS235" s="1553"/>
      <c r="AT235" s="1603"/>
      <c r="AU235" s="1561">
        <f t="shared" si="147"/>
        <v>0</v>
      </c>
      <c r="AV235" s="1447">
        <f t="shared" si="148"/>
        <v>0</v>
      </c>
      <c r="AW235" s="1447">
        <f t="shared" si="149"/>
        <v>0</v>
      </c>
      <c r="AX235" s="1450">
        <f t="shared" si="143"/>
        <v>0</v>
      </c>
      <c r="AY235" s="1393">
        <f t="shared" si="144"/>
        <v>6800</v>
      </c>
      <c r="AZ235" s="1247">
        <f t="shared" si="145"/>
        <v>0</v>
      </c>
      <c r="BA235" s="1247">
        <f t="shared" si="146"/>
        <v>0</v>
      </c>
      <c r="BB235" s="1385">
        <f t="shared" si="133"/>
        <v>6800</v>
      </c>
    </row>
    <row r="236" spans="1:54" ht="27" x14ac:dyDescent="0.3">
      <c r="A236" s="1216"/>
      <c r="B236" s="956"/>
      <c r="C236" s="1335"/>
      <c r="D236" s="1496"/>
      <c r="E236" s="1217"/>
      <c r="F236" s="956"/>
      <c r="G236" s="1335"/>
      <c r="H236" s="1496"/>
      <c r="I236" s="1217"/>
      <c r="J236" s="956"/>
      <c r="K236" s="1335"/>
      <c r="L236" s="1496"/>
      <c r="M236" s="1217"/>
      <c r="N236" s="954" t="s">
        <v>2018</v>
      </c>
      <c r="O236" s="1247"/>
      <c r="P236" s="1357"/>
      <c r="Q236" s="1357"/>
      <c r="R236" s="1519"/>
      <c r="S236" s="1519"/>
      <c r="T236" s="1519"/>
      <c r="U236" s="1335"/>
      <c r="V236" s="1496"/>
      <c r="W236" s="1335"/>
      <c r="X236" s="1496"/>
      <c r="Y236" s="1335"/>
      <c r="Z236" s="1496"/>
      <c r="AA236" s="1149"/>
      <c r="AB236" s="956"/>
      <c r="AC236" s="1270"/>
      <c r="AD236" s="1270"/>
      <c r="AE236" s="1534"/>
      <c r="AF236" s="1534"/>
      <c r="AG236" s="1217"/>
      <c r="AH236" s="956"/>
      <c r="AI236" s="1335"/>
      <c r="AJ236" s="1335"/>
      <c r="AK236" s="1335"/>
      <c r="AL236" s="1496"/>
      <c r="AM236" s="1496"/>
      <c r="AN236" s="1496"/>
      <c r="AO236" s="1149"/>
      <c r="AP236" s="956"/>
      <c r="AQ236" s="1048"/>
      <c r="AR236" s="1048"/>
      <c r="AS236" s="1553"/>
      <c r="AT236" s="1603"/>
      <c r="AU236" s="1561">
        <f t="shared" si="147"/>
        <v>0</v>
      </c>
      <c r="AV236" s="1447">
        <f t="shared" si="148"/>
        <v>0</v>
      </c>
      <c r="AW236" s="1447">
        <f t="shared" si="149"/>
        <v>0</v>
      </c>
      <c r="AX236" s="1450">
        <f t="shared" si="143"/>
        <v>0</v>
      </c>
      <c r="AY236" s="1393">
        <f t="shared" si="144"/>
        <v>0</v>
      </c>
      <c r="AZ236" s="1247">
        <f t="shared" si="145"/>
        <v>0</v>
      </c>
      <c r="BA236" s="1247">
        <f t="shared" si="146"/>
        <v>0</v>
      </c>
      <c r="BB236" s="1385">
        <f t="shared" si="133"/>
        <v>0</v>
      </c>
    </row>
    <row r="237" spans="1:54" ht="15.6" x14ac:dyDescent="0.3">
      <c r="A237" s="1216"/>
      <c r="B237" s="956"/>
      <c r="C237" s="1335"/>
      <c r="D237" s="1496"/>
      <c r="E237" s="1217"/>
      <c r="F237" s="956"/>
      <c r="G237" s="1335"/>
      <c r="H237" s="1496"/>
      <c r="I237" s="1217"/>
      <c r="J237" s="956"/>
      <c r="K237" s="1335"/>
      <c r="L237" s="1496"/>
      <c r="M237" s="1217"/>
      <c r="N237" s="954" t="s">
        <v>917</v>
      </c>
      <c r="O237" s="1247">
        <v>10000</v>
      </c>
      <c r="P237" s="1357"/>
      <c r="Q237" s="1357"/>
      <c r="R237" s="1519"/>
      <c r="S237" s="1519"/>
      <c r="T237" s="1519"/>
      <c r="U237" s="1335"/>
      <c r="V237" s="1496"/>
      <c r="W237" s="1335"/>
      <c r="X237" s="1496"/>
      <c r="Y237" s="1335"/>
      <c r="Z237" s="1496"/>
      <c r="AA237" s="1149"/>
      <c r="AB237" s="956"/>
      <c r="AC237" s="1270"/>
      <c r="AD237" s="1270"/>
      <c r="AE237" s="1534"/>
      <c r="AF237" s="1534"/>
      <c r="AG237" s="1217"/>
      <c r="AH237" s="956"/>
      <c r="AI237" s="1335"/>
      <c r="AJ237" s="1335"/>
      <c r="AK237" s="1335"/>
      <c r="AL237" s="1496"/>
      <c r="AM237" s="1496"/>
      <c r="AN237" s="1496"/>
      <c r="AO237" s="1149"/>
      <c r="AP237" s="956"/>
      <c r="AQ237" s="1048"/>
      <c r="AR237" s="1048"/>
      <c r="AS237" s="1553"/>
      <c r="AT237" s="1603"/>
      <c r="AU237" s="1561">
        <f t="shared" si="147"/>
        <v>0</v>
      </c>
      <c r="AV237" s="1447">
        <f t="shared" si="148"/>
        <v>0</v>
      </c>
      <c r="AW237" s="1447">
        <f t="shared" si="149"/>
        <v>0</v>
      </c>
      <c r="AX237" s="1450">
        <f t="shared" si="143"/>
        <v>0</v>
      </c>
      <c r="AY237" s="1393">
        <f t="shared" si="144"/>
        <v>10000</v>
      </c>
      <c r="AZ237" s="1247">
        <f t="shared" si="145"/>
        <v>0</v>
      </c>
      <c r="BA237" s="1247">
        <f t="shared" si="146"/>
        <v>0</v>
      </c>
      <c r="BB237" s="1385">
        <f t="shared" si="133"/>
        <v>10000</v>
      </c>
    </row>
    <row r="238" spans="1:54" ht="16.2" thickBot="1" x14ac:dyDescent="0.35">
      <c r="A238" s="1225">
        <v>3</v>
      </c>
      <c r="B238" s="961"/>
      <c r="C238" s="1336"/>
      <c r="D238" s="1497"/>
      <c r="E238" s="1227">
        <v>3</v>
      </c>
      <c r="F238" s="961"/>
      <c r="G238" s="1336"/>
      <c r="H238" s="1497"/>
      <c r="I238" s="1227">
        <v>3</v>
      </c>
      <c r="J238" s="961"/>
      <c r="K238" s="1336"/>
      <c r="L238" s="1497"/>
      <c r="M238" s="1227">
        <v>3</v>
      </c>
      <c r="N238" s="961"/>
      <c r="O238" s="1358"/>
      <c r="P238" s="1358"/>
      <c r="Q238" s="1358"/>
      <c r="R238" s="1520"/>
      <c r="S238" s="1520"/>
      <c r="T238" s="1520"/>
      <c r="U238" s="1336"/>
      <c r="V238" s="1497"/>
      <c r="W238" s="1336"/>
      <c r="X238" s="1497"/>
      <c r="Y238" s="1336"/>
      <c r="Z238" s="1497"/>
      <c r="AA238" s="1040">
        <v>3</v>
      </c>
      <c r="AB238" s="961"/>
      <c r="AC238" s="1271"/>
      <c r="AD238" s="1271"/>
      <c r="AE238" s="1535"/>
      <c r="AF238" s="1535"/>
      <c r="AG238" s="1227">
        <v>3</v>
      </c>
      <c r="AH238" s="961"/>
      <c r="AI238" s="1336"/>
      <c r="AJ238" s="1336"/>
      <c r="AK238" s="1336"/>
      <c r="AL238" s="1497"/>
      <c r="AM238" s="1497"/>
      <c r="AN238" s="1497"/>
      <c r="AO238" s="1040">
        <v>3</v>
      </c>
      <c r="AP238" s="961"/>
      <c r="AQ238" s="1101"/>
      <c r="AR238" s="1101"/>
      <c r="AS238" s="1554"/>
      <c r="AT238" s="1604"/>
      <c r="AU238" s="1561">
        <f t="shared" si="147"/>
        <v>0</v>
      </c>
      <c r="AV238" s="1447">
        <f t="shared" si="148"/>
        <v>0</v>
      </c>
      <c r="AW238" s="1447">
        <f t="shared" si="149"/>
        <v>0</v>
      </c>
      <c r="AX238" s="1462">
        <f t="shared" si="143"/>
        <v>0</v>
      </c>
      <c r="AY238" s="1393">
        <f t="shared" si="144"/>
        <v>0</v>
      </c>
      <c r="AZ238" s="1247">
        <f t="shared" si="145"/>
        <v>0</v>
      </c>
      <c r="BA238" s="1247">
        <f t="shared" si="146"/>
        <v>0</v>
      </c>
      <c r="BB238" s="1385">
        <f t="shared" si="133"/>
        <v>0</v>
      </c>
    </row>
    <row r="239" spans="1:54" s="1371" customFormat="1" ht="15" customHeight="1" thickBot="1" x14ac:dyDescent="0.35">
      <c r="A239" s="1369"/>
      <c r="B239" s="1266" t="s">
        <v>1655</v>
      </c>
      <c r="C239" s="1375">
        <f>SUM(C233:C238)</f>
        <v>0</v>
      </c>
      <c r="D239" s="1429">
        <f>SUM(D233:D238)</f>
        <v>0</v>
      </c>
      <c r="E239" s="1233"/>
      <c r="F239" s="1266" t="s">
        <v>1655</v>
      </c>
      <c r="G239" s="1257">
        <f>SUM(G233:G238)</f>
        <v>0</v>
      </c>
      <c r="H239" s="1429">
        <f>SUM(H233:H238)</f>
        <v>0</v>
      </c>
      <c r="I239" s="1233"/>
      <c r="J239" s="1266" t="s">
        <v>1655</v>
      </c>
      <c r="K239" s="1381">
        <f>SUM(K233:K238)</f>
        <v>0</v>
      </c>
      <c r="L239" s="1429">
        <f>SUM(L233:L238)</f>
        <v>0</v>
      </c>
      <c r="M239" s="1233"/>
      <c r="N239" s="1266" t="s">
        <v>1655</v>
      </c>
      <c r="O239" s="1256">
        <f t="shared" ref="O239:Y239" si="150">SUM(O233:O238)</f>
        <v>16800</v>
      </c>
      <c r="P239" s="1256">
        <f t="shared" si="150"/>
        <v>0</v>
      </c>
      <c r="Q239" s="1256">
        <f t="shared" si="150"/>
        <v>0</v>
      </c>
      <c r="R239" s="1429">
        <f t="shared" si="150"/>
        <v>0</v>
      </c>
      <c r="S239" s="1429">
        <f t="shared" si="150"/>
        <v>0</v>
      </c>
      <c r="T239" s="1429">
        <f t="shared" si="150"/>
        <v>0</v>
      </c>
      <c r="U239" s="1256">
        <f t="shared" si="150"/>
        <v>0</v>
      </c>
      <c r="V239" s="1429">
        <f>SUM(V233:V238)</f>
        <v>0</v>
      </c>
      <c r="W239" s="1256">
        <f t="shared" si="150"/>
        <v>0</v>
      </c>
      <c r="X239" s="1429">
        <f>SUM(X233:X238)</f>
        <v>0</v>
      </c>
      <c r="Y239" s="1256">
        <f t="shared" si="150"/>
        <v>0</v>
      </c>
      <c r="Z239" s="1429">
        <f>SUM(Z233:Z238)</f>
        <v>0</v>
      </c>
      <c r="AA239" s="1233"/>
      <c r="AB239" s="1266" t="s">
        <v>1655</v>
      </c>
      <c r="AC239" s="1256">
        <f t="shared" ref="AC239:AD239" si="151">SUM(AC233:AC238)</f>
        <v>0</v>
      </c>
      <c r="AD239" s="1256">
        <f t="shared" si="151"/>
        <v>0</v>
      </c>
      <c r="AE239" s="1523"/>
      <c r="AF239" s="1523"/>
      <c r="AG239" s="1233"/>
      <c r="AH239" s="1266" t="s">
        <v>1655</v>
      </c>
      <c r="AI239" s="1257">
        <f t="shared" ref="AI239:AN239" si="152">SUM(AI233:AI238)</f>
        <v>0</v>
      </c>
      <c r="AJ239" s="1257">
        <f t="shared" si="152"/>
        <v>0</v>
      </c>
      <c r="AK239" s="1257">
        <f t="shared" si="152"/>
        <v>0</v>
      </c>
      <c r="AL239" s="1429">
        <f t="shared" si="152"/>
        <v>0</v>
      </c>
      <c r="AM239" s="1429">
        <f t="shared" si="152"/>
        <v>0</v>
      </c>
      <c r="AN239" s="1429">
        <f t="shared" si="152"/>
        <v>0</v>
      </c>
      <c r="AO239" s="1233"/>
      <c r="AP239" s="1266" t="s">
        <v>1655</v>
      </c>
      <c r="AQ239" s="1257">
        <f t="shared" ref="AQ239:BB239" si="153">SUM(AQ233:AQ238)</f>
        <v>0</v>
      </c>
      <c r="AR239" s="1257">
        <f t="shared" si="153"/>
        <v>0</v>
      </c>
      <c r="AS239" s="1429">
        <f t="shared" si="153"/>
        <v>0</v>
      </c>
      <c r="AT239" s="1594">
        <f t="shared" si="153"/>
        <v>0</v>
      </c>
      <c r="AU239" s="1569">
        <f t="shared" si="153"/>
        <v>0</v>
      </c>
      <c r="AV239" s="1451">
        <f t="shared" si="153"/>
        <v>0</v>
      </c>
      <c r="AW239" s="1451">
        <f t="shared" si="153"/>
        <v>0</v>
      </c>
      <c r="AX239" s="1452">
        <f t="shared" si="153"/>
        <v>0</v>
      </c>
      <c r="AY239" s="1397">
        <f t="shared" si="153"/>
        <v>16800</v>
      </c>
      <c r="AZ239" s="1375">
        <f t="shared" si="153"/>
        <v>0</v>
      </c>
      <c r="BA239" s="1375">
        <f t="shared" si="153"/>
        <v>0</v>
      </c>
      <c r="BB239" s="1389">
        <f t="shared" si="153"/>
        <v>16800</v>
      </c>
    </row>
    <row r="240" spans="1:54" s="1371" customFormat="1" ht="27" x14ac:dyDescent="0.3">
      <c r="A240" s="973"/>
      <c r="B240" s="974" t="s">
        <v>1660</v>
      </c>
      <c r="C240" s="1067"/>
      <c r="D240" s="1493"/>
      <c r="E240" s="974"/>
      <c r="F240" s="974" t="s">
        <v>1660</v>
      </c>
      <c r="G240" s="1067"/>
      <c r="H240" s="1493"/>
      <c r="I240" s="974"/>
      <c r="J240" s="974" t="s">
        <v>1660</v>
      </c>
      <c r="K240" s="1067"/>
      <c r="L240" s="1493"/>
      <c r="M240" s="974"/>
      <c r="N240" s="974" t="s">
        <v>1660</v>
      </c>
      <c r="O240" s="1259"/>
      <c r="P240" s="1259"/>
      <c r="Q240" s="1259"/>
      <c r="R240" s="1430"/>
      <c r="S240" s="1430"/>
      <c r="T240" s="1430"/>
      <c r="U240" s="1067"/>
      <c r="V240" s="1493"/>
      <c r="W240" s="1067"/>
      <c r="X240" s="1493"/>
      <c r="Y240" s="1067"/>
      <c r="Z240" s="1493"/>
      <c r="AA240" s="974"/>
      <c r="AB240" s="974" t="s">
        <v>1660</v>
      </c>
      <c r="AC240" s="1259"/>
      <c r="AD240" s="1259"/>
      <c r="AE240" s="1430"/>
      <c r="AF240" s="1430"/>
      <c r="AG240" s="974"/>
      <c r="AH240" s="974" t="s">
        <v>1660</v>
      </c>
      <c r="AI240" s="1067"/>
      <c r="AJ240" s="1067"/>
      <c r="AK240" s="1067"/>
      <c r="AL240" s="1493"/>
      <c r="AM240" s="1493"/>
      <c r="AN240" s="1493"/>
      <c r="AO240" s="974"/>
      <c r="AP240" s="974" t="s">
        <v>1660</v>
      </c>
      <c r="AQ240" s="1067"/>
      <c r="AR240" s="1067"/>
      <c r="AS240" s="1493"/>
      <c r="AT240" s="1595"/>
      <c r="AU240" s="1563"/>
      <c r="AV240" s="1453"/>
      <c r="AW240" s="1459"/>
      <c r="AX240" s="1454">
        <f t="shared" si="143"/>
        <v>0</v>
      </c>
      <c r="AY240" s="1396">
        <f>SUM(O240+U240+Y240+AC240+AI240+AQ240)</f>
        <v>0</v>
      </c>
      <c r="AZ240" s="1219">
        <f>SUM(P240+AD240+AJ240+AR240)</f>
        <v>0</v>
      </c>
      <c r="BA240" s="1219">
        <f>SUM(C240+G240+K240+Q240+W240+AK240)</f>
        <v>0</v>
      </c>
      <c r="BB240" s="1386">
        <f t="shared" si="133"/>
        <v>0</v>
      </c>
    </row>
    <row r="241" spans="1:54" ht="15.6" x14ac:dyDescent="0.3">
      <c r="A241" s="1216">
        <v>1</v>
      </c>
      <c r="B241" s="1217"/>
      <c r="C241" s="1294"/>
      <c r="D241" s="1494"/>
      <c r="E241" s="1217">
        <v>1</v>
      </c>
      <c r="F241" s="1217"/>
      <c r="G241" s="1294"/>
      <c r="H241" s="1494"/>
      <c r="I241" s="1217">
        <v>1</v>
      </c>
      <c r="J241" s="1217"/>
      <c r="K241" s="1294"/>
      <c r="L241" s="1494"/>
      <c r="M241" s="1217">
        <v>1</v>
      </c>
      <c r="N241" s="1217"/>
      <c r="O241" s="1295"/>
      <c r="P241" s="1295"/>
      <c r="Q241" s="1295"/>
      <c r="R241" s="1431"/>
      <c r="S241" s="1431"/>
      <c r="T241" s="1431"/>
      <c r="U241" s="1294"/>
      <c r="V241" s="1494"/>
      <c r="W241" s="1294"/>
      <c r="X241" s="1494"/>
      <c r="Y241" s="1294"/>
      <c r="Z241" s="1494"/>
      <c r="AA241" s="1149">
        <v>1</v>
      </c>
      <c r="AB241" s="1149"/>
      <c r="AC241" s="1261"/>
      <c r="AD241" s="1261"/>
      <c r="AE241" s="1532"/>
      <c r="AF241" s="1532"/>
      <c r="AG241" s="1217">
        <v>1</v>
      </c>
      <c r="AH241" s="1217"/>
      <c r="AI241" s="1294"/>
      <c r="AJ241" s="1294"/>
      <c r="AK241" s="1294"/>
      <c r="AL241" s="1494"/>
      <c r="AM241" s="1494"/>
      <c r="AN241" s="1494"/>
      <c r="AO241" s="1149">
        <v>1</v>
      </c>
      <c r="AP241" s="1149"/>
      <c r="AQ241" s="1262"/>
      <c r="AR241" s="1262"/>
      <c r="AS241" s="1552"/>
      <c r="AT241" s="1599"/>
      <c r="AU241" s="1561">
        <f t="shared" ref="AU241:AU244" si="154">R241+V241+Z241+AE241+AL241+AS241</f>
        <v>0</v>
      </c>
      <c r="AV241" s="1447">
        <f t="shared" ref="AV241:AV244" si="155">S241+AF241+AM241+AT241</f>
        <v>0</v>
      </c>
      <c r="AW241" s="1447">
        <f t="shared" ref="AW241:AW244" si="156">D241+H241+L241+T241+X241+AN241</f>
        <v>0</v>
      </c>
      <c r="AX241" s="1463">
        <f t="shared" si="143"/>
        <v>0</v>
      </c>
      <c r="AY241" s="1393">
        <f>SUM(O241+U241+Y241+AC241+AI241+AQ241)</f>
        <v>0</v>
      </c>
      <c r="AZ241" s="1247">
        <f>SUM(P241+AD241+AJ241+AR241)</f>
        <v>0</v>
      </c>
      <c r="BA241" s="1247">
        <f>SUM(C241+G241+K241+Q241+W241+AK241)</f>
        <v>0</v>
      </c>
      <c r="BB241" s="1385">
        <f t="shared" si="133"/>
        <v>0</v>
      </c>
    </row>
    <row r="242" spans="1:54" ht="15.6" x14ac:dyDescent="0.3">
      <c r="A242" s="1216">
        <v>2</v>
      </c>
      <c r="B242" s="1217"/>
      <c r="C242" s="1294"/>
      <c r="D242" s="1494"/>
      <c r="E242" s="1217">
        <v>2</v>
      </c>
      <c r="F242" s="1217"/>
      <c r="G242" s="1294"/>
      <c r="H242" s="1494"/>
      <c r="I242" s="1217">
        <v>2</v>
      </c>
      <c r="J242" s="1217"/>
      <c r="K242" s="1294"/>
      <c r="L242" s="1494"/>
      <c r="M242" s="1217">
        <v>2</v>
      </c>
      <c r="N242" s="1217"/>
      <c r="O242" s="1295"/>
      <c r="P242" s="1295"/>
      <c r="Q242" s="1295"/>
      <c r="R242" s="1431"/>
      <c r="S242" s="1431"/>
      <c r="T242" s="1431"/>
      <c r="U242" s="1294"/>
      <c r="V242" s="1494"/>
      <c r="W242" s="1294"/>
      <c r="X242" s="1494"/>
      <c r="Y242" s="1294"/>
      <c r="Z242" s="1494"/>
      <c r="AA242" s="1149">
        <v>2</v>
      </c>
      <c r="AB242" s="1149"/>
      <c r="AC242" s="1261"/>
      <c r="AD242" s="1261"/>
      <c r="AE242" s="1532"/>
      <c r="AF242" s="1532"/>
      <c r="AG242" s="1217">
        <v>2</v>
      </c>
      <c r="AH242" s="1217"/>
      <c r="AI242" s="1294"/>
      <c r="AJ242" s="1294"/>
      <c r="AK242" s="1294"/>
      <c r="AL242" s="1494"/>
      <c r="AM242" s="1494"/>
      <c r="AN242" s="1494"/>
      <c r="AO242" s="1149">
        <v>2</v>
      </c>
      <c r="AP242" s="1149"/>
      <c r="AQ242" s="1262"/>
      <c r="AR242" s="1262"/>
      <c r="AS242" s="1552"/>
      <c r="AT242" s="1599"/>
      <c r="AU242" s="1561">
        <f t="shared" si="154"/>
        <v>0</v>
      </c>
      <c r="AV242" s="1447">
        <f t="shared" si="155"/>
        <v>0</v>
      </c>
      <c r="AW242" s="1447">
        <f t="shared" si="156"/>
        <v>0</v>
      </c>
      <c r="AX242" s="1463">
        <f t="shared" si="143"/>
        <v>0</v>
      </c>
      <c r="AY242" s="1393">
        <f>SUM(O242+U242+Y242+AC242+AI242+AQ242)</f>
        <v>0</v>
      </c>
      <c r="AZ242" s="1247">
        <f>SUM(P242+AD242+AJ242+AR242)</f>
        <v>0</v>
      </c>
      <c r="BA242" s="1247">
        <f>SUM(C242+G242+K242+Q242+W242+AK242)</f>
        <v>0</v>
      </c>
      <c r="BB242" s="1385">
        <f t="shared" si="133"/>
        <v>0</v>
      </c>
    </row>
    <row r="243" spans="1:54" ht="15.6" x14ac:dyDescent="0.3">
      <c r="A243" s="1216">
        <v>3</v>
      </c>
      <c r="B243" s="1217"/>
      <c r="C243" s="1294"/>
      <c r="D243" s="1494"/>
      <c r="E243" s="1217">
        <v>3</v>
      </c>
      <c r="F243" s="1217"/>
      <c r="G243" s="1294"/>
      <c r="H243" s="1494"/>
      <c r="I243" s="1217">
        <v>3</v>
      </c>
      <c r="J243" s="1217"/>
      <c r="K243" s="1294"/>
      <c r="L243" s="1494"/>
      <c r="M243" s="1217">
        <v>3</v>
      </c>
      <c r="N243" s="1217"/>
      <c r="O243" s="1295"/>
      <c r="P243" s="1295"/>
      <c r="Q243" s="1295"/>
      <c r="R243" s="1431"/>
      <c r="S243" s="1431"/>
      <c r="T243" s="1431"/>
      <c r="U243" s="1294"/>
      <c r="V243" s="1494"/>
      <c r="W243" s="1294"/>
      <c r="X243" s="1494"/>
      <c r="Y243" s="1294"/>
      <c r="Z243" s="1494"/>
      <c r="AA243" s="1149">
        <v>3</v>
      </c>
      <c r="AB243" s="1149"/>
      <c r="AC243" s="1261"/>
      <c r="AD243" s="1261"/>
      <c r="AE243" s="1532"/>
      <c r="AF243" s="1532"/>
      <c r="AG243" s="1217">
        <v>3</v>
      </c>
      <c r="AH243" s="1217"/>
      <c r="AI243" s="1294"/>
      <c r="AJ243" s="1294"/>
      <c r="AK243" s="1294"/>
      <c r="AL243" s="1494"/>
      <c r="AM243" s="1494"/>
      <c r="AN243" s="1494"/>
      <c r="AO243" s="1149">
        <v>3</v>
      </c>
      <c r="AP243" s="1149"/>
      <c r="AQ243" s="1262"/>
      <c r="AR243" s="1262"/>
      <c r="AS243" s="1552"/>
      <c r="AT243" s="1599"/>
      <c r="AU243" s="1561">
        <f t="shared" si="154"/>
        <v>0</v>
      </c>
      <c r="AV243" s="1447">
        <f t="shared" si="155"/>
        <v>0</v>
      </c>
      <c r="AW243" s="1447">
        <f t="shared" si="156"/>
        <v>0</v>
      </c>
      <c r="AX243" s="1463">
        <f t="shared" si="143"/>
        <v>0</v>
      </c>
      <c r="AY243" s="1393">
        <f>SUM(O243+U243+Y243+AC243+AI243+AQ243)</f>
        <v>0</v>
      </c>
      <c r="AZ243" s="1247">
        <f>SUM(P243+AD243+AJ243+AR243)</f>
        <v>0</v>
      </c>
      <c r="BA243" s="1247">
        <f>SUM(C243+G243+K243+Q243+W243+AK243)</f>
        <v>0</v>
      </c>
      <c r="BB243" s="1385">
        <f t="shared" si="133"/>
        <v>0</v>
      </c>
    </row>
    <row r="244" spans="1:54" ht="16.2" thickBot="1" x14ac:dyDescent="0.35">
      <c r="A244" s="1225">
        <v>4</v>
      </c>
      <c r="B244" s="1227"/>
      <c r="C244" s="1333"/>
      <c r="D244" s="1441"/>
      <c r="E244" s="1227">
        <v>4</v>
      </c>
      <c r="F244" s="1227"/>
      <c r="G244" s="1333"/>
      <c r="H244" s="1441"/>
      <c r="I244" s="1227">
        <v>4</v>
      </c>
      <c r="J244" s="1227"/>
      <c r="K244" s="1333"/>
      <c r="L244" s="1441"/>
      <c r="M244" s="1227">
        <v>4</v>
      </c>
      <c r="N244" s="1227"/>
      <c r="O244" s="1355"/>
      <c r="P244" s="1355"/>
      <c r="Q244" s="1355"/>
      <c r="R244" s="1432"/>
      <c r="S244" s="1432"/>
      <c r="T244" s="1432"/>
      <c r="U244" s="1333"/>
      <c r="V244" s="1441"/>
      <c r="W244" s="1333"/>
      <c r="X244" s="1441"/>
      <c r="Y244" s="1333"/>
      <c r="Z244" s="1441"/>
      <c r="AA244" s="1040">
        <v>4</v>
      </c>
      <c r="AB244" s="1040"/>
      <c r="AC244" s="1264"/>
      <c r="AD244" s="1264"/>
      <c r="AE244" s="1533"/>
      <c r="AF244" s="1533"/>
      <c r="AG244" s="1227">
        <v>4</v>
      </c>
      <c r="AH244" s="1227"/>
      <c r="AI244" s="1333"/>
      <c r="AJ244" s="1333"/>
      <c r="AK244" s="1333"/>
      <c r="AL244" s="1441"/>
      <c r="AM244" s="1441"/>
      <c r="AN244" s="1441"/>
      <c r="AO244" s="1040">
        <v>4</v>
      </c>
      <c r="AP244" s="1040"/>
      <c r="AQ244" s="1075"/>
      <c r="AR244" s="1075"/>
      <c r="AS244" s="1444"/>
      <c r="AT244" s="1600"/>
      <c r="AU244" s="1561">
        <f t="shared" si="154"/>
        <v>0</v>
      </c>
      <c r="AV244" s="1447">
        <f t="shared" si="155"/>
        <v>0</v>
      </c>
      <c r="AW244" s="1447">
        <f t="shared" si="156"/>
        <v>0</v>
      </c>
      <c r="AX244" s="1464">
        <f t="shared" si="143"/>
        <v>0</v>
      </c>
      <c r="AY244" s="1393">
        <f>SUM(O244+U244+Y244+AC244+AI244+AQ244)</f>
        <v>0</v>
      </c>
      <c r="AZ244" s="1247">
        <f>SUM(P244+AD244+AJ244+AR244)</f>
        <v>0</v>
      </c>
      <c r="BA244" s="1247">
        <f>SUM(C244+G244+K244+Q244+W244+AK244)</f>
        <v>0</v>
      </c>
      <c r="BB244" s="1385">
        <f t="shared" si="133"/>
        <v>0</v>
      </c>
    </row>
    <row r="245" spans="1:54" s="1371" customFormat="1" ht="27.6" thickBot="1" x14ac:dyDescent="0.35">
      <c r="A245" s="1369"/>
      <c r="B245" s="1233" t="s">
        <v>1662</v>
      </c>
      <c r="C245" s="1257">
        <f>SUM(C240:C244)</f>
        <v>0</v>
      </c>
      <c r="D245" s="1433">
        <f>SUM(D240:D244)</f>
        <v>0</v>
      </c>
      <c r="E245" s="1233"/>
      <c r="F245" s="1233" t="s">
        <v>1662</v>
      </c>
      <c r="G245" s="1257">
        <f>SUM(G240:G244)</f>
        <v>0</v>
      </c>
      <c r="H245" s="1433">
        <f>SUM(H240:H244)</f>
        <v>0</v>
      </c>
      <c r="I245" s="1233"/>
      <c r="J245" s="1233" t="s">
        <v>1662</v>
      </c>
      <c r="K245" s="1257">
        <f>SUM(K240:K244)</f>
        <v>0</v>
      </c>
      <c r="L245" s="1433">
        <f>SUM(L240:L244)</f>
        <v>0</v>
      </c>
      <c r="M245" s="1233"/>
      <c r="N245" s="1233" t="s">
        <v>1662</v>
      </c>
      <c r="O245" s="1256">
        <f t="shared" ref="O245:Z245" si="157">SUM(O240:O244)</f>
        <v>0</v>
      </c>
      <c r="P245" s="1256">
        <f t="shared" si="157"/>
        <v>0</v>
      </c>
      <c r="Q245" s="1256">
        <f t="shared" si="157"/>
        <v>0</v>
      </c>
      <c r="R245" s="1433">
        <f t="shared" si="157"/>
        <v>0</v>
      </c>
      <c r="S245" s="1433">
        <f t="shared" si="157"/>
        <v>0</v>
      </c>
      <c r="T245" s="1433">
        <f t="shared" si="157"/>
        <v>0</v>
      </c>
      <c r="U245" s="1257">
        <f t="shared" si="157"/>
        <v>0</v>
      </c>
      <c r="V245" s="1433">
        <f t="shared" si="157"/>
        <v>0</v>
      </c>
      <c r="W245" s="1257">
        <f t="shared" si="157"/>
        <v>0</v>
      </c>
      <c r="X245" s="1433">
        <f t="shared" si="157"/>
        <v>0</v>
      </c>
      <c r="Y245" s="1257">
        <f t="shared" si="157"/>
        <v>0</v>
      </c>
      <c r="Z245" s="1433">
        <f t="shared" si="157"/>
        <v>0</v>
      </c>
      <c r="AA245" s="1233"/>
      <c r="AB245" s="1233" t="s">
        <v>1662</v>
      </c>
      <c r="AC245" s="1257">
        <f t="shared" ref="AC245:AF245" si="158">SUM(AC240:AC244)</f>
        <v>0</v>
      </c>
      <c r="AD245" s="1257">
        <f t="shared" si="158"/>
        <v>0</v>
      </c>
      <c r="AE245" s="1433">
        <f t="shared" si="158"/>
        <v>0</v>
      </c>
      <c r="AF245" s="1433">
        <f t="shared" si="158"/>
        <v>0</v>
      </c>
      <c r="AG245" s="1233"/>
      <c r="AH245" s="1233" t="s">
        <v>1662</v>
      </c>
      <c r="AI245" s="1257">
        <f t="shared" ref="AI245:AN245" si="159">SUM(AI240:AI244)</f>
        <v>0</v>
      </c>
      <c r="AJ245" s="1257">
        <f t="shared" si="159"/>
        <v>0</v>
      </c>
      <c r="AK245" s="1257">
        <f t="shared" si="159"/>
        <v>0</v>
      </c>
      <c r="AL245" s="1433">
        <f t="shared" si="159"/>
        <v>0</v>
      </c>
      <c r="AM245" s="1433">
        <f t="shared" si="159"/>
        <v>0</v>
      </c>
      <c r="AN245" s="1433">
        <f t="shared" si="159"/>
        <v>0</v>
      </c>
      <c r="AO245" s="1233"/>
      <c r="AP245" s="1233" t="s">
        <v>1662</v>
      </c>
      <c r="AQ245" s="1257">
        <f>SUM(AQ240:AQ244)</f>
        <v>0</v>
      </c>
      <c r="AR245" s="1257">
        <f>SUM(AR240:AR244)</f>
        <v>0</v>
      </c>
      <c r="AS245" s="1433">
        <f t="shared" ref="AS245:BB245" si="160">SUM(AS240:AS244)</f>
        <v>0</v>
      </c>
      <c r="AT245" s="1601">
        <f t="shared" si="160"/>
        <v>0</v>
      </c>
      <c r="AU245" s="1562">
        <f t="shared" si="160"/>
        <v>0</v>
      </c>
      <c r="AV245" s="1456">
        <f t="shared" si="160"/>
        <v>0</v>
      </c>
      <c r="AW245" s="1456">
        <f t="shared" si="160"/>
        <v>0</v>
      </c>
      <c r="AX245" s="1448">
        <f t="shared" si="160"/>
        <v>0</v>
      </c>
      <c r="AY245" s="1398">
        <f t="shared" si="160"/>
        <v>0</v>
      </c>
      <c r="AZ245" s="1257">
        <f t="shared" si="160"/>
        <v>0</v>
      </c>
      <c r="BA245" s="1257">
        <f t="shared" si="160"/>
        <v>0</v>
      </c>
      <c r="BB245" s="1400">
        <f t="shared" si="160"/>
        <v>0</v>
      </c>
    </row>
    <row r="246" spans="1:54" s="1371" customFormat="1" ht="27" x14ac:dyDescent="0.3">
      <c r="A246" s="973"/>
      <c r="B246" s="974" t="s">
        <v>1663</v>
      </c>
      <c r="C246" s="1067"/>
      <c r="D246" s="1493"/>
      <c r="E246" s="974"/>
      <c r="F246" s="974" t="s">
        <v>1663</v>
      </c>
      <c r="G246" s="1067"/>
      <c r="H246" s="1493"/>
      <c r="I246" s="974"/>
      <c r="J246" s="974" t="s">
        <v>1663</v>
      </c>
      <c r="K246" s="1067"/>
      <c r="L246" s="1493"/>
      <c r="M246" s="974"/>
      <c r="N246" s="974" t="s">
        <v>1663</v>
      </c>
      <c r="O246" s="1259"/>
      <c r="P246" s="1259"/>
      <c r="Q246" s="1259"/>
      <c r="R246" s="1430"/>
      <c r="S246" s="1430"/>
      <c r="T246" s="1430"/>
      <c r="U246" s="1067"/>
      <c r="V246" s="1493"/>
      <c r="W246" s="1067"/>
      <c r="X246" s="1493"/>
      <c r="Y246" s="1067"/>
      <c r="Z246" s="1493"/>
      <c r="AA246" s="974"/>
      <c r="AB246" s="974" t="s">
        <v>1663</v>
      </c>
      <c r="AC246" s="1259"/>
      <c r="AD246" s="1259"/>
      <c r="AE246" s="1430"/>
      <c r="AF246" s="1430"/>
      <c r="AG246" s="974"/>
      <c r="AH246" s="974" t="s">
        <v>1663</v>
      </c>
      <c r="AI246" s="1067"/>
      <c r="AJ246" s="1067"/>
      <c r="AK246" s="1067"/>
      <c r="AL246" s="1493"/>
      <c r="AM246" s="1493"/>
      <c r="AN246" s="1493"/>
      <c r="AO246" s="974"/>
      <c r="AP246" s="974" t="s">
        <v>1663</v>
      </c>
      <c r="AQ246" s="1067"/>
      <c r="AR246" s="1067"/>
      <c r="AS246" s="1493"/>
      <c r="AT246" s="1595"/>
      <c r="AU246" s="1563"/>
      <c r="AV246" s="1453"/>
      <c r="AW246" s="1459"/>
      <c r="AX246" s="1454">
        <f t="shared" si="143"/>
        <v>0</v>
      </c>
      <c r="AY246" s="1396">
        <f>SUM(O246+U246+Y246+AC246+AI246+AQ246)</f>
        <v>0</v>
      </c>
      <c r="AZ246" s="1219">
        <f>SUM(P246+AD246+AJ246+AR246)</f>
        <v>0</v>
      </c>
      <c r="BA246" s="1219">
        <f>SUM(C246+G246+K246+Q246+W246+AK246)</f>
        <v>0</v>
      </c>
      <c r="BB246" s="1386">
        <f t="shared" si="133"/>
        <v>0</v>
      </c>
    </row>
    <row r="247" spans="1:54" ht="15.6" x14ac:dyDescent="0.3">
      <c r="A247" s="1216">
        <v>1</v>
      </c>
      <c r="B247" s="1217"/>
      <c r="C247" s="1294"/>
      <c r="D247" s="1494"/>
      <c r="E247" s="1217">
        <v>1</v>
      </c>
      <c r="F247" s="1217"/>
      <c r="G247" s="1294"/>
      <c r="H247" s="1494"/>
      <c r="I247" s="1217">
        <v>1</v>
      </c>
      <c r="J247" s="1217"/>
      <c r="K247" s="1294"/>
      <c r="L247" s="1494"/>
      <c r="M247" s="1217">
        <v>1</v>
      </c>
      <c r="N247" s="1217"/>
      <c r="O247" s="1295"/>
      <c r="P247" s="1295"/>
      <c r="Q247" s="1295"/>
      <c r="R247" s="1431"/>
      <c r="S247" s="1431"/>
      <c r="T247" s="1431"/>
      <c r="U247" s="1294"/>
      <c r="V247" s="1494"/>
      <c r="W247" s="1294"/>
      <c r="X247" s="1494"/>
      <c r="Y247" s="1294"/>
      <c r="Z247" s="1494"/>
      <c r="AA247" s="1149">
        <v>1</v>
      </c>
      <c r="AB247" s="1149"/>
      <c r="AC247" s="1261"/>
      <c r="AD247" s="1261"/>
      <c r="AE247" s="1532"/>
      <c r="AF247" s="1532"/>
      <c r="AG247" s="1217">
        <v>1</v>
      </c>
      <c r="AH247" s="1217"/>
      <c r="AI247" s="1294"/>
      <c r="AJ247" s="1294"/>
      <c r="AK247" s="1294"/>
      <c r="AL247" s="1494"/>
      <c r="AM247" s="1494"/>
      <c r="AN247" s="1494"/>
      <c r="AO247" s="1149">
        <v>1</v>
      </c>
      <c r="AP247" s="1149"/>
      <c r="AQ247" s="1262"/>
      <c r="AR247" s="1262"/>
      <c r="AS247" s="1552"/>
      <c r="AT247" s="1599"/>
      <c r="AU247" s="1561">
        <f t="shared" ref="AU247:AU249" si="161">R247+V247+Z247+AE247+AL247+AS247</f>
        <v>0</v>
      </c>
      <c r="AV247" s="1447">
        <f t="shared" ref="AV247:AV249" si="162">S247+AF247+AM247+AT247</f>
        <v>0</v>
      </c>
      <c r="AW247" s="1447">
        <f t="shared" ref="AW247:AW249" si="163">D247+H247+L247+T247+X247+AN247</f>
        <v>0</v>
      </c>
      <c r="AX247" s="1463">
        <f t="shared" si="143"/>
        <v>0</v>
      </c>
      <c r="AY247" s="1393">
        <f>SUM(O247+U247+Y247+AC247+AI247+AQ247)</f>
        <v>0</v>
      </c>
      <c r="AZ247" s="1247">
        <f>SUM(P247+AD247+AJ247+AR247)</f>
        <v>0</v>
      </c>
      <c r="BA247" s="1247">
        <f>SUM(C247+G247+K247+Q247+W247+AK247)</f>
        <v>0</v>
      </c>
      <c r="BB247" s="1385">
        <f t="shared" si="133"/>
        <v>0</v>
      </c>
    </row>
    <row r="248" spans="1:54" ht="15.6" x14ac:dyDescent="0.3">
      <c r="A248" s="1216">
        <v>2</v>
      </c>
      <c r="B248" s="1217"/>
      <c r="C248" s="1294"/>
      <c r="D248" s="1494"/>
      <c r="E248" s="1217">
        <v>2</v>
      </c>
      <c r="F248" s="1217"/>
      <c r="G248" s="1294"/>
      <c r="H248" s="1494"/>
      <c r="I248" s="1217">
        <v>2</v>
      </c>
      <c r="J248" s="1217"/>
      <c r="K248" s="1294"/>
      <c r="L248" s="1494"/>
      <c r="M248" s="1217">
        <v>2</v>
      </c>
      <c r="N248" s="1217"/>
      <c r="O248" s="1295"/>
      <c r="P248" s="1295"/>
      <c r="Q248" s="1295"/>
      <c r="R248" s="1431"/>
      <c r="S248" s="1431"/>
      <c r="T248" s="1431"/>
      <c r="U248" s="1294"/>
      <c r="V248" s="1494"/>
      <c r="W248" s="1294"/>
      <c r="X248" s="1494"/>
      <c r="Y248" s="1294"/>
      <c r="Z248" s="1494"/>
      <c r="AA248" s="1149">
        <v>2</v>
      </c>
      <c r="AB248" s="1149"/>
      <c r="AC248" s="1261"/>
      <c r="AD248" s="1261"/>
      <c r="AE248" s="1532"/>
      <c r="AF248" s="1532"/>
      <c r="AG248" s="1217">
        <v>2</v>
      </c>
      <c r="AH248" s="1217"/>
      <c r="AI248" s="1294"/>
      <c r="AJ248" s="1294"/>
      <c r="AK248" s="1294"/>
      <c r="AL248" s="1494"/>
      <c r="AM248" s="1494"/>
      <c r="AN248" s="1494"/>
      <c r="AO248" s="1149">
        <v>2</v>
      </c>
      <c r="AP248" s="1149"/>
      <c r="AQ248" s="1262"/>
      <c r="AR248" s="1262"/>
      <c r="AS248" s="1552"/>
      <c r="AT248" s="1599"/>
      <c r="AU248" s="1561">
        <f t="shared" si="161"/>
        <v>0</v>
      </c>
      <c r="AV248" s="1447">
        <f t="shared" si="162"/>
        <v>0</v>
      </c>
      <c r="AW248" s="1447">
        <f t="shared" si="163"/>
        <v>0</v>
      </c>
      <c r="AX248" s="1463">
        <f t="shared" si="143"/>
        <v>0</v>
      </c>
      <c r="AY248" s="1393">
        <f>SUM(O248+U248+Y248+AC248+AI248+AQ248)</f>
        <v>0</v>
      </c>
      <c r="AZ248" s="1247">
        <f>SUM(P248+AD248+AJ248+AR248)</f>
        <v>0</v>
      </c>
      <c r="BA248" s="1247">
        <f>SUM(C248+G248+K248+Q248+W248+AK248)</f>
        <v>0</v>
      </c>
      <c r="BB248" s="1385">
        <f t="shared" si="133"/>
        <v>0</v>
      </c>
    </row>
    <row r="249" spans="1:54" ht="16.2" thickBot="1" x14ac:dyDescent="0.35">
      <c r="A249" s="1225">
        <v>3</v>
      </c>
      <c r="B249" s="1227"/>
      <c r="C249" s="1333"/>
      <c r="D249" s="1441"/>
      <c r="E249" s="1227">
        <v>3</v>
      </c>
      <c r="F249" s="1227"/>
      <c r="G249" s="1333"/>
      <c r="H249" s="1441"/>
      <c r="I249" s="1227">
        <v>3</v>
      </c>
      <c r="J249" s="1227"/>
      <c r="K249" s="1333"/>
      <c r="L249" s="1441"/>
      <c r="M249" s="1227">
        <v>3</v>
      </c>
      <c r="N249" s="1227"/>
      <c r="O249" s="1355"/>
      <c r="P249" s="1355"/>
      <c r="Q249" s="1355"/>
      <c r="R249" s="1432"/>
      <c r="S249" s="1432"/>
      <c r="T249" s="1432"/>
      <c r="U249" s="1333"/>
      <c r="V249" s="1441"/>
      <c r="W249" s="1333"/>
      <c r="X249" s="1441"/>
      <c r="Y249" s="1333"/>
      <c r="Z249" s="1441"/>
      <c r="AA249" s="1040">
        <v>3</v>
      </c>
      <c r="AB249" s="1040"/>
      <c r="AC249" s="1264"/>
      <c r="AD249" s="1264"/>
      <c r="AE249" s="1533"/>
      <c r="AF249" s="1533"/>
      <c r="AG249" s="1227">
        <v>3</v>
      </c>
      <c r="AH249" s="1227"/>
      <c r="AI249" s="1333"/>
      <c r="AJ249" s="1333"/>
      <c r="AK249" s="1333"/>
      <c r="AL249" s="1441"/>
      <c r="AM249" s="1441"/>
      <c r="AN249" s="1441"/>
      <c r="AO249" s="1040">
        <v>3</v>
      </c>
      <c r="AP249" s="1040"/>
      <c r="AQ249" s="1075"/>
      <c r="AR249" s="1075"/>
      <c r="AS249" s="1444"/>
      <c r="AT249" s="1600"/>
      <c r="AU249" s="1561">
        <f t="shared" si="161"/>
        <v>0</v>
      </c>
      <c r="AV249" s="1447">
        <f t="shared" si="162"/>
        <v>0</v>
      </c>
      <c r="AW249" s="1447">
        <f t="shared" si="163"/>
        <v>0</v>
      </c>
      <c r="AX249" s="1464">
        <f t="shared" si="143"/>
        <v>0</v>
      </c>
      <c r="AY249" s="1393">
        <f>SUM(O249+U249+Y249+AC249+AI249+AQ249)</f>
        <v>0</v>
      </c>
      <c r="AZ249" s="1247">
        <f>SUM(P249+AD249+AJ249+AR249)</f>
        <v>0</v>
      </c>
      <c r="BA249" s="1247">
        <f>SUM(C249+G249+K249+Q249+W249+AK249)</f>
        <v>0</v>
      </c>
      <c r="BB249" s="1385">
        <f t="shared" si="133"/>
        <v>0</v>
      </c>
    </row>
    <row r="250" spans="1:54" s="1371" customFormat="1" ht="27.6" thickBot="1" x14ac:dyDescent="0.35">
      <c r="A250" s="1369"/>
      <c r="B250" s="1233" t="s">
        <v>1676</v>
      </c>
      <c r="C250" s="1257">
        <f>SUM(C246:C249)</f>
        <v>0</v>
      </c>
      <c r="D250" s="1433">
        <f>SUM(D246:D249)</f>
        <v>0</v>
      </c>
      <c r="E250" s="1233"/>
      <c r="F250" s="1233" t="s">
        <v>1676</v>
      </c>
      <c r="G250" s="1257">
        <f>SUM(G246:G249)</f>
        <v>0</v>
      </c>
      <c r="H250" s="1433">
        <f>SUM(H246:H249)</f>
        <v>0</v>
      </c>
      <c r="I250" s="1233"/>
      <c r="J250" s="1233" t="s">
        <v>1676</v>
      </c>
      <c r="K250" s="1257">
        <f>SUM(K246:K249)</f>
        <v>0</v>
      </c>
      <c r="L250" s="1433">
        <f>SUM(L246:L249)</f>
        <v>0</v>
      </c>
      <c r="M250" s="1233"/>
      <c r="N250" s="1233" t="s">
        <v>1676</v>
      </c>
      <c r="O250" s="1256">
        <f t="shared" ref="O250:Z250" si="164">SUM(O246:O249)</f>
        <v>0</v>
      </c>
      <c r="P250" s="1256">
        <f t="shared" si="164"/>
        <v>0</v>
      </c>
      <c r="Q250" s="1256">
        <f t="shared" si="164"/>
        <v>0</v>
      </c>
      <c r="R250" s="1433">
        <f t="shared" si="164"/>
        <v>0</v>
      </c>
      <c r="S250" s="1433">
        <f t="shared" si="164"/>
        <v>0</v>
      </c>
      <c r="T250" s="1433">
        <f t="shared" si="164"/>
        <v>0</v>
      </c>
      <c r="U250" s="1257">
        <f t="shared" si="164"/>
        <v>0</v>
      </c>
      <c r="V250" s="1433">
        <f t="shared" si="164"/>
        <v>0</v>
      </c>
      <c r="W250" s="1257">
        <f t="shared" si="164"/>
        <v>0</v>
      </c>
      <c r="X250" s="1433">
        <f t="shared" si="164"/>
        <v>0</v>
      </c>
      <c r="Y250" s="1257">
        <f t="shared" si="164"/>
        <v>0</v>
      </c>
      <c r="Z250" s="1433">
        <f t="shared" si="164"/>
        <v>0</v>
      </c>
      <c r="AA250" s="1233"/>
      <c r="AB250" s="1233" t="s">
        <v>1676</v>
      </c>
      <c r="AC250" s="1257">
        <f t="shared" ref="AC250:AF250" si="165">SUM(AC246:AC249)</f>
        <v>0</v>
      </c>
      <c r="AD250" s="1257">
        <f t="shared" si="165"/>
        <v>0</v>
      </c>
      <c r="AE250" s="1433">
        <f t="shared" si="165"/>
        <v>0</v>
      </c>
      <c r="AF250" s="1433">
        <f t="shared" si="165"/>
        <v>0</v>
      </c>
      <c r="AG250" s="1233"/>
      <c r="AH250" s="1233" t="s">
        <v>1676</v>
      </c>
      <c r="AI250" s="1257">
        <f t="shared" ref="AI250:AN250" si="166">SUM(AI246:AI249)</f>
        <v>0</v>
      </c>
      <c r="AJ250" s="1257">
        <f t="shared" si="166"/>
        <v>0</v>
      </c>
      <c r="AK250" s="1257">
        <f t="shared" si="166"/>
        <v>0</v>
      </c>
      <c r="AL250" s="1433">
        <f t="shared" si="166"/>
        <v>0</v>
      </c>
      <c r="AM250" s="1433">
        <f t="shared" si="166"/>
        <v>0</v>
      </c>
      <c r="AN250" s="1433">
        <f t="shared" si="166"/>
        <v>0</v>
      </c>
      <c r="AO250" s="1233"/>
      <c r="AP250" s="1233" t="s">
        <v>1676</v>
      </c>
      <c r="AQ250" s="1257">
        <f>SUM(AQ246:AQ249)</f>
        <v>0</v>
      </c>
      <c r="AR250" s="1257">
        <f>SUM(AR246:AR249)</f>
        <v>0</v>
      </c>
      <c r="AS250" s="1433">
        <f t="shared" ref="AS250:BB250" si="167">SUM(AS246:AS249)</f>
        <v>0</v>
      </c>
      <c r="AT250" s="1601">
        <f t="shared" si="167"/>
        <v>0</v>
      </c>
      <c r="AU250" s="1562">
        <f t="shared" si="167"/>
        <v>0</v>
      </c>
      <c r="AV250" s="1456">
        <f t="shared" si="167"/>
        <v>0</v>
      </c>
      <c r="AW250" s="1456">
        <f t="shared" si="167"/>
        <v>0</v>
      </c>
      <c r="AX250" s="1448">
        <f t="shared" si="167"/>
        <v>0</v>
      </c>
      <c r="AY250" s="1398">
        <f t="shared" si="167"/>
        <v>0</v>
      </c>
      <c r="AZ250" s="1257">
        <f t="shared" si="167"/>
        <v>0</v>
      </c>
      <c r="BA250" s="1257">
        <f t="shared" si="167"/>
        <v>0</v>
      </c>
      <c r="BB250" s="1400">
        <f t="shared" si="167"/>
        <v>0</v>
      </c>
    </row>
    <row r="251" spans="1:54" s="1371" customFormat="1" ht="15.6" x14ac:dyDescent="0.3">
      <c r="A251" s="973"/>
      <c r="B251" s="974" t="s">
        <v>1677</v>
      </c>
      <c r="C251" s="1067"/>
      <c r="D251" s="1493"/>
      <c r="E251" s="974"/>
      <c r="F251" s="974" t="s">
        <v>1677</v>
      </c>
      <c r="G251" s="1067"/>
      <c r="H251" s="1493"/>
      <c r="I251" s="974"/>
      <c r="J251" s="974" t="s">
        <v>1677</v>
      </c>
      <c r="K251" s="1067"/>
      <c r="L251" s="1493"/>
      <c r="M251" s="974"/>
      <c r="N251" s="974" t="s">
        <v>1677</v>
      </c>
      <c r="O251" s="1259"/>
      <c r="P251" s="1259"/>
      <c r="Q251" s="1259"/>
      <c r="R251" s="1430"/>
      <c r="S251" s="1430"/>
      <c r="T251" s="1430"/>
      <c r="U251" s="1067"/>
      <c r="V251" s="1493"/>
      <c r="W251" s="1067"/>
      <c r="X251" s="1493"/>
      <c r="Y251" s="1067"/>
      <c r="Z251" s="1493"/>
      <c r="AA251" s="974"/>
      <c r="AB251" s="974" t="s">
        <v>1677</v>
      </c>
      <c r="AC251" s="1259"/>
      <c r="AD251" s="1259"/>
      <c r="AE251" s="1430"/>
      <c r="AF251" s="1430"/>
      <c r="AG251" s="974"/>
      <c r="AH251" s="974" t="s">
        <v>1677</v>
      </c>
      <c r="AI251" s="1067"/>
      <c r="AJ251" s="1067"/>
      <c r="AK251" s="1067"/>
      <c r="AL251" s="1493"/>
      <c r="AM251" s="1493"/>
      <c r="AN251" s="1493"/>
      <c r="AO251" s="974"/>
      <c r="AP251" s="974" t="s">
        <v>1677</v>
      </c>
      <c r="AQ251" s="1067"/>
      <c r="AR251" s="1067"/>
      <c r="AS251" s="1493"/>
      <c r="AT251" s="1595"/>
      <c r="AU251" s="1563"/>
      <c r="AV251" s="1453"/>
      <c r="AW251" s="1459"/>
      <c r="AX251" s="1454">
        <f t="shared" si="143"/>
        <v>0</v>
      </c>
      <c r="AY251" s="1396">
        <f>SUM(O251+U251+Y251+AC251+AI251+AQ251)</f>
        <v>0</v>
      </c>
      <c r="AZ251" s="1219">
        <f>SUM(P251+AD251+AJ251+AR251)</f>
        <v>0</v>
      </c>
      <c r="BA251" s="1219">
        <f>SUM(C251+G251+K251+Q251+W251+AK251)</f>
        <v>0</v>
      </c>
      <c r="BB251" s="1386">
        <f t="shared" si="133"/>
        <v>0</v>
      </c>
    </row>
    <row r="252" spans="1:54" ht="15.6" x14ac:dyDescent="0.3">
      <c r="A252" s="1216">
        <v>1</v>
      </c>
      <c r="B252" s="1149"/>
      <c r="C252" s="1294"/>
      <c r="D252" s="1494"/>
      <c r="E252" s="1217">
        <v>1</v>
      </c>
      <c r="F252" s="1149"/>
      <c r="G252" s="1294"/>
      <c r="H252" s="1494"/>
      <c r="I252" s="1217">
        <v>1</v>
      </c>
      <c r="J252" s="1149"/>
      <c r="K252" s="1294"/>
      <c r="L252" s="1494"/>
      <c r="M252" s="1217">
        <v>1</v>
      </c>
      <c r="N252" s="1149"/>
      <c r="O252" s="1295"/>
      <c r="P252" s="1295"/>
      <c r="Q252" s="1295"/>
      <c r="R252" s="1431"/>
      <c r="S252" s="1431"/>
      <c r="T252" s="1431"/>
      <c r="U252" s="1294"/>
      <c r="V252" s="1494"/>
      <c r="W252" s="1294"/>
      <c r="X252" s="1494"/>
      <c r="Y252" s="1294"/>
      <c r="Z252" s="1494"/>
      <c r="AA252" s="1149">
        <v>1</v>
      </c>
      <c r="AB252" s="1149"/>
      <c r="AC252" s="1261"/>
      <c r="AD252" s="1261"/>
      <c r="AE252" s="1532"/>
      <c r="AF252" s="1532"/>
      <c r="AG252" s="1217">
        <v>1</v>
      </c>
      <c r="AH252" s="1149"/>
      <c r="AI252" s="1294"/>
      <c r="AJ252" s="1294"/>
      <c r="AK252" s="1294"/>
      <c r="AL252" s="1494"/>
      <c r="AM252" s="1494"/>
      <c r="AN252" s="1494"/>
      <c r="AO252" s="1149">
        <v>1</v>
      </c>
      <c r="AP252" s="1149"/>
      <c r="AQ252" s="1262"/>
      <c r="AR252" s="1262"/>
      <c r="AS252" s="1552"/>
      <c r="AT252" s="1599"/>
      <c r="AU252" s="1561">
        <f t="shared" ref="AU252:AU254" si="168">R252+V252+Z252+AE252+AL252+AS252</f>
        <v>0</v>
      </c>
      <c r="AV252" s="1447">
        <f t="shared" ref="AV252:AV254" si="169">S252+AF252+AM252+AT252</f>
        <v>0</v>
      </c>
      <c r="AW252" s="1447">
        <f t="shared" ref="AW252:AW254" si="170">D252+H252+L252+T252+X252+AN252</f>
        <v>0</v>
      </c>
      <c r="AX252" s="1463">
        <f t="shared" si="143"/>
        <v>0</v>
      </c>
      <c r="AY252" s="1393">
        <f>SUM(O252+U252+Y252+AC252+AI252+AQ252)</f>
        <v>0</v>
      </c>
      <c r="AZ252" s="1247">
        <f>SUM(P252+AD252+AJ252+AR252)</f>
        <v>0</v>
      </c>
      <c r="BA252" s="1247">
        <f>SUM(C252+G252+K252+Q252+W252+AK252)</f>
        <v>0</v>
      </c>
      <c r="BB252" s="1385">
        <f t="shared" si="133"/>
        <v>0</v>
      </c>
    </row>
    <row r="253" spans="1:54" ht="15.6" x14ac:dyDescent="0.3">
      <c r="A253" s="1216">
        <v>2</v>
      </c>
      <c r="B253" s="1149"/>
      <c r="C253" s="1294"/>
      <c r="D253" s="1494"/>
      <c r="E253" s="1217">
        <v>2</v>
      </c>
      <c r="F253" s="1149"/>
      <c r="G253" s="1294"/>
      <c r="H253" s="1494"/>
      <c r="I253" s="1217">
        <v>2</v>
      </c>
      <c r="J253" s="1149"/>
      <c r="K253" s="1294"/>
      <c r="L253" s="1494"/>
      <c r="M253" s="1217">
        <v>2</v>
      </c>
      <c r="N253" s="1149"/>
      <c r="O253" s="1295"/>
      <c r="P253" s="1295"/>
      <c r="Q253" s="1295"/>
      <c r="R253" s="1431"/>
      <c r="S253" s="1431"/>
      <c r="T253" s="1431"/>
      <c r="U253" s="1294"/>
      <c r="V253" s="1494"/>
      <c r="W253" s="1294"/>
      <c r="X253" s="1494"/>
      <c r="Y253" s="1294"/>
      <c r="Z253" s="1494"/>
      <c r="AA253" s="1149">
        <v>2</v>
      </c>
      <c r="AB253" s="1149"/>
      <c r="AC253" s="1261"/>
      <c r="AD253" s="1261"/>
      <c r="AE253" s="1532"/>
      <c r="AF253" s="1532"/>
      <c r="AG253" s="1217">
        <v>2</v>
      </c>
      <c r="AH253" s="1149"/>
      <c r="AI253" s="1294"/>
      <c r="AJ253" s="1294"/>
      <c r="AK253" s="1294"/>
      <c r="AL253" s="1494"/>
      <c r="AM253" s="1494"/>
      <c r="AN253" s="1494"/>
      <c r="AO253" s="1149">
        <v>2</v>
      </c>
      <c r="AP253" s="1149"/>
      <c r="AQ253" s="1262"/>
      <c r="AR253" s="1262"/>
      <c r="AS253" s="1552"/>
      <c r="AT253" s="1599"/>
      <c r="AU253" s="1561">
        <f t="shared" si="168"/>
        <v>0</v>
      </c>
      <c r="AV253" s="1447">
        <f t="shared" si="169"/>
        <v>0</v>
      </c>
      <c r="AW253" s="1447">
        <f t="shared" si="170"/>
        <v>0</v>
      </c>
      <c r="AX253" s="1463">
        <f t="shared" si="143"/>
        <v>0</v>
      </c>
      <c r="AY253" s="1393">
        <f>SUM(O253+U253+Y253+AC253+AI253+AQ253)</f>
        <v>0</v>
      </c>
      <c r="AZ253" s="1247">
        <f>SUM(P253+AD253+AJ253+AR253)</f>
        <v>0</v>
      </c>
      <c r="BA253" s="1247">
        <f>SUM(C253+G253+K253+Q253+W253+AK253)</f>
        <v>0</v>
      </c>
      <c r="BB253" s="1385">
        <f t="shared" si="133"/>
        <v>0</v>
      </c>
    </row>
    <row r="254" spans="1:54" ht="16.2" thickBot="1" x14ac:dyDescent="0.35">
      <c r="A254" s="1225">
        <v>3</v>
      </c>
      <c r="B254" s="1040"/>
      <c r="C254" s="1333"/>
      <c r="D254" s="1441"/>
      <c r="E254" s="1227">
        <v>3</v>
      </c>
      <c r="F254" s="1040"/>
      <c r="G254" s="1333"/>
      <c r="H254" s="1441"/>
      <c r="I254" s="1227">
        <v>3</v>
      </c>
      <c r="J254" s="1040"/>
      <c r="K254" s="1333"/>
      <c r="L254" s="1441"/>
      <c r="M254" s="1227">
        <v>3</v>
      </c>
      <c r="N254" s="1040"/>
      <c r="O254" s="1355"/>
      <c r="P254" s="1355"/>
      <c r="Q254" s="1355"/>
      <c r="R254" s="1432"/>
      <c r="S254" s="1432"/>
      <c r="T254" s="1432"/>
      <c r="U254" s="1333"/>
      <c r="V254" s="1441"/>
      <c r="W254" s="1333"/>
      <c r="X254" s="1441"/>
      <c r="Y254" s="1333"/>
      <c r="Z254" s="1441"/>
      <c r="AA254" s="1040">
        <v>3</v>
      </c>
      <c r="AB254" s="1040"/>
      <c r="AC254" s="1264"/>
      <c r="AD254" s="1264"/>
      <c r="AE254" s="1533"/>
      <c r="AF254" s="1533"/>
      <c r="AG254" s="1227">
        <v>3</v>
      </c>
      <c r="AH254" s="1040"/>
      <c r="AI254" s="1333"/>
      <c r="AJ254" s="1333"/>
      <c r="AK254" s="1333"/>
      <c r="AL254" s="1441"/>
      <c r="AM254" s="1441"/>
      <c r="AN254" s="1441"/>
      <c r="AO254" s="1040">
        <v>3</v>
      </c>
      <c r="AP254" s="1040"/>
      <c r="AQ254" s="1075"/>
      <c r="AR254" s="1075"/>
      <c r="AS254" s="1444"/>
      <c r="AT254" s="1600"/>
      <c r="AU254" s="1561">
        <f t="shared" si="168"/>
        <v>0</v>
      </c>
      <c r="AV254" s="1447">
        <f t="shared" si="169"/>
        <v>0</v>
      </c>
      <c r="AW254" s="1447">
        <f t="shared" si="170"/>
        <v>0</v>
      </c>
      <c r="AX254" s="1464">
        <f t="shared" si="143"/>
        <v>0</v>
      </c>
      <c r="AY254" s="1393">
        <f>SUM(O254+U254+Y254+AC254+AI254+AQ254)</f>
        <v>0</v>
      </c>
      <c r="AZ254" s="1247">
        <f>SUM(P254+AD254+AJ254+AR254)</f>
        <v>0</v>
      </c>
      <c r="BA254" s="1247">
        <f>SUM(C254+G254+K254+Q254+W254+AK254)</f>
        <v>0</v>
      </c>
      <c r="BB254" s="1385">
        <f t="shared" si="133"/>
        <v>0</v>
      </c>
    </row>
    <row r="255" spans="1:54" s="1371" customFormat="1" ht="16.2" thickBot="1" x14ac:dyDescent="0.35">
      <c r="A255" s="1369"/>
      <c r="B255" s="1266" t="s">
        <v>1679</v>
      </c>
      <c r="C255" s="1257">
        <f>SUM(C251:C254)</f>
        <v>0</v>
      </c>
      <c r="D255" s="1433">
        <f>SUM(D251:D254)</f>
        <v>0</v>
      </c>
      <c r="E255" s="1233"/>
      <c r="F255" s="1266" t="s">
        <v>1679</v>
      </c>
      <c r="G255" s="1257">
        <f>SUM(G251:G254)</f>
        <v>0</v>
      </c>
      <c r="H255" s="1433">
        <f>SUM(H251:H254)</f>
        <v>0</v>
      </c>
      <c r="I255" s="1233"/>
      <c r="J255" s="1266" t="s">
        <v>1679</v>
      </c>
      <c r="K255" s="1257">
        <f>SUM(K251:K254)</f>
        <v>0</v>
      </c>
      <c r="L255" s="1433">
        <f>SUM(L251:L254)</f>
        <v>0</v>
      </c>
      <c r="M255" s="1233"/>
      <c r="N255" s="1266" t="s">
        <v>1679</v>
      </c>
      <c r="O255" s="1256">
        <f t="shared" ref="O255:Z255" si="171">SUM(O251:O254)</f>
        <v>0</v>
      </c>
      <c r="P255" s="1256">
        <f t="shared" si="171"/>
        <v>0</v>
      </c>
      <c r="Q255" s="1256">
        <f t="shared" si="171"/>
        <v>0</v>
      </c>
      <c r="R255" s="1433">
        <f t="shared" si="171"/>
        <v>0</v>
      </c>
      <c r="S255" s="1433">
        <f t="shared" si="171"/>
        <v>0</v>
      </c>
      <c r="T255" s="1433">
        <f t="shared" si="171"/>
        <v>0</v>
      </c>
      <c r="U255" s="1257">
        <f t="shared" si="171"/>
        <v>0</v>
      </c>
      <c r="V255" s="1433">
        <f t="shared" si="171"/>
        <v>0</v>
      </c>
      <c r="W255" s="1257">
        <f t="shared" si="171"/>
        <v>0</v>
      </c>
      <c r="X255" s="1433">
        <f t="shared" si="171"/>
        <v>0</v>
      </c>
      <c r="Y255" s="1257">
        <f t="shared" si="171"/>
        <v>0</v>
      </c>
      <c r="Z255" s="1433">
        <f t="shared" si="171"/>
        <v>0</v>
      </c>
      <c r="AA255" s="1233"/>
      <c r="AB255" s="1266" t="s">
        <v>1679</v>
      </c>
      <c r="AC255" s="1257">
        <f t="shared" ref="AC255:AF255" si="172">SUM(AC251:AC254)</f>
        <v>0</v>
      </c>
      <c r="AD255" s="1257">
        <f t="shared" si="172"/>
        <v>0</v>
      </c>
      <c r="AE255" s="1433">
        <f t="shared" si="172"/>
        <v>0</v>
      </c>
      <c r="AF255" s="1433">
        <f t="shared" si="172"/>
        <v>0</v>
      </c>
      <c r="AG255" s="1233"/>
      <c r="AH255" s="1266" t="s">
        <v>1679</v>
      </c>
      <c r="AI255" s="1257">
        <f t="shared" ref="AI255:AN255" si="173">SUM(AI251:AI254)</f>
        <v>0</v>
      </c>
      <c r="AJ255" s="1257">
        <f t="shared" si="173"/>
        <v>0</v>
      </c>
      <c r="AK255" s="1257">
        <f t="shared" si="173"/>
        <v>0</v>
      </c>
      <c r="AL255" s="1433">
        <f t="shared" si="173"/>
        <v>0</v>
      </c>
      <c r="AM255" s="1433">
        <f t="shared" si="173"/>
        <v>0</v>
      </c>
      <c r="AN255" s="1433">
        <f t="shared" si="173"/>
        <v>0</v>
      </c>
      <c r="AO255" s="1233"/>
      <c r="AP255" s="1266" t="s">
        <v>1679</v>
      </c>
      <c r="AQ255" s="1257">
        <f>SUM(AQ251:AQ254)</f>
        <v>0</v>
      </c>
      <c r="AR255" s="1257">
        <f>SUM(AR251:AR254)</f>
        <v>0</v>
      </c>
      <c r="AS255" s="1433">
        <f t="shared" ref="AS255:BB255" si="174">SUM(AS251:AS254)</f>
        <v>0</v>
      </c>
      <c r="AT255" s="1601">
        <f t="shared" si="174"/>
        <v>0</v>
      </c>
      <c r="AU255" s="1562">
        <f t="shared" si="174"/>
        <v>0</v>
      </c>
      <c r="AV255" s="1456">
        <f t="shared" si="174"/>
        <v>0</v>
      </c>
      <c r="AW255" s="1456">
        <f t="shared" si="174"/>
        <v>0</v>
      </c>
      <c r="AX255" s="1448">
        <f t="shared" si="174"/>
        <v>0</v>
      </c>
      <c r="AY255" s="1398">
        <f t="shared" si="174"/>
        <v>0</v>
      </c>
      <c r="AZ255" s="1257">
        <f t="shared" si="174"/>
        <v>0</v>
      </c>
      <c r="BA255" s="1257">
        <f t="shared" si="174"/>
        <v>0</v>
      </c>
      <c r="BB255" s="1400">
        <f t="shared" si="174"/>
        <v>0</v>
      </c>
    </row>
    <row r="256" spans="1:54" s="1371" customFormat="1" ht="30" customHeight="1" thickBot="1" x14ac:dyDescent="0.35">
      <c r="A256" s="2512" t="s">
        <v>1680</v>
      </c>
      <c r="B256" s="2513"/>
      <c r="C256" s="1375">
        <f>SUM(C245+C239+C232+C255+C250)</f>
        <v>0</v>
      </c>
      <c r="D256" s="1429">
        <f>SUM(D245+D239+D232+D255+D250)</f>
        <v>0</v>
      </c>
      <c r="E256" s="2514" t="s">
        <v>1680</v>
      </c>
      <c r="F256" s="2513"/>
      <c r="G256" s="1257">
        <f t="shared" ref="G256" si="175">SUM(G245+G239+G232+G255+G250)</f>
        <v>0</v>
      </c>
      <c r="H256" s="1429">
        <f>SUM(H245+H239+H232+H255+H250)</f>
        <v>0</v>
      </c>
      <c r="I256" s="2505" t="s">
        <v>1680</v>
      </c>
      <c r="J256" s="2505"/>
      <c r="K256" s="1257">
        <f t="shared" ref="K256" si="176">SUM(K245+K239+K232+K255+K250)</f>
        <v>0</v>
      </c>
      <c r="L256" s="1429">
        <f>SUM(L245+L239+L232+L255+L250)</f>
        <v>0</v>
      </c>
      <c r="M256" s="2505" t="s">
        <v>1680</v>
      </c>
      <c r="N256" s="2505"/>
      <c r="O256" s="1256">
        <f t="shared" ref="O256:Y256" si="177">SUM(O245+O239+O232+O255+O250)</f>
        <v>46500</v>
      </c>
      <c r="P256" s="1256">
        <f t="shared" si="177"/>
        <v>0</v>
      </c>
      <c r="Q256" s="1256">
        <f t="shared" si="177"/>
        <v>0</v>
      </c>
      <c r="R256" s="1429">
        <f t="shared" si="177"/>
        <v>16381</v>
      </c>
      <c r="S256" s="1429">
        <f t="shared" si="177"/>
        <v>0</v>
      </c>
      <c r="T256" s="1429">
        <f t="shared" si="177"/>
        <v>0</v>
      </c>
      <c r="U256" s="1257">
        <f t="shared" si="177"/>
        <v>68450</v>
      </c>
      <c r="V256" s="1429">
        <f>SUM(V245+V239+V232+V255+V250)</f>
        <v>35000</v>
      </c>
      <c r="W256" s="1257">
        <f t="shared" si="177"/>
        <v>0</v>
      </c>
      <c r="X256" s="1429">
        <f>SUM(X245+X239+X232+X255+X250)</f>
        <v>0</v>
      </c>
      <c r="Y256" s="1257">
        <f t="shared" si="177"/>
        <v>0</v>
      </c>
      <c r="Z256" s="1429">
        <f>SUM(Z245+Z239+Z232+Z255+Z250)</f>
        <v>0</v>
      </c>
      <c r="AA256" s="2505" t="s">
        <v>1680</v>
      </c>
      <c r="AB256" s="2505"/>
      <c r="AC256" s="1256">
        <f t="shared" ref="AC256:AF256" si="178">SUM(AC245+AC239+AC232+AC255+AC250)</f>
        <v>0</v>
      </c>
      <c r="AD256" s="1256">
        <f t="shared" si="178"/>
        <v>0</v>
      </c>
      <c r="AE256" s="1429">
        <f t="shared" si="178"/>
        <v>0</v>
      </c>
      <c r="AF256" s="1429">
        <f t="shared" si="178"/>
        <v>0</v>
      </c>
      <c r="AG256" s="2505" t="s">
        <v>1680</v>
      </c>
      <c r="AH256" s="2505"/>
      <c r="AI256" s="1257">
        <f t="shared" ref="AI256:AN256" si="179">SUM(AI245+AI239+AI232+AI255+AI250)</f>
        <v>0</v>
      </c>
      <c r="AJ256" s="1257">
        <f t="shared" si="179"/>
        <v>0</v>
      </c>
      <c r="AK256" s="1257">
        <f t="shared" si="179"/>
        <v>0</v>
      </c>
      <c r="AL256" s="1429">
        <f t="shared" si="179"/>
        <v>0</v>
      </c>
      <c r="AM256" s="1429">
        <f t="shared" si="179"/>
        <v>0</v>
      </c>
      <c r="AN256" s="1429">
        <f t="shared" si="179"/>
        <v>0</v>
      </c>
      <c r="AO256" s="2505" t="s">
        <v>1680</v>
      </c>
      <c r="AP256" s="2505"/>
      <c r="AQ256" s="1257">
        <f t="shared" ref="AQ256:BB256" si="180">SUM(AQ245+AQ239+AQ232+AQ255+AQ250)</f>
        <v>2000</v>
      </c>
      <c r="AR256" s="1257">
        <f t="shared" si="180"/>
        <v>0</v>
      </c>
      <c r="AS256" s="1429">
        <f t="shared" si="180"/>
        <v>2540</v>
      </c>
      <c r="AT256" s="1594">
        <f t="shared" si="180"/>
        <v>0</v>
      </c>
      <c r="AU256" s="1569">
        <f t="shared" si="180"/>
        <v>53921</v>
      </c>
      <c r="AV256" s="1451">
        <f t="shared" si="180"/>
        <v>0</v>
      </c>
      <c r="AW256" s="1451">
        <f t="shared" si="180"/>
        <v>0</v>
      </c>
      <c r="AX256" s="1452">
        <f t="shared" si="180"/>
        <v>53921</v>
      </c>
      <c r="AY256" s="1397">
        <f t="shared" si="180"/>
        <v>116950</v>
      </c>
      <c r="AZ256" s="1375">
        <f t="shared" si="180"/>
        <v>0</v>
      </c>
      <c r="BA256" s="1375">
        <f t="shared" si="180"/>
        <v>0</v>
      </c>
      <c r="BB256" s="1389">
        <f t="shared" si="180"/>
        <v>116950</v>
      </c>
    </row>
    <row r="257" spans="1:54" ht="27" x14ac:dyDescent="0.3">
      <c r="A257" s="1044"/>
      <c r="B257" s="1286" t="s">
        <v>1681</v>
      </c>
      <c r="C257" s="1332"/>
      <c r="D257" s="1502"/>
      <c r="E257" s="1213"/>
      <c r="F257" s="1286" t="s">
        <v>1681</v>
      </c>
      <c r="G257" s="1332"/>
      <c r="H257" s="1502"/>
      <c r="I257" s="1213"/>
      <c r="J257" s="1286" t="s">
        <v>2019</v>
      </c>
      <c r="K257" s="1332"/>
      <c r="L257" s="1502"/>
      <c r="M257" s="1213"/>
      <c r="N257" s="1286" t="s">
        <v>1681</v>
      </c>
      <c r="O257" s="1354"/>
      <c r="P257" s="1354"/>
      <c r="Q257" s="1354"/>
      <c r="R257" s="1440"/>
      <c r="S257" s="1440"/>
      <c r="T257" s="1440"/>
      <c r="U257" s="1332"/>
      <c r="V257" s="1502"/>
      <c r="W257" s="1332"/>
      <c r="X257" s="1502"/>
      <c r="Y257" s="1332"/>
      <c r="Z257" s="1502"/>
      <c r="AA257" s="1213"/>
      <c r="AB257" s="1286" t="s">
        <v>1681</v>
      </c>
      <c r="AC257" s="1259"/>
      <c r="AD257" s="1259"/>
      <c r="AE257" s="1430"/>
      <c r="AF257" s="1430"/>
      <c r="AG257" s="1213"/>
      <c r="AH257" s="1286" t="s">
        <v>1681</v>
      </c>
      <c r="AI257" s="1332"/>
      <c r="AJ257" s="1332"/>
      <c r="AK257" s="1332"/>
      <c r="AL257" s="1502"/>
      <c r="AM257" s="1502"/>
      <c r="AN257" s="1502"/>
      <c r="AO257" s="1213"/>
      <c r="AP257" s="1286" t="s">
        <v>1681</v>
      </c>
      <c r="AQ257" s="1067"/>
      <c r="AR257" s="1067"/>
      <c r="AS257" s="1493"/>
      <c r="AT257" s="1595"/>
      <c r="AU257" s="1571"/>
      <c r="AV257" s="1469"/>
      <c r="AW257" s="1471"/>
      <c r="AX257" s="1470">
        <f t="shared" si="143"/>
        <v>0</v>
      </c>
      <c r="AY257" s="1393">
        <f>SUM(O257+U257+Y257+AC257+AI257+AQ257)</f>
        <v>0</v>
      </c>
      <c r="AZ257" s="1247">
        <f>SUM(P257+AD257+AJ257+AR257)</f>
        <v>0</v>
      </c>
      <c r="BA257" s="1247">
        <f>SUM(C257+G257+K257+Q257+W257+AK257)</f>
        <v>0</v>
      </c>
      <c r="BB257" s="1385">
        <f t="shared" si="133"/>
        <v>0</v>
      </c>
    </row>
    <row r="258" spans="1:54" ht="15.6" x14ac:dyDescent="0.3">
      <c r="A258" s="1120">
        <v>1</v>
      </c>
      <c r="B258" s="1175"/>
      <c r="C258" s="1294"/>
      <c r="D258" s="1494"/>
      <c r="E258" s="1175">
        <v>1</v>
      </c>
      <c r="F258" s="1175"/>
      <c r="G258" s="1294"/>
      <c r="H258" s="1494"/>
      <c r="I258" s="1175">
        <v>1</v>
      </c>
      <c r="J258" s="1175"/>
      <c r="K258" s="1294"/>
      <c r="L258" s="1494"/>
      <c r="M258" s="1175">
        <v>1</v>
      </c>
      <c r="N258" s="1175"/>
      <c r="O258" s="1295"/>
      <c r="P258" s="1295"/>
      <c r="Q258" s="1295"/>
      <c r="R258" s="1431"/>
      <c r="S258" s="1431"/>
      <c r="T258" s="1431"/>
      <c r="U258" s="1294"/>
      <c r="V258" s="1494"/>
      <c r="W258" s="1294"/>
      <c r="X258" s="1494"/>
      <c r="Y258" s="1294"/>
      <c r="Z258" s="1494"/>
      <c r="AA258" s="1175">
        <v>1</v>
      </c>
      <c r="AB258" s="1175"/>
      <c r="AC258" s="1261"/>
      <c r="AD258" s="1261"/>
      <c r="AE258" s="1532"/>
      <c r="AF258" s="1532"/>
      <c r="AG258" s="1175">
        <v>1</v>
      </c>
      <c r="AH258" s="1175"/>
      <c r="AI258" s="1294"/>
      <c r="AJ258" s="1294"/>
      <c r="AK258" s="1294"/>
      <c r="AL258" s="1494"/>
      <c r="AM258" s="1494"/>
      <c r="AN258" s="1494"/>
      <c r="AO258" s="1175">
        <v>1</v>
      </c>
      <c r="AP258" s="1175"/>
      <c r="AQ258" s="1262"/>
      <c r="AR258" s="1262"/>
      <c r="AS258" s="1552"/>
      <c r="AT258" s="1599"/>
      <c r="AU258" s="1561">
        <f t="shared" ref="AU258:AU260" si="181">R258+V258+Z258+AE258+AL258+AS258</f>
        <v>0</v>
      </c>
      <c r="AV258" s="1447">
        <f t="shared" ref="AV258:AV260" si="182">S258+AF258+AM258+AT258</f>
        <v>0</v>
      </c>
      <c r="AW258" s="1447">
        <f t="shared" ref="AW258:AW260" si="183">D258+H258+L258+T258+X258+AN258</f>
        <v>0</v>
      </c>
      <c r="AX258" s="1463">
        <f t="shared" si="143"/>
        <v>0</v>
      </c>
      <c r="AY258" s="1393">
        <f>SUM(O258+U258+Y258+AC258+AI258+AQ258)</f>
        <v>0</v>
      </c>
      <c r="AZ258" s="1247">
        <f>SUM(P258+AD258+AJ258+AR258)</f>
        <v>0</v>
      </c>
      <c r="BA258" s="1247">
        <f>SUM(C258+G258+K258+Q258+W258+AK258)</f>
        <v>0</v>
      </c>
      <c r="BB258" s="1385">
        <f t="shared" si="133"/>
        <v>0</v>
      </c>
    </row>
    <row r="259" spans="1:54" ht="15.6" x14ac:dyDescent="0.3">
      <c r="A259" s="1120">
        <v>2</v>
      </c>
      <c r="B259" s="1175"/>
      <c r="C259" s="1294"/>
      <c r="D259" s="1494"/>
      <c r="E259" s="1175">
        <v>2</v>
      </c>
      <c r="F259" s="1175"/>
      <c r="G259" s="1294"/>
      <c r="H259" s="1494"/>
      <c r="I259" s="1175">
        <v>2</v>
      </c>
      <c r="J259" s="1175"/>
      <c r="K259" s="1294"/>
      <c r="L259" s="1494"/>
      <c r="M259" s="1175">
        <v>2</v>
      </c>
      <c r="N259" s="1175"/>
      <c r="O259" s="1295"/>
      <c r="P259" s="1295"/>
      <c r="Q259" s="1295"/>
      <c r="R259" s="1431"/>
      <c r="S259" s="1431"/>
      <c r="T259" s="1431"/>
      <c r="U259" s="1294"/>
      <c r="V259" s="1494"/>
      <c r="W259" s="1294"/>
      <c r="X259" s="1494"/>
      <c r="Y259" s="1294"/>
      <c r="Z259" s="1494"/>
      <c r="AA259" s="1175">
        <v>2</v>
      </c>
      <c r="AB259" s="1175"/>
      <c r="AC259" s="1261"/>
      <c r="AD259" s="1261"/>
      <c r="AE259" s="1532"/>
      <c r="AF259" s="1532"/>
      <c r="AG259" s="1175">
        <v>2</v>
      </c>
      <c r="AH259" s="1175"/>
      <c r="AI259" s="1294"/>
      <c r="AJ259" s="1294"/>
      <c r="AK259" s="1294"/>
      <c r="AL259" s="1494"/>
      <c r="AM259" s="1494"/>
      <c r="AN259" s="1494"/>
      <c r="AO259" s="1175">
        <v>2</v>
      </c>
      <c r="AP259" s="1175"/>
      <c r="AQ259" s="1262"/>
      <c r="AR259" s="1262"/>
      <c r="AS259" s="1552"/>
      <c r="AT259" s="1599"/>
      <c r="AU259" s="1561">
        <f t="shared" si="181"/>
        <v>0</v>
      </c>
      <c r="AV259" s="1447">
        <f t="shared" si="182"/>
        <v>0</v>
      </c>
      <c r="AW259" s="1447">
        <f t="shared" si="183"/>
        <v>0</v>
      </c>
      <c r="AX259" s="1463">
        <f t="shared" si="143"/>
        <v>0</v>
      </c>
      <c r="AY259" s="1393">
        <f>SUM(O259+U259+Y259+AC259+AI259+AQ259)</f>
        <v>0</v>
      </c>
      <c r="AZ259" s="1247">
        <f>SUM(P259+AD259+AJ259+AR259)</f>
        <v>0</v>
      </c>
      <c r="BA259" s="1247">
        <f>SUM(C259+G259+K259+Q259+W259+AK259)</f>
        <v>0</v>
      </c>
      <c r="BB259" s="1385">
        <f t="shared" si="133"/>
        <v>0</v>
      </c>
    </row>
    <row r="260" spans="1:54" ht="16.2" thickBot="1" x14ac:dyDescent="0.35">
      <c r="A260" s="1129">
        <v>3</v>
      </c>
      <c r="B260" s="1287"/>
      <c r="C260" s="1333"/>
      <c r="D260" s="1441"/>
      <c r="E260" s="1287">
        <v>3</v>
      </c>
      <c r="F260" s="1287"/>
      <c r="G260" s="1333"/>
      <c r="H260" s="1441"/>
      <c r="I260" s="1287">
        <v>3</v>
      </c>
      <c r="J260" s="1287"/>
      <c r="K260" s="1333"/>
      <c r="L260" s="1441"/>
      <c r="M260" s="1287">
        <v>3</v>
      </c>
      <c r="N260" s="1287"/>
      <c r="O260" s="1355"/>
      <c r="P260" s="1355"/>
      <c r="Q260" s="1355"/>
      <c r="R260" s="1432"/>
      <c r="S260" s="1432"/>
      <c r="T260" s="1432"/>
      <c r="U260" s="1333"/>
      <c r="V260" s="1441"/>
      <c r="W260" s="1333"/>
      <c r="X260" s="1441"/>
      <c r="Y260" s="1333"/>
      <c r="Z260" s="1441"/>
      <c r="AA260" s="1287">
        <v>3</v>
      </c>
      <c r="AB260" s="1287"/>
      <c r="AC260" s="1264"/>
      <c r="AD260" s="1264"/>
      <c r="AE260" s="1533"/>
      <c r="AF260" s="1533"/>
      <c r="AG260" s="1287">
        <v>3</v>
      </c>
      <c r="AH260" s="1287"/>
      <c r="AI260" s="1333"/>
      <c r="AJ260" s="1333"/>
      <c r="AK260" s="1333"/>
      <c r="AL260" s="1441"/>
      <c r="AM260" s="1441"/>
      <c r="AN260" s="1441"/>
      <c r="AO260" s="1287">
        <v>3</v>
      </c>
      <c r="AP260" s="1287"/>
      <c r="AQ260" s="1075"/>
      <c r="AR260" s="1075"/>
      <c r="AS260" s="1444"/>
      <c r="AT260" s="1600"/>
      <c r="AU260" s="1561">
        <f t="shared" si="181"/>
        <v>0</v>
      </c>
      <c r="AV260" s="1447">
        <f t="shared" si="182"/>
        <v>0</v>
      </c>
      <c r="AW260" s="1447">
        <f t="shared" si="183"/>
        <v>0</v>
      </c>
      <c r="AX260" s="1464">
        <f t="shared" si="143"/>
        <v>0</v>
      </c>
      <c r="AY260" s="1393">
        <f>SUM(O260+U260+Y260+AC260+AI260+AQ260)</f>
        <v>0</v>
      </c>
      <c r="AZ260" s="1247">
        <f>SUM(P260+AD260+AJ260+AR260)</f>
        <v>0</v>
      </c>
      <c r="BA260" s="1247">
        <f>SUM(C260+G260+K260+Q260+W260+AK260)</f>
        <v>0</v>
      </c>
      <c r="BB260" s="1385">
        <f t="shared" si="133"/>
        <v>0</v>
      </c>
    </row>
    <row r="261" spans="1:54" ht="27.6" thickBot="1" x14ac:dyDescent="0.35">
      <c r="A261" s="2297"/>
      <c r="B261" s="1288" t="s">
        <v>1587</v>
      </c>
      <c r="C261" s="1267">
        <f>SUM(C257:C260)</f>
        <v>0</v>
      </c>
      <c r="D261" s="1434">
        <f>SUM(D257:D260)</f>
        <v>0</v>
      </c>
      <c r="E261" s="2296"/>
      <c r="F261" s="1288" t="s">
        <v>1587</v>
      </c>
      <c r="G261" s="1267">
        <f>SUM(G257:G260)</f>
        <v>0</v>
      </c>
      <c r="H261" s="1434">
        <f>SUM(H257:H260)</f>
        <v>0</v>
      </c>
      <c r="I261" s="2296"/>
      <c r="J261" s="1288" t="s">
        <v>2020</v>
      </c>
      <c r="K261" s="1267">
        <f>SUM(K257:K260)</f>
        <v>0</v>
      </c>
      <c r="L261" s="1434">
        <f>SUM(L257:L260)</f>
        <v>0</v>
      </c>
      <c r="M261" s="2296"/>
      <c r="N261" s="1288" t="s">
        <v>1587</v>
      </c>
      <c r="O261" s="1353">
        <f t="shared" ref="O261:Z261" si="184">SUM(O257:O260)</f>
        <v>0</v>
      </c>
      <c r="P261" s="1353">
        <f t="shared" si="184"/>
        <v>0</v>
      </c>
      <c r="Q261" s="1353">
        <f t="shared" si="184"/>
        <v>0</v>
      </c>
      <c r="R261" s="1434">
        <f t="shared" si="184"/>
        <v>0</v>
      </c>
      <c r="S261" s="1434">
        <f t="shared" si="184"/>
        <v>0</v>
      </c>
      <c r="T261" s="1434">
        <f t="shared" si="184"/>
        <v>0</v>
      </c>
      <c r="U261" s="1267">
        <f t="shared" si="184"/>
        <v>0</v>
      </c>
      <c r="V261" s="1434">
        <f t="shared" si="184"/>
        <v>0</v>
      </c>
      <c r="W261" s="1267">
        <f t="shared" si="184"/>
        <v>0</v>
      </c>
      <c r="X261" s="1434">
        <f t="shared" si="184"/>
        <v>0</v>
      </c>
      <c r="Y261" s="1267">
        <f t="shared" si="184"/>
        <v>0</v>
      </c>
      <c r="Z261" s="1434">
        <f t="shared" si="184"/>
        <v>0</v>
      </c>
      <c r="AA261" s="2296"/>
      <c r="AB261" s="1288" t="s">
        <v>1587</v>
      </c>
      <c r="AC261" s="1267">
        <f t="shared" ref="AC261:AF261" si="185">SUM(AC257:AC260)</f>
        <v>0</v>
      </c>
      <c r="AD261" s="1267">
        <f t="shared" si="185"/>
        <v>0</v>
      </c>
      <c r="AE261" s="1434">
        <f t="shared" si="185"/>
        <v>0</v>
      </c>
      <c r="AF261" s="1434">
        <f t="shared" si="185"/>
        <v>0</v>
      </c>
      <c r="AG261" s="2296"/>
      <c r="AH261" s="1288" t="s">
        <v>1587</v>
      </c>
      <c r="AI261" s="1267">
        <f t="shared" ref="AI261:AN261" si="186">SUM(AI257:AI260)</f>
        <v>0</v>
      </c>
      <c r="AJ261" s="1267">
        <f t="shared" si="186"/>
        <v>0</v>
      </c>
      <c r="AK261" s="1267">
        <f t="shared" si="186"/>
        <v>0</v>
      </c>
      <c r="AL261" s="1434">
        <f t="shared" si="186"/>
        <v>0</v>
      </c>
      <c r="AM261" s="1434">
        <f t="shared" si="186"/>
        <v>0</v>
      </c>
      <c r="AN261" s="1434">
        <f t="shared" si="186"/>
        <v>0</v>
      </c>
      <c r="AO261" s="2296"/>
      <c r="AP261" s="1288" t="s">
        <v>1587</v>
      </c>
      <c r="AQ261" s="1257">
        <f>SUM(AQ257:AQ260)</f>
        <v>0</v>
      </c>
      <c r="AR261" s="1257">
        <f>SUM(AR257:AR260)</f>
        <v>0</v>
      </c>
      <c r="AS261" s="1434">
        <f t="shared" ref="AS261:BB261" si="187">SUM(AS257:AS260)</f>
        <v>0</v>
      </c>
      <c r="AT261" s="1598">
        <f t="shared" si="187"/>
        <v>0</v>
      </c>
      <c r="AU261" s="1572">
        <f t="shared" si="187"/>
        <v>0</v>
      </c>
      <c r="AV261" s="1457">
        <f t="shared" si="187"/>
        <v>0</v>
      </c>
      <c r="AW261" s="1457">
        <f t="shared" si="187"/>
        <v>0</v>
      </c>
      <c r="AX261" s="1458">
        <f t="shared" si="187"/>
        <v>0</v>
      </c>
      <c r="AY261" s="1405">
        <f t="shared" si="187"/>
        <v>0</v>
      </c>
      <c r="AZ261" s="1267">
        <f t="shared" si="187"/>
        <v>0</v>
      </c>
      <c r="BA261" s="1267">
        <f t="shared" si="187"/>
        <v>0</v>
      </c>
      <c r="BB261" s="1399">
        <f t="shared" si="187"/>
        <v>0</v>
      </c>
    </row>
    <row r="262" spans="1:54" s="1371" customFormat="1" ht="15.6" x14ac:dyDescent="0.3">
      <c r="A262" s="1044"/>
      <c r="B262" s="1286" t="s">
        <v>1683</v>
      </c>
      <c r="C262" s="1067"/>
      <c r="D262" s="1493"/>
      <c r="E262" s="1213"/>
      <c r="F262" s="1286" t="s">
        <v>1683</v>
      </c>
      <c r="G262" s="1067"/>
      <c r="H262" s="1493"/>
      <c r="I262" s="1213"/>
      <c r="J262" s="1286" t="s">
        <v>1683</v>
      </c>
      <c r="K262" s="1067"/>
      <c r="L262" s="1493"/>
      <c r="M262" s="1213"/>
      <c r="N262" s="1286" t="s">
        <v>1683</v>
      </c>
      <c r="O262" s="1259"/>
      <c r="P262" s="1259"/>
      <c r="Q262" s="1259"/>
      <c r="R262" s="1430"/>
      <c r="S262" s="1430"/>
      <c r="T262" s="1430"/>
      <c r="U262" s="1067"/>
      <c r="V262" s="1493"/>
      <c r="W262" s="1067"/>
      <c r="X262" s="1493"/>
      <c r="Y262" s="1067"/>
      <c r="Z262" s="1493"/>
      <c r="AA262" s="1213"/>
      <c r="AB262" s="1286" t="s">
        <v>1683</v>
      </c>
      <c r="AC262" s="1259"/>
      <c r="AD262" s="1259"/>
      <c r="AE262" s="1430"/>
      <c r="AF262" s="1430"/>
      <c r="AG262" s="1213"/>
      <c r="AH262" s="1286" t="s">
        <v>1683</v>
      </c>
      <c r="AI262" s="1067"/>
      <c r="AJ262" s="1067"/>
      <c r="AK262" s="1067"/>
      <c r="AL262" s="1493"/>
      <c r="AM262" s="1493"/>
      <c r="AN262" s="1493"/>
      <c r="AO262" s="1213"/>
      <c r="AP262" s="1286" t="s">
        <v>1683</v>
      </c>
      <c r="AQ262" s="1067"/>
      <c r="AR262" s="1067"/>
      <c r="AS262" s="1493"/>
      <c r="AT262" s="1595"/>
      <c r="AU262" s="1563"/>
      <c r="AV262" s="1453"/>
      <c r="AW262" s="1459"/>
      <c r="AX262" s="1454">
        <f t="shared" si="143"/>
        <v>0</v>
      </c>
      <c r="AY262" s="1396">
        <f>SUM(O262+U262+Y262+AC262+AI262+AQ262)</f>
        <v>0</v>
      </c>
      <c r="AZ262" s="1219">
        <f>SUM(P262+AD262+AJ262+AR262)</f>
        <v>0</v>
      </c>
      <c r="BA262" s="1219">
        <f>SUM(C262+G262+K262+Q262+W262+AK262)</f>
        <v>0</v>
      </c>
      <c r="BB262" s="1386">
        <f t="shared" si="133"/>
        <v>0</v>
      </c>
    </row>
    <row r="263" spans="1:54" ht="15.6" x14ac:dyDescent="0.3">
      <c r="A263" s="1120">
        <v>1</v>
      </c>
      <c r="B263" s="1175"/>
      <c r="C263" s="1294"/>
      <c r="D263" s="1494"/>
      <c r="E263" s="1175">
        <v>1</v>
      </c>
      <c r="F263" s="1175"/>
      <c r="G263" s="1294"/>
      <c r="H263" s="1494"/>
      <c r="I263" s="1175">
        <v>1</v>
      </c>
      <c r="J263" s="1175"/>
      <c r="K263" s="1294"/>
      <c r="L263" s="1494"/>
      <c r="M263" s="1175">
        <v>1</v>
      </c>
      <c r="N263" s="1175"/>
      <c r="O263" s="1295"/>
      <c r="P263" s="1295"/>
      <c r="Q263" s="1295"/>
      <c r="R263" s="1431"/>
      <c r="S263" s="1431"/>
      <c r="T263" s="1431"/>
      <c r="U263" s="1294"/>
      <c r="V263" s="1494"/>
      <c r="W263" s="1294"/>
      <c r="X263" s="1494"/>
      <c r="Y263" s="1294"/>
      <c r="Z263" s="1494"/>
      <c r="AA263" s="1175">
        <v>1</v>
      </c>
      <c r="AB263" s="1175"/>
      <c r="AC263" s="1261"/>
      <c r="AD263" s="1261"/>
      <c r="AE263" s="1532"/>
      <c r="AF263" s="1532"/>
      <c r="AG263" s="1175">
        <v>1</v>
      </c>
      <c r="AH263" s="1175"/>
      <c r="AI263" s="1294"/>
      <c r="AJ263" s="1294"/>
      <c r="AK263" s="1294"/>
      <c r="AL263" s="1494"/>
      <c r="AM263" s="1494"/>
      <c r="AN263" s="1494"/>
      <c r="AO263" s="1175">
        <v>1</v>
      </c>
      <c r="AP263" s="1175"/>
      <c r="AQ263" s="1262"/>
      <c r="AR263" s="1262"/>
      <c r="AS263" s="1552"/>
      <c r="AT263" s="1599"/>
      <c r="AU263" s="1561">
        <f t="shared" ref="AU263:AU264" si="188">R263+V263+Z263+AE263+AL263+AS263</f>
        <v>0</v>
      </c>
      <c r="AV263" s="1447">
        <f t="shared" ref="AV263:AV264" si="189">S263+AF263+AM263+AT263</f>
        <v>0</v>
      </c>
      <c r="AW263" s="1447">
        <f t="shared" ref="AW263:AW264" si="190">D263+H263+L263+T263+X263+AN263</f>
        <v>0</v>
      </c>
      <c r="AX263" s="1463">
        <f t="shared" si="143"/>
        <v>0</v>
      </c>
      <c r="AY263" s="1393">
        <f>SUM(O263+U263+Y263+AC263+AI263+AQ263)</f>
        <v>0</v>
      </c>
      <c r="AZ263" s="1247">
        <f>SUM(P263+AD263+AJ263+AR263)</f>
        <v>0</v>
      </c>
      <c r="BA263" s="1247">
        <f>SUM(C263+G263+K263+Q263+W263+AK263)</f>
        <v>0</v>
      </c>
      <c r="BB263" s="1385">
        <f t="shared" ref="BB263:BB326" si="191">SUM(AY263:BA263)</f>
        <v>0</v>
      </c>
    </row>
    <row r="264" spans="1:54" ht="15.6" x14ac:dyDescent="0.3">
      <c r="A264" s="1120">
        <v>2</v>
      </c>
      <c r="B264" s="1175"/>
      <c r="C264" s="1294"/>
      <c r="D264" s="1494"/>
      <c r="E264" s="1175">
        <v>2</v>
      </c>
      <c r="F264" s="1175"/>
      <c r="G264" s="1294"/>
      <c r="H264" s="1494"/>
      <c r="I264" s="1175">
        <v>2</v>
      </c>
      <c r="J264" s="1175"/>
      <c r="K264" s="1294"/>
      <c r="L264" s="1494"/>
      <c r="M264" s="1175">
        <v>2</v>
      </c>
      <c r="N264" s="1175"/>
      <c r="O264" s="1295"/>
      <c r="P264" s="1295"/>
      <c r="Q264" s="1295"/>
      <c r="R264" s="1431"/>
      <c r="S264" s="1431"/>
      <c r="T264" s="1431"/>
      <c r="U264" s="1294"/>
      <c r="V264" s="1494"/>
      <c r="W264" s="1294"/>
      <c r="X264" s="1494"/>
      <c r="Y264" s="1294"/>
      <c r="Z264" s="1494"/>
      <c r="AA264" s="1175">
        <v>2</v>
      </c>
      <c r="AB264" s="1175"/>
      <c r="AC264" s="1261"/>
      <c r="AD264" s="1261"/>
      <c r="AE264" s="1532"/>
      <c r="AF264" s="1532"/>
      <c r="AG264" s="1175">
        <v>2</v>
      </c>
      <c r="AH264" s="1175"/>
      <c r="AI264" s="1294"/>
      <c r="AJ264" s="1294"/>
      <c r="AK264" s="1294"/>
      <c r="AL264" s="1494"/>
      <c r="AM264" s="1494"/>
      <c r="AN264" s="1494"/>
      <c r="AO264" s="1175">
        <v>2</v>
      </c>
      <c r="AP264" s="1175"/>
      <c r="AQ264" s="1262"/>
      <c r="AR264" s="1262"/>
      <c r="AS264" s="1552"/>
      <c r="AT264" s="1599"/>
      <c r="AU264" s="1561">
        <f t="shared" si="188"/>
        <v>0</v>
      </c>
      <c r="AV264" s="1447">
        <f t="shared" si="189"/>
        <v>0</v>
      </c>
      <c r="AW264" s="1447">
        <f t="shared" si="190"/>
        <v>0</v>
      </c>
      <c r="AX264" s="1463">
        <f t="shared" si="143"/>
        <v>0</v>
      </c>
      <c r="AY264" s="1393">
        <f>SUM(O264+U264+Y264+AC264+AI264+AQ264)</f>
        <v>0</v>
      </c>
      <c r="AZ264" s="1247">
        <f>SUM(P264+AD264+AJ264+AR264)</f>
        <v>0</v>
      </c>
      <c r="BA264" s="1247">
        <f>SUM(C264+G264+K264+Q264+W264+AK264)</f>
        <v>0</v>
      </c>
      <c r="BB264" s="1385">
        <f t="shared" si="191"/>
        <v>0</v>
      </c>
    </row>
    <row r="265" spans="1:54" ht="16.2" thickBot="1" x14ac:dyDescent="0.35">
      <c r="A265" s="1129"/>
      <c r="B265" s="1289" t="s">
        <v>1684</v>
      </c>
      <c r="C265" s="1333">
        <f>SUM(C262:C264)</f>
        <v>0</v>
      </c>
      <c r="D265" s="1441">
        <f>SUM(D262:D264)</f>
        <v>0</v>
      </c>
      <c r="E265" s="1287"/>
      <c r="F265" s="1289" t="s">
        <v>1684</v>
      </c>
      <c r="G265" s="1333">
        <f>SUM(G262:G264)</f>
        <v>0</v>
      </c>
      <c r="H265" s="1441">
        <f>SUM(H262:H264)</f>
        <v>0</v>
      </c>
      <c r="I265" s="1287"/>
      <c r="J265" s="1289" t="s">
        <v>1684</v>
      </c>
      <c r="K265" s="1333">
        <f>SUM(K262:K264)</f>
        <v>0</v>
      </c>
      <c r="L265" s="1441">
        <f>SUM(L262:L264)</f>
        <v>0</v>
      </c>
      <c r="M265" s="1287"/>
      <c r="N265" s="1289" t="s">
        <v>1684</v>
      </c>
      <c r="O265" s="1355">
        <f t="shared" ref="O265:Z265" si="192">SUM(O262:O264)</f>
        <v>0</v>
      </c>
      <c r="P265" s="1355">
        <f t="shared" si="192"/>
        <v>0</v>
      </c>
      <c r="Q265" s="1355">
        <f t="shared" si="192"/>
        <v>0</v>
      </c>
      <c r="R265" s="1441">
        <f t="shared" si="192"/>
        <v>0</v>
      </c>
      <c r="S265" s="1441">
        <f t="shared" si="192"/>
        <v>0</v>
      </c>
      <c r="T265" s="1441">
        <f t="shared" si="192"/>
        <v>0</v>
      </c>
      <c r="U265" s="1333">
        <f t="shared" si="192"/>
        <v>0</v>
      </c>
      <c r="V265" s="1441">
        <f t="shared" si="192"/>
        <v>0</v>
      </c>
      <c r="W265" s="1333">
        <f t="shared" si="192"/>
        <v>0</v>
      </c>
      <c r="X265" s="1441">
        <f t="shared" si="192"/>
        <v>0</v>
      </c>
      <c r="Y265" s="1333">
        <f t="shared" si="192"/>
        <v>0</v>
      </c>
      <c r="Z265" s="1441">
        <f t="shared" si="192"/>
        <v>0</v>
      </c>
      <c r="AA265" s="1287"/>
      <c r="AB265" s="1289" t="s">
        <v>1684</v>
      </c>
      <c r="AC265" s="1333">
        <f t="shared" ref="AC265:AD265" si="193">SUM(AC262:AC264)</f>
        <v>0</v>
      </c>
      <c r="AD265" s="1333">
        <f t="shared" si="193"/>
        <v>0</v>
      </c>
      <c r="AE265" s="1441">
        <f>SUM(AE262:AE264)</f>
        <v>0</v>
      </c>
      <c r="AF265" s="1441">
        <f>SUM(AF262:AF264)</f>
        <v>0</v>
      </c>
      <c r="AG265" s="1287"/>
      <c r="AH265" s="1289" t="s">
        <v>1684</v>
      </c>
      <c r="AI265" s="1333">
        <f t="shared" ref="AI265:AN265" si="194">SUM(AI262:AI264)</f>
        <v>0</v>
      </c>
      <c r="AJ265" s="1333">
        <f t="shared" si="194"/>
        <v>0</v>
      </c>
      <c r="AK265" s="1333">
        <f t="shared" si="194"/>
        <v>0</v>
      </c>
      <c r="AL265" s="1441">
        <f t="shared" si="194"/>
        <v>0</v>
      </c>
      <c r="AM265" s="1441">
        <f t="shared" si="194"/>
        <v>0</v>
      </c>
      <c r="AN265" s="1441">
        <f t="shared" si="194"/>
        <v>0</v>
      </c>
      <c r="AO265" s="1287"/>
      <c r="AP265" s="1289" t="s">
        <v>1684</v>
      </c>
      <c r="AQ265" s="1075">
        <f>SUM(AQ262:AQ264)</f>
        <v>0</v>
      </c>
      <c r="AR265" s="1075">
        <f>SUM(AR262:AR264)</f>
        <v>0</v>
      </c>
      <c r="AS265" s="1441">
        <f t="shared" ref="AS265:BB265" si="195">SUM(AS262:AS264)</f>
        <v>0</v>
      </c>
      <c r="AT265" s="1610">
        <f t="shared" si="195"/>
        <v>0</v>
      </c>
      <c r="AU265" s="1573">
        <f t="shared" si="195"/>
        <v>0</v>
      </c>
      <c r="AV265" s="1455">
        <f t="shared" si="195"/>
        <v>0</v>
      </c>
      <c r="AW265" s="1455">
        <f t="shared" si="195"/>
        <v>0</v>
      </c>
      <c r="AX265" s="1464">
        <f t="shared" si="195"/>
        <v>0</v>
      </c>
      <c r="AY265" s="1406">
        <f t="shared" si="195"/>
        <v>0</v>
      </c>
      <c r="AZ265" s="1333">
        <f t="shared" si="195"/>
        <v>0</v>
      </c>
      <c r="BA265" s="1333">
        <f t="shared" si="195"/>
        <v>0</v>
      </c>
      <c r="BB265" s="1407">
        <f t="shared" si="195"/>
        <v>0</v>
      </c>
    </row>
    <row r="266" spans="1:54" s="1371" customFormat="1" ht="30" customHeight="1" thickBot="1" x14ac:dyDescent="0.35">
      <c r="A266" s="2506" t="s">
        <v>1685</v>
      </c>
      <c r="B266" s="2503"/>
      <c r="C266" s="1257">
        <f>C261+C265</f>
        <v>0</v>
      </c>
      <c r="D266" s="1433">
        <f>D261+D265</f>
        <v>0</v>
      </c>
      <c r="E266" s="2503" t="s">
        <v>1685</v>
      </c>
      <c r="F266" s="2503"/>
      <c r="G266" s="1257">
        <f>G261+G265</f>
        <v>0</v>
      </c>
      <c r="H266" s="1433">
        <f>H261+H265</f>
        <v>0</v>
      </c>
      <c r="I266" s="2503" t="s">
        <v>1685</v>
      </c>
      <c r="J266" s="2503"/>
      <c r="K266" s="1257">
        <f>K261+K265</f>
        <v>0</v>
      </c>
      <c r="L266" s="1433">
        <f>L261+L265</f>
        <v>0</v>
      </c>
      <c r="M266" s="2503" t="s">
        <v>1685</v>
      </c>
      <c r="N266" s="2503"/>
      <c r="O266" s="1256">
        <f t="shared" ref="O266:Z266" si="196">O261+O265</f>
        <v>0</v>
      </c>
      <c r="P266" s="1256">
        <f t="shared" si="196"/>
        <v>0</v>
      </c>
      <c r="Q266" s="1256">
        <f t="shared" si="196"/>
        <v>0</v>
      </c>
      <c r="R266" s="1433">
        <f t="shared" si="196"/>
        <v>0</v>
      </c>
      <c r="S266" s="1433">
        <f t="shared" si="196"/>
        <v>0</v>
      </c>
      <c r="T266" s="1433">
        <f t="shared" si="196"/>
        <v>0</v>
      </c>
      <c r="U266" s="1257">
        <f t="shared" si="196"/>
        <v>0</v>
      </c>
      <c r="V266" s="1433">
        <f t="shared" si="196"/>
        <v>0</v>
      </c>
      <c r="W266" s="1257">
        <f t="shared" si="196"/>
        <v>0</v>
      </c>
      <c r="X266" s="1433">
        <f t="shared" si="196"/>
        <v>0</v>
      </c>
      <c r="Y266" s="1257">
        <f t="shared" si="196"/>
        <v>0</v>
      </c>
      <c r="Z266" s="1433">
        <f t="shared" si="196"/>
        <v>0</v>
      </c>
      <c r="AA266" s="2503" t="s">
        <v>1685</v>
      </c>
      <c r="AB266" s="2503"/>
      <c r="AC266" s="1257">
        <f t="shared" ref="AC266:AD266" si="197">AC261+AC265</f>
        <v>0</v>
      </c>
      <c r="AD266" s="1257">
        <f t="shared" si="197"/>
        <v>0</v>
      </c>
      <c r="AE266" s="1433">
        <f>AE261+AE265</f>
        <v>0</v>
      </c>
      <c r="AF266" s="1433">
        <f>AF261+AF265</f>
        <v>0</v>
      </c>
      <c r="AG266" s="2503" t="s">
        <v>1685</v>
      </c>
      <c r="AH266" s="2503"/>
      <c r="AI266" s="1257">
        <f t="shared" ref="AI266:AN266" si="198">AI261+AI265</f>
        <v>0</v>
      </c>
      <c r="AJ266" s="1257">
        <f t="shared" si="198"/>
        <v>0</v>
      </c>
      <c r="AK266" s="1257">
        <f t="shared" si="198"/>
        <v>0</v>
      </c>
      <c r="AL266" s="1433">
        <f t="shared" si="198"/>
        <v>0</v>
      </c>
      <c r="AM266" s="1433">
        <f t="shared" si="198"/>
        <v>0</v>
      </c>
      <c r="AN266" s="1433">
        <f t="shared" si="198"/>
        <v>0</v>
      </c>
      <c r="AO266" s="2503" t="s">
        <v>1685</v>
      </c>
      <c r="AP266" s="2503"/>
      <c r="AQ266" s="1257">
        <f>AQ261+AQ265</f>
        <v>0</v>
      </c>
      <c r="AR266" s="1257">
        <f>AR261+AR265</f>
        <v>0</v>
      </c>
      <c r="AS266" s="1433">
        <f t="shared" ref="AS266:BB266" si="199">AS261+AS265</f>
        <v>0</v>
      </c>
      <c r="AT266" s="1601">
        <f t="shared" si="199"/>
        <v>0</v>
      </c>
      <c r="AU266" s="1562">
        <f t="shared" si="199"/>
        <v>0</v>
      </c>
      <c r="AV266" s="1456">
        <f t="shared" si="199"/>
        <v>0</v>
      </c>
      <c r="AW266" s="1456">
        <f t="shared" si="199"/>
        <v>0</v>
      </c>
      <c r="AX266" s="1448">
        <f t="shared" si="199"/>
        <v>0</v>
      </c>
      <c r="AY266" s="1398">
        <f t="shared" si="199"/>
        <v>0</v>
      </c>
      <c r="AZ266" s="1257">
        <f t="shared" si="199"/>
        <v>0</v>
      </c>
      <c r="BA266" s="1257">
        <f t="shared" si="199"/>
        <v>0</v>
      </c>
      <c r="BB266" s="1400">
        <f t="shared" si="199"/>
        <v>0</v>
      </c>
    </row>
    <row r="267" spans="1:54" s="1371" customFormat="1" ht="30" customHeight="1" thickBot="1" x14ac:dyDescent="0.35">
      <c r="A267" s="2502" t="s">
        <v>1686</v>
      </c>
      <c r="B267" s="2499"/>
      <c r="C267" s="1375">
        <f>SUM(C200+C195+C256+C266)</f>
        <v>17608</v>
      </c>
      <c r="D267" s="1429">
        <f>SUM(D200+D195+D256+D266)</f>
        <v>12303</v>
      </c>
      <c r="E267" s="2499" t="s">
        <v>1686</v>
      </c>
      <c r="F267" s="2499"/>
      <c r="G267" s="1257">
        <f>SUM(G200+G195+G256+G266)</f>
        <v>5811</v>
      </c>
      <c r="H267" s="1429">
        <f>SUM(H200+H195+H256+H266)</f>
        <v>5789</v>
      </c>
      <c r="I267" s="2499" t="s">
        <v>1686</v>
      </c>
      <c r="J267" s="2499"/>
      <c r="K267" s="1257">
        <f>SUM(K200+K195+K256+K266)</f>
        <v>5832</v>
      </c>
      <c r="L267" s="1429">
        <f>SUM(L200+L195+L256+L266)</f>
        <v>5440</v>
      </c>
      <c r="M267" s="2499" t="s">
        <v>1686</v>
      </c>
      <c r="N267" s="2499"/>
      <c r="O267" s="1256">
        <f t="shared" ref="O267:Y267" si="200">SUM(O200+O195+O256+O266)</f>
        <v>319011</v>
      </c>
      <c r="P267" s="1256">
        <f t="shared" si="200"/>
        <v>9991</v>
      </c>
      <c r="Q267" s="1256">
        <f t="shared" si="200"/>
        <v>1500</v>
      </c>
      <c r="R267" s="1429">
        <f t="shared" si="200"/>
        <v>247170</v>
      </c>
      <c r="S267" s="1429">
        <f t="shared" si="200"/>
        <v>11823</v>
      </c>
      <c r="T267" s="1429">
        <f t="shared" si="200"/>
        <v>1500</v>
      </c>
      <c r="U267" s="1257">
        <f t="shared" si="200"/>
        <v>115546</v>
      </c>
      <c r="V267" s="1429">
        <f>SUM(V200+V195+V256+V266)</f>
        <v>76026</v>
      </c>
      <c r="W267" s="1257">
        <f t="shared" si="200"/>
        <v>500</v>
      </c>
      <c r="X267" s="1429">
        <f>SUM(X200+X195+X256+X266)</f>
        <v>500</v>
      </c>
      <c r="Y267" s="1257">
        <f t="shared" si="200"/>
        <v>14410</v>
      </c>
      <c r="Z267" s="1429">
        <f>SUM(Z200+Z195+Z256+Z266)</f>
        <v>14264</v>
      </c>
      <c r="AA267" s="2499" t="s">
        <v>1686</v>
      </c>
      <c r="AB267" s="2499"/>
      <c r="AC267" s="1375">
        <f t="shared" ref="AC267:AD267" si="201">SUM(AC200+AC195+AC256+AC266)</f>
        <v>56977</v>
      </c>
      <c r="AD267" s="1375">
        <f t="shared" si="201"/>
        <v>22782</v>
      </c>
      <c r="AE267" s="1429">
        <f>SUM(AE200+AE195+AE256+AE266)</f>
        <v>16825</v>
      </c>
      <c r="AF267" s="1429">
        <f>SUM(AF200+AF195+AF256+AF266)</f>
        <v>20293</v>
      </c>
      <c r="AG267" s="2499" t="s">
        <v>1686</v>
      </c>
      <c r="AH267" s="2499"/>
      <c r="AI267" s="1375">
        <f t="shared" ref="AI267:AN267" si="202">SUM(AI200+AI195+AI256+AI266)</f>
        <v>1132181</v>
      </c>
      <c r="AJ267" s="1375">
        <f t="shared" si="202"/>
        <v>36081</v>
      </c>
      <c r="AK267" s="1375">
        <f t="shared" si="202"/>
        <v>276970</v>
      </c>
      <c r="AL267" s="1429">
        <f t="shared" si="202"/>
        <v>1193328</v>
      </c>
      <c r="AM267" s="1429">
        <f t="shared" si="202"/>
        <v>33954</v>
      </c>
      <c r="AN267" s="1429">
        <f t="shared" si="202"/>
        <v>244610</v>
      </c>
      <c r="AO267" s="2499" t="s">
        <v>1686</v>
      </c>
      <c r="AP267" s="2499"/>
      <c r="AQ267" s="1257">
        <f t="shared" ref="AQ267:BB267" si="203">SUM(AQ200+AQ195+AQ256+AQ266)</f>
        <v>532481</v>
      </c>
      <c r="AR267" s="1257">
        <f t="shared" si="203"/>
        <v>2487</v>
      </c>
      <c r="AS267" s="1429">
        <f t="shared" si="203"/>
        <v>510265</v>
      </c>
      <c r="AT267" s="1594">
        <f t="shared" si="203"/>
        <v>28485</v>
      </c>
      <c r="AU267" s="1569">
        <f t="shared" si="203"/>
        <v>2057878</v>
      </c>
      <c r="AV267" s="1451">
        <f t="shared" si="203"/>
        <v>94555</v>
      </c>
      <c r="AW267" s="1451">
        <f t="shared" si="203"/>
        <v>270142</v>
      </c>
      <c r="AX267" s="1452">
        <f t="shared" si="203"/>
        <v>2422575</v>
      </c>
      <c r="AY267" s="1397">
        <f t="shared" si="203"/>
        <v>2170606</v>
      </c>
      <c r="AZ267" s="1375">
        <f t="shared" si="203"/>
        <v>71341</v>
      </c>
      <c r="BA267" s="1375">
        <f t="shared" si="203"/>
        <v>308221</v>
      </c>
      <c r="BB267" s="1389">
        <f t="shared" si="203"/>
        <v>2550168</v>
      </c>
    </row>
    <row r="268" spans="1:54" s="1371" customFormat="1" ht="30" customHeight="1" thickBot="1" x14ac:dyDescent="0.35">
      <c r="A268" s="2508" t="s">
        <v>1687</v>
      </c>
      <c r="B268" s="2507"/>
      <c r="C268" s="1257">
        <f>SUM(C267-C3)</f>
        <v>0</v>
      </c>
      <c r="D268" s="1433">
        <f>SUM(D267-D3)</f>
        <v>0</v>
      </c>
      <c r="E268" s="2507" t="s">
        <v>1687</v>
      </c>
      <c r="F268" s="2507"/>
      <c r="G268" s="1257">
        <f>SUM(G267-G3)</f>
        <v>0</v>
      </c>
      <c r="H268" s="1433">
        <f>SUM(H267-H3)</f>
        <v>0</v>
      </c>
      <c r="I268" s="2507" t="s">
        <v>1687</v>
      </c>
      <c r="J268" s="2507"/>
      <c r="K268" s="1257">
        <f>SUM(K267-K3)</f>
        <v>0</v>
      </c>
      <c r="L268" s="1433">
        <f>SUM(L267-L3)</f>
        <v>0</v>
      </c>
      <c r="M268" s="2507" t="s">
        <v>1687</v>
      </c>
      <c r="N268" s="2507"/>
      <c r="O268" s="1256">
        <f t="shared" ref="O268:Y268" si="204">SUM(O267-O3)</f>
        <v>0</v>
      </c>
      <c r="P268" s="1256">
        <f t="shared" si="204"/>
        <v>0</v>
      </c>
      <c r="Q268" s="1256">
        <f t="shared" si="204"/>
        <v>0</v>
      </c>
      <c r="R268" s="1433">
        <f t="shared" si="204"/>
        <v>0</v>
      </c>
      <c r="S268" s="1433">
        <f t="shared" si="204"/>
        <v>0</v>
      </c>
      <c r="T268" s="1433">
        <f t="shared" si="204"/>
        <v>0</v>
      </c>
      <c r="U268" s="1257">
        <f t="shared" si="204"/>
        <v>0</v>
      </c>
      <c r="V268" s="1433">
        <f>SUM(V267-V3)</f>
        <v>0</v>
      </c>
      <c r="W268" s="1257">
        <f t="shared" si="204"/>
        <v>0</v>
      </c>
      <c r="X268" s="1433">
        <f>SUM(X267-X3)</f>
        <v>0</v>
      </c>
      <c r="Y268" s="1256">
        <f t="shared" si="204"/>
        <v>0</v>
      </c>
      <c r="Z268" s="1433">
        <f>SUM(Z267-Z3)</f>
        <v>0</v>
      </c>
      <c r="AA268" s="2507" t="s">
        <v>1687</v>
      </c>
      <c r="AB268" s="2507"/>
      <c r="AC268" s="1257">
        <f t="shared" ref="AC268:AD268" si="205">SUM(AC267-AC3)</f>
        <v>0</v>
      </c>
      <c r="AD268" s="1257">
        <f t="shared" si="205"/>
        <v>0</v>
      </c>
      <c r="AE268" s="1433">
        <f>SUM(AE267-AE3)</f>
        <v>0</v>
      </c>
      <c r="AF268" s="1433">
        <f>SUM(AF267-AF3)</f>
        <v>0</v>
      </c>
      <c r="AG268" s="2507" t="s">
        <v>1687</v>
      </c>
      <c r="AH268" s="2507"/>
      <c r="AI268" s="1257">
        <f t="shared" ref="AI268:AN268" si="206">SUM(AI267-AI3)</f>
        <v>0</v>
      </c>
      <c r="AJ268" s="1257">
        <f t="shared" si="206"/>
        <v>0</v>
      </c>
      <c r="AK268" s="1257">
        <f t="shared" si="206"/>
        <v>0</v>
      </c>
      <c r="AL268" s="1433">
        <f t="shared" si="206"/>
        <v>0</v>
      </c>
      <c r="AM268" s="1433">
        <f t="shared" si="206"/>
        <v>0</v>
      </c>
      <c r="AN268" s="1433">
        <f t="shared" si="206"/>
        <v>0</v>
      </c>
      <c r="AO268" s="2507" t="s">
        <v>1687</v>
      </c>
      <c r="AP268" s="2507"/>
      <c r="AQ268" s="1257">
        <f>SUM(AQ267-AQ3)</f>
        <v>0</v>
      </c>
      <c r="AR268" s="1257">
        <f>SUM(AR267-AR3)</f>
        <v>0</v>
      </c>
      <c r="AS268" s="1433">
        <f t="shared" ref="AS268:BB268" si="207">SUM(AS267-AS3)</f>
        <v>0</v>
      </c>
      <c r="AT268" s="1601">
        <f t="shared" si="207"/>
        <v>0</v>
      </c>
      <c r="AU268" s="1562">
        <f t="shared" si="207"/>
        <v>0</v>
      </c>
      <c r="AV268" s="1456">
        <f t="shared" si="207"/>
        <v>0</v>
      </c>
      <c r="AW268" s="1456">
        <f t="shared" si="207"/>
        <v>0</v>
      </c>
      <c r="AX268" s="1448">
        <f t="shared" si="207"/>
        <v>0</v>
      </c>
      <c r="AY268" s="1398">
        <f t="shared" si="207"/>
        <v>0</v>
      </c>
      <c r="AZ268" s="1257">
        <f t="shared" si="207"/>
        <v>0</v>
      </c>
      <c r="BA268" s="1257">
        <f t="shared" si="207"/>
        <v>0</v>
      </c>
      <c r="BB268" s="1400">
        <f t="shared" si="207"/>
        <v>0</v>
      </c>
    </row>
    <row r="269" spans="1:54" s="1371" customFormat="1" ht="30" customHeight="1" thickBot="1" x14ac:dyDescent="0.35">
      <c r="A269" s="2506" t="s">
        <v>1688</v>
      </c>
      <c r="B269" s="2503"/>
      <c r="C269" s="1257">
        <f>C353</f>
        <v>17608</v>
      </c>
      <c r="D269" s="1433">
        <f>D353</f>
        <v>12303</v>
      </c>
      <c r="E269" s="2503" t="s">
        <v>1688</v>
      </c>
      <c r="F269" s="2503"/>
      <c r="G269" s="1257">
        <f>G353</f>
        <v>5811</v>
      </c>
      <c r="H269" s="1433">
        <f>H353</f>
        <v>5789</v>
      </c>
      <c r="I269" s="2503" t="s">
        <v>1688</v>
      </c>
      <c r="J269" s="2503"/>
      <c r="K269" s="1257">
        <f>K353</f>
        <v>5832</v>
      </c>
      <c r="L269" s="1433">
        <f>L353</f>
        <v>5440</v>
      </c>
      <c r="M269" s="2503" t="s">
        <v>1688</v>
      </c>
      <c r="N269" s="2503"/>
      <c r="O269" s="1256">
        <f t="shared" ref="O269:Z269" si="208">O353</f>
        <v>319011</v>
      </c>
      <c r="P269" s="1256">
        <f t="shared" si="208"/>
        <v>9991</v>
      </c>
      <c r="Q269" s="1256">
        <f t="shared" si="208"/>
        <v>1500</v>
      </c>
      <c r="R269" s="1433">
        <f t="shared" si="208"/>
        <v>247170</v>
      </c>
      <c r="S269" s="1433">
        <f t="shared" si="208"/>
        <v>11823</v>
      </c>
      <c r="T269" s="1433">
        <f t="shared" si="208"/>
        <v>1500</v>
      </c>
      <c r="U269" s="1257">
        <f t="shared" si="208"/>
        <v>115546</v>
      </c>
      <c r="V269" s="1433">
        <f t="shared" si="208"/>
        <v>76026</v>
      </c>
      <c r="W269" s="1257">
        <f t="shared" si="208"/>
        <v>500</v>
      </c>
      <c r="X269" s="1433">
        <f t="shared" si="208"/>
        <v>500</v>
      </c>
      <c r="Y269" s="1257">
        <f t="shared" si="208"/>
        <v>14410</v>
      </c>
      <c r="Z269" s="1433">
        <f t="shared" si="208"/>
        <v>14264</v>
      </c>
      <c r="AA269" s="2503" t="s">
        <v>1688</v>
      </c>
      <c r="AB269" s="2503"/>
      <c r="AC269" s="1257">
        <f t="shared" ref="AC269:AD269" si="209">AC353</f>
        <v>56977</v>
      </c>
      <c r="AD269" s="1257">
        <f t="shared" si="209"/>
        <v>22782</v>
      </c>
      <c r="AE269" s="1433">
        <f>AE353</f>
        <v>16825</v>
      </c>
      <c r="AF269" s="1433">
        <f>AF353</f>
        <v>20293</v>
      </c>
      <c r="AG269" s="2503" t="s">
        <v>1688</v>
      </c>
      <c r="AH269" s="2503"/>
      <c r="AI269" s="1257">
        <f t="shared" ref="AI269:AN269" si="210">AI353</f>
        <v>1132181</v>
      </c>
      <c r="AJ269" s="1257">
        <f t="shared" si="210"/>
        <v>36081</v>
      </c>
      <c r="AK269" s="1257">
        <f t="shared" si="210"/>
        <v>276970</v>
      </c>
      <c r="AL269" s="1433">
        <f t="shared" si="210"/>
        <v>1193328</v>
      </c>
      <c r="AM269" s="1433">
        <f t="shared" si="210"/>
        <v>33954</v>
      </c>
      <c r="AN269" s="1433">
        <f t="shared" si="210"/>
        <v>244610</v>
      </c>
      <c r="AO269" s="2503" t="s">
        <v>1688</v>
      </c>
      <c r="AP269" s="2503"/>
      <c r="AQ269" s="1257">
        <f t="shared" ref="AQ269:BB269" si="211">AQ353</f>
        <v>532481</v>
      </c>
      <c r="AR269" s="1257">
        <f t="shared" si="211"/>
        <v>2487</v>
      </c>
      <c r="AS269" s="1433">
        <f t="shared" si="211"/>
        <v>510265</v>
      </c>
      <c r="AT269" s="1601">
        <f t="shared" si="211"/>
        <v>28485</v>
      </c>
      <c r="AU269" s="1562">
        <f t="shared" si="211"/>
        <v>2057878</v>
      </c>
      <c r="AV269" s="1456">
        <f t="shared" si="211"/>
        <v>94555</v>
      </c>
      <c r="AW269" s="1456">
        <f t="shared" si="211"/>
        <v>270142</v>
      </c>
      <c r="AX269" s="1448">
        <f t="shared" si="211"/>
        <v>2422575</v>
      </c>
      <c r="AY269" s="1398">
        <f t="shared" si="211"/>
        <v>2170606</v>
      </c>
      <c r="AZ269" s="1257">
        <f t="shared" si="211"/>
        <v>71341</v>
      </c>
      <c r="BA269" s="1257">
        <f t="shared" si="211"/>
        <v>308221</v>
      </c>
      <c r="BB269" s="1400">
        <f t="shared" si="211"/>
        <v>2550168</v>
      </c>
    </row>
    <row r="270" spans="1:54" ht="40.200000000000003" x14ac:dyDescent="0.3">
      <c r="A270" s="1211"/>
      <c r="B270" s="1032" t="s">
        <v>1689</v>
      </c>
      <c r="C270" s="1334"/>
      <c r="D270" s="1503"/>
      <c r="E270" s="1212"/>
      <c r="F270" s="1032" t="s">
        <v>1689</v>
      </c>
      <c r="G270" s="1334"/>
      <c r="H270" s="1503"/>
      <c r="I270" s="1212"/>
      <c r="J270" s="1032" t="s">
        <v>1689</v>
      </c>
      <c r="K270" s="1334"/>
      <c r="L270" s="1503"/>
      <c r="M270" s="1212"/>
      <c r="N270" s="1032" t="s">
        <v>1689</v>
      </c>
      <c r="O270" s="1356"/>
      <c r="P270" s="1356"/>
      <c r="Q270" s="1356"/>
      <c r="R270" s="1522"/>
      <c r="S270" s="1522"/>
      <c r="T270" s="1522"/>
      <c r="U270" s="1334"/>
      <c r="V270" s="1503"/>
      <c r="W270" s="1334"/>
      <c r="X270" s="1503"/>
      <c r="Y270" s="1334"/>
      <c r="Z270" s="1503"/>
      <c r="AA270" s="974"/>
      <c r="AB270" s="1032" t="s">
        <v>1689</v>
      </c>
      <c r="AC270" s="1269"/>
      <c r="AD270" s="1269"/>
      <c r="AE270" s="1518"/>
      <c r="AF270" s="1518"/>
      <c r="AG270" s="1212"/>
      <c r="AH270" s="1032" t="s">
        <v>1689</v>
      </c>
      <c r="AI270" s="1334"/>
      <c r="AJ270" s="1334"/>
      <c r="AK270" s="1334"/>
      <c r="AL270" s="1503"/>
      <c r="AM270" s="1503"/>
      <c r="AN270" s="1503"/>
      <c r="AO270" s="974"/>
      <c r="AP270" s="1032" t="s">
        <v>1689</v>
      </c>
      <c r="AQ270" s="1272"/>
      <c r="AR270" s="1272"/>
      <c r="AS270" s="1495"/>
      <c r="AT270" s="1605"/>
      <c r="AU270" s="1574"/>
      <c r="AV270" s="1471"/>
      <c r="AW270" s="1471"/>
      <c r="AX270" s="1472">
        <f t="shared" si="143"/>
        <v>0</v>
      </c>
      <c r="AY270" s="1393">
        <f>SUM(O270+U270+Y270+AC270+AI270+AQ270)</f>
        <v>0</v>
      </c>
      <c r="AZ270" s="1247">
        <f>SUM(P270+AD270+AJ270+AR270)</f>
        <v>0</v>
      </c>
      <c r="BA270" s="1247">
        <f>SUM(C270+G270+K270+Q270+W270+AK270)</f>
        <v>0</v>
      </c>
      <c r="BB270" s="1385">
        <f t="shared" si="191"/>
        <v>0</v>
      </c>
    </row>
    <row r="271" spans="1:54" ht="15.6" x14ac:dyDescent="0.3">
      <c r="A271" s="1216">
        <v>1</v>
      </c>
      <c r="B271" s="956"/>
      <c r="C271" s="1335"/>
      <c r="D271" s="1496"/>
      <c r="E271" s="1217">
        <v>1</v>
      </c>
      <c r="F271" s="956"/>
      <c r="G271" s="1335"/>
      <c r="H271" s="1496"/>
      <c r="I271" s="1217">
        <v>1</v>
      </c>
      <c r="J271" s="956"/>
      <c r="K271" s="1335"/>
      <c r="L271" s="1496"/>
      <c r="M271" s="1217">
        <v>1</v>
      </c>
      <c r="N271" s="956"/>
      <c r="O271" s="1357"/>
      <c r="P271" s="1357"/>
      <c r="Q271" s="1357"/>
      <c r="R271" s="1519"/>
      <c r="S271" s="1519"/>
      <c r="T271" s="1519"/>
      <c r="U271" s="1335"/>
      <c r="V271" s="1496"/>
      <c r="W271" s="1335"/>
      <c r="X271" s="1496"/>
      <c r="Y271" s="1335"/>
      <c r="Z271" s="1496"/>
      <c r="AA271" s="1149">
        <v>1</v>
      </c>
      <c r="AB271" s="956"/>
      <c r="AC271" s="1270"/>
      <c r="AD271" s="1270"/>
      <c r="AE271" s="1534"/>
      <c r="AF271" s="1534"/>
      <c r="AG271" s="1217">
        <v>1</v>
      </c>
      <c r="AH271" s="956"/>
      <c r="AI271" s="1335"/>
      <c r="AJ271" s="1335"/>
      <c r="AK271" s="1335"/>
      <c r="AL271" s="1496"/>
      <c r="AM271" s="1496"/>
      <c r="AN271" s="1496"/>
      <c r="AO271" s="1149">
        <v>1</v>
      </c>
      <c r="AP271" s="956"/>
      <c r="AQ271" s="1302"/>
      <c r="AR271" s="1048"/>
      <c r="AS271" s="1553"/>
      <c r="AT271" s="1603"/>
      <c r="AU271" s="1561">
        <f t="shared" ref="AU271:AU272" si="212">R271+V271+Z271+AE271+AL271+AS271</f>
        <v>0</v>
      </c>
      <c r="AV271" s="1447">
        <f t="shared" ref="AV271:AV272" si="213">S271+AF271+AM271+AT271</f>
        <v>0</v>
      </c>
      <c r="AW271" s="1447">
        <f t="shared" ref="AW271:AW272" si="214">D271+H271+L271+T271+X271+AN271</f>
        <v>0</v>
      </c>
      <c r="AX271" s="1450">
        <f t="shared" si="143"/>
        <v>0</v>
      </c>
      <c r="AY271" s="1393">
        <f>SUM(O271+U271+Y271+AC271+AI271+AQ271)</f>
        <v>0</v>
      </c>
      <c r="AZ271" s="1247">
        <f>SUM(P271+AD271+AJ271+AR271)</f>
        <v>0</v>
      </c>
      <c r="BA271" s="1247">
        <f>SUM(C271+G271+K271+Q271+W271+AK271)</f>
        <v>0</v>
      </c>
      <c r="BB271" s="1385">
        <f t="shared" si="191"/>
        <v>0</v>
      </c>
    </row>
    <row r="272" spans="1:54" ht="16.2" thickBot="1" x14ac:dyDescent="0.35">
      <c r="A272" s="1225">
        <v>2</v>
      </c>
      <c r="B272" s="961"/>
      <c r="C272" s="1336"/>
      <c r="D272" s="1497"/>
      <c r="E272" s="1227">
        <v>2</v>
      </c>
      <c r="F272" s="961"/>
      <c r="G272" s="1336"/>
      <c r="H272" s="1497"/>
      <c r="I272" s="1227">
        <v>2</v>
      </c>
      <c r="J272" s="961"/>
      <c r="K272" s="1336"/>
      <c r="L272" s="1497"/>
      <c r="M272" s="1227">
        <v>2</v>
      </c>
      <c r="N272" s="961"/>
      <c r="O272" s="1358"/>
      <c r="P272" s="1358"/>
      <c r="Q272" s="1358"/>
      <c r="R272" s="1520"/>
      <c r="S272" s="1520"/>
      <c r="T272" s="1520"/>
      <c r="U272" s="1336"/>
      <c r="V272" s="1497"/>
      <c r="W272" s="1336"/>
      <c r="X272" s="1497"/>
      <c r="Y272" s="1336"/>
      <c r="Z272" s="1497"/>
      <c r="AA272" s="1040">
        <v>2</v>
      </c>
      <c r="AB272" s="961"/>
      <c r="AC272" s="1271"/>
      <c r="AD272" s="1271"/>
      <c r="AE272" s="1535"/>
      <c r="AF272" s="1535"/>
      <c r="AG272" s="1227">
        <v>2</v>
      </c>
      <c r="AH272" s="961"/>
      <c r="AI272" s="1336"/>
      <c r="AJ272" s="1336"/>
      <c r="AK272" s="1336"/>
      <c r="AL272" s="1497"/>
      <c r="AM272" s="1497"/>
      <c r="AN272" s="1497"/>
      <c r="AO272" s="1040">
        <v>2</v>
      </c>
      <c r="AP272" s="961"/>
      <c r="AQ272" s="1000"/>
      <c r="AR272" s="1101"/>
      <c r="AS272" s="1554"/>
      <c r="AT272" s="1604"/>
      <c r="AU272" s="1561">
        <f t="shared" si="212"/>
        <v>0</v>
      </c>
      <c r="AV272" s="1447">
        <f t="shared" si="213"/>
        <v>0</v>
      </c>
      <c r="AW272" s="1447">
        <f t="shared" si="214"/>
        <v>0</v>
      </c>
      <c r="AX272" s="1462">
        <f t="shared" si="143"/>
        <v>0</v>
      </c>
      <c r="AY272" s="1393">
        <f>SUM(O272+U272+Y272+AC272+AI272+AQ272)</f>
        <v>0</v>
      </c>
      <c r="AZ272" s="1247">
        <f>SUM(P272+AD272+AJ272+AR272)</f>
        <v>0</v>
      </c>
      <c r="BA272" s="1247">
        <f>SUM(C272+G272+K272+Q272+W272+AK272)</f>
        <v>0</v>
      </c>
      <c r="BB272" s="1385">
        <f t="shared" si="191"/>
        <v>0</v>
      </c>
    </row>
    <row r="273" spans="1:54" ht="40.799999999999997" thickBot="1" x14ac:dyDescent="0.35">
      <c r="A273" s="1231"/>
      <c r="B273" s="1266" t="s">
        <v>1694</v>
      </c>
      <c r="C273" s="1267">
        <f>SUM(C270:C272)</f>
        <v>0</v>
      </c>
      <c r="D273" s="1434">
        <f>SUM(D270:D272)</f>
        <v>0</v>
      </c>
      <c r="E273" s="1232"/>
      <c r="F273" s="1266" t="s">
        <v>1694</v>
      </c>
      <c r="G273" s="1267">
        <f>SUM(G270:G272)</f>
        <v>0</v>
      </c>
      <c r="H273" s="1434">
        <f>SUM(H270:H272)</f>
        <v>0</v>
      </c>
      <c r="I273" s="1232"/>
      <c r="J273" s="1266" t="s">
        <v>1694</v>
      </c>
      <c r="K273" s="1267">
        <f>SUM(K270:K272)</f>
        <v>0</v>
      </c>
      <c r="L273" s="1434">
        <f>SUM(L270:L272)</f>
        <v>0</v>
      </c>
      <c r="M273" s="1232"/>
      <c r="N273" s="1266" t="s">
        <v>1694</v>
      </c>
      <c r="O273" s="1353">
        <f t="shared" ref="O273:Z273" si="215">SUM(O270:O272)</f>
        <v>0</v>
      </c>
      <c r="P273" s="1353">
        <f t="shared" si="215"/>
        <v>0</v>
      </c>
      <c r="Q273" s="1353">
        <f t="shared" si="215"/>
        <v>0</v>
      </c>
      <c r="R273" s="1434">
        <f t="shared" si="215"/>
        <v>0</v>
      </c>
      <c r="S273" s="1434">
        <f t="shared" si="215"/>
        <v>0</v>
      </c>
      <c r="T273" s="1434">
        <f t="shared" si="215"/>
        <v>0</v>
      </c>
      <c r="U273" s="1267">
        <f t="shared" si="215"/>
        <v>0</v>
      </c>
      <c r="V273" s="1434">
        <f t="shared" si="215"/>
        <v>0</v>
      </c>
      <c r="W273" s="1267">
        <f t="shared" si="215"/>
        <v>0</v>
      </c>
      <c r="X273" s="1434">
        <f t="shared" si="215"/>
        <v>0</v>
      </c>
      <c r="Y273" s="1267">
        <f t="shared" si="215"/>
        <v>0</v>
      </c>
      <c r="Z273" s="1434">
        <f t="shared" si="215"/>
        <v>0</v>
      </c>
      <c r="AA273" s="1233"/>
      <c r="AB273" s="1266" t="s">
        <v>1694</v>
      </c>
      <c r="AC273" s="1267">
        <f t="shared" ref="AC273:AF273" si="216">SUM(AC270:AC272)</f>
        <v>0</v>
      </c>
      <c r="AD273" s="1267">
        <f t="shared" si="216"/>
        <v>0</v>
      </c>
      <c r="AE273" s="1434">
        <f t="shared" si="216"/>
        <v>0</v>
      </c>
      <c r="AF273" s="1434">
        <f t="shared" si="216"/>
        <v>0</v>
      </c>
      <c r="AG273" s="1232"/>
      <c r="AH273" s="1266" t="s">
        <v>1694</v>
      </c>
      <c r="AI273" s="1267"/>
      <c r="AJ273" s="1267"/>
      <c r="AK273" s="1267"/>
      <c r="AL273" s="1434"/>
      <c r="AM273" s="1434"/>
      <c r="AN273" s="1434"/>
      <c r="AO273" s="1233"/>
      <c r="AP273" s="1266" t="s">
        <v>1694</v>
      </c>
      <c r="AQ273" s="1257">
        <f>SUM(AQ270:AQ272)</f>
        <v>0</v>
      </c>
      <c r="AR273" s="1257">
        <f>SUM(AR270:AR272)</f>
        <v>0</v>
      </c>
      <c r="AS273" s="1434">
        <f t="shared" ref="AS273:BB273" si="217">SUM(AS270:AS272)</f>
        <v>0</v>
      </c>
      <c r="AT273" s="1598">
        <f t="shared" si="217"/>
        <v>0</v>
      </c>
      <c r="AU273" s="1572">
        <f t="shared" si="217"/>
        <v>0</v>
      </c>
      <c r="AV273" s="1457">
        <f t="shared" si="217"/>
        <v>0</v>
      </c>
      <c r="AW273" s="1457">
        <f t="shared" si="217"/>
        <v>0</v>
      </c>
      <c r="AX273" s="1458">
        <f t="shared" si="217"/>
        <v>0</v>
      </c>
      <c r="AY273" s="1405">
        <f t="shared" si="217"/>
        <v>0</v>
      </c>
      <c r="AZ273" s="1267">
        <f t="shared" si="217"/>
        <v>0</v>
      </c>
      <c r="BA273" s="1267">
        <f t="shared" si="217"/>
        <v>0</v>
      </c>
      <c r="BB273" s="1399">
        <f t="shared" si="217"/>
        <v>0</v>
      </c>
    </row>
    <row r="274" spans="1:54" s="1371" customFormat="1" ht="27" x14ac:dyDescent="0.3">
      <c r="A274" s="1062"/>
      <c r="B274" s="974" t="s">
        <v>1697</v>
      </c>
      <c r="C274" s="1215"/>
      <c r="D274" s="1486"/>
      <c r="E274" s="1063"/>
      <c r="F274" s="974" t="s">
        <v>1697</v>
      </c>
      <c r="G274" s="1215"/>
      <c r="H274" s="1486"/>
      <c r="I274" s="1063"/>
      <c r="J274" s="974" t="s">
        <v>1697</v>
      </c>
      <c r="K274" s="1215"/>
      <c r="L274" s="1486"/>
      <c r="M274" s="1063"/>
      <c r="N274" s="974" t="s">
        <v>1697</v>
      </c>
      <c r="O274" s="1214"/>
      <c r="P274" s="1214"/>
      <c r="Q274" s="1214"/>
      <c r="R274" s="1422"/>
      <c r="S274" s="1422"/>
      <c r="T274" s="1422"/>
      <c r="U274" s="1215"/>
      <c r="V274" s="1486"/>
      <c r="W274" s="1215"/>
      <c r="X274" s="1486"/>
      <c r="Y274" s="1215"/>
      <c r="Z274" s="1486"/>
      <c r="AA274" s="1063"/>
      <c r="AB274" s="974" t="s">
        <v>1697</v>
      </c>
      <c r="AC274" s="1214"/>
      <c r="AD274" s="1214"/>
      <c r="AE274" s="1422"/>
      <c r="AF274" s="1422"/>
      <c r="AG274" s="1063"/>
      <c r="AH274" s="974" t="s">
        <v>1697</v>
      </c>
      <c r="AI274" s="1215"/>
      <c r="AJ274" s="1215"/>
      <c r="AK274" s="1215"/>
      <c r="AL274" s="1486"/>
      <c r="AM274" s="1486"/>
      <c r="AN274" s="1486"/>
      <c r="AO274" s="1063"/>
      <c r="AP274" s="974" t="s">
        <v>1697</v>
      </c>
      <c r="AQ274" s="1067"/>
      <c r="AR274" s="1067"/>
      <c r="AS274" s="1493"/>
      <c r="AT274" s="1595"/>
      <c r="AU274" s="1563"/>
      <c r="AV274" s="1453"/>
      <c r="AW274" s="1459"/>
      <c r="AX274" s="1454">
        <f t="shared" si="143"/>
        <v>0</v>
      </c>
      <c r="AY274" s="1396">
        <f>SUM(O274+U274+Y274+AC274+AI274+AQ274)</f>
        <v>0</v>
      </c>
      <c r="AZ274" s="1219">
        <f>SUM(P274+AD274+AJ274+AR274)</f>
        <v>0</v>
      </c>
      <c r="BA274" s="1219">
        <f>SUM(C274+G274+K274+Q274+W274+AK274)</f>
        <v>0</v>
      </c>
      <c r="BB274" s="1386">
        <f t="shared" si="191"/>
        <v>0</v>
      </c>
    </row>
    <row r="275" spans="1:54" ht="15.6" x14ac:dyDescent="0.3">
      <c r="A275" s="1216">
        <v>1</v>
      </c>
      <c r="B275" s="1217"/>
      <c r="C275" s="1294"/>
      <c r="D275" s="1494"/>
      <c r="E275" s="1217">
        <v>1</v>
      </c>
      <c r="F275" s="1217"/>
      <c r="G275" s="1294"/>
      <c r="H275" s="1494"/>
      <c r="I275" s="1217">
        <v>1</v>
      </c>
      <c r="J275" s="1217"/>
      <c r="K275" s="1294"/>
      <c r="L275" s="1494"/>
      <c r="M275" s="1217">
        <v>1</v>
      </c>
      <c r="N275" s="1217"/>
      <c r="O275" s="1295"/>
      <c r="P275" s="1295"/>
      <c r="Q275" s="1295"/>
      <c r="R275" s="1431"/>
      <c r="S275" s="1431"/>
      <c r="T275" s="1431"/>
      <c r="U275" s="1294"/>
      <c r="V275" s="1494"/>
      <c r="W275" s="1294"/>
      <c r="X275" s="1494"/>
      <c r="Y275" s="1294"/>
      <c r="Z275" s="1494"/>
      <c r="AA275" s="1149">
        <v>1</v>
      </c>
      <c r="AB275" s="1149"/>
      <c r="AC275" s="1261"/>
      <c r="AD275" s="1261"/>
      <c r="AE275" s="1532"/>
      <c r="AF275" s="1532"/>
      <c r="AG275" s="1217">
        <v>1</v>
      </c>
      <c r="AH275" s="1217"/>
      <c r="AI275" s="1294"/>
      <c r="AJ275" s="1294"/>
      <c r="AK275" s="1294"/>
      <c r="AL275" s="1494"/>
      <c r="AM275" s="1494"/>
      <c r="AN275" s="1494"/>
      <c r="AO275" s="1217">
        <v>1</v>
      </c>
      <c r="AP275" s="1217"/>
      <c r="AQ275" s="1262"/>
      <c r="AR275" s="1262"/>
      <c r="AS275" s="1552"/>
      <c r="AT275" s="1599"/>
      <c r="AU275" s="1561">
        <f t="shared" ref="AU275:AU277" si="218">R275+V275+Z275+AE275+AL275+AS275</f>
        <v>0</v>
      </c>
      <c r="AV275" s="1447">
        <f t="shared" ref="AV275:AV277" si="219">S275+AF275+AM275+AT275</f>
        <v>0</v>
      </c>
      <c r="AW275" s="1447">
        <f t="shared" ref="AW275:AW277" si="220">D275+H275+L275+T275+X275+AN275</f>
        <v>0</v>
      </c>
      <c r="AX275" s="1463">
        <f t="shared" si="143"/>
        <v>0</v>
      </c>
      <c r="AY275" s="1393">
        <f>SUM(O275+U275+Y275+AC275+AI275+AQ275)</f>
        <v>0</v>
      </c>
      <c r="AZ275" s="1247">
        <f>SUM(P275+AD275+AJ275+AR275)</f>
        <v>0</v>
      </c>
      <c r="BA275" s="1247">
        <f>SUM(C275+G275+K275+Q275+W275+AK275)</f>
        <v>0</v>
      </c>
      <c r="BB275" s="1385">
        <f t="shared" si="191"/>
        <v>0</v>
      </c>
    </row>
    <row r="276" spans="1:54" ht="15.6" x14ac:dyDescent="0.3">
      <c r="A276" s="1292">
        <v>2</v>
      </c>
      <c r="B276" s="1293"/>
      <c r="C276" s="1294"/>
      <c r="D276" s="1494"/>
      <c r="E276" s="1293">
        <v>2</v>
      </c>
      <c r="F276" s="1293"/>
      <c r="G276" s="1294"/>
      <c r="H276" s="1494"/>
      <c r="I276" s="1293">
        <v>2</v>
      </c>
      <c r="J276" s="1293"/>
      <c r="K276" s="1294"/>
      <c r="L276" s="1494"/>
      <c r="M276" s="1293">
        <v>2</v>
      </c>
      <c r="N276" s="1293"/>
      <c r="O276" s="1295"/>
      <c r="P276" s="1295"/>
      <c r="Q276" s="1295"/>
      <c r="R276" s="1431"/>
      <c r="S276" s="1431"/>
      <c r="T276" s="1431"/>
      <c r="U276" s="1294"/>
      <c r="V276" s="1494"/>
      <c r="W276" s="1294"/>
      <c r="X276" s="1494"/>
      <c r="Y276" s="1294"/>
      <c r="Z276" s="1494"/>
      <c r="AA276" s="1296">
        <v>2</v>
      </c>
      <c r="AB276" s="1171"/>
      <c r="AC276" s="1261"/>
      <c r="AD276" s="1261"/>
      <c r="AE276" s="1532"/>
      <c r="AF276" s="1532"/>
      <c r="AG276" s="1293">
        <v>2</v>
      </c>
      <c r="AH276" s="1293"/>
      <c r="AI276" s="1294"/>
      <c r="AJ276" s="1294"/>
      <c r="AK276" s="1294"/>
      <c r="AL276" s="1494"/>
      <c r="AM276" s="1494"/>
      <c r="AN276" s="1494"/>
      <c r="AO276" s="1293">
        <v>2</v>
      </c>
      <c r="AP276" s="1293"/>
      <c r="AQ276" s="1262"/>
      <c r="AR276" s="1262"/>
      <c r="AS276" s="1552"/>
      <c r="AT276" s="1599"/>
      <c r="AU276" s="1561">
        <f t="shared" si="218"/>
        <v>0</v>
      </c>
      <c r="AV276" s="1447">
        <f t="shared" si="219"/>
        <v>0</v>
      </c>
      <c r="AW276" s="1447">
        <f t="shared" si="220"/>
        <v>0</v>
      </c>
      <c r="AX276" s="1463">
        <f t="shared" si="143"/>
        <v>0</v>
      </c>
      <c r="AY276" s="1393">
        <f>SUM(O276+U276+Y276+AC276+AI276+AQ276)</f>
        <v>0</v>
      </c>
      <c r="AZ276" s="1247">
        <f>SUM(P276+AD276+AJ276+AR276)</f>
        <v>0</v>
      </c>
      <c r="BA276" s="1247">
        <f>SUM(C276+G276+K276+Q276+W276+AK276)</f>
        <v>0</v>
      </c>
      <c r="BB276" s="1385">
        <f t="shared" si="191"/>
        <v>0</v>
      </c>
    </row>
    <row r="277" spans="1:54" ht="16.2" thickBot="1" x14ac:dyDescent="0.35">
      <c r="A277" s="1225">
        <v>3</v>
      </c>
      <c r="B277" s="1227"/>
      <c r="C277" s="1333"/>
      <c r="D277" s="1441"/>
      <c r="E277" s="1227">
        <v>3</v>
      </c>
      <c r="F277" s="1227"/>
      <c r="G277" s="1333"/>
      <c r="H277" s="1441"/>
      <c r="I277" s="1227">
        <v>3</v>
      </c>
      <c r="J277" s="1227"/>
      <c r="K277" s="1333"/>
      <c r="L277" s="1441"/>
      <c r="M277" s="1227">
        <v>3</v>
      </c>
      <c r="N277" s="1227"/>
      <c r="O277" s="1355"/>
      <c r="P277" s="1355"/>
      <c r="Q277" s="1355"/>
      <c r="R277" s="1432"/>
      <c r="S277" s="1432"/>
      <c r="T277" s="1432"/>
      <c r="U277" s="1333"/>
      <c r="V277" s="1441"/>
      <c r="W277" s="1333"/>
      <c r="X277" s="1441"/>
      <c r="Y277" s="1333"/>
      <c r="Z277" s="1441"/>
      <c r="AA277" s="1040">
        <v>3</v>
      </c>
      <c r="AB277" s="1037"/>
      <c r="AC277" s="1297"/>
      <c r="AD277" s="1297"/>
      <c r="AE277" s="1538"/>
      <c r="AF277" s="1538"/>
      <c r="AG277" s="1227">
        <v>3</v>
      </c>
      <c r="AH277" s="1227"/>
      <c r="AI277" s="1333"/>
      <c r="AJ277" s="1333"/>
      <c r="AK277" s="1333"/>
      <c r="AL277" s="1441"/>
      <c r="AM277" s="1441"/>
      <c r="AN277" s="1441"/>
      <c r="AO277" s="1227">
        <v>3</v>
      </c>
      <c r="AP277" s="1227"/>
      <c r="AQ277" s="1075"/>
      <c r="AR277" s="1075"/>
      <c r="AS277" s="1444"/>
      <c r="AT277" s="1600"/>
      <c r="AU277" s="1561">
        <f t="shared" si="218"/>
        <v>0</v>
      </c>
      <c r="AV277" s="1447">
        <f t="shared" si="219"/>
        <v>0</v>
      </c>
      <c r="AW277" s="1447">
        <f t="shared" si="220"/>
        <v>0</v>
      </c>
      <c r="AX277" s="1464">
        <f t="shared" ref="AX277:AX340" si="221">SUM(AU277:AW277)</f>
        <v>0</v>
      </c>
      <c r="AY277" s="1393">
        <f>SUM(O277+U277+Y277+AC277+AI277+AQ277)</f>
        <v>0</v>
      </c>
      <c r="AZ277" s="1247">
        <f>SUM(P277+AD277+AJ277+AR277)</f>
        <v>0</v>
      </c>
      <c r="BA277" s="1247">
        <f>SUM(C277+G277+K277+Q277+W277+AK277)</f>
        <v>0</v>
      </c>
      <c r="BB277" s="1385">
        <f t="shared" si="191"/>
        <v>0</v>
      </c>
    </row>
    <row r="278" spans="1:54" s="1371" customFormat="1" ht="27.6" thickBot="1" x14ac:dyDescent="0.35">
      <c r="A278" s="1369"/>
      <c r="B278" s="1233" t="s">
        <v>1700</v>
      </c>
      <c r="C278" s="1257">
        <f>SUM(C274:C277)</f>
        <v>0</v>
      </c>
      <c r="D278" s="1433">
        <f>SUM(D274:D277)</f>
        <v>0</v>
      </c>
      <c r="E278" s="1233"/>
      <c r="F278" s="1233" t="s">
        <v>1700</v>
      </c>
      <c r="G278" s="1257">
        <f>SUM(G274:G277)</f>
        <v>0</v>
      </c>
      <c r="H278" s="1433">
        <f>SUM(H274:H277)</f>
        <v>0</v>
      </c>
      <c r="I278" s="1233"/>
      <c r="J278" s="1233" t="s">
        <v>1700</v>
      </c>
      <c r="K278" s="1257">
        <f>SUM(K274:K277)</f>
        <v>0</v>
      </c>
      <c r="L278" s="1433">
        <f>SUM(L274:L277)</f>
        <v>0</v>
      </c>
      <c r="M278" s="1233"/>
      <c r="N278" s="1233" t="s">
        <v>1700</v>
      </c>
      <c r="O278" s="1256">
        <f t="shared" ref="O278:T278" si="222">SUM(O274:O277)</f>
        <v>0</v>
      </c>
      <c r="P278" s="1256">
        <f t="shared" si="222"/>
        <v>0</v>
      </c>
      <c r="Q278" s="1256">
        <f t="shared" si="222"/>
        <v>0</v>
      </c>
      <c r="R278" s="1523">
        <f t="shared" si="222"/>
        <v>0</v>
      </c>
      <c r="S278" s="1523">
        <f t="shared" si="222"/>
        <v>0</v>
      </c>
      <c r="T278" s="1523">
        <f t="shared" si="222"/>
        <v>0</v>
      </c>
      <c r="U278" s="1257">
        <f>SUM(U274:U277)</f>
        <v>0</v>
      </c>
      <c r="V278" s="1433">
        <f t="shared" ref="V278:Z278" si="223">SUM(V274:V277)</f>
        <v>0</v>
      </c>
      <c r="W278" s="1257">
        <f t="shared" si="223"/>
        <v>0</v>
      </c>
      <c r="X278" s="1433">
        <f t="shared" si="223"/>
        <v>0</v>
      </c>
      <c r="Y278" s="1257">
        <f t="shared" si="223"/>
        <v>0</v>
      </c>
      <c r="Z278" s="1433">
        <f t="shared" si="223"/>
        <v>0</v>
      </c>
      <c r="AA278" s="1233"/>
      <c r="AB278" s="1233" t="s">
        <v>1700</v>
      </c>
      <c r="AC278" s="1257">
        <f t="shared" ref="AC278:AF278" si="224">SUM(AC274:AC277)</f>
        <v>0</v>
      </c>
      <c r="AD278" s="1257">
        <f t="shared" si="224"/>
        <v>0</v>
      </c>
      <c r="AE278" s="1433">
        <f t="shared" si="224"/>
        <v>0</v>
      </c>
      <c r="AF278" s="1433">
        <f t="shared" si="224"/>
        <v>0</v>
      </c>
      <c r="AG278" s="1233"/>
      <c r="AH278" s="1233" t="s">
        <v>1700</v>
      </c>
      <c r="AI278" s="1257">
        <f t="shared" ref="AI278:AN278" si="225">SUM(AI274:AI277)</f>
        <v>0</v>
      </c>
      <c r="AJ278" s="1257">
        <f t="shared" si="225"/>
        <v>0</v>
      </c>
      <c r="AK278" s="1257">
        <f t="shared" si="225"/>
        <v>0</v>
      </c>
      <c r="AL278" s="1433">
        <f t="shared" si="225"/>
        <v>0</v>
      </c>
      <c r="AM278" s="1433">
        <f t="shared" si="225"/>
        <v>0</v>
      </c>
      <c r="AN278" s="1433">
        <f t="shared" si="225"/>
        <v>0</v>
      </c>
      <c r="AO278" s="1233"/>
      <c r="AP278" s="1233" t="s">
        <v>1700</v>
      </c>
      <c r="AQ278" s="1257">
        <f>SUM(AQ274:AQ277)</f>
        <v>0</v>
      </c>
      <c r="AR278" s="1257">
        <f>SUM(AR274:AR277)</f>
        <v>0</v>
      </c>
      <c r="AS278" s="1433">
        <f>SUM(AS274:AS277)</f>
        <v>0</v>
      </c>
      <c r="AT278" s="1601">
        <f>SUM(AT274:AT277)</f>
        <v>0</v>
      </c>
      <c r="AU278" s="1562">
        <f t="shared" ref="AU278:BB278" si="226">SUM(AU274:AU277)</f>
        <v>0</v>
      </c>
      <c r="AV278" s="1456">
        <f t="shared" si="226"/>
        <v>0</v>
      </c>
      <c r="AW278" s="1456">
        <f t="shared" si="226"/>
        <v>0</v>
      </c>
      <c r="AX278" s="1448">
        <f t="shared" si="226"/>
        <v>0</v>
      </c>
      <c r="AY278" s="1398">
        <f t="shared" si="226"/>
        <v>0</v>
      </c>
      <c r="AZ278" s="1257">
        <f t="shared" si="226"/>
        <v>0</v>
      </c>
      <c r="BA278" s="1257">
        <f t="shared" si="226"/>
        <v>0</v>
      </c>
      <c r="BB278" s="1400">
        <f t="shared" si="226"/>
        <v>0</v>
      </c>
    </row>
    <row r="279" spans="1:54" s="1371" customFormat="1" ht="15" customHeight="1" x14ac:dyDescent="0.3">
      <c r="A279" s="973"/>
      <c r="B279" s="974" t="s">
        <v>131</v>
      </c>
      <c r="C279" s="1299"/>
      <c r="D279" s="1504"/>
      <c r="E279" s="974"/>
      <c r="F279" s="974" t="s">
        <v>131</v>
      </c>
      <c r="G279" s="1299"/>
      <c r="H279" s="1504"/>
      <c r="I279" s="974"/>
      <c r="J279" s="974" t="s">
        <v>131</v>
      </c>
      <c r="K279" s="1299"/>
      <c r="L279" s="1504"/>
      <c r="M279" s="974"/>
      <c r="N279" s="974" t="s">
        <v>131</v>
      </c>
      <c r="O279" s="1298"/>
      <c r="P279" s="1298"/>
      <c r="Q279" s="1298"/>
      <c r="R279" s="1427"/>
      <c r="S279" s="1427"/>
      <c r="T279" s="1427"/>
      <c r="U279" s="1299"/>
      <c r="V279" s="1504"/>
      <c r="W279" s="1299"/>
      <c r="X279" s="1504"/>
      <c r="Y279" s="1299"/>
      <c r="Z279" s="1504"/>
      <c r="AA279" s="974"/>
      <c r="AB279" s="974" t="s">
        <v>131</v>
      </c>
      <c r="AC279" s="1298"/>
      <c r="AD279" s="1298"/>
      <c r="AE279" s="1427"/>
      <c r="AF279" s="1427"/>
      <c r="AG279" s="974"/>
      <c r="AH279" s="974" t="s">
        <v>131</v>
      </c>
      <c r="AI279" s="1299"/>
      <c r="AJ279" s="1299"/>
      <c r="AK279" s="1299"/>
      <c r="AL279" s="1504"/>
      <c r="AM279" s="1504"/>
      <c r="AN279" s="1504"/>
      <c r="AO279" s="974"/>
      <c r="AP279" s="974" t="s">
        <v>131</v>
      </c>
      <c r="AQ279" s="1299"/>
      <c r="AR279" s="1299"/>
      <c r="AS279" s="1504"/>
      <c r="AT279" s="1611"/>
      <c r="AU279" s="1567"/>
      <c r="AV279" s="1459"/>
      <c r="AW279" s="1459"/>
      <c r="AX279" s="1460">
        <f t="shared" si="221"/>
        <v>0</v>
      </c>
      <c r="AY279" s="1396">
        <f t="shared" ref="AY279:AY284" si="227">SUM(O279+U279+Y279+AC279+AI279+AQ279)</f>
        <v>0</v>
      </c>
      <c r="AZ279" s="1219">
        <f t="shared" ref="AZ279:AZ284" si="228">SUM(P279+AD279+AJ279+AR279)</f>
        <v>0</v>
      </c>
      <c r="BA279" s="1219">
        <f t="shared" ref="BA279:BA284" si="229">SUM(C279+G279+K279+Q279+W279+AK279)</f>
        <v>0</v>
      </c>
      <c r="BB279" s="1386">
        <f t="shared" si="191"/>
        <v>0</v>
      </c>
    </row>
    <row r="280" spans="1:54" ht="15.6" x14ac:dyDescent="0.3">
      <c r="A280" s="1216">
        <v>1</v>
      </c>
      <c r="B280" s="1218" t="s">
        <v>2021</v>
      </c>
      <c r="C280" s="1223"/>
      <c r="D280" s="1487"/>
      <c r="E280" s="1217">
        <v>1</v>
      </c>
      <c r="F280" s="1218" t="s">
        <v>2022</v>
      </c>
      <c r="G280" s="1223">
        <v>500</v>
      </c>
      <c r="H280" s="1487">
        <v>1000</v>
      </c>
      <c r="I280" s="1217">
        <v>1</v>
      </c>
      <c r="J280" s="1221"/>
      <c r="K280" s="1223"/>
      <c r="L280" s="1487"/>
      <c r="M280" s="1217">
        <v>1</v>
      </c>
      <c r="N280" s="1221"/>
      <c r="O280" s="1247"/>
      <c r="P280" s="1247"/>
      <c r="Q280" s="1247"/>
      <c r="R280" s="1424"/>
      <c r="S280" s="1424"/>
      <c r="T280" s="1424"/>
      <c r="U280" s="1223"/>
      <c r="V280" s="1487"/>
      <c r="W280" s="1223"/>
      <c r="X280" s="1487"/>
      <c r="Y280" s="1223"/>
      <c r="Z280" s="1487"/>
      <c r="AA280" s="1149">
        <v>1</v>
      </c>
      <c r="AB280" s="954"/>
      <c r="AC280" s="1219"/>
      <c r="AD280" s="1219"/>
      <c r="AE280" s="1528"/>
      <c r="AF280" s="1528"/>
      <c r="AG280" s="1217">
        <v>1</v>
      </c>
      <c r="AH280" s="1221"/>
      <c r="AI280" s="1223"/>
      <c r="AJ280" s="1223"/>
      <c r="AK280" s="1223"/>
      <c r="AL280" s="1487"/>
      <c r="AM280" s="1487"/>
      <c r="AN280" s="1487"/>
      <c r="AO280" s="1149">
        <v>1</v>
      </c>
      <c r="AP280" s="954" t="s">
        <v>1702</v>
      </c>
      <c r="AQ280" s="989">
        <v>25000</v>
      </c>
      <c r="AR280" s="989"/>
      <c r="AS280" s="1544">
        <v>15000</v>
      </c>
      <c r="AT280" s="1585"/>
      <c r="AU280" s="1561">
        <f t="shared" ref="AU280:AU284" si="230">R280+V280+Z280+AE280+AL280+AS280</f>
        <v>15000</v>
      </c>
      <c r="AV280" s="1447">
        <f t="shared" ref="AV280:AV284" si="231">S280+AF280+AM280+AT280</f>
        <v>0</v>
      </c>
      <c r="AW280" s="1447">
        <f t="shared" ref="AW280:AW284" si="232">D280+H280+L280+T280+X280+AN280</f>
        <v>1000</v>
      </c>
      <c r="AX280" s="1450">
        <f t="shared" si="221"/>
        <v>16000</v>
      </c>
      <c r="AY280" s="1393">
        <f t="shared" si="227"/>
        <v>25000</v>
      </c>
      <c r="AZ280" s="1247">
        <f t="shared" si="228"/>
        <v>0</v>
      </c>
      <c r="BA280" s="1247">
        <f t="shared" si="229"/>
        <v>500</v>
      </c>
      <c r="BB280" s="1385">
        <f t="shared" si="191"/>
        <v>25500</v>
      </c>
    </row>
    <row r="281" spans="1:54" ht="15.6" x14ac:dyDescent="0.3">
      <c r="A281" s="1216">
        <v>2</v>
      </c>
      <c r="B281" s="1221" t="s">
        <v>2023</v>
      </c>
      <c r="C281" s="1223">
        <v>1000</v>
      </c>
      <c r="D281" s="1487">
        <v>1000</v>
      </c>
      <c r="E281" s="1217">
        <v>2</v>
      </c>
      <c r="F281" s="1221" t="s">
        <v>2024</v>
      </c>
      <c r="G281" s="1223">
        <v>100</v>
      </c>
      <c r="H281" s="1487">
        <v>300</v>
      </c>
      <c r="I281" s="1217">
        <v>2</v>
      </c>
      <c r="J281" s="1221"/>
      <c r="K281" s="1223"/>
      <c r="L281" s="1487"/>
      <c r="M281" s="1217">
        <v>2</v>
      </c>
      <c r="N281" s="1221"/>
      <c r="O281" s="1247"/>
      <c r="P281" s="1247"/>
      <c r="Q281" s="1247"/>
      <c r="R281" s="1424"/>
      <c r="S281" s="1424"/>
      <c r="T281" s="1424"/>
      <c r="U281" s="1223"/>
      <c r="V281" s="1487"/>
      <c r="W281" s="1223"/>
      <c r="X281" s="1487"/>
      <c r="Y281" s="1223"/>
      <c r="Z281" s="1487"/>
      <c r="AA281" s="1149">
        <v>2</v>
      </c>
      <c r="AB281" s="954"/>
      <c r="AC281" s="1219"/>
      <c r="AD281" s="1219"/>
      <c r="AE281" s="1528"/>
      <c r="AF281" s="1528"/>
      <c r="AG281" s="1217">
        <v>2</v>
      </c>
      <c r="AH281" s="1221"/>
      <c r="AI281" s="1223"/>
      <c r="AJ281" s="1223"/>
      <c r="AK281" s="1223"/>
      <c r="AL281" s="1487"/>
      <c r="AM281" s="1487"/>
      <c r="AN281" s="1487"/>
      <c r="AO281" s="1149">
        <v>2</v>
      </c>
      <c r="AP281" s="954" t="s">
        <v>1704</v>
      </c>
      <c r="AQ281" s="989">
        <f>5000+5000</f>
        <v>10000</v>
      </c>
      <c r="AR281" s="989"/>
      <c r="AS281" s="1544">
        <v>20000</v>
      </c>
      <c r="AT281" s="1585"/>
      <c r="AU281" s="1561">
        <f t="shared" si="230"/>
        <v>20000</v>
      </c>
      <c r="AV281" s="1447">
        <f t="shared" si="231"/>
        <v>0</v>
      </c>
      <c r="AW281" s="1447">
        <f t="shared" si="232"/>
        <v>1300</v>
      </c>
      <c r="AX281" s="1450">
        <f t="shared" si="221"/>
        <v>21300</v>
      </c>
      <c r="AY281" s="1393">
        <f t="shared" si="227"/>
        <v>10000</v>
      </c>
      <c r="AZ281" s="1247">
        <f t="shared" si="228"/>
        <v>0</v>
      </c>
      <c r="BA281" s="1247">
        <f t="shared" si="229"/>
        <v>1100</v>
      </c>
      <c r="BB281" s="1385">
        <f t="shared" si="191"/>
        <v>11100</v>
      </c>
    </row>
    <row r="282" spans="1:54" ht="15.6" x14ac:dyDescent="0.3">
      <c r="A282" s="1216">
        <v>3</v>
      </c>
      <c r="B282" s="1221"/>
      <c r="C282" s="1223"/>
      <c r="D282" s="1487"/>
      <c r="E282" s="1217">
        <v>3</v>
      </c>
      <c r="F282" s="1221"/>
      <c r="G282" s="1223"/>
      <c r="H282" s="1487"/>
      <c r="I282" s="1217">
        <v>3</v>
      </c>
      <c r="J282" s="1221"/>
      <c r="K282" s="1223"/>
      <c r="L282" s="1487"/>
      <c r="M282" s="1217">
        <v>3</v>
      </c>
      <c r="N282" s="1221"/>
      <c r="O282" s="1247"/>
      <c r="P282" s="1247"/>
      <c r="Q282" s="1247"/>
      <c r="R282" s="1424"/>
      <c r="S282" s="1424"/>
      <c r="T282" s="1424"/>
      <c r="U282" s="1223"/>
      <c r="V282" s="1487"/>
      <c r="W282" s="1223"/>
      <c r="X282" s="1487"/>
      <c r="Y282" s="1223"/>
      <c r="Z282" s="1487"/>
      <c r="AA282" s="1149">
        <v>3</v>
      </c>
      <c r="AB282" s="954"/>
      <c r="AC282" s="1219"/>
      <c r="AD282" s="1219"/>
      <c r="AE282" s="1528"/>
      <c r="AF282" s="1528"/>
      <c r="AG282" s="1217">
        <v>3</v>
      </c>
      <c r="AH282" s="1221"/>
      <c r="AI282" s="1223"/>
      <c r="AJ282" s="1223"/>
      <c r="AK282" s="1223"/>
      <c r="AL282" s="1487"/>
      <c r="AM282" s="1487"/>
      <c r="AN282" s="1487"/>
      <c r="AO282" s="1149">
        <v>3</v>
      </c>
      <c r="AP282" s="954"/>
      <c r="AQ282" s="989"/>
      <c r="AR282" s="989"/>
      <c r="AS282" s="1544"/>
      <c r="AT282" s="1585"/>
      <c r="AU282" s="1561">
        <f t="shared" si="230"/>
        <v>0</v>
      </c>
      <c r="AV282" s="1447">
        <f t="shared" si="231"/>
        <v>0</v>
      </c>
      <c r="AW282" s="1447">
        <f t="shared" si="232"/>
        <v>0</v>
      </c>
      <c r="AX282" s="1450">
        <f t="shared" si="221"/>
        <v>0</v>
      </c>
      <c r="AY282" s="1393">
        <f t="shared" si="227"/>
        <v>0</v>
      </c>
      <c r="AZ282" s="1247">
        <f t="shared" si="228"/>
        <v>0</v>
      </c>
      <c r="BA282" s="1247">
        <f t="shared" si="229"/>
        <v>0</v>
      </c>
      <c r="BB282" s="1385">
        <f t="shared" si="191"/>
        <v>0</v>
      </c>
    </row>
    <row r="283" spans="1:54" ht="15.6" x14ac:dyDescent="0.3">
      <c r="A283" s="1216">
        <v>4</v>
      </c>
      <c r="B283" s="1221"/>
      <c r="C283" s="1223"/>
      <c r="D283" s="1487"/>
      <c r="E283" s="1217"/>
      <c r="F283" s="1221"/>
      <c r="G283" s="1223"/>
      <c r="H283" s="1487"/>
      <c r="I283" s="1217"/>
      <c r="J283" s="1221"/>
      <c r="K283" s="1223"/>
      <c r="L283" s="1487"/>
      <c r="M283" s="1217"/>
      <c r="N283" s="1221"/>
      <c r="O283" s="1247"/>
      <c r="P283" s="1247"/>
      <c r="Q283" s="1247"/>
      <c r="R283" s="1424"/>
      <c r="S283" s="1424"/>
      <c r="T283" s="1424"/>
      <c r="U283" s="1223"/>
      <c r="V283" s="1487"/>
      <c r="W283" s="1223"/>
      <c r="X283" s="1487"/>
      <c r="Y283" s="1223"/>
      <c r="Z283" s="1487"/>
      <c r="AA283" s="1149"/>
      <c r="AB283" s="954"/>
      <c r="AC283" s="1219"/>
      <c r="AD283" s="1219"/>
      <c r="AE283" s="1528"/>
      <c r="AF283" s="1528"/>
      <c r="AG283" s="1217"/>
      <c r="AH283" s="1221"/>
      <c r="AI283" s="1223"/>
      <c r="AJ283" s="1223"/>
      <c r="AK283" s="1223"/>
      <c r="AL283" s="1487"/>
      <c r="AM283" s="1487"/>
      <c r="AN283" s="1487"/>
      <c r="AO283" s="1149">
        <v>4</v>
      </c>
      <c r="AP283" s="954"/>
      <c r="AQ283" s="989"/>
      <c r="AR283" s="989"/>
      <c r="AS283" s="1544"/>
      <c r="AT283" s="1585"/>
      <c r="AU283" s="1561">
        <f t="shared" si="230"/>
        <v>0</v>
      </c>
      <c r="AV283" s="1447">
        <f t="shared" si="231"/>
        <v>0</v>
      </c>
      <c r="AW283" s="1447">
        <f t="shared" si="232"/>
        <v>0</v>
      </c>
      <c r="AX283" s="1450">
        <f t="shared" si="221"/>
        <v>0</v>
      </c>
      <c r="AY283" s="1393">
        <f t="shared" si="227"/>
        <v>0</v>
      </c>
      <c r="AZ283" s="1247">
        <f t="shared" si="228"/>
        <v>0</v>
      </c>
      <c r="BA283" s="1247">
        <f t="shared" si="229"/>
        <v>0</v>
      </c>
      <c r="BB283" s="1385">
        <f t="shared" si="191"/>
        <v>0</v>
      </c>
    </row>
    <row r="284" spans="1:54" ht="16.2" thickBot="1" x14ac:dyDescent="0.35">
      <c r="A284" s="1225">
        <v>5</v>
      </c>
      <c r="B284" s="1228"/>
      <c r="C284" s="1230"/>
      <c r="D284" s="1488"/>
      <c r="E284" s="1227"/>
      <c r="F284" s="1228"/>
      <c r="G284" s="1230"/>
      <c r="H284" s="1488"/>
      <c r="I284" s="1227"/>
      <c r="J284" s="1228"/>
      <c r="K284" s="1230"/>
      <c r="L284" s="1488"/>
      <c r="M284" s="1227"/>
      <c r="N284" s="1228"/>
      <c r="O284" s="1254"/>
      <c r="P284" s="1254"/>
      <c r="Q284" s="1254"/>
      <c r="R284" s="1425"/>
      <c r="S284" s="1425"/>
      <c r="T284" s="1425"/>
      <c r="U284" s="1230"/>
      <c r="V284" s="1488"/>
      <c r="W284" s="1230"/>
      <c r="X284" s="1488"/>
      <c r="Y284" s="1230"/>
      <c r="Z284" s="1488"/>
      <c r="AA284" s="1040"/>
      <c r="AB284" s="959"/>
      <c r="AC284" s="1229"/>
      <c r="AD284" s="1229"/>
      <c r="AE284" s="1529"/>
      <c r="AF284" s="1529"/>
      <c r="AG284" s="1227"/>
      <c r="AH284" s="1228"/>
      <c r="AI284" s="1230"/>
      <c r="AJ284" s="1230"/>
      <c r="AK284" s="1230"/>
      <c r="AL284" s="1488"/>
      <c r="AM284" s="1488"/>
      <c r="AN284" s="1488"/>
      <c r="AO284" s="1040">
        <v>5</v>
      </c>
      <c r="AP284" s="959"/>
      <c r="AQ284" s="1000"/>
      <c r="AR284" s="1000"/>
      <c r="AS284" s="1545"/>
      <c r="AT284" s="1586"/>
      <c r="AU284" s="1561">
        <f t="shared" si="230"/>
        <v>0</v>
      </c>
      <c r="AV284" s="1447">
        <f t="shared" si="231"/>
        <v>0</v>
      </c>
      <c r="AW284" s="1447">
        <f t="shared" si="232"/>
        <v>0</v>
      </c>
      <c r="AX284" s="1462">
        <f t="shared" si="221"/>
        <v>0</v>
      </c>
      <c r="AY284" s="1393">
        <f t="shared" si="227"/>
        <v>0</v>
      </c>
      <c r="AZ284" s="1247">
        <f t="shared" si="228"/>
        <v>0</v>
      </c>
      <c r="BA284" s="1247">
        <f t="shared" si="229"/>
        <v>0</v>
      </c>
      <c r="BB284" s="1385">
        <f t="shared" si="191"/>
        <v>0</v>
      </c>
    </row>
    <row r="285" spans="1:54" ht="16.2" thickBot="1" x14ac:dyDescent="0.35">
      <c r="A285" s="1231"/>
      <c r="B285" s="1233" t="s">
        <v>1711</v>
      </c>
      <c r="C285" s="1331">
        <f>SUM(C279:C284)</f>
        <v>1000</v>
      </c>
      <c r="D285" s="1443">
        <f>SUM(D279:D284)</f>
        <v>1000</v>
      </c>
      <c r="E285" s="1232"/>
      <c r="F285" s="1233" t="s">
        <v>1711</v>
      </c>
      <c r="G285" s="1267">
        <f t="shared" ref="G285" si="233">SUM(G279:G284)</f>
        <v>600</v>
      </c>
      <c r="H285" s="1443">
        <f>SUM(H279:H284)</f>
        <v>1300</v>
      </c>
      <c r="I285" s="1232"/>
      <c r="J285" s="1233" t="s">
        <v>1711</v>
      </c>
      <c r="K285" s="1267">
        <f t="shared" ref="K285" si="234">SUM(K279:K284)</f>
        <v>0</v>
      </c>
      <c r="L285" s="1443">
        <f>SUM(L279:L284)</f>
        <v>0</v>
      </c>
      <c r="M285" s="1232"/>
      <c r="N285" s="1233" t="s">
        <v>1711</v>
      </c>
      <c r="O285" s="1353">
        <f t="shared" ref="O285:Z285" si="235">SUM(O279:O284)</f>
        <v>0</v>
      </c>
      <c r="P285" s="1353">
        <f t="shared" si="235"/>
        <v>0</v>
      </c>
      <c r="Q285" s="1353">
        <f t="shared" si="235"/>
        <v>0</v>
      </c>
      <c r="R285" s="1443">
        <f t="shared" si="235"/>
        <v>0</v>
      </c>
      <c r="S285" s="1443">
        <f t="shared" si="235"/>
        <v>0</v>
      </c>
      <c r="T285" s="1443">
        <f t="shared" si="235"/>
        <v>0</v>
      </c>
      <c r="U285" s="1267">
        <f t="shared" si="235"/>
        <v>0</v>
      </c>
      <c r="V285" s="1443">
        <f t="shared" si="235"/>
        <v>0</v>
      </c>
      <c r="W285" s="1267">
        <f t="shared" si="235"/>
        <v>0</v>
      </c>
      <c r="X285" s="1443">
        <f t="shared" si="235"/>
        <v>0</v>
      </c>
      <c r="Y285" s="1267">
        <f t="shared" si="235"/>
        <v>0</v>
      </c>
      <c r="Z285" s="1443">
        <f t="shared" si="235"/>
        <v>0</v>
      </c>
      <c r="AA285" s="1233"/>
      <c r="AB285" s="1233" t="s">
        <v>1711</v>
      </c>
      <c r="AC285" s="1256">
        <f t="shared" ref="AC285:AF285" si="236">SUM(AC279:AC284)</f>
        <v>0</v>
      </c>
      <c r="AD285" s="1256">
        <f t="shared" si="236"/>
        <v>0</v>
      </c>
      <c r="AE285" s="1523">
        <f t="shared" si="236"/>
        <v>0</v>
      </c>
      <c r="AF285" s="1523">
        <f t="shared" si="236"/>
        <v>0</v>
      </c>
      <c r="AG285" s="1232"/>
      <c r="AH285" s="1233" t="s">
        <v>1711</v>
      </c>
      <c r="AI285" s="1267">
        <f t="shared" ref="AI285:AN285" si="237">SUM(AI279:AI284)</f>
        <v>0</v>
      </c>
      <c r="AJ285" s="1267">
        <f t="shared" si="237"/>
        <v>0</v>
      </c>
      <c r="AK285" s="1267">
        <f t="shared" si="237"/>
        <v>0</v>
      </c>
      <c r="AL285" s="1434">
        <f t="shared" si="237"/>
        <v>0</v>
      </c>
      <c r="AM285" s="1434">
        <f t="shared" si="237"/>
        <v>0</v>
      </c>
      <c r="AN285" s="1434">
        <f t="shared" si="237"/>
        <v>0</v>
      </c>
      <c r="AO285" s="1233"/>
      <c r="AP285" s="1233" t="s">
        <v>1711</v>
      </c>
      <c r="AQ285" s="1257">
        <f t="shared" ref="AQ285:BB285" si="238">SUM(AQ279:AQ284)</f>
        <v>35000</v>
      </c>
      <c r="AR285" s="1257">
        <f t="shared" si="238"/>
        <v>0</v>
      </c>
      <c r="AS285" s="1433">
        <f t="shared" si="238"/>
        <v>35000</v>
      </c>
      <c r="AT285" s="1601">
        <f t="shared" si="238"/>
        <v>0</v>
      </c>
      <c r="AU285" s="1562">
        <f t="shared" si="238"/>
        <v>35000</v>
      </c>
      <c r="AV285" s="1456">
        <f t="shared" si="238"/>
        <v>0</v>
      </c>
      <c r="AW285" s="1456">
        <f t="shared" si="238"/>
        <v>2300</v>
      </c>
      <c r="AX285" s="1448">
        <f t="shared" si="238"/>
        <v>37300</v>
      </c>
      <c r="AY285" s="1398">
        <f t="shared" si="238"/>
        <v>35000</v>
      </c>
      <c r="AZ285" s="1257">
        <f t="shared" si="238"/>
        <v>0</v>
      </c>
      <c r="BA285" s="1257">
        <f t="shared" si="238"/>
        <v>1600</v>
      </c>
      <c r="BB285" s="1400">
        <f t="shared" si="238"/>
        <v>36600</v>
      </c>
    </row>
    <row r="286" spans="1:54" s="1371" customFormat="1" ht="15" customHeight="1" x14ac:dyDescent="0.3">
      <c r="A286" s="973"/>
      <c r="B286" s="974" t="s">
        <v>133</v>
      </c>
      <c r="C286" s="1067"/>
      <c r="D286" s="1493"/>
      <c r="E286" s="974"/>
      <c r="F286" s="974" t="s">
        <v>133</v>
      </c>
      <c r="G286" s="1067"/>
      <c r="H286" s="1493"/>
      <c r="I286" s="974"/>
      <c r="J286" s="974" t="s">
        <v>133</v>
      </c>
      <c r="K286" s="1067"/>
      <c r="L286" s="1493"/>
      <c r="M286" s="974"/>
      <c r="N286" s="974" t="s">
        <v>133</v>
      </c>
      <c r="O286" s="1259"/>
      <c r="P286" s="1259"/>
      <c r="Q286" s="1259"/>
      <c r="R286" s="1430"/>
      <c r="S286" s="1430"/>
      <c r="T286" s="1430"/>
      <c r="U286" s="1067"/>
      <c r="V286" s="1493"/>
      <c r="W286" s="1067"/>
      <c r="X286" s="1493"/>
      <c r="Y286" s="1067"/>
      <c r="Z286" s="1493"/>
      <c r="AA286" s="974"/>
      <c r="AB286" s="974" t="s">
        <v>133</v>
      </c>
      <c r="AC286" s="1259"/>
      <c r="AD286" s="1259"/>
      <c r="AE286" s="1430"/>
      <c r="AF286" s="1430"/>
      <c r="AG286" s="974"/>
      <c r="AH286" s="974" t="s">
        <v>133</v>
      </c>
      <c r="AI286" s="1067"/>
      <c r="AJ286" s="1067"/>
      <c r="AK286" s="1067"/>
      <c r="AL286" s="1493"/>
      <c r="AM286" s="1493"/>
      <c r="AN286" s="1493"/>
      <c r="AO286" s="974"/>
      <c r="AP286" s="974" t="s">
        <v>133</v>
      </c>
      <c r="AQ286" s="1067"/>
      <c r="AR286" s="1067"/>
      <c r="AS286" s="1493"/>
      <c r="AT286" s="1595"/>
      <c r="AU286" s="1563"/>
      <c r="AV286" s="1453"/>
      <c r="AW286" s="1459"/>
      <c r="AX286" s="1454">
        <f t="shared" si="221"/>
        <v>0</v>
      </c>
      <c r="AY286" s="1396">
        <f t="shared" ref="AY286:AY291" si="239">SUM(O286+U286+Y286+AC286+AI286+AQ286)</f>
        <v>0</v>
      </c>
      <c r="AZ286" s="1219">
        <f t="shared" ref="AZ286:AZ291" si="240">SUM(P286+AD286+AJ286+AR286)</f>
        <v>0</v>
      </c>
      <c r="BA286" s="1219">
        <f t="shared" ref="BA286:BA291" si="241">SUM(C286+G286+K286+Q286+W286+AK286)</f>
        <v>0</v>
      </c>
      <c r="BB286" s="1386">
        <f t="shared" si="191"/>
        <v>0</v>
      </c>
    </row>
    <row r="287" spans="1:54" ht="27" x14ac:dyDescent="0.3">
      <c r="A287" s="1216">
        <v>1</v>
      </c>
      <c r="B287" s="1218"/>
      <c r="C287" s="1294"/>
      <c r="D287" s="1494"/>
      <c r="E287" s="1217">
        <v>1</v>
      </c>
      <c r="F287" s="1242"/>
      <c r="G287" s="1294"/>
      <c r="H287" s="1494"/>
      <c r="I287" s="1217">
        <v>1</v>
      </c>
      <c r="J287" s="1218" t="s">
        <v>2025</v>
      </c>
      <c r="K287" s="1222">
        <v>1600</v>
      </c>
      <c r="L287" s="1505">
        <v>1600</v>
      </c>
      <c r="M287" s="1217">
        <v>1</v>
      </c>
      <c r="N287" s="1218" t="s">
        <v>1701</v>
      </c>
      <c r="O287" s="1295"/>
      <c r="P287" s="1295"/>
      <c r="Q287" s="1295"/>
      <c r="R287" s="1431"/>
      <c r="S287" s="1431"/>
      <c r="T287" s="1431"/>
      <c r="U287" s="1294"/>
      <c r="V287" s="1494"/>
      <c r="W287" s="1294"/>
      <c r="X287" s="1494"/>
      <c r="Y287" s="1294"/>
      <c r="Z287" s="1494"/>
      <c r="AA287" s="1149">
        <v>1</v>
      </c>
      <c r="AB287" s="956" t="s">
        <v>1716</v>
      </c>
      <c r="AC287" s="1261"/>
      <c r="AD287" s="1261"/>
      <c r="AE287" s="1532"/>
      <c r="AF287" s="1532"/>
      <c r="AG287" s="1217">
        <v>1</v>
      </c>
      <c r="AH287" s="1218"/>
      <c r="AI287" s="1294"/>
      <c r="AJ287" s="1294"/>
      <c r="AK287" s="1294"/>
      <c r="AL287" s="1494"/>
      <c r="AM287" s="1494"/>
      <c r="AN287" s="1494"/>
      <c r="AO287" s="1149">
        <v>1</v>
      </c>
      <c r="AP287" s="954" t="s">
        <v>1714</v>
      </c>
      <c r="AQ287" s="1262"/>
      <c r="AR287" s="1262"/>
      <c r="AS287" s="1552"/>
      <c r="AT287" s="1599"/>
      <c r="AU287" s="1561">
        <f t="shared" ref="AU287:AU291" si="242">R287+V287+Z287+AE287+AL287+AS287</f>
        <v>0</v>
      </c>
      <c r="AV287" s="1447">
        <f t="shared" ref="AV287:AV291" si="243">S287+AF287+AM287+AT287</f>
        <v>0</v>
      </c>
      <c r="AW287" s="1447">
        <f t="shared" ref="AW287:AW291" si="244">D287+H287+L287+T287+X287+AN287</f>
        <v>1600</v>
      </c>
      <c r="AX287" s="1463">
        <f t="shared" si="221"/>
        <v>1600</v>
      </c>
      <c r="AY287" s="1393">
        <f t="shared" si="239"/>
        <v>0</v>
      </c>
      <c r="AZ287" s="1247">
        <f t="shared" si="240"/>
        <v>0</v>
      </c>
      <c r="BA287" s="1247">
        <f t="shared" si="241"/>
        <v>1600</v>
      </c>
      <c r="BB287" s="1385">
        <f t="shared" si="191"/>
        <v>1600</v>
      </c>
    </row>
    <row r="288" spans="1:54" ht="15.6" x14ac:dyDescent="0.3">
      <c r="A288" s="1216">
        <v>2</v>
      </c>
      <c r="B288" s="1300"/>
      <c r="C288" s="1222"/>
      <c r="D288" s="1505"/>
      <c r="E288" s="1217">
        <v>2</v>
      </c>
      <c r="F288" s="1300"/>
      <c r="G288" s="1222"/>
      <c r="H288" s="1505"/>
      <c r="I288" s="1217">
        <v>2</v>
      </c>
      <c r="J288" s="1300" t="s">
        <v>1719</v>
      </c>
      <c r="K288" s="1222"/>
      <c r="L288" s="1505"/>
      <c r="M288" s="1217">
        <v>2</v>
      </c>
      <c r="N288" s="1300" t="s">
        <v>2026</v>
      </c>
      <c r="O288" s="1361">
        <v>4000</v>
      </c>
      <c r="P288" s="1360"/>
      <c r="Q288" s="1360"/>
      <c r="R288" s="1439">
        <v>4000</v>
      </c>
      <c r="S288" s="1439"/>
      <c r="T288" s="1439"/>
      <c r="U288" s="1222"/>
      <c r="V288" s="1505"/>
      <c r="W288" s="1222"/>
      <c r="X288" s="1505"/>
      <c r="Y288" s="1222"/>
      <c r="Z288" s="1505"/>
      <c r="AA288" s="1149">
        <v>2</v>
      </c>
      <c r="AB288" s="1135"/>
      <c r="AC288" s="1301"/>
      <c r="AD288" s="1301"/>
      <c r="AE288" s="1539"/>
      <c r="AF288" s="1539"/>
      <c r="AG288" s="1217">
        <v>2</v>
      </c>
      <c r="AH288" s="1300"/>
      <c r="AI288" s="1222"/>
      <c r="AJ288" s="1222"/>
      <c r="AK288" s="1222"/>
      <c r="AL288" s="1505"/>
      <c r="AM288" s="1505"/>
      <c r="AN288" s="1505"/>
      <c r="AO288" s="1149">
        <v>2</v>
      </c>
      <c r="AP288" s="954" t="s">
        <v>1719</v>
      </c>
      <c r="AQ288" s="1302"/>
      <c r="AR288" s="1302"/>
      <c r="AS288" s="1550"/>
      <c r="AT288" s="1596"/>
      <c r="AU288" s="1561">
        <f t="shared" si="242"/>
        <v>4000</v>
      </c>
      <c r="AV288" s="1447">
        <f t="shared" si="243"/>
        <v>0</v>
      </c>
      <c r="AW288" s="1447">
        <f t="shared" si="244"/>
        <v>0</v>
      </c>
      <c r="AX288" s="1463">
        <f t="shared" si="221"/>
        <v>4000</v>
      </c>
      <c r="AY288" s="1393">
        <f t="shared" si="239"/>
        <v>4000</v>
      </c>
      <c r="AZ288" s="1247">
        <f t="shared" si="240"/>
        <v>0</v>
      </c>
      <c r="BA288" s="1247">
        <f t="shared" si="241"/>
        <v>0</v>
      </c>
      <c r="BB288" s="1385">
        <f t="shared" si="191"/>
        <v>4000</v>
      </c>
    </row>
    <row r="289" spans="1:54" ht="15.6" x14ac:dyDescent="0.3">
      <c r="A289" s="1216">
        <v>3</v>
      </c>
      <c r="B289" s="1135"/>
      <c r="C289" s="1222"/>
      <c r="D289" s="1505"/>
      <c r="E289" s="1217">
        <v>3</v>
      </c>
      <c r="F289" s="1135"/>
      <c r="G289" s="1222"/>
      <c r="H289" s="1505"/>
      <c r="I289" s="1217">
        <v>3</v>
      </c>
      <c r="J289" s="1135"/>
      <c r="K289" s="1222"/>
      <c r="L289" s="1505"/>
      <c r="M289" s="1217">
        <v>3</v>
      </c>
      <c r="N289" s="1135" t="s">
        <v>1719</v>
      </c>
      <c r="O289" s="1361"/>
      <c r="P289" s="1360"/>
      <c r="Q289" s="1360"/>
      <c r="R289" s="1439"/>
      <c r="S289" s="1439"/>
      <c r="T289" s="1439"/>
      <c r="U289" s="1222"/>
      <c r="V289" s="1505"/>
      <c r="W289" s="1222"/>
      <c r="X289" s="1505"/>
      <c r="Y289" s="1222"/>
      <c r="Z289" s="1505"/>
      <c r="AA289" s="1149">
        <v>3</v>
      </c>
      <c r="AB289" s="1135"/>
      <c r="AC289" s="1301"/>
      <c r="AD289" s="1301"/>
      <c r="AE289" s="1539"/>
      <c r="AF289" s="1539"/>
      <c r="AG289" s="1217">
        <v>3</v>
      </c>
      <c r="AH289" s="1135"/>
      <c r="AI289" s="1222"/>
      <c r="AJ289" s="1222"/>
      <c r="AK289" s="1222"/>
      <c r="AL289" s="1505"/>
      <c r="AM289" s="1505"/>
      <c r="AN289" s="1505"/>
      <c r="AO289" s="1149">
        <v>3</v>
      </c>
      <c r="AP289" s="954"/>
      <c r="AQ289" s="1302"/>
      <c r="AR289" s="1302"/>
      <c r="AS289" s="1550"/>
      <c r="AT289" s="1596"/>
      <c r="AU289" s="1561">
        <f t="shared" si="242"/>
        <v>0</v>
      </c>
      <c r="AV289" s="1447">
        <f t="shared" si="243"/>
        <v>0</v>
      </c>
      <c r="AW289" s="1447">
        <f t="shared" si="244"/>
        <v>0</v>
      </c>
      <c r="AX289" s="1463">
        <f t="shared" si="221"/>
        <v>0</v>
      </c>
      <c r="AY289" s="1393">
        <f t="shared" si="239"/>
        <v>0</v>
      </c>
      <c r="AZ289" s="1247">
        <f t="shared" si="240"/>
        <v>0</v>
      </c>
      <c r="BA289" s="1247">
        <f t="shared" si="241"/>
        <v>0</v>
      </c>
      <c r="BB289" s="1385">
        <f t="shared" si="191"/>
        <v>0</v>
      </c>
    </row>
    <row r="290" spans="1:54" ht="15.6" x14ac:dyDescent="0.3">
      <c r="A290" s="1216">
        <v>4</v>
      </c>
      <c r="B290" s="1217"/>
      <c r="C290" s="1222"/>
      <c r="D290" s="1505"/>
      <c r="E290" s="1217">
        <v>4</v>
      </c>
      <c r="F290" s="1217"/>
      <c r="G290" s="1222"/>
      <c r="H290" s="1505"/>
      <c r="I290" s="1217">
        <v>4</v>
      </c>
      <c r="J290" s="1217"/>
      <c r="K290" s="1222"/>
      <c r="L290" s="1505"/>
      <c r="M290" s="1217">
        <v>4</v>
      </c>
      <c r="N290" s="1135" t="s">
        <v>2027</v>
      </c>
      <c r="O290" s="1360"/>
      <c r="P290" s="1360"/>
      <c r="Q290" s="1360"/>
      <c r="R290" s="1439"/>
      <c r="S290" s="1439"/>
      <c r="T290" s="1439"/>
      <c r="U290" s="1222"/>
      <c r="V290" s="1505"/>
      <c r="W290" s="1222"/>
      <c r="X290" s="1505"/>
      <c r="Y290" s="1222"/>
      <c r="Z290" s="1505"/>
      <c r="AA290" s="1149">
        <v>4</v>
      </c>
      <c r="AB290" s="1149"/>
      <c r="AC290" s="1301"/>
      <c r="AD290" s="1301"/>
      <c r="AE290" s="1539"/>
      <c r="AF290" s="1539"/>
      <c r="AG290" s="1217"/>
      <c r="AH290" s="1135"/>
      <c r="AI290" s="1222"/>
      <c r="AJ290" s="1222"/>
      <c r="AK290" s="1222"/>
      <c r="AL290" s="1505"/>
      <c r="AM290" s="1505"/>
      <c r="AN290" s="1505"/>
      <c r="AO290" s="1149">
        <v>4</v>
      </c>
      <c r="AP290" s="1149"/>
      <c r="AQ290" s="1302"/>
      <c r="AR290" s="1302"/>
      <c r="AS290" s="1550"/>
      <c r="AT290" s="1596"/>
      <c r="AU290" s="1561">
        <f t="shared" si="242"/>
        <v>0</v>
      </c>
      <c r="AV290" s="1447">
        <f t="shared" si="243"/>
        <v>0</v>
      </c>
      <c r="AW290" s="1447">
        <f t="shared" si="244"/>
        <v>0</v>
      </c>
      <c r="AX290" s="1463">
        <f t="shared" si="221"/>
        <v>0</v>
      </c>
      <c r="AY290" s="1393">
        <f t="shared" si="239"/>
        <v>0</v>
      </c>
      <c r="AZ290" s="1247">
        <f t="shared" si="240"/>
        <v>0</v>
      </c>
      <c r="BA290" s="1247">
        <f t="shared" si="241"/>
        <v>0</v>
      </c>
      <c r="BB290" s="1385">
        <f t="shared" si="191"/>
        <v>0</v>
      </c>
    </row>
    <row r="291" spans="1:54" ht="16.2" thickBot="1" x14ac:dyDescent="0.35">
      <c r="A291" s="1225"/>
      <c r="B291" s="1227"/>
      <c r="C291" s="1339"/>
      <c r="D291" s="1506"/>
      <c r="E291" s="1227"/>
      <c r="F291" s="1227"/>
      <c r="G291" s="1339"/>
      <c r="H291" s="1506"/>
      <c r="I291" s="1227"/>
      <c r="J291" s="1227"/>
      <c r="K291" s="1339"/>
      <c r="L291" s="1506"/>
      <c r="M291" s="1227">
        <v>5</v>
      </c>
      <c r="N291" s="1037"/>
      <c r="O291" s="1308"/>
      <c r="P291" s="1308"/>
      <c r="Q291" s="1308"/>
      <c r="R291" s="1442"/>
      <c r="S291" s="1442"/>
      <c r="T291" s="1442"/>
      <c r="U291" s="1339"/>
      <c r="V291" s="1506"/>
      <c r="W291" s="1339"/>
      <c r="X291" s="1506"/>
      <c r="Y291" s="1339"/>
      <c r="Z291" s="1506"/>
      <c r="AA291" s="1040"/>
      <c r="AB291" s="1040"/>
      <c r="AC291" s="1297"/>
      <c r="AD291" s="1297"/>
      <c r="AE291" s="1538"/>
      <c r="AF291" s="1538"/>
      <c r="AG291" s="1227">
        <v>4</v>
      </c>
      <c r="AH291" s="1227"/>
      <c r="AI291" s="1339"/>
      <c r="AJ291" s="1339"/>
      <c r="AK291" s="1339"/>
      <c r="AL291" s="1506"/>
      <c r="AM291" s="1506"/>
      <c r="AN291" s="1506"/>
      <c r="AO291" s="1040"/>
      <c r="AP291" s="1040"/>
      <c r="AQ291" s="1159"/>
      <c r="AR291" s="1159"/>
      <c r="AS291" s="1551"/>
      <c r="AT291" s="1597"/>
      <c r="AU291" s="1561">
        <f t="shared" si="242"/>
        <v>0</v>
      </c>
      <c r="AV291" s="1447">
        <f t="shared" si="243"/>
        <v>0</v>
      </c>
      <c r="AW291" s="1447">
        <f t="shared" si="244"/>
        <v>0</v>
      </c>
      <c r="AX291" s="1464">
        <f t="shared" si="221"/>
        <v>0</v>
      </c>
      <c r="AY291" s="1393">
        <f t="shared" si="239"/>
        <v>0</v>
      </c>
      <c r="AZ291" s="1247">
        <f t="shared" si="240"/>
        <v>0</v>
      </c>
      <c r="BA291" s="1247">
        <f t="shared" si="241"/>
        <v>0</v>
      </c>
      <c r="BB291" s="1385">
        <f t="shared" si="191"/>
        <v>0</v>
      </c>
    </row>
    <row r="292" spans="1:54" ht="16.2" thickBot="1" x14ac:dyDescent="0.35">
      <c r="A292" s="1231"/>
      <c r="B292" s="1233" t="s">
        <v>1758</v>
      </c>
      <c r="C292" s="1331">
        <f>SUM(C287:C291)</f>
        <v>0</v>
      </c>
      <c r="D292" s="1443">
        <f>SUM(D287:D291)</f>
        <v>0</v>
      </c>
      <c r="E292" s="1232"/>
      <c r="F292" s="1233" t="s">
        <v>1758</v>
      </c>
      <c r="G292" s="1267">
        <f t="shared" ref="G292" si="245">SUM(G287:G291)</f>
        <v>0</v>
      </c>
      <c r="H292" s="1443">
        <f>SUM(H287:H291)</f>
        <v>0</v>
      </c>
      <c r="I292" s="1232"/>
      <c r="J292" s="1233" t="s">
        <v>1758</v>
      </c>
      <c r="K292" s="1267">
        <f t="shared" ref="K292" si="246">SUM(K287:K291)</f>
        <v>1600</v>
      </c>
      <c r="L292" s="1443">
        <f>SUM(L287:L291)</f>
        <v>1600</v>
      </c>
      <c r="M292" s="1232"/>
      <c r="N292" s="1233" t="s">
        <v>1758</v>
      </c>
      <c r="O292" s="1353">
        <f t="shared" ref="O292:Y292" si="247">SUM(O287:O291)</f>
        <v>4000</v>
      </c>
      <c r="P292" s="1353">
        <f t="shared" si="247"/>
        <v>0</v>
      </c>
      <c r="Q292" s="1353">
        <f t="shared" si="247"/>
        <v>0</v>
      </c>
      <c r="R292" s="1443">
        <f t="shared" si="247"/>
        <v>4000</v>
      </c>
      <c r="S292" s="1443">
        <f t="shared" si="247"/>
        <v>0</v>
      </c>
      <c r="T292" s="1443">
        <f t="shared" si="247"/>
        <v>0</v>
      </c>
      <c r="U292" s="1267">
        <f t="shared" si="247"/>
        <v>0</v>
      </c>
      <c r="V292" s="1443">
        <f>SUM(V287:V291)</f>
        <v>0</v>
      </c>
      <c r="W292" s="1267">
        <f t="shared" si="247"/>
        <v>0</v>
      </c>
      <c r="X292" s="1443">
        <f>SUM(X287:X291)</f>
        <v>0</v>
      </c>
      <c r="Y292" s="1267">
        <f t="shared" si="247"/>
        <v>0</v>
      </c>
      <c r="Z292" s="1443">
        <f>SUM(Z287:Z291)</f>
        <v>0</v>
      </c>
      <c r="AA292" s="1233"/>
      <c r="AB292" s="1233" t="s">
        <v>1758</v>
      </c>
      <c r="AC292" s="1256">
        <f t="shared" ref="AC292:AF292" si="248">SUM(AC287:AC291)</f>
        <v>0</v>
      </c>
      <c r="AD292" s="1256">
        <f t="shared" si="248"/>
        <v>0</v>
      </c>
      <c r="AE292" s="1443">
        <f t="shared" si="248"/>
        <v>0</v>
      </c>
      <c r="AF292" s="1443">
        <f t="shared" si="248"/>
        <v>0</v>
      </c>
      <c r="AG292" s="1232"/>
      <c r="AH292" s="1233" t="s">
        <v>1758</v>
      </c>
      <c r="AI292" s="1267">
        <f t="shared" ref="AI292:AN292" si="249">SUM(AI287:AI291)</f>
        <v>0</v>
      </c>
      <c r="AJ292" s="1267">
        <f t="shared" si="249"/>
        <v>0</v>
      </c>
      <c r="AK292" s="1267">
        <f t="shared" si="249"/>
        <v>0</v>
      </c>
      <c r="AL292" s="1443">
        <f t="shared" si="249"/>
        <v>0</v>
      </c>
      <c r="AM292" s="1443">
        <f t="shared" si="249"/>
        <v>0</v>
      </c>
      <c r="AN292" s="1443">
        <f t="shared" si="249"/>
        <v>0</v>
      </c>
      <c r="AO292" s="1233"/>
      <c r="AP292" s="1233" t="s">
        <v>1758</v>
      </c>
      <c r="AQ292" s="1257">
        <f t="shared" ref="AQ292:BB292" si="250">SUM(AQ287:AQ291)</f>
        <v>0</v>
      </c>
      <c r="AR292" s="1257">
        <f t="shared" si="250"/>
        <v>0</v>
      </c>
      <c r="AS292" s="1443">
        <f t="shared" si="250"/>
        <v>0</v>
      </c>
      <c r="AT292" s="1612">
        <f t="shared" si="250"/>
        <v>0</v>
      </c>
      <c r="AU292" s="1575">
        <f t="shared" si="250"/>
        <v>4000</v>
      </c>
      <c r="AV292" s="1473">
        <f t="shared" si="250"/>
        <v>0</v>
      </c>
      <c r="AW292" s="1473">
        <f t="shared" si="250"/>
        <v>1600</v>
      </c>
      <c r="AX292" s="1474">
        <f t="shared" si="250"/>
        <v>5600</v>
      </c>
      <c r="AY292" s="1408">
        <f t="shared" si="250"/>
        <v>4000</v>
      </c>
      <c r="AZ292" s="1331">
        <f t="shared" si="250"/>
        <v>0</v>
      </c>
      <c r="BA292" s="1331">
        <f t="shared" si="250"/>
        <v>1600</v>
      </c>
      <c r="BB292" s="1409">
        <f t="shared" si="250"/>
        <v>5600</v>
      </c>
    </row>
    <row r="293" spans="1:54" s="1371" customFormat="1" ht="15.6" x14ac:dyDescent="0.3">
      <c r="A293" s="973"/>
      <c r="B293" s="974" t="s">
        <v>1759</v>
      </c>
      <c r="C293" s="1215"/>
      <c r="D293" s="1486"/>
      <c r="E293" s="974"/>
      <c r="F293" s="974" t="s">
        <v>1759</v>
      </c>
      <c r="G293" s="1215"/>
      <c r="H293" s="1486"/>
      <c r="I293" s="974"/>
      <c r="J293" s="974" t="s">
        <v>822</v>
      </c>
      <c r="K293" s="1215"/>
      <c r="L293" s="1486"/>
      <c r="M293" s="974"/>
      <c r="N293" s="974" t="s">
        <v>1759</v>
      </c>
      <c r="O293" s="1214"/>
      <c r="P293" s="1214"/>
      <c r="Q293" s="1214"/>
      <c r="R293" s="1422"/>
      <c r="S293" s="1422"/>
      <c r="T293" s="1422"/>
      <c r="U293" s="1215"/>
      <c r="V293" s="1486"/>
      <c r="W293" s="1215"/>
      <c r="X293" s="1486"/>
      <c r="Y293" s="1215"/>
      <c r="Z293" s="1486"/>
      <c r="AA293" s="974"/>
      <c r="AB293" s="974" t="s">
        <v>1759</v>
      </c>
      <c r="AC293" s="1214"/>
      <c r="AD293" s="1214"/>
      <c r="AE293" s="1422"/>
      <c r="AF293" s="1422"/>
      <c r="AG293" s="974"/>
      <c r="AH293" s="974" t="s">
        <v>1759</v>
      </c>
      <c r="AI293" s="1215"/>
      <c r="AJ293" s="1215"/>
      <c r="AK293" s="1215"/>
      <c r="AL293" s="1486"/>
      <c r="AM293" s="1486"/>
      <c r="AN293" s="1486"/>
      <c r="AO293" s="974"/>
      <c r="AP293" s="974" t="s">
        <v>1759</v>
      </c>
      <c r="AQ293" s="1215"/>
      <c r="AR293" s="1215"/>
      <c r="AS293" s="1486"/>
      <c r="AT293" s="1584"/>
      <c r="AU293" s="1563"/>
      <c r="AV293" s="1453"/>
      <c r="AW293" s="1459"/>
      <c r="AX293" s="1454">
        <f t="shared" si="221"/>
        <v>0</v>
      </c>
      <c r="AY293" s="1396">
        <f t="shared" ref="AY293:AY298" si="251">SUM(O293+U293+Y293+AC293+AI293+AQ293)</f>
        <v>0</v>
      </c>
      <c r="AZ293" s="1219">
        <f t="shared" ref="AZ293:AZ298" si="252">SUM(P293+AD293+AJ293+AR293)</f>
        <v>0</v>
      </c>
      <c r="BA293" s="1219">
        <f t="shared" ref="BA293:BA298" si="253">SUM(C293+G293+K293+Q293+W293+AK293)</f>
        <v>0</v>
      </c>
      <c r="BB293" s="1386">
        <f t="shared" si="191"/>
        <v>0</v>
      </c>
    </row>
    <row r="294" spans="1:54" ht="15.6" x14ac:dyDescent="0.3">
      <c r="A294" s="1216">
        <v>1</v>
      </c>
      <c r="B294" s="1218"/>
      <c r="C294" s="1335"/>
      <c r="D294" s="1496"/>
      <c r="E294" s="1217">
        <v>1</v>
      </c>
      <c r="F294" s="1218"/>
      <c r="G294" s="1335"/>
      <c r="H294" s="1496"/>
      <c r="I294" s="1217">
        <v>1</v>
      </c>
      <c r="J294" s="1218"/>
      <c r="K294" s="1335"/>
      <c r="L294" s="1496"/>
      <c r="M294" s="1217">
        <v>1</v>
      </c>
      <c r="N294" s="1218"/>
      <c r="O294" s="1357"/>
      <c r="P294" s="1357"/>
      <c r="Q294" s="1357"/>
      <c r="R294" s="1519"/>
      <c r="S294" s="1519"/>
      <c r="T294" s="1519"/>
      <c r="U294" s="1335"/>
      <c r="V294" s="1496"/>
      <c r="W294" s="1335"/>
      <c r="X294" s="1496"/>
      <c r="Y294" s="1335"/>
      <c r="Z294" s="1496"/>
      <c r="AA294" s="1149">
        <v>1</v>
      </c>
      <c r="AB294" s="956"/>
      <c r="AC294" s="1270"/>
      <c r="AD294" s="1270"/>
      <c r="AE294" s="1534"/>
      <c r="AF294" s="1534"/>
      <c r="AG294" s="1217">
        <v>1</v>
      </c>
      <c r="AH294" s="1218"/>
      <c r="AI294" s="1335"/>
      <c r="AJ294" s="1335"/>
      <c r="AK294" s="1335"/>
      <c r="AL294" s="1496"/>
      <c r="AM294" s="1496"/>
      <c r="AN294" s="1496"/>
      <c r="AO294" s="1149">
        <v>1</v>
      </c>
      <c r="AP294" s="956"/>
      <c r="AQ294" s="1048"/>
      <c r="AR294" s="1048"/>
      <c r="AS294" s="1553"/>
      <c r="AT294" s="1603"/>
      <c r="AU294" s="1561">
        <f t="shared" ref="AU294:AU298" si="254">R294+V294+Z294+AE294+AL294+AS294</f>
        <v>0</v>
      </c>
      <c r="AV294" s="1447">
        <f t="shared" ref="AV294:AV298" si="255">S294+AF294+AM294+AT294</f>
        <v>0</v>
      </c>
      <c r="AW294" s="1447">
        <f t="shared" ref="AW294:AW298" si="256">D294+H294+L294+T294+X294+AN294</f>
        <v>0</v>
      </c>
      <c r="AX294" s="1450">
        <f t="shared" si="221"/>
        <v>0</v>
      </c>
      <c r="AY294" s="1393">
        <f t="shared" si="251"/>
        <v>0</v>
      </c>
      <c r="AZ294" s="1247">
        <f t="shared" si="252"/>
        <v>0</v>
      </c>
      <c r="BA294" s="1247">
        <f t="shared" si="253"/>
        <v>0</v>
      </c>
      <c r="BB294" s="1385">
        <f t="shared" si="191"/>
        <v>0</v>
      </c>
    </row>
    <row r="295" spans="1:54" ht="15.6" x14ac:dyDescent="0.3">
      <c r="A295" s="1216">
        <v>2</v>
      </c>
      <c r="B295" s="1218"/>
      <c r="C295" s="1335"/>
      <c r="D295" s="1496"/>
      <c r="E295" s="1217">
        <v>2</v>
      </c>
      <c r="F295" s="1218"/>
      <c r="G295" s="1335"/>
      <c r="H295" s="1496"/>
      <c r="I295" s="1217">
        <v>2</v>
      </c>
      <c r="J295" s="1218"/>
      <c r="K295" s="1335"/>
      <c r="L295" s="1496"/>
      <c r="M295" s="1217">
        <v>2</v>
      </c>
      <c r="N295" s="1218"/>
      <c r="O295" s="1357"/>
      <c r="P295" s="1357"/>
      <c r="Q295" s="1357"/>
      <c r="R295" s="1519"/>
      <c r="S295" s="1519"/>
      <c r="T295" s="1519"/>
      <c r="U295" s="1335"/>
      <c r="V295" s="1496"/>
      <c r="W295" s="1335"/>
      <c r="X295" s="1496"/>
      <c r="Y295" s="1335"/>
      <c r="Z295" s="1496"/>
      <c r="AA295" s="1149">
        <v>2</v>
      </c>
      <c r="AB295" s="956"/>
      <c r="AC295" s="1270"/>
      <c r="AD295" s="1270"/>
      <c r="AE295" s="1534"/>
      <c r="AF295" s="1534"/>
      <c r="AG295" s="1217">
        <v>2</v>
      </c>
      <c r="AH295" s="1218"/>
      <c r="AI295" s="1335"/>
      <c r="AJ295" s="1335"/>
      <c r="AK295" s="1335"/>
      <c r="AL295" s="1496"/>
      <c r="AM295" s="1496"/>
      <c r="AN295" s="1496"/>
      <c r="AO295" s="1149">
        <v>2</v>
      </c>
      <c r="AP295" s="956"/>
      <c r="AQ295" s="1048"/>
      <c r="AR295" s="1048"/>
      <c r="AS295" s="1553"/>
      <c r="AT295" s="1603"/>
      <c r="AU295" s="1561">
        <f t="shared" si="254"/>
        <v>0</v>
      </c>
      <c r="AV295" s="1447">
        <f t="shared" si="255"/>
        <v>0</v>
      </c>
      <c r="AW295" s="1447">
        <f t="shared" si="256"/>
        <v>0</v>
      </c>
      <c r="AX295" s="1450">
        <f t="shared" si="221"/>
        <v>0</v>
      </c>
      <c r="AY295" s="1393">
        <f t="shared" si="251"/>
        <v>0</v>
      </c>
      <c r="AZ295" s="1247">
        <f t="shared" si="252"/>
        <v>0</v>
      </c>
      <c r="BA295" s="1247">
        <f t="shared" si="253"/>
        <v>0</v>
      </c>
      <c r="BB295" s="1385">
        <f t="shared" si="191"/>
        <v>0</v>
      </c>
    </row>
    <row r="296" spans="1:54" ht="15.6" x14ac:dyDescent="0.3">
      <c r="A296" s="1216">
        <v>3</v>
      </c>
      <c r="B296" s="1218"/>
      <c r="C296" s="1335"/>
      <c r="D296" s="1496"/>
      <c r="E296" s="1217">
        <v>3</v>
      </c>
      <c r="F296" s="1218"/>
      <c r="G296" s="1335"/>
      <c r="H296" s="1496"/>
      <c r="I296" s="1217">
        <v>3</v>
      </c>
      <c r="J296" s="1218"/>
      <c r="K296" s="1335"/>
      <c r="L296" s="1496"/>
      <c r="M296" s="1217">
        <v>3</v>
      </c>
      <c r="N296" s="1218"/>
      <c r="O296" s="1357"/>
      <c r="P296" s="1357"/>
      <c r="Q296" s="1357"/>
      <c r="R296" s="1519"/>
      <c r="S296" s="1519"/>
      <c r="T296" s="1519"/>
      <c r="U296" s="1335"/>
      <c r="V296" s="1496"/>
      <c r="W296" s="1335"/>
      <c r="X296" s="1496"/>
      <c r="Y296" s="1335"/>
      <c r="Z296" s="1496"/>
      <c r="AA296" s="1149">
        <v>3</v>
      </c>
      <c r="AB296" s="956"/>
      <c r="AC296" s="1270"/>
      <c r="AD296" s="1270"/>
      <c r="AE296" s="1534"/>
      <c r="AF296" s="1534"/>
      <c r="AG296" s="1217">
        <v>3</v>
      </c>
      <c r="AH296" s="1218"/>
      <c r="AI296" s="1335"/>
      <c r="AJ296" s="1335"/>
      <c r="AK296" s="1335"/>
      <c r="AL296" s="1496"/>
      <c r="AM296" s="1496"/>
      <c r="AN296" s="1496"/>
      <c r="AO296" s="1149">
        <v>3</v>
      </c>
      <c r="AP296" s="956"/>
      <c r="AQ296" s="1048"/>
      <c r="AR296" s="1048"/>
      <c r="AS296" s="1553"/>
      <c r="AT296" s="1603"/>
      <c r="AU296" s="1561">
        <f t="shared" si="254"/>
        <v>0</v>
      </c>
      <c r="AV296" s="1447">
        <f t="shared" si="255"/>
        <v>0</v>
      </c>
      <c r="AW296" s="1447">
        <f t="shared" si="256"/>
        <v>0</v>
      </c>
      <c r="AX296" s="1450">
        <f t="shared" si="221"/>
        <v>0</v>
      </c>
      <c r="AY296" s="1393">
        <f t="shared" si="251"/>
        <v>0</v>
      </c>
      <c r="AZ296" s="1247">
        <f t="shared" si="252"/>
        <v>0</v>
      </c>
      <c r="BA296" s="1247">
        <f t="shared" si="253"/>
        <v>0</v>
      </c>
      <c r="BB296" s="1385">
        <f t="shared" si="191"/>
        <v>0</v>
      </c>
    </row>
    <row r="297" spans="1:54" ht="15.6" x14ac:dyDescent="0.3">
      <c r="A297" s="1216">
        <v>4</v>
      </c>
      <c r="B297" s="1218"/>
      <c r="C297" s="1335"/>
      <c r="D297" s="1496"/>
      <c r="E297" s="1217">
        <v>4</v>
      </c>
      <c r="F297" s="1218"/>
      <c r="G297" s="1335"/>
      <c r="H297" s="1496"/>
      <c r="I297" s="1217">
        <v>4</v>
      </c>
      <c r="J297" s="1218"/>
      <c r="K297" s="1335"/>
      <c r="L297" s="1496"/>
      <c r="M297" s="1217">
        <v>4</v>
      </c>
      <c r="N297" s="1218"/>
      <c r="O297" s="1357"/>
      <c r="P297" s="1357"/>
      <c r="Q297" s="1357"/>
      <c r="R297" s="1519"/>
      <c r="S297" s="1519"/>
      <c r="T297" s="1519"/>
      <c r="U297" s="1335"/>
      <c r="V297" s="1496"/>
      <c r="W297" s="1335"/>
      <c r="X297" s="1496"/>
      <c r="Y297" s="1335"/>
      <c r="Z297" s="1496"/>
      <c r="AA297" s="1149"/>
      <c r="AB297" s="956"/>
      <c r="AC297" s="1270"/>
      <c r="AD297" s="1270"/>
      <c r="AE297" s="1534"/>
      <c r="AF297" s="1534"/>
      <c r="AG297" s="1217">
        <v>4</v>
      </c>
      <c r="AH297" s="1218"/>
      <c r="AI297" s="1335"/>
      <c r="AJ297" s="1335"/>
      <c r="AK297" s="1335"/>
      <c r="AL297" s="1496"/>
      <c r="AM297" s="1496"/>
      <c r="AN297" s="1496"/>
      <c r="AO297" s="1149"/>
      <c r="AP297" s="956"/>
      <c r="AQ297" s="1048"/>
      <c r="AR297" s="1048"/>
      <c r="AS297" s="1553"/>
      <c r="AT297" s="1603"/>
      <c r="AU297" s="1561">
        <f t="shared" si="254"/>
        <v>0</v>
      </c>
      <c r="AV297" s="1447">
        <f t="shared" si="255"/>
        <v>0</v>
      </c>
      <c r="AW297" s="1447">
        <f t="shared" si="256"/>
        <v>0</v>
      </c>
      <c r="AX297" s="1450">
        <f t="shared" si="221"/>
        <v>0</v>
      </c>
      <c r="AY297" s="1393">
        <f t="shared" si="251"/>
        <v>0</v>
      </c>
      <c r="AZ297" s="1247">
        <f t="shared" si="252"/>
        <v>0</v>
      </c>
      <c r="BA297" s="1247">
        <f t="shared" si="253"/>
        <v>0</v>
      </c>
      <c r="BB297" s="1385">
        <f t="shared" si="191"/>
        <v>0</v>
      </c>
    </row>
    <row r="298" spans="1:54" ht="16.2" thickBot="1" x14ac:dyDescent="0.35">
      <c r="A298" s="1225">
        <v>5</v>
      </c>
      <c r="B298" s="1226"/>
      <c r="C298" s="1336"/>
      <c r="D298" s="1497"/>
      <c r="E298" s="1227">
        <v>5</v>
      </c>
      <c r="F298" s="1226"/>
      <c r="G298" s="1336"/>
      <c r="H298" s="1497"/>
      <c r="I298" s="1227">
        <v>5</v>
      </c>
      <c r="J298" s="1226"/>
      <c r="K298" s="1336"/>
      <c r="L298" s="1497"/>
      <c r="M298" s="1227">
        <v>5</v>
      </c>
      <c r="N298" s="1226"/>
      <c r="O298" s="1358"/>
      <c r="P298" s="1358"/>
      <c r="Q298" s="1358"/>
      <c r="R298" s="1520"/>
      <c r="S298" s="1520"/>
      <c r="T298" s="1520"/>
      <c r="U298" s="1336"/>
      <c r="V298" s="1497"/>
      <c r="W298" s="1336"/>
      <c r="X298" s="1497"/>
      <c r="Y298" s="1336"/>
      <c r="Z298" s="1497"/>
      <c r="AA298" s="1040"/>
      <c r="AB298" s="961"/>
      <c r="AC298" s="1271"/>
      <c r="AD298" s="1271"/>
      <c r="AE298" s="1535"/>
      <c r="AF298" s="1535"/>
      <c r="AG298" s="1227">
        <v>5</v>
      </c>
      <c r="AH298" s="1226"/>
      <c r="AI298" s="1336"/>
      <c r="AJ298" s="1336"/>
      <c r="AK298" s="1336"/>
      <c r="AL298" s="1497"/>
      <c r="AM298" s="1497"/>
      <c r="AN298" s="1497"/>
      <c r="AO298" s="1040"/>
      <c r="AP298" s="961"/>
      <c r="AQ298" s="1101"/>
      <c r="AR298" s="1101"/>
      <c r="AS298" s="1554"/>
      <c r="AT298" s="1604"/>
      <c r="AU298" s="1561">
        <f t="shared" si="254"/>
        <v>0</v>
      </c>
      <c r="AV298" s="1447">
        <f t="shared" si="255"/>
        <v>0</v>
      </c>
      <c r="AW298" s="1447">
        <f t="shared" si="256"/>
        <v>0</v>
      </c>
      <c r="AX298" s="1462">
        <f t="shared" si="221"/>
        <v>0</v>
      </c>
      <c r="AY298" s="1393">
        <f t="shared" si="251"/>
        <v>0</v>
      </c>
      <c r="AZ298" s="1247">
        <f t="shared" si="252"/>
        <v>0</v>
      </c>
      <c r="BA298" s="1247">
        <f t="shared" si="253"/>
        <v>0</v>
      </c>
      <c r="BB298" s="1385">
        <f t="shared" si="191"/>
        <v>0</v>
      </c>
    </row>
    <row r="299" spans="1:54" s="1371" customFormat="1" ht="16.2" thickBot="1" x14ac:dyDescent="0.35">
      <c r="A299" s="1369"/>
      <c r="B299" s="1233" t="s">
        <v>1763</v>
      </c>
      <c r="C299" s="1257">
        <f>SUM(C293:C298)</f>
        <v>0</v>
      </c>
      <c r="D299" s="1433">
        <f>SUM(D293:D298)</f>
        <v>0</v>
      </c>
      <c r="E299" s="1233"/>
      <c r="F299" s="1233" t="s">
        <v>1763</v>
      </c>
      <c r="G299" s="1257">
        <f>SUM(G293:G298)</f>
        <v>0</v>
      </c>
      <c r="H299" s="1433">
        <f>SUM(H293:H298)</f>
        <v>0</v>
      </c>
      <c r="I299" s="1233"/>
      <c r="J299" s="1233" t="s">
        <v>2028</v>
      </c>
      <c r="K299" s="1257">
        <f>SUM(K293:K298)</f>
        <v>0</v>
      </c>
      <c r="L299" s="1433">
        <f>SUM(L293:L298)</f>
        <v>0</v>
      </c>
      <c r="M299" s="1233"/>
      <c r="N299" s="1233" t="s">
        <v>1763</v>
      </c>
      <c r="O299" s="1256">
        <f t="shared" ref="O299:Y299" si="257">SUM(O293:O298)</f>
        <v>0</v>
      </c>
      <c r="P299" s="1256">
        <f t="shared" si="257"/>
        <v>0</v>
      </c>
      <c r="Q299" s="1256">
        <f t="shared" si="257"/>
        <v>0</v>
      </c>
      <c r="R299" s="1433">
        <f t="shared" si="257"/>
        <v>0</v>
      </c>
      <c r="S299" s="1433">
        <f t="shared" si="257"/>
        <v>0</v>
      </c>
      <c r="T299" s="1433">
        <f t="shared" si="257"/>
        <v>0</v>
      </c>
      <c r="U299" s="1256">
        <f t="shared" si="257"/>
        <v>0</v>
      </c>
      <c r="V299" s="1433">
        <f>SUM(V293:V298)</f>
        <v>0</v>
      </c>
      <c r="W299" s="1256">
        <f t="shared" si="257"/>
        <v>0</v>
      </c>
      <c r="X299" s="1433">
        <f>SUM(X293:X298)</f>
        <v>0</v>
      </c>
      <c r="Y299" s="1256">
        <f t="shared" si="257"/>
        <v>0</v>
      </c>
      <c r="Z299" s="1433">
        <f>SUM(Z293:Z298)</f>
        <v>0</v>
      </c>
      <c r="AA299" s="1233"/>
      <c r="AB299" s="1233" t="s">
        <v>1763</v>
      </c>
      <c r="AC299" s="1256">
        <f t="shared" ref="AC299:AF299" si="258">SUM(AC293:AC298)</f>
        <v>0</v>
      </c>
      <c r="AD299" s="1256">
        <f t="shared" si="258"/>
        <v>0</v>
      </c>
      <c r="AE299" s="1433">
        <f t="shared" si="258"/>
        <v>0</v>
      </c>
      <c r="AF299" s="1433">
        <f t="shared" si="258"/>
        <v>0</v>
      </c>
      <c r="AG299" s="1233"/>
      <c r="AH299" s="1233" t="s">
        <v>1763</v>
      </c>
      <c r="AI299" s="1257">
        <f t="shared" ref="AI299:AN299" si="259">SUM(AI293:AI298)</f>
        <v>0</v>
      </c>
      <c r="AJ299" s="1257">
        <f t="shared" si="259"/>
        <v>0</v>
      </c>
      <c r="AK299" s="1257">
        <f t="shared" si="259"/>
        <v>0</v>
      </c>
      <c r="AL299" s="1433">
        <f t="shared" si="259"/>
        <v>0</v>
      </c>
      <c r="AM299" s="1433">
        <f t="shared" si="259"/>
        <v>0</v>
      </c>
      <c r="AN299" s="1433">
        <f t="shared" si="259"/>
        <v>0</v>
      </c>
      <c r="AO299" s="1233"/>
      <c r="AP299" s="1233" t="s">
        <v>1763</v>
      </c>
      <c r="AQ299" s="1257">
        <f t="shared" ref="AQ299:BB299" si="260">SUM(AQ293:AQ298)</f>
        <v>0</v>
      </c>
      <c r="AR299" s="1257">
        <f t="shared" si="260"/>
        <v>0</v>
      </c>
      <c r="AS299" s="1433">
        <f t="shared" si="260"/>
        <v>0</v>
      </c>
      <c r="AT299" s="1601">
        <f t="shared" si="260"/>
        <v>0</v>
      </c>
      <c r="AU299" s="1562">
        <f t="shared" si="260"/>
        <v>0</v>
      </c>
      <c r="AV299" s="1456">
        <f t="shared" si="260"/>
        <v>0</v>
      </c>
      <c r="AW299" s="1456">
        <f t="shared" si="260"/>
        <v>0</v>
      </c>
      <c r="AX299" s="1448">
        <f t="shared" si="260"/>
        <v>0</v>
      </c>
      <c r="AY299" s="1398">
        <f t="shared" si="260"/>
        <v>0</v>
      </c>
      <c r="AZ299" s="1257">
        <f t="shared" si="260"/>
        <v>0</v>
      </c>
      <c r="BA299" s="1257">
        <f t="shared" si="260"/>
        <v>0</v>
      </c>
      <c r="BB299" s="1400">
        <f t="shared" si="260"/>
        <v>0</v>
      </c>
    </row>
    <row r="300" spans="1:54" s="1371" customFormat="1" ht="30" customHeight="1" thickBot="1" x14ac:dyDescent="0.35">
      <c r="A300" s="2504" t="s">
        <v>1764</v>
      </c>
      <c r="B300" s="2505"/>
      <c r="C300" s="1257">
        <f>SUM(C299+C292+C285+C278+C273)</f>
        <v>1000</v>
      </c>
      <c r="D300" s="1433">
        <f>SUM(D299+D292+D285+D278+D273)</f>
        <v>1000</v>
      </c>
      <c r="E300" s="2505" t="s">
        <v>1764</v>
      </c>
      <c r="F300" s="2505"/>
      <c r="G300" s="1257">
        <f>SUM(G299+G292+G285+G278+G273)</f>
        <v>600</v>
      </c>
      <c r="H300" s="1433">
        <f>SUM(H299+H292+H285+H278+H273)</f>
        <v>1300</v>
      </c>
      <c r="I300" s="2505" t="s">
        <v>1764</v>
      </c>
      <c r="J300" s="2505"/>
      <c r="K300" s="1257">
        <f>SUM(K299+K292+K285+K278+K273)</f>
        <v>1600</v>
      </c>
      <c r="L300" s="1433">
        <f>SUM(L299+L292+L285+L278+L273)</f>
        <v>1600</v>
      </c>
      <c r="M300" s="2505" t="s">
        <v>1764</v>
      </c>
      <c r="N300" s="2505"/>
      <c r="O300" s="1256">
        <f t="shared" ref="O300:Z300" si="261">SUM(O299+O292+O285+O278+O273)</f>
        <v>4000</v>
      </c>
      <c r="P300" s="1256">
        <f t="shared" si="261"/>
        <v>0</v>
      </c>
      <c r="Q300" s="1256">
        <f t="shared" si="261"/>
        <v>0</v>
      </c>
      <c r="R300" s="1433">
        <f t="shared" si="261"/>
        <v>4000</v>
      </c>
      <c r="S300" s="1433">
        <f t="shared" si="261"/>
        <v>0</v>
      </c>
      <c r="T300" s="1433">
        <f t="shared" si="261"/>
        <v>0</v>
      </c>
      <c r="U300" s="1257">
        <f t="shared" si="261"/>
        <v>0</v>
      </c>
      <c r="V300" s="1433">
        <f t="shared" si="261"/>
        <v>0</v>
      </c>
      <c r="W300" s="1257">
        <f t="shared" si="261"/>
        <v>0</v>
      </c>
      <c r="X300" s="1433">
        <f t="shared" si="261"/>
        <v>0</v>
      </c>
      <c r="Y300" s="1257">
        <f t="shared" si="261"/>
        <v>0</v>
      </c>
      <c r="Z300" s="1433">
        <f t="shared" si="261"/>
        <v>0</v>
      </c>
      <c r="AA300" s="2505" t="s">
        <v>1764</v>
      </c>
      <c r="AB300" s="2505"/>
      <c r="AC300" s="1256">
        <f t="shared" ref="AC300:AF300" si="262">SUM(AC299+AC292+AC285+AC278+AC273)</f>
        <v>0</v>
      </c>
      <c r="AD300" s="1256">
        <f t="shared" si="262"/>
        <v>0</v>
      </c>
      <c r="AE300" s="1433">
        <f t="shared" si="262"/>
        <v>0</v>
      </c>
      <c r="AF300" s="1433">
        <f t="shared" si="262"/>
        <v>0</v>
      </c>
      <c r="AG300" s="2505" t="s">
        <v>1764</v>
      </c>
      <c r="AH300" s="2505"/>
      <c r="AI300" s="1257">
        <f t="shared" ref="AI300:AN300" si="263">SUM(AI299+AI292+AI285+AI278+AI273)</f>
        <v>0</v>
      </c>
      <c r="AJ300" s="1257">
        <f t="shared" si="263"/>
        <v>0</v>
      </c>
      <c r="AK300" s="1257">
        <f t="shared" si="263"/>
        <v>0</v>
      </c>
      <c r="AL300" s="1433">
        <f t="shared" si="263"/>
        <v>0</v>
      </c>
      <c r="AM300" s="1433">
        <f t="shared" si="263"/>
        <v>0</v>
      </c>
      <c r="AN300" s="1433">
        <f t="shared" si="263"/>
        <v>0</v>
      </c>
      <c r="AO300" s="2505" t="s">
        <v>1764</v>
      </c>
      <c r="AP300" s="2505"/>
      <c r="AQ300" s="1257">
        <f>SUM(AQ299+AQ292+AQ285+AQ278+AQ273)</f>
        <v>35000</v>
      </c>
      <c r="AR300" s="1257">
        <f>SUM(AR299+AR292+AR285+AR278+AR273)</f>
        <v>0</v>
      </c>
      <c r="AS300" s="1433">
        <f t="shared" ref="AS300:BB300" si="264">SUM(AS299+AS292+AS285+AS278+AS273)</f>
        <v>35000</v>
      </c>
      <c r="AT300" s="1601">
        <f t="shared" si="264"/>
        <v>0</v>
      </c>
      <c r="AU300" s="1562">
        <f t="shared" si="264"/>
        <v>39000</v>
      </c>
      <c r="AV300" s="1456">
        <f t="shared" si="264"/>
        <v>0</v>
      </c>
      <c r="AW300" s="1456">
        <f t="shared" si="264"/>
        <v>3900</v>
      </c>
      <c r="AX300" s="1448">
        <f t="shared" si="264"/>
        <v>42900</v>
      </c>
      <c r="AY300" s="1398">
        <f t="shared" si="264"/>
        <v>39000</v>
      </c>
      <c r="AZ300" s="1257">
        <f t="shared" si="264"/>
        <v>0</v>
      </c>
      <c r="BA300" s="1257">
        <f t="shared" si="264"/>
        <v>3200</v>
      </c>
      <c r="BB300" s="1400">
        <f t="shared" si="264"/>
        <v>42200</v>
      </c>
    </row>
    <row r="301" spans="1:54" s="1371" customFormat="1" ht="27" x14ac:dyDescent="0.3">
      <c r="A301" s="1044"/>
      <c r="B301" s="1286" t="s">
        <v>1765</v>
      </c>
      <c r="C301" s="1067"/>
      <c r="D301" s="1493"/>
      <c r="E301" s="1213"/>
      <c r="F301" s="1286" t="s">
        <v>1765</v>
      </c>
      <c r="G301" s="1067"/>
      <c r="H301" s="1493"/>
      <c r="I301" s="1213"/>
      <c r="J301" s="1286" t="s">
        <v>1765</v>
      </c>
      <c r="K301" s="1067"/>
      <c r="L301" s="1493"/>
      <c r="M301" s="1213"/>
      <c r="N301" s="1286" t="s">
        <v>1765</v>
      </c>
      <c r="O301" s="1259"/>
      <c r="P301" s="1259"/>
      <c r="Q301" s="1259"/>
      <c r="R301" s="1430"/>
      <c r="S301" s="1430"/>
      <c r="T301" s="1430"/>
      <c r="U301" s="1067"/>
      <c r="V301" s="1493"/>
      <c r="W301" s="1067"/>
      <c r="X301" s="1493"/>
      <c r="Y301" s="1067"/>
      <c r="Z301" s="1493"/>
      <c r="AA301" s="1213"/>
      <c r="AB301" s="1286" t="s">
        <v>1765</v>
      </c>
      <c r="AC301" s="1259"/>
      <c r="AD301" s="1259"/>
      <c r="AE301" s="1430"/>
      <c r="AF301" s="1430"/>
      <c r="AG301" s="1213"/>
      <c r="AH301" s="1286" t="s">
        <v>1765</v>
      </c>
      <c r="AI301" s="1067"/>
      <c r="AJ301" s="1067"/>
      <c r="AK301" s="1067"/>
      <c r="AL301" s="1493"/>
      <c r="AM301" s="1493"/>
      <c r="AN301" s="1493"/>
      <c r="AO301" s="1213"/>
      <c r="AP301" s="1286" t="s">
        <v>1765</v>
      </c>
      <c r="AQ301" s="1067"/>
      <c r="AR301" s="1067"/>
      <c r="AS301" s="1493"/>
      <c r="AT301" s="1595"/>
      <c r="AU301" s="1563"/>
      <c r="AV301" s="1453"/>
      <c r="AW301" s="1459"/>
      <c r="AX301" s="1454">
        <f t="shared" si="221"/>
        <v>0</v>
      </c>
      <c r="AY301" s="1396">
        <f>SUM(O301+U301+Y301+AC301+AI301+AQ301)</f>
        <v>0</v>
      </c>
      <c r="AZ301" s="1219">
        <f>SUM(P301+AD301+AJ301+AR301)</f>
        <v>0</v>
      </c>
      <c r="BA301" s="1219">
        <f>SUM(C301+G301+K301+Q301+W301+AK301)</f>
        <v>0</v>
      </c>
      <c r="BB301" s="1386">
        <f t="shared" si="191"/>
        <v>0</v>
      </c>
    </row>
    <row r="302" spans="1:54" ht="15.6" x14ac:dyDescent="0.3">
      <c r="A302" s="1303">
        <v>1</v>
      </c>
      <c r="B302" s="1304" t="s">
        <v>1767</v>
      </c>
      <c r="C302" s="1294"/>
      <c r="D302" s="1494"/>
      <c r="E302" s="1260">
        <v>1</v>
      </c>
      <c r="F302" s="1304" t="s">
        <v>1767</v>
      </c>
      <c r="G302" s="1294"/>
      <c r="H302" s="1494"/>
      <c r="I302" s="1260">
        <v>1</v>
      </c>
      <c r="J302" s="1304" t="s">
        <v>1767</v>
      </c>
      <c r="K302" s="1294"/>
      <c r="L302" s="1494"/>
      <c r="M302" s="1260">
        <v>1</v>
      </c>
      <c r="N302" s="1304" t="s">
        <v>1767</v>
      </c>
      <c r="O302" s="1295"/>
      <c r="P302" s="1295"/>
      <c r="Q302" s="1295"/>
      <c r="R302" s="1431"/>
      <c r="S302" s="1431"/>
      <c r="T302" s="1431"/>
      <c r="U302" s="1294"/>
      <c r="V302" s="1494"/>
      <c r="W302" s="1294"/>
      <c r="X302" s="1494"/>
      <c r="Y302" s="1294"/>
      <c r="Z302" s="1494"/>
      <c r="AA302" s="1175"/>
      <c r="AB302" s="1176" t="s">
        <v>1767</v>
      </c>
      <c r="AC302" s="1261"/>
      <c r="AD302" s="1261"/>
      <c r="AE302" s="1532"/>
      <c r="AF302" s="1532"/>
      <c r="AG302" s="1260">
        <v>1</v>
      </c>
      <c r="AH302" s="1304" t="s">
        <v>1767</v>
      </c>
      <c r="AI302" s="1222"/>
      <c r="AJ302" s="1222"/>
      <c r="AK302" s="1222"/>
      <c r="AL302" s="1505"/>
      <c r="AM302" s="1505"/>
      <c r="AN302" s="1505"/>
      <c r="AO302" s="1175">
        <v>1</v>
      </c>
      <c r="AP302" s="1176" t="s">
        <v>1766</v>
      </c>
      <c r="AQ302" s="1262"/>
      <c r="AR302" s="1262"/>
      <c r="AS302" s="1552"/>
      <c r="AT302" s="1599"/>
      <c r="AU302" s="1561">
        <f t="shared" ref="AU302:AU303" si="265">R302+V302+Z302+AE302+AL302+AS302</f>
        <v>0</v>
      </c>
      <c r="AV302" s="1447">
        <f t="shared" ref="AV302:AV303" si="266">S302+AF302+AM302+AT302</f>
        <v>0</v>
      </c>
      <c r="AW302" s="1447">
        <f t="shared" ref="AW302:AW303" si="267">D302+H302+L302+T302+X302+AN302</f>
        <v>0</v>
      </c>
      <c r="AX302" s="1463">
        <f t="shared" si="221"/>
        <v>0</v>
      </c>
      <c r="AY302" s="1393">
        <f>SUM(O302+U302+Y302+AC302+AI302+AQ302)</f>
        <v>0</v>
      </c>
      <c r="AZ302" s="1247">
        <f>SUM(P302+AD302+AJ302+AR302)</f>
        <v>0</v>
      </c>
      <c r="BA302" s="1247">
        <f>SUM(C302+G302+K302+Q302+W302+AK302)</f>
        <v>0</v>
      </c>
      <c r="BB302" s="1385">
        <f t="shared" si="191"/>
        <v>0</v>
      </c>
    </row>
    <row r="303" spans="1:54" ht="16.2" thickBot="1" x14ac:dyDescent="0.35">
      <c r="A303" s="1305">
        <v>2</v>
      </c>
      <c r="B303" s="1306" t="s">
        <v>1768</v>
      </c>
      <c r="C303" s="1339">
        <v>16608</v>
      </c>
      <c r="D303" s="1506">
        <f>16511-5208</f>
        <v>11303</v>
      </c>
      <c r="E303" s="1263">
        <v>2</v>
      </c>
      <c r="F303" s="1306" t="s">
        <v>1768</v>
      </c>
      <c r="G303" s="1339">
        <v>5211</v>
      </c>
      <c r="H303" s="1506">
        <v>4489</v>
      </c>
      <c r="I303" s="1263">
        <v>2</v>
      </c>
      <c r="J303" s="1306" t="s">
        <v>1768</v>
      </c>
      <c r="K303" s="1339">
        <v>4232</v>
      </c>
      <c r="L303" s="1506">
        <f>4140-300</f>
        <v>3840</v>
      </c>
      <c r="M303" s="1263">
        <v>2</v>
      </c>
      <c r="N303" s="1306" t="s">
        <v>1768</v>
      </c>
      <c r="O303" s="1307">
        <v>268511</v>
      </c>
      <c r="P303" s="1307">
        <v>9991</v>
      </c>
      <c r="Q303" s="1308">
        <v>1500</v>
      </c>
      <c r="R303" s="1442">
        <f>267636-32800-12200+100+3253+800</f>
        <v>226789</v>
      </c>
      <c r="S303" s="1442">
        <f>9823+2000</f>
        <v>11823</v>
      </c>
      <c r="T303" s="1442">
        <v>1500</v>
      </c>
      <c r="U303" s="1339">
        <f>46745+351</f>
        <v>47096</v>
      </c>
      <c r="V303" s="1506">
        <v>41026</v>
      </c>
      <c r="W303" s="1339">
        <v>500</v>
      </c>
      <c r="X303" s="1506">
        <v>500</v>
      </c>
      <c r="Y303" s="1339">
        <v>14410</v>
      </c>
      <c r="Z303" s="1506">
        <v>14264</v>
      </c>
      <c r="AA303" s="1287">
        <v>1</v>
      </c>
      <c r="AB303" s="1115" t="s">
        <v>1768</v>
      </c>
      <c r="AC303" s="1297">
        <f>66977-10000</f>
        <v>56977</v>
      </c>
      <c r="AD303" s="1297">
        <v>22782</v>
      </c>
      <c r="AE303" s="1538">
        <f>13645-800-1020+5000</f>
        <v>16825</v>
      </c>
      <c r="AF303" s="1538">
        <f>23293-3000</f>
        <v>20293</v>
      </c>
      <c r="AG303" s="1263">
        <v>2</v>
      </c>
      <c r="AH303" s="1306" t="s">
        <v>2029</v>
      </c>
      <c r="AI303" s="1339">
        <f>1152084-19903</f>
        <v>1132181</v>
      </c>
      <c r="AJ303" s="1339">
        <f>48281-12200</f>
        <v>36081</v>
      </c>
      <c r="AK303" s="1339">
        <f>286608-9638</f>
        <v>276970</v>
      </c>
      <c r="AL303" s="1506">
        <f>1145988-756+33680+14416</f>
        <v>1193328</v>
      </c>
      <c r="AM303" s="1506">
        <f>33736-3959+4177</f>
        <v>33954</v>
      </c>
      <c r="AN303" s="1506">
        <f>283165-38555</f>
        <v>244610</v>
      </c>
      <c r="AO303" s="1287"/>
      <c r="AP303" s="1115"/>
      <c r="AQ303" s="1159">
        <f>506456-10975</f>
        <v>495481</v>
      </c>
      <c r="AR303" s="1075">
        <f>19372-16885</f>
        <v>2487</v>
      </c>
      <c r="AS303" s="1551">
        <f>475249-5787+3263</f>
        <v>472725</v>
      </c>
      <c r="AT303" s="1600">
        <f>28038+447</f>
        <v>28485</v>
      </c>
      <c r="AU303" s="1561">
        <f t="shared" si="265"/>
        <v>1964957</v>
      </c>
      <c r="AV303" s="1447">
        <f t="shared" si="266"/>
        <v>94555</v>
      </c>
      <c r="AW303" s="1447">
        <f t="shared" si="267"/>
        <v>266242</v>
      </c>
      <c r="AX303" s="1464">
        <f t="shared" si="221"/>
        <v>2325754</v>
      </c>
      <c r="AY303" s="1393">
        <f>SUM(O303+U303+Y303+AC303+AI303+AQ303)</f>
        <v>2014656</v>
      </c>
      <c r="AZ303" s="1247">
        <f>SUM(P303+AD303+AJ303+AR303)</f>
        <v>71341</v>
      </c>
      <c r="BA303" s="1247">
        <f>SUM(C303+G303+K303+Q303+W303+AK303)</f>
        <v>305021</v>
      </c>
      <c r="BB303" s="1385">
        <f t="shared" si="191"/>
        <v>2391018</v>
      </c>
    </row>
    <row r="304" spans="1:54" s="1371" customFormat="1" ht="16.2" thickBot="1" x14ac:dyDescent="0.35">
      <c r="A304" s="2297"/>
      <c r="B304" s="1288" t="s">
        <v>1769</v>
      </c>
      <c r="C304" s="1257">
        <f>SUM(C301:C303)</f>
        <v>16608</v>
      </c>
      <c r="D304" s="1433">
        <f>SUM(D301:D303)</f>
        <v>11303</v>
      </c>
      <c r="E304" s="2296"/>
      <c r="F304" s="1288" t="s">
        <v>1769</v>
      </c>
      <c r="G304" s="1257">
        <f>SUM(G301:G303)</f>
        <v>5211</v>
      </c>
      <c r="H304" s="1433">
        <f>SUM(H301:H303)</f>
        <v>4489</v>
      </c>
      <c r="I304" s="2296"/>
      <c r="J304" s="1288" t="s">
        <v>1769</v>
      </c>
      <c r="K304" s="1257">
        <f>SUM(K301:K303)</f>
        <v>4232</v>
      </c>
      <c r="L304" s="1433">
        <f>SUM(L301:L303)</f>
        <v>3840</v>
      </c>
      <c r="M304" s="2296"/>
      <c r="N304" s="1288" t="s">
        <v>1769</v>
      </c>
      <c r="O304" s="1256">
        <f t="shared" ref="O304:Z304" si="268">SUM(O301:O303)</f>
        <v>268511</v>
      </c>
      <c r="P304" s="1256">
        <f t="shared" si="268"/>
        <v>9991</v>
      </c>
      <c r="Q304" s="1256">
        <f t="shared" si="268"/>
        <v>1500</v>
      </c>
      <c r="R304" s="1433">
        <f t="shared" si="268"/>
        <v>226789</v>
      </c>
      <c r="S304" s="1433">
        <f t="shared" si="268"/>
        <v>11823</v>
      </c>
      <c r="T304" s="1433">
        <f t="shared" si="268"/>
        <v>1500</v>
      </c>
      <c r="U304" s="1257">
        <f t="shared" si="268"/>
        <v>47096</v>
      </c>
      <c r="V304" s="1433">
        <f t="shared" si="268"/>
        <v>41026</v>
      </c>
      <c r="W304" s="1257">
        <f t="shared" si="268"/>
        <v>500</v>
      </c>
      <c r="X304" s="1433">
        <f t="shared" si="268"/>
        <v>500</v>
      </c>
      <c r="Y304" s="1257">
        <f t="shared" si="268"/>
        <v>14410</v>
      </c>
      <c r="Z304" s="1433">
        <f t="shared" si="268"/>
        <v>14264</v>
      </c>
      <c r="AA304" s="2296"/>
      <c r="AB304" s="1288" t="s">
        <v>1769</v>
      </c>
      <c r="AC304" s="1256">
        <f t="shared" ref="AC304:AF304" si="269">SUM(AC301:AC303)</f>
        <v>56977</v>
      </c>
      <c r="AD304" s="1256">
        <f t="shared" si="269"/>
        <v>22782</v>
      </c>
      <c r="AE304" s="1433">
        <f t="shared" si="269"/>
        <v>16825</v>
      </c>
      <c r="AF304" s="1433">
        <f t="shared" si="269"/>
        <v>20293</v>
      </c>
      <c r="AG304" s="2296"/>
      <c r="AH304" s="1288" t="s">
        <v>1769</v>
      </c>
      <c r="AI304" s="1257">
        <f t="shared" ref="AI304:AN304" si="270">SUM(AI301:AI303)</f>
        <v>1132181</v>
      </c>
      <c r="AJ304" s="1257">
        <f t="shared" si="270"/>
        <v>36081</v>
      </c>
      <c r="AK304" s="1257">
        <f t="shared" si="270"/>
        <v>276970</v>
      </c>
      <c r="AL304" s="1433">
        <f t="shared" si="270"/>
        <v>1193328</v>
      </c>
      <c r="AM304" s="1433">
        <f t="shared" si="270"/>
        <v>33954</v>
      </c>
      <c r="AN304" s="1433">
        <f t="shared" si="270"/>
        <v>244610</v>
      </c>
      <c r="AO304" s="2296"/>
      <c r="AP304" s="1288" t="s">
        <v>1769</v>
      </c>
      <c r="AQ304" s="1257">
        <f t="shared" ref="AQ304:BB304" si="271">SUM(AQ301:AQ303)</f>
        <v>495481</v>
      </c>
      <c r="AR304" s="1257">
        <f t="shared" si="271"/>
        <v>2487</v>
      </c>
      <c r="AS304" s="1433">
        <f t="shared" si="271"/>
        <v>472725</v>
      </c>
      <c r="AT304" s="1601">
        <f t="shared" si="271"/>
        <v>28485</v>
      </c>
      <c r="AU304" s="1562">
        <f t="shared" si="271"/>
        <v>1964957</v>
      </c>
      <c r="AV304" s="1456">
        <f t="shared" si="271"/>
        <v>94555</v>
      </c>
      <c r="AW304" s="1456">
        <f t="shared" si="271"/>
        <v>266242</v>
      </c>
      <c r="AX304" s="1448">
        <f t="shared" si="271"/>
        <v>2325754</v>
      </c>
      <c r="AY304" s="1398">
        <f t="shared" si="271"/>
        <v>2014656</v>
      </c>
      <c r="AZ304" s="1257">
        <f t="shared" si="271"/>
        <v>71341</v>
      </c>
      <c r="BA304" s="1257">
        <f t="shared" si="271"/>
        <v>305021</v>
      </c>
      <c r="BB304" s="1400">
        <f t="shared" si="271"/>
        <v>2391018</v>
      </c>
    </row>
    <row r="305" spans="1:54" s="1371" customFormat="1" ht="15.6" x14ac:dyDescent="0.3">
      <c r="A305" s="1044"/>
      <c r="B305" s="1286" t="s">
        <v>1770</v>
      </c>
      <c r="C305" s="1067"/>
      <c r="D305" s="1493"/>
      <c r="E305" s="1213"/>
      <c r="F305" s="1286" t="s">
        <v>1770</v>
      </c>
      <c r="G305" s="1067"/>
      <c r="H305" s="1493"/>
      <c r="I305" s="1213"/>
      <c r="J305" s="1286" t="s">
        <v>1770</v>
      </c>
      <c r="K305" s="1067"/>
      <c r="L305" s="1493"/>
      <c r="M305" s="1213"/>
      <c r="N305" s="1286" t="s">
        <v>1770</v>
      </c>
      <c r="O305" s="1259"/>
      <c r="P305" s="1259"/>
      <c r="Q305" s="1214"/>
      <c r="R305" s="1422"/>
      <c r="S305" s="1422"/>
      <c r="T305" s="1422"/>
      <c r="U305" s="1067"/>
      <c r="V305" s="1493"/>
      <c r="W305" s="1067"/>
      <c r="X305" s="1493"/>
      <c r="Y305" s="1067"/>
      <c r="Z305" s="1493"/>
      <c r="AA305" s="1213"/>
      <c r="AB305" s="1286" t="s">
        <v>1770</v>
      </c>
      <c r="AC305" s="1214"/>
      <c r="AD305" s="1214"/>
      <c r="AE305" s="1422"/>
      <c r="AF305" s="1422"/>
      <c r="AG305" s="1213"/>
      <c r="AH305" s="1286" t="s">
        <v>1770</v>
      </c>
      <c r="AI305" s="1215"/>
      <c r="AJ305" s="1215"/>
      <c r="AK305" s="1215"/>
      <c r="AL305" s="1486"/>
      <c r="AM305" s="1486"/>
      <c r="AN305" s="1486"/>
      <c r="AO305" s="1213"/>
      <c r="AP305" s="1286" t="s">
        <v>1770</v>
      </c>
      <c r="AQ305" s="1067"/>
      <c r="AR305" s="1215"/>
      <c r="AS305" s="1486"/>
      <c r="AT305" s="1584"/>
      <c r="AU305" s="1563"/>
      <c r="AV305" s="1453"/>
      <c r="AW305" s="1459"/>
      <c r="AX305" s="1454">
        <f t="shared" si="221"/>
        <v>0</v>
      </c>
      <c r="AY305" s="1396">
        <f>SUM(O305+U305+Y305+AC305+AI305+AQ305)</f>
        <v>0</v>
      </c>
      <c r="AZ305" s="1219">
        <f>SUM(P305+AD305+AJ305+AR305)</f>
        <v>0</v>
      </c>
      <c r="BA305" s="1219">
        <f>SUM(C305+G305+K305+Q305+W305+AK305)</f>
        <v>0</v>
      </c>
      <c r="BB305" s="1386">
        <f t="shared" si="191"/>
        <v>0</v>
      </c>
    </row>
    <row r="306" spans="1:54" ht="15.6" x14ac:dyDescent="0.3">
      <c r="A306" s="1303">
        <v>1</v>
      </c>
      <c r="B306" s="1260"/>
      <c r="C306" s="1294"/>
      <c r="D306" s="1494"/>
      <c r="E306" s="1260">
        <v>1</v>
      </c>
      <c r="F306" s="1260"/>
      <c r="G306" s="1294"/>
      <c r="H306" s="1494"/>
      <c r="I306" s="1260">
        <v>1</v>
      </c>
      <c r="J306" s="1260"/>
      <c r="K306" s="1294"/>
      <c r="L306" s="1494"/>
      <c r="M306" s="1260">
        <v>1</v>
      </c>
      <c r="N306" s="1260"/>
      <c r="O306" s="1295"/>
      <c r="P306" s="1295"/>
      <c r="Q306" s="1295"/>
      <c r="R306" s="1431"/>
      <c r="S306" s="1431"/>
      <c r="T306" s="1431"/>
      <c r="U306" s="1294"/>
      <c r="V306" s="1494"/>
      <c r="W306" s="1294"/>
      <c r="X306" s="1494"/>
      <c r="Y306" s="1294"/>
      <c r="Z306" s="1494"/>
      <c r="AA306" s="1175">
        <v>1</v>
      </c>
      <c r="AB306" s="1175"/>
      <c r="AC306" s="1261"/>
      <c r="AD306" s="1261"/>
      <c r="AE306" s="1532"/>
      <c r="AF306" s="1532"/>
      <c r="AG306" s="1260">
        <v>1</v>
      </c>
      <c r="AH306" s="1260"/>
      <c r="AI306" s="1294"/>
      <c r="AJ306" s="1294"/>
      <c r="AK306" s="1294"/>
      <c r="AL306" s="1494"/>
      <c r="AM306" s="1494"/>
      <c r="AN306" s="1494"/>
      <c r="AO306" s="1175">
        <v>1</v>
      </c>
      <c r="AP306" s="1175"/>
      <c r="AQ306" s="1262"/>
      <c r="AR306" s="1262"/>
      <c r="AS306" s="1552"/>
      <c r="AT306" s="1599"/>
      <c r="AU306" s="1561">
        <f t="shared" ref="AU306:AU307" si="272">R306+V306+Z306+AE306+AL306+AS306</f>
        <v>0</v>
      </c>
      <c r="AV306" s="1447">
        <f t="shared" ref="AV306:AV307" si="273">S306+AF306+AM306+AT306</f>
        <v>0</v>
      </c>
      <c r="AW306" s="1447">
        <f t="shared" ref="AW306:AW307" si="274">D306+H306+L306+T306+X306+AN306</f>
        <v>0</v>
      </c>
      <c r="AX306" s="1463">
        <f t="shared" si="221"/>
        <v>0</v>
      </c>
      <c r="AY306" s="1393">
        <f>SUM(O306+U306+Y306+AC306+AI306+AQ306)</f>
        <v>0</v>
      </c>
      <c r="AZ306" s="1247">
        <f>SUM(P306+AD306+AJ306+AR306)</f>
        <v>0</v>
      </c>
      <c r="BA306" s="1247">
        <f>SUM(C306+G306+K306+Q306+W306+AK306)</f>
        <v>0</v>
      </c>
      <c r="BB306" s="1385">
        <f t="shared" si="191"/>
        <v>0</v>
      </c>
    </row>
    <row r="307" spans="1:54" ht="16.2" thickBot="1" x14ac:dyDescent="0.35">
      <c r="A307" s="1305">
        <v>2</v>
      </c>
      <c r="B307" s="1263"/>
      <c r="C307" s="1333"/>
      <c r="D307" s="1441"/>
      <c r="E307" s="1263">
        <v>2</v>
      </c>
      <c r="F307" s="1263"/>
      <c r="G307" s="1333"/>
      <c r="H307" s="1441"/>
      <c r="I307" s="1263">
        <v>2</v>
      </c>
      <c r="J307" s="1263"/>
      <c r="K307" s="1333"/>
      <c r="L307" s="1441"/>
      <c r="M307" s="1263">
        <v>2</v>
      </c>
      <c r="N307" s="1263"/>
      <c r="O307" s="1355"/>
      <c r="P307" s="1355"/>
      <c r="Q307" s="1355"/>
      <c r="R307" s="1432"/>
      <c r="S307" s="1432"/>
      <c r="T307" s="1432"/>
      <c r="U307" s="1333"/>
      <c r="V307" s="1441"/>
      <c r="W307" s="1333"/>
      <c r="X307" s="1441"/>
      <c r="Y307" s="1333"/>
      <c r="Z307" s="1441"/>
      <c r="AA307" s="1287">
        <v>2</v>
      </c>
      <c r="AB307" s="1287"/>
      <c r="AC307" s="1264"/>
      <c r="AD307" s="1264"/>
      <c r="AE307" s="1533"/>
      <c r="AF307" s="1533"/>
      <c r="AG307" s="1263">
        <v>2</v>
      </c>
      <c r="AH307" s="1263"/>
      <c r="AI307" s="1333"/>
      <c r="AJ307" s="1333"/>
      <c r="AK307" s="1333"/>
      <c r="AL307" s="1441"/>
      <c r="AM307" s="1441"/>
      <c r="AN307" s="1441"/>
      <c r="AO307" s="1287">
        <v>2</v>
      </c>
      <c r="AP307" s="1287"/>
      <c r="AQ307" s="1075"/>
      <c r="AR307" s="1075"/>
      <c r="AS307" s="1444"/>
      <c r="AT307" s="1600"/>
      <c r="AU307" s="1561">
        <f t="shared" si="272"/>
        <v>0</v>
      </c>
      <c r="AV307" s="1447">
        <f t="shared" si="273"/>
        <v>0</v>
      </c>
      <c r="AW307" s="1447">
        <f t="shared" si="274"/>
        <v>0</v>
      </c>
      <c r="AX307" s="1464">
        <f t="shared" si="221"/>
        <v>0</v>
      </c>
      <c r="AY307" s="1393">
        <f>SUM(O307+U307+Y307+AC307+AI307+AQ307)</f>
        <v>0</v>
      </c>
      <c r="AZ307" s="1247">
        <f>SUM(P307+AD307+AJ307+AR307)</f>
        <v>0</v>
      </c>
      <c r="BA307" s="1247">
        <f>SUM(C307+G307+K307+Q307+W307+AK307)</f>
        <v>0</v>
      </c>
      <c r="BB307" s="1385">
        <f t="shared" si="191"/>
        <v>0</v>
      </c>
    </row>
    <row r="308" spans="1:54" s="1371" customFormat="1" ht="16.2" thickBot="1" x14ac:dyDescent="0.35">
      <c r="A308" s="2297"/>
      <c r="B308" s="1288" t="s">
        <v>1773</v>
      </c>
      <c r="C308" s="1257">
        <f>SUM(C305:C307)</f>
        <v>0</v>
      </c>
      <c r="D308" s="1433">
        <f>SUM(D305:D307)</f>
        <v>0</v>
      </c>
      <c r="E308" s="2296"/>
      <c r="F308" s="1288" t="s">
        <v>1773</v>
      </c>
      <c r="G308" s="1257">
        <f>SUM(G305:G307)</f>
        <v>0</v>
      </c>
      <c r="H308" s="1433">
        <f>SUM(H305:H307)</f>
        <v>0</v>
      </c>
      <c r="I308" s="2296"/>
      <c r="J308" s="1288" t="s">
        <v>1773</v>
      </c>
      <c r="K308" s="1257">
        <f>SUM(K305:K307)</f>
        <v>0</v>
      </c>
      <c r="L308" s="1433">
        <f>SUM(L305:L307)</f>
        <v>0</v>
      </c>
      <c r="M308" s="2296"/>
      <c r="N308" s="1288" t="s">
        <v>1773</v>
      </c>
      <c r="O308" s="1256">
        <f t="shared" ref="O308:Z308" si="275">SUM(O305:O307)</f>
        <v>0</v>
      </c>
      <c r="P308" s="1256">
        <f t="shared" si="275"/>
        <v>0</v>
      </c>
      <c r="Q308" s="1256">
        <f t="shared" si="275"/>
        <v>0</v>
      </c>
      <c r="R308" s="1433">
        <f t="shared" si="275"/>
        <v>0</v>
      </c>
      <c r="S308" s="1433">
        <f t="shared" si="275"/>
        <v>0</v>
      </c>
      <c r="T308" s="1433">
        <f t="shared" si="275"/>
        <v>0</v>
      </c>
      <c r="U308" s="1257">
        <f t="shared" si="275"/>
        <v>0</v>
      </c>
      <c r="V308" s="1433">
        <f t="shared" si="275"/>
        <v>0</v>
      </c>
      <c r="W308" s="1257">
        <f t="shared" si="275"/>
        <v>0</v>
      </c>
      <c r="X308" s="1433">
        <f t="shared" si="275"/>
        <v>0</v>
      </c>
      <c r="Y308" s="1257">
        <f t="shared" si="275"/>
        <v>0</v>
      </c>
      <c r="Z308" s="1433">
        <f t="shared" si="275"/>
        <v>0</v>
      </c>
      <c r="AA308" s="2296"/>
      <c r="AB308" s="1288" t="s">
        <v>1773</v>
      </c>
      <c r="AC308" s="1256">
        <f t="shared" ref="AC308:AF308" si="276">SUM(AC305:AC307)</f>
        <v>0</v>
      </c>
      <c r="AD308" s="1256">
        <f t="shared" si="276"/>
        <v>0</v>
      </c>
      <c r="AE308" s="1433">
        <f t="shared" si="276"/>
        <v>0</v>
      </c>
      <c r="AF308" s="1433">
        <f t="shared" si="276"/>
        <v>0</v>
      </c>
      <c r="AG308" s="2296"/>
      <c r="AH308" s="1288" t="s">
        <v>1773</v>
      </c>
      <c r="AI308" s="1257">
        <f t="shared" ref="AI308:AN308" si="277">SUM(AI305:AI307)</f>
        <v>0</v>
      </c>
      <c r="AJ308" s="1257">
        <f t="shared" si="277"/>
        <v>0</v>
      </c>
      <c r="AK308" s="1257">
        <f t="shared" si="277"/>
        <v>0</v>
      </c>
      <c r="AL308" s="1433">
        <f t="shared" si="277"/>
        <v>0</v>
      </c>
      <c r="AM308" s="1433">
        <f t="shared" si="277"/>
        <v>0</v>
      </c>
      <c r="AN308" s="1433">
        <f t="shared" si="277"/>
        <v>0</v>
      </c>
      <c r="AO308" s="2296"/>
      <c r="AP308" s="1288" t="s">
        <v>1773</v>
      </c>
      <c r="AQ308" s="1257">
        <f>SUM(AQ305:AQ307)</f>
        <v>0</v>
      </c>
      <c r="AR308" s="1257">
        <f>SUM(AR305:AR307)</f>
        <v>0</v>
      </c>
      <c r="AS308" s="1433">
        <f t="shared" ref="AS308:BB308" si="278">SUM(AS305:AS307)</f>
        <v>0</v>
      </c>
      <c r="AT308" s="1601">
        <f t="shared" si="278"/>
        <v>0</v>
      </c>
      <c r="AU308" s="1562">
        <f t="shared" si="278"/>
        <v>0</v>
      </c>
      <c r="AV308" s="1456">
        <f t="shared" si="278"/>
        <v>0</v>
      </c>
      <c r="AW308" s="1456">
        <f t="shared" si="278"/>
        <v>0</v>
      </c>
      <c r="AX308" s="1448">
        <f t="shared" si="278"/>
        <v>0</v>
      </c>
      <c r="AY308" s="1398">
        <f t="shared" si="278"/>
        <v>0</v>
      </c>
      <c r="AZ308" s="1257">
        <f t="shared" si="278"/>
        <v>0</v>
      </c>
      <c r="BA308" s="1257">
        <f t="shared" si="278"/>
        <v>0</v>
      </c>
      <c r="BB308" s="1400">
        <f t="shared" si="278"/>
        <v>0</v>
      </c>
    </row>
    <row r="309" spans="1:54" s="1371" customFormat="1" ht="27" x14ac:dyDescent="0.3">
      <c r="A309" s="1044"/>
      <c r="B309" s="1286" t="s">
        <v>1774</v>
      </c>
      <c r="C309" s="1067"/>
      <c r="D309" s="1493"/>
      <c r="E309" s="1213"/>
      <c r="F309" s="1286" t="s">
        <v>1774</v>
      </c>
      <c r="G309" s="1067"/>
      <c r="H309" s="1493"/>
      <c r="I309" s="1213"/>
      <c r="J309" s="1286" t="s">
        <v>1774</v>
      </c>
      <c r="K309" s="1067"/>
      <c r="L309" s="1493"/>
      <c r="M309" s="1213"/>
      <c r="N309" s="1286" t="s">
        <v>1774</v>
      </c>
      <c r="O309" s="1259"/>
      <c r="P309" s="1259"/>
      <c r="Q309" s="1259"/>
      <c r="R309" s="1430"/>
      <c r="S309" s="1430"/>
      <c r="T309" s="1430"/>
      <c r="U309" s="1067"/>
      <c r="V309" s="1493"/>
      <c r="W309" s="1067"/>
      <c r="X309" s="1493"/>
      <c r="Y309" s="1067"/>
      <c r="Z309" s="1493"/>
      <c r="AA309" s="1213"/>
      <c r="AB309" s="1286" t="s">
        <v>1774</v>
      </c>
      <c r="AC309" s="1259"/>
      <c r="AD309" s="1259"/>
      <c r="AE309" s="1430"/>
      <c r="AF309" s="1430"/>
      <c r="AG309" s="1213"/>
      <c r="AH309" s="1286" t="s">
        <v>1774</v>
      </c>
      <c r="AI309" s="1067"/>
      <c r="AJ309" s="1067"/>
      <c r="AK309" s="1067"/>
      <c r="AL309" s="1493"/>
      <c r="AM309" s="1493"/>
      <c r="AN309" s="1493"/>
      <c r="AO309" s="1213"/>
      <c r="AP309" s="1286" t="s">
        <v>1774</v>
      </c>
      <c r="AQ309" s="1067"/>
      <c r="AR309" s="1067"/>
      <c r="AS309" s="1493"/>
      <c r="AT309" s="1595"/>
      <c r="AU309" s="1563"/>
      <c r="AV309" s="1453"/>
      <c r="AW309" s="1459"/>
      <c r="AX309" s="1454">
        <f t="shared" si="221"/>
        <v>0</v>
      </c>
      <c r="AY309" s="1396">
        <f>SUM(O309+U309+Y309+AC309+AI309+AQ309)</f>
        <v>0</v>
      </c>
      <c r="AZ309" s="1219">
        <f>SUM(P309+AD309+AJ309+AR309)</f>
        <v>0</v>
      </c>
      <c r="BA309" s="1219">
        <f>SUM(C309+G309+K309+Q309+W309+AK309)</f>
        <v>0</v>
      </c>
      <c r="BB309" s="1386">
        <f t="shared" si="191"/>
        <v>0</v>
      </c>
    </row>
    <row r="310" spans="1:54" ht="15.6" x14ac:dyDescent="0.3">
      <c r="A310" s="1303">
        <v>1</v>
      </c>
      <c r="B310" s="1260"/>
      <c r="C310" s="1294"/>
      <c r="D310" s="1494"/>
      <c r="E310" s="1260">
        <v>1</v>
      </c>
      <c r="F310" s="1260"/>
      <c r="G310" s="1294"/>
      <c r="H310" s="1494"/>
      <c r="I310" s="1260">
        <v>1</v>
      </c>
      <c r="J310" s="1260"/>
      <c r="K310" s="1294"/>
      <c r="L310" s="1494"/>
      <c r="M310" s="1260">
        <v>1</v>
      </c>
      <c r="N310" s="1260"/>
      <c r="O310" s="1295"/>
      <c r="P310" s="1295"/>
      <c r="Q310" s="1295"/>
      <c r="R310" s="1431"/>
      <c r="S310" s="1431"/>
      <c r="T310" s="1431"/>
      <c r="U310" s="1294"/>
      <c r="V310" s="1494"/>
      <c r="W310" s="1294"/>
      <c r="X310" s="1494"/>
      <c r="Y310" s="1294"/>
      <c r="Z310" s="1494"/>
      <c r="AA310" s="1175">
        <v>1</v>
      </c>
      <c r="AB310" s="1175"/>
      <c r="AC310" s="1261"/>
      <c r="AD310" s="1261"/>
      <c r="AE310" s="1532"/>
      <c r="AF310" s="1532"/>
      <c r="AG310" s="1260">
        <v>1</v>
      </c>
      <c r="AH310" s="1260"/>
      <c r="AI310" s="1294"/>
      <c r="AJ310" s="1294"/>
      <c r="AK310" s="1294"/>
      <c r="AL310" s="1494"/>
      <c r="AM310" s="1494"/>
      <c r="AN310" s="1494"/>
      <c r="AO310" s="1175">
        <v>1</v>
      </c>
      <c r="AP310" s="1175"/>
      <c r="AQ310" s="1262"/>
      <c r="AR310" s="1262"/>
      <c r="AS310" s="1552"/>
      <c r="AT310" s="1599"/>
      <c r="AU310" s="1561">
        <f t="shared" ref="AU310:AU311" si="279">R310+V310+Z310+AE310+AL310+AS310</f>
        <v>0</v>
      </c>
      <c r="AV310" s="1447">
        <f t="shared" ref="AV310:AV311" si="280">S310+AF310+AM310+AT310</f>
        <v>0</v>
      </c>
      <c r="AW310" s="1447">
        <f t="shared" ref="AW310:AW311" si="281">D310+H310+L310+T310+X310+AN310</f>
        <v>0</v>
      </c>
      <c r="AX310" s="1463">
        <f t="shared" si="221"/>
        <v>0</v>
      </c>
      <c r="AY310" s="1393">
        <f>SUM(O310+U310+Y310+AC310+AI310+AQ310)</f>
        <v>0</v>
      </c>
      <c r="AZ310" s="1247">
        <f>SUM(P310+AD310+AJ310+AR310)</f>
        <v>0</v>
      </c>
      <c r="BA310" s="1247">
        <f>SUM(C310+G310+K310+Q310+W310+AK310)</f>
        <v>0</v>
      </c>
      <c r="BB310" s="1385">
        <f t="shared" si="191"/>
        <v>0</v>
      </c>
    </row>
    <row r="311" spans="1:54" ht="15.6" x14ac:dyDescent="0.3">
      <c r="A311" s="1303">
        <v>2</v>
      </c>
      <c r="B311" s="1260"/>
      <c r="C311" s="1294"/>
      <c r="D311" s="1494"/>
      <c r="E311" s="1260">
        <v>2</v>
      </c>
      <c r="F311" s="1260"/>
      <c r="G311" s="1294"/>
      <c r="H311" s="1494"/>
      <c r="I311" s="1260">
        <v>2</v>
      </c>
      <c r="J311" s="1260"/>
      <c r="K311" s="1294"/>
      <c r="L311" s="1494"/>
      <c r="M311" s="1260">
        <v>2</v>
      </c>
      <c r="N311" s="1260"/>
      <c r="O311" s="1295"/>
      <c r="P311" s="1295"/>
      <c r="Q311" s="1295"/>
      <c r="R311" s="1431"/>
      <c r="S311" s="1431"/>
      <c r="T311" s="1431"/>
      <c r="U311" s="1294"/>
      <c r="V311" s="1494"/>
      <c r="W311" s="1294"/>
      <c r="X311" s="1494"/>
      <c r="Y311" s="1294"/>
      <c r="Z311" s="1494"/>
      <c r="AA311" s="1175">
        <v>2</v>
      </c>
      <c r="AB311" s="1175"/>
      <c r="AC311" s="1261"/>
      <c r="AD311" s="1261"/>
      <c r="AE311" s="1532"/>
      <c r="AF311" s="1532"/>
      <c r="AG311" s="1260">
        <v>2</v>
      </c>
      <c r="AH311" s="1260"/>
      <c r="AI311" s="1294"/>
      <c r="AJ311" s="1294"/>
      <c r="AK311" s="1294"/>
      <c r="AL311" s="1494"/>
      <c r="AM311" s="1494"/>
      <c r="AN311" s="1494"/>
      <c r="AO311" s="1175">
        <v>2</v>
      </c>
      <c r="AP311" s="1175"/>
      <c r="AQ311" s="1262"/>
      <c r="AR311" s="1262"/>
      <c r="AS311" s="1552"/>
      <c r="AT311" s="1599"/>
      <c r="AU311" s="1561">
        <f t="shared" si="279"/>
        <v>0</v>
      </c>
      <c r="AV311" s="1447">
        <f t="shared" si="280"/>
        <v>0</v>
      </c>
      <c r="AW311" s="1447">
        <f t="shared" si="281"/>
        <v>0</v>
      </c>
      <c r="AX311" s="1463">
        <f t="shared" si="221"/>
        <v>0</v>
      </c>
      <c r="AY311" s="1393">
        <f>SUM(O311+U311+Y311+AC311+AI311+AQ311)</f>
        <v>0</v>
      </c>
      <c r="AZ311" s="1247">
        <f>SUM(P311+AD311+AJ311+AR311)</f>
        <v>0</v>
      </c>
      <c r="BA311" s="1247">
        <f>SUM(C311+G311+K311+Q311+W311+AK311)</f>
        <v>0</v>
      </c>
      <c r="BB311" s="1385">
        <f t="shared" si="191"/>
        <v>0</v>
      </c>
    </row>
    <row r="312" spans="1:54" s="1371" customFormat="1" ht="16.2" thickBot="1" x14ac:dyDescent="0.35">
      <c r="A312" s="1129"/>
      <c r="B312" s="1289" t="s">
        <v>1776</v>
      </c>
      <c r="C312" s="1075">
        <f>SUM(C309:C311)</f>
        <v>0</v>
      </c>
      <c r="D312" s="1444">
        <f>SUM(D309:D311)</f>
        <v>0</v>
      </c>
      <c r="E312" s="1287"/>
      <c r="F312" s="1289" t="s">
        <v>1776</v>
      </c>
      <c r="G312" s="1075">
        <f>SUM(G309:G311)</f>
        <v>0</v>
      </c>
      <c r="H312" s="1444">
        <f>SUM(H309:H311)</f>
        <v>0</v>
      </c>
      <c r="I312" s="1287"/>
      <c r="J312" s="1289" t="s">
        <v>1776</v>
      </c>
      <c r="K312" s="1075">
        <f>SUM(K309:K311)</f>
        <v>0</v>
      </c>
      <c r="L312" s="1444">
        <f>SUM(L309:L311)</f>
        <v>0</v>
      </c>
      <c r="M312" s="1287"/>
      <c r="N312" s="1289" t="s">
        <v>1776</v>
      </c>
      <c r="O312" s="1264">
        <f t="shared" ref="O312:Z312" si="282">SUM(O309:O311)</f>
        <v>0</v>
      </c>
      <c r="P312" s="1264">
        <f t="shared" si="282"/>
        <v>0</v>
      </c>
      <c r="Q312" s="1264">
        <f t="shared" si="282"/>
        <v>0</v>
      </c>
      <c r="R312" s="1444">
        <f t="shared" si="282"/>
        <v>0</v>
      </c>
      <c r="S312" s="1444">
        <f t="shared" si="282"/>
        <v>0</v>
      </c>
      <c r="T312" s="1444">
        <f t="shared" si="282"/>
        <v>0</v>
      </c>
      <c r="U312" s="1075">
        <f t="shared" si="282"/>
        <v>0</v>
      </c>
      <c r="V312" s="1444">
        <f t="shared" si="282"/>
        <v>0</v>
      </c>
      <c r="W312" s="1075">
        <f t="shared" si="282"/>
        <v>0</v>
      </c>
      <c r="X312" s="1444">
        <f t="shared" si="282"/>
        <v>0</v>
      </c>
      <c r="Y312" s="1075">
        <f t="shared" si="282"/>
        <v>0</v>
      </c>
      <c r="Z312" s="1444">
        <f t="shared" si="282"/>
        <v>0</v>
      </c>
      <c r="AA312" s="1287"/>
      <c r="AB312" s="1289" t="s">
        <v>1776</v>
      </c>
      <c r="AC312" s="1264">
        <f t="shared" ref="AC312:AF312" si="283">SUM(AC309:AC311)</f>
        <v>0</v>
      </c>
      <c r="AD312" s="1264">
        <f t="shared" si="283"/>
        <v>0</v>
      </c>
      <c r="AE312" s="1444">
        <f t="shared" si="283"/>
        <v>0</v>
      </c>
      <c r="AF312" s="1444">
        <f t="shared" si="283"/>
        <v>0</v>
      </c>
      <c r="AG312" s="1287"/>
      <c r="AH312" s="1289" t="s">
        <v>1776</v>
      </c>
      <c r="AI312" s="1075">
        <f t="shared" ref="AI312:AN312" si="284">SUM(AI309:AI311)</f>
        <v>0</v>
      </c>
      <c r="AJ312" s="1075">
        <f t="shared" si="284"/>
        <v>0</v>
      </c>
      <c r="AK312" s="1075">
        <f t="shared" si="284"/>
        <v>0</v>
      </c>
      <c r="AL312" s="1444">
        <f t="shared" si="284"/>
        <v>0</v>
      </c>
      <c r="AM312" s="1444">
        <f t="shared" si="284"/>
        <v>0</v>
      </c>
      <c r="AN312" s="1444">
        <f t="shared" si="284"/>
        <v>0</v>
      </c>
      <c r="AO312" s="1287"/>
      <c r="AP312" s="1289" t="s">
        <v>1776</v>
      </c>
      <c r="AQ312" s="1075">
        <f>SUM(AQ309:AQ311)</f>
        <v>0</v>
      </c>
      <c r="AR312" s="1075">
        <f>SUM(AR309:AR311)</f>
        <v>0</v>
      </c>
      <c r="AS312" s="1444">
        <f t="shared" ref="AS312:BB312" si="285">SUM(AS309:AS311)</f>
        <v>0</v>
      </c>
      <c r="AT312" s="1600">
        <f t="shared" si="285"/>
        <v>0</v>
      </c>
      <c r="AU312" s="1576">
        <f t="shared" si="285"/>
        <v>0</v>
      </c>
      <c r="AV312" s="1475">
        <f t="shared" si="285"/>
        <v>0</v>
      </c>
      <c r="AW312" s="1475">
        <f t="shared" si="285"/>
        <v>0</v>
      </c>
      <c r="AX312" s="1476">
        <f t="shared" si="285"/>
        <v>0</v>
      </c>
      <c r="AY312" s="1074">
        <f t="shared" si="285"/>
        <v>0</v>
      </c>
      <c r="AZ312" s="1075">
        <f t="shared" si="285"/>
        <v>0</v>
      </c>
      <c r="BA312" s="1075">
        <f t="shared" si="285"/>
        <v>0</v>
      </c>
      <c r="BB312" s="1410">
        <f t="shared" si="285"/>
        <v>0</v>
      </c>
    </row>
    <row r="313" spans="1:54" s="1371" customFormat="1" ht="30" customHeight="1" thickBot="1" x14ac:dyDescent="0.35">
      <c r="A313" s="2506" t="s">
        <v>1777</v>
      </c>
      <c r="B313" s="2503"/>
      <c r="C313" s="1375">
        <f>C312+C308+C304</f>
        <v>16608</v>
      </c>
      <c r="D313" s="1429">
        <f>D312+D308+D304</f>
        <v>11303</v>
      </c>
      <c r="E313" s="2503" t="s">
        <v>1777</v>
      </c>
      <c r="F313" s="2503"/>
      <c r="G313" s="1257">
        <f t="shared" ref="G313" si="286">G312+G308+G304</f>
        <v>5211</v>
      </c>
      <c r="H313" s="1429">
        <f>H312+H308+H304</f>
        <v>4489</v>
      </c>
      <c r="I313" s="2503" t="s">
        <v>1777</v>
      </c>
      <c r="J313" s="2503"/>
      <c r="K313" s="1257">
        <f t="shared" ref="K313" si="287">K312+K308+K304</f>
        <v>4232</v>
      </c>
      <c r="L313" s="1429">
        <f>L312+L308+L304</f>
        <v>3840</v>
      </c>
      <c r="M313" s="2503" t="s">
        <v>1777</v>
      </c>
      <c r="N313" s="2503"/>
      <c r="O313" s="1256">
        <f t="shared" ref="O313:Y313" si="288">O312+O308+O304</f>
        <v>268511</v>
      </c>
      <c r="P313" s="1256">
        <f t="shared" si="288"/>
        <v>9991</v>
      </c>
      <c r="Q313" s="1256">
        <f t="shared" si="288"/>
        <v>1500</v>
      </c>
      <c r="R313" s="1429">
        <f t="shared" si="288"/>
        <v>226789</v>
      </c>
      <c r="S313" s="1429">
        <f t="shared" si="288"/>
        <v>11823</v>
      </c>
      <c r="T313" s="1429">
        <f t="shared" si="288"/>
        <v>1500</v>
      </c>
      <c r="U313" s="1257">
        <f t="shared" si="288"/>
        <v>47096</v>
      </c>
      <c r="V313" s="1429">
        <f>V312+V308+V304</f>
        <v>41026</v>
      </c>
      <c r="W313" s="1257">
        <f t="shared" si="288"/>
        <v>500</v>
      </c>
      <c r="X313" s="1429">
        <f>X312+X308+X304</f>
        <v>500</v>
      </c>
      <c r="Y313" s="1257">
        <f t="shared" si="288"/>
        <v>14410</v>
      </c>
      <c r="Z313" s="1429">
        <f>Z312+Z308+Z304</f>
        <v>14264</v>
      </c>
      <c r="AA313" s="2503" t="s">
        <v>1777</v>
      </c>
      <c r="AB313" s="2503"/>
      <c r="AC313" s="1256">
        <f t="shared" ref="AC313:AF313" si="289">AC312+AC308+AC304</f>
        <v>56977</v>
      </c>
      <c r="AD313" s="1256">
        <f t="shared" si="289"/>
        <v>22782</v>
      </c>
      <c r="AE313" s="1429">
        <f t="shared" si="289"/>
        <v>16825</v>
      </c>
      <c r="AF313" s="1429">
        <f t="shared" si="289"/>
        <v>20293</v>
      </c>
      <c r="AG313" s="2503" t="s">
        <v>1777</v>
      </c>
      <c r="AH313" s="2503"/>
      <c r="AI313" s="1257">
        <f t="shared" ref="AI313:AN313" si="290">AI312+AI308+AI304</f>
        <v>1132181</v>
      </c>
      <c r="AJ313" s="1257">
        <f t="shared" si="290"/>
        <v>36081</v>
      </c>
      <c r="AK313" s="1257">
        <f t="shared" si="290"/>
        <v>276970</v>
      </c>
      <c r="AL313" s="1429">
        <f t="shared" si="290"/>
        <v>1193328</v>
      </c>
      <c r="AM313" s="1429">
        <f t="shared" si="290"/>
        <v>33954</v>
      </c>
      <c r="AN313" s="1429">
        <f t="shared" si="290"/>
        <v>244610</v>
      </c>
      <c r="AO313" s="2503" t="s">
        <v>1777</v>
      </c>
      <c r="AP313" s="2503"/>
      <c r="AQ313" s="1257">
        <f t="shared" ref="AQ313:BB313" si="291">AQ312+AQ308+AQ304</f>
        <v>495481</v>
      </c>
      <c r="AR313" s="1257">
        <f t="shared" si="291"/>
        <v>2487</v>
      </c>
      <c r="AS313" s="1429">
        <f t="shared" si="291"/>
        <v>472725</v>
      </c>
      <c r="AT313" s="1594">
        <f t="shared" si="291"/>
        <v>28485</v>
      </c>
      <c r="AU313" s="1569">
        <f t="shared" si="291"/>
        <v>1964957</v>
      </c>
      <c r="AV313" s="1451">
        <f t="shared" si="291"/>
        <v>94555</v>
      </c>
      <c r="AW313" s="1451">
        <f t="shared" si="291"/>
        <v>266242</v>
      </c>
      <c r="AX313" s="1452">
        <f t="shared" si="291"/>
        <v>2325754</v>
      </c>
      <c r="AY313" s="1397">
        <f t="shared" si="291"/>
        <v>2014656</v>
      </c>
      <c r="AZ313" s="1375">
        <f t="shared" si="291"/>
        <v>71341</v>
      </c>
      <c r="BA313" s="1375">
        <f t="shared" si="291"/>
        <v>305021</v>
      </c>
      <c r="BB313" s="1389">
        <f t="shared" si="291"/>
        <v>2391018</v>
      </c>
    </row>
    <row r="314" spans="1:54" ht="40.200000000000003" x14ac:dyDescent="0.3">
      <c r="A314" s="1290"/>
      <c r="B314" s="1032" t="s">
        <v>1689</v>
      </c>
      <c r="C314" s="1340"/>
      <c r="D314" s="1507"/>
      <c r="E314" s="1291"/>
      <c r="F314" s="1032" t="s">
        <v>1689</v>
      </c>
      <c r="G314" s="1340"/>
      <c r="H314" s="1507"/>
      <c r="I314" s="1291"/>
      <c r="J314" s="1032" t="s">
        <v>1689</v>
      </c>
      <c r="K314" s="1340"/>
      <c r="L314" s="1507"/>
      <c r="M314" s="1291"/>
      <c r="N314" s="1032" t="s">
        <v>1689</v>
      </c>
      <c r="O314" s="1362"/>
      <c r="P314" s="1362"/>
      <c r="Q314" s="1362"/>
      <c r="R314" s="1524"/>
      <c r="S314" s="1524"/>
      <c r="T314" s="1524"/>
      <c r="U314" s="1340"/>
      <c r="V314" s="1507"/>
      <c r="W314" s="1340"/>
      <c r="X314" s="1507"/>
      <c r="Y314" s="1340"/>
      <c r="Z314" s="1507"/>
      <c r="AA314" s="1063"/>
      <c r="AB314" s="1032" t="s">
        <v>1689</v>
      </c>
      <c r="AC314" s="1309"/>
      <c r="AD314" s="1309"/>
      <c r="AE314" s="1540"/>
      <c r="AF314" s="1540"/>
      <c r="AG314" s="1291"/>
      <c r="AH314" s="1032" t="s">
        <v>1689</v>
      </c>
      <c r="AI314" s="1340"/>
      <c r="AJ314" s="1340"/>
      <c r="AK314" s="1340"/>
      <c r="AL314" s="1507"/>
      <c r="AM314" s="1507"/>
      <c r="AN314" s="1507"/>
      <c r="AO314" s="1063"/>
      <c r="AP314" s="1032" t="s">
        <v>1689</v>
      </c>
      <c r="AQ314" s="1310"/>
      <c r="AR314" s="1310"/>
      <c r="AS314" s="1556"/>
      <c r="AT314" s="1613"/>
      <c r="AU314" s="1577"/>
      <c r="AV314" s="1477"/>
      <c r="AW314" s="1449"/>
      <c r="AX314" s="1478">
        <f t="shared" si="221"/>
        <v>0</v>
      </c>
      <c r="AY314" s="1393">
        <f>SUM(O314+U314+Y314+AC314+AI314+AQ314)</f>
        <v>0</v>
      </c>
      <c r="AZ314" s="1247">
        <f>SUM(P314+AD314+AJ314+AR314)</f>
        <v>0</v>
      </c>
      <c r="BA314" s="1247">
        <f>SUM(C314+G314+K314+Q314+W314+AK314)</f>
        <v>0</v>
      </c>
      <c r="BB314" s="1385">
        <f t="shared" si="191"/>
        <v>0</v>
      </c>
    </row>
    <row r="315" spans="1:54" ht="15.6" x14ac:dyDescent="0.3">
      <c r="A315" s="1292">
        <v>1</v>
      </c>
      <c r="B315" s="1242"/>
      <c r="C315" s="1251"/>
      <c r="D315" s="1508"/>
      <c r="E315" s="1293">
        <v>1</v>
      </c>
      <c r="F315" s="1242"/>
      <c r="G315" s="1251"/>
      <c r="H315" s="1508"/>
      <c r="I315" s="1293">
        <v>1</v>
      </c>
      <c r="J315" s="1242"/>
      <c r="K315" s="1251"/>
      <c r="L315" s="1508"/>
      <c r="M315" s="1293">
        <v>1</v>
      </c>
      <c r="N315" s="1242"/>
      <c r="O315" s="1363"/>
      <c r="P315" s="1363"/>
      <c r="Q315" s="1363"/>
      <c r="R315" s="1525"/>
      <c r="S315" s="1525"/>
      <c r="T315" s="1525"/>
      <c r="U315" s="1251"/>
      <c r="V315" s="1508"/>
      <c r="W315" s="1251"/>
      <c r="X315" s="1508"/>
      <c r="Y315" s="1251"/>
      <c r="Z315" s="1508"/>
      <c r="AA315" s="1296">
        <v>1</v>
      </c>
      <c r="AB315" s="1187"/>
      <c r="AC315" s="1311"/>
      <c r="AD315" s="1311"/>
      <c r="AE315" s="1541"/>
      <c r="AF315" s="1541"/>
      <c r="AG315" s="1293">
        <v>1</v>
      </c>
      <c r="AH315" s="1242"/>
      <c r="AI315" s="1251"/>
      <c r="AJ315" s="1251"/>
      <c r="AK315" s="1251"/>
      <c r="AL315" s="1508"/>
      <c r="AM315" s="1508"/>
      <c r="AN315" s="1508"/>
      <c r="AO315" s="1296">
        <v>1</v>
      </c>
      <c r="AP315" s="1187"/>
      <c r="AQ315" s="1312"/>
      <c r="AR315" s="1312"/>
      <c r="AS315" s="1557"/>
      <c r="AT315" s="1614"/>
      <c r="AU315" s="1561">
        <f t="shared" ref="AU315:AU316" si="292">R315+V315+Z315+AE315+AL315+AS315</f>
        <v>0</v>
      </c>
      <c r="AV315" s="1447">
        <f t="shared" ref="AV315:AV316" si="293">S315+AF315+AM315+AT315</f>
        <v>0</v>
      </c>
      <c r="AW315" s="1447">
        <f t="shared" ref="AW315:AW316" si="294">D315+H315+L315+T315+X315+AN315</f>
        <v>0</v>
      </c>
      <c r="AX315" s="1479">
        <f t="shared" si="221"/>
        <v>0</v>
      </c>
      <c r="AY315" s="1393">
        <f>SUM(O315+U315+Y315+AC315+AI315+AQ315)</f>
        <v>0</v>
      </c>
      <c r="AZ315" s="1247">
        <f>SUM(P315+AD315+AJ315+AR315)</f>
        <v>0</v>
      </c>
      <c r="BA315" s="1247">
        <f>SUM(C315+G315+K315+Q315+W315+AK315)</f>
        <v>0</v>
      </c>
      <c r="BB315" s="1385">
        <f t="shared" si="191"/>
        <v>0</v>
      </c>
    </row>
    <row r="316" spans="1:54" ht="16.2" thickBot="1" x14ac:dyDescent="0.35">
      <c r="A316" s="1313">
        <v>2</v>
      </c>
      <c r="B316" s="1314"/>
      <c r="C316" s="1341"/>
      <c r="D316" s="1509"/>
      <c r="E316" s="1315">
        <v>2</v>
      </c>
      <c r="F316" s="1314"/>
      <c r="G316" s="1341"/>
      <c r="H316" s="1509"/>
      <c r="I316" s="1315">
        <v>2</v>
      </c>
      <c r="J316" s="1314"/>
      <c r="K316" s="1341"/>
      <c r="L316" s="1509"/>
      <c r="M316" s="1315">
        <v>2</v>
      </c>
      <c r="N316" s="1314"/>
      <c r="O316" s="1364"/>
      <c r="P316" s="1364"/>
      <c r="Q316" s="1364"/>
      <c r="R316" s="1526"/>
      <c r="S316" s="1526"/>
      <c r="T316" s="1526"/>
      <c r="U316" s="1341"/>
      <c r="V316" s="1509"/>
      <c r="W316" s="1341"/>
      <c r="X316" s="1509"/>
      <c r="Y316" s="1341"/>
      <c r="Z316" s="1509"/>
      <c r="AA316" s="1071">
        <v>2</v>
      </c>
      <c r="AB316" s="1316"/>
      <c r="AC316" s="1317"/>
      <c r="AD316" s="1317"/>
      <c r="AE316" s="1542"/>
      <c r="AF316" s="1542"/>
      <c r="AG316" s="1315">
        <v>2</v>
      </c>
      <c r="AH316" s="1314"/>
      <c r="AI316" s="1341"/>
      <c r="AJ316" s="1341"/>
      <c r="AK316" s="1341"/>
      <c r="AL316" s="1509"/>
      <c r="AM316" s="1509"/>
      <c r="AN316" s="1509"/>
      <c r="AO316" s="1071">
        <v>2</v>
      </c>
      <c r="AP316" s="1316"/>
      <c r="AQ316" s="1318"/>
      <c r="AR316" s="1318"/>
      <c r="AS316" s="1558"/>
      <c r="AT316" s="1615"/>
      <c r="AU316" s="1561">
        <f t="shared" si="292"/>
        <v>0</v>
      </c>
      <c r="AV316" s="1447">
        <f t="shared" si="293"/>
        <v>0</v>
      </c>
      <c r="AW316" s="1447">
        <f t="shared" si="294"/>
        <v>0</v>
      </c>
      <c r="AX316" s="1480">
        <f t="shared" si="221"/>
        <v>0</v>
      </c>
      <c r="AY316" s="1393">
        <f>SUM(O316+U316+Y316+AC316+AI316+AQ316)</f>
        <v>0</v>
      </c>
      <c r="AZ316" s="1247">
        <f>SUM(P316+AD316+AJ316+AR316)</f>
        <v>0</v>
      </c>
      <c r="BA316" s="1247">
        <f>SUM(C316+G316+K316+Q316+W316+AK316)</f>
        <v>0</v>
      </c>
      <c r="BB316" s="1385">
        <f t="shared" si="191"/>
        <v>0</v>
      </c>
    </row>
    <row r="317" spans="1:54" ht="40.799999999999997" thickBot="1" x14ac:dyDescent="0.35">
      <c r="A317" s="1319"/>
      <c r="B317" s="1266" t="s">
        <v>1694</v>
      </c>
      <c r="C317" s="1267">
        <f>SUM(C314:C316)</f>
        <v>0</v>
      </c>
      <c r="D317" s="1434">
        <f>SUM(D314:D316)</f>
        <v>0</v>
      </c>
      <c r="E317" s="1320"/>
      <c r="F317" s="1266" t="s">
        <v>1694</v>
      </c>
      <c r="G317" s="1267">
        <f>SUM(G314:G316)</f>
        <v>0</v>
      </c>
      <c r="H317" s="1434">
        <f>SUM(H314:H316)</f>
        <v>0</v>
      </c>
      <c r="I317" s="1320"/>
      <c r="J317" s="1266" t="s">
        <v>1694</v>
      </c>
      <c r="K317" s="1267">
        <f>SUM(K314:K316)</f>
        <v>0</v>
      </c>
      <c r="L317" s="1434">
        <f>SUM(L314:L316)</f>
        <v>0</v>
      </c>
      <c r="M317" s="1320"/>
      <c r="N317" s="1266" t="s">
        <v>1694</v>
      </c>
      <c r="O317" s="1353">
        <f t="shared" ref="O317:Z317" si="295">SUM(O314:O316)</f>
        <v>0</v>
      </c>
      <c r="P317" s="1353">
        <f t="shared" si="295"/>
        <v>0</v>
      </c>
      <c r="Q317" s="1353">
        <f t="shared" si="295"/>
        <v>0</v>
      </c>
      <c r="R317" s="1434">
        <f t="shared" si="295"/>
        <v>0</v>
      </c>
      <c r="S317" s="1434">
        <f t="shared" si="295"/>
        <v>0</v>
      </c>
      <c r="T317" s="1434">
        <f t="shared" si="295"/>
        <v>0</v>
      </c>
      <c r="U317" s="1267">
        <f t="shared" si="295"/>
        <v>0</v>
      </c>
      <c r="V317" s="1434">
        <f t="shared" si="295"/>
        <v>0</v>
      </c>
      <c r="W317" s="1267">
        <f t="shared" si="295"/>
        <v>0</v>
      </c>
      <c r="X317" s="1434">
        <f t="shared" si="295"/>
        <v>0</v>
      </c>
      <c r="Y317" s="1267">
        <f t="shared" si="295"/>
        <v>0</v>
      </c>
      <c r="Z317" s="1434">
        <f t="shared" si="295"/>
        <v>0</v>
      </c>
      <c r="AA317" s="1321"/>
      <c r="AB317" s="1266" t="s">
        <v>1694</v>
      </c>
      <c r="AC317" s="1256">
        <f t="shared" ref="AC317:AF317" si="296">SUM(AC314:AC316)</f>
        <v>0</v>
      </c>
      <c r="AD317" s="1256">
        <f t="shared" si="296"/>
        <v>0</v>
      </c>
      <c r="AE317" s="1434">
        <f t="shared" si="296"/>
        <v>0</v>
      </c>
      <c r="AF317" s="1434">
        <f t="shared" si="296"/>
        <v>0</v>
      </c>
      <c r="AG317" s="1320"/>
      <c r="AH317" s="1266" t="s">
        <v>1694</v>
      </c>
      <c r="AI317" s="1267">
        <f t="shared" ref="AI317:AN317" si="297">SUM(AI314:AI316)</f>
        <v>0</v>
      </c>
      <c r="AJ317" s="1267">
        <f t="shared" si="297"/>
        <v>0</v>
      </c>
      <c r="AK317" s="1267">
        <f t="shared" si="297"/>
        <v>0</v>
      </c>
      <c r="AL317" s="1434">
        <f t="shared" si="297"/>
        <v>0</v>
      </c>
      <c r="AM317" s="1434">
        <f t="shared" si="297"/>
        <v>0</v>
      </c>
      <c r="AN317" s="1434">
        <f t="shared" si="297"/>
        <v>0</v>
      </c>
      <c r="AO317" s="1321"/>
      <c r="AP317" s="1266" t="s">
        <v>1694</v>
      </c>
      <c r="AQ317" s="1257">
        <f>SUM(AQ314:AQ316)</f>
        <v>0</v>
      </c>
      <c r="AR317" s="1257">
        <f>SUM(AR314:AR316)</f>
        <v>0</v>
      </c>
      <c r="AS317" s="1434">
        <f t="shared" ref="AS317:BB317" si="298">SUM(AS314:AS316)</f>
        <v>0</v>
      </c>
      <c r="AT317" s="1598">
        <f t="shared" si="298"/>
        <v>0</v>
      </c>
      <c r="AU317" s="1572">
        <f t="shared" si="298"/>
        <v>0</v>
      </c>
      <c r="AV317" s="1457">
        <f t="shared" si="298"/>
        <v>0</v>
      </c>
      <c r="AW317" s="1457">
        <f t="shared" si="298"/>
        <v>0</v>
      </c>
      <c r="AX317" s="1458">
        <f t="shared" si="298"/>
        <v>0</v>
      </c>
      <c r="AY317" s="1405">
        <f t="shared" si="298"/>
        <v>0</v>
      </c>
      <c r="AZ317" s="1267">
        <f t="shared" si="298"/>
        <v>0</v>
      </c>
      <c r="BA317" s="1267">
        <f t="shared" si="298"/>
        <v>0</v>
      </c>
      <c r="BB317" s="1399">
        <f t="shared" si="298"/>
        <v>0</v>
      </c>
    </row>
    <row r="318" spans="1:54" s="1371" customFormat="1" ht="27" x14ac:dyDescent="0.3">
      <c r="A318" s="973"/>
      <c r="B318" s="974" t="s">
        <v>1778</v>
      </c>
      <c r="C318" s="1268"/>
      <c r="D318" s="1498"/>
      <c r="E318" s="974"/>
      <c r="F318" s="974" t="s">
        <v>1778</v>
      </c>
      <c r="G318" s="1268"/>
      <c r="H318" s="1498"/>
      <c r="I318" s="974"/>
      <c r="J318" s="974" t="s">
        <v>1778</v>
      </c>
      <c r="K318" s="1268"/>
      <c r="L318" s="1498"/>
      <c r="M318" s="974"/>
      <c r="N318" s="974" t="s">
        <v>1778</v>
      </c>
      <c r="O318" s="1282"/>
      <c r="P318" s="1282"/>
      <c r="Q318" s="1282"/>
      <c r="R318" s="1521"/>
      <c r="S318" s="1521"/>
      <c r="T318" s="1521"/>
      <c r="U318" s="1268"/>
      <c r="V318" s="1498"/>
      <c r="W318" s="1268"/>
      <c r="X318" s="1498"/>
      <c r="Y318" s="1268"/>
      <c r="Z318" s="1498"/>
      <c r="AA318" s="974"/>
      <c r="AB318" s="974" t="s">
        <v>1778</v>
      </c>
      <c r="AC318" s="1282"/>
      <c r="AD318" s="1282"/>
      <c r="AE318" s="1521"/>
      <c r="AF318" s="1521"/>
      <c r="AG318" s="974"/>
      <c r="AH318" s="974" t="s">
        <v>1778</v>
      </c>
      <c r="AI318" s="1268"/>
      <c r="AJ318" s="1268"/>
      <c r="AK318" s="1268"/>
      <c r="AL318" s="1498"/>
      <c r="AM318" s="1498"/>
      <c r="AN318" s="1498"/>
      <c r="AO318" s="974"/>
      <c r="AP318" s="974" t="s">
        <v>1778</v>
      </c>
      <c r="AQ318" s="1268"/>
      <c r="AR318" s="1268"/>
      <c r="AS318" s="1498"/>
      <c r="AT318" s="1602"/>
      <c r="AU318" s="1563"/>
      <c r="AV318" s="1453"/>
      <c r="AW318" s="1459"/>
      <c r="AX318" s="1454">
        <f t="shared" si="221"/>
        <v>0</v>
      </c>
      <c r="AY318" s="1396">
        <f>SUM(O318+U318+Y318+AC318+AI318+AQ318)</f>
        <v>0</v>
      </c>
      <c r="AZ318" s="1219">
        <f>SUM(P318+AD318+AJ318+AR318)</f>
        <v>0</v>
      </c>
      <c r="BA318" s="1219">
        <f>SUM(C318+G318+K318+Q318+W318+AK318)</f>
        <v>0</v>
      </c>
      <c r="BB318" s="1386">
        <f t="shared" si="191"/>
        <v>0</v>
      </c>
    </row>
    <row r="319" spans="1:54" ht="15.6" x14ac:dyDescent="0.3">
      <c r="A319" s="1216">
        <v>1</v>
      </c>
      <c r="B319" s="1218"/>
      <c r="C319" s="1335"/>
      <c r="D319" s="1496"/>
      <c r="E319" s="1217">
        <v>1</v>
      </c>
      <c r="F319" s="1218"/>
      <c r="G319" s="1335"/>
      <c r="H319" s="1496"/>
      <c r="I319" s="1217">
        <v>1</v>
      </c>
      <c r="J319" s="1218"/>
      <c r="K319" s="1335"/>
      <c r="L319" s="1496"/>
      <c r="M319" s="1217">
        <v>1</v>
      </c>
      <c r="N319" s="1218"/>
      <c r="O319" s="1357"/>
      <c r="P319" s="1357"/>
      <c r="Q319" s="1357"/>
      <c r="R319" s="1519"/>
      <c r="S319" s="1519"/>
      <c r="T319" s="1519"/>
      <c r="U319" s="1335"/>
      <c r="V319" s="1496"/>
      <c r="W319" s="1335"/>
      <c r="X319" s="1496"/>
      <c r="Y319" s="1335"/>
      <c r="Z319" s="1496"/>
      <c r="AA319" s="1149">
        <v>1</v>
      </c>
      <c r="AB319" s="956"/>
      <c r="AC319" s="1219"/>
      <c r="AD319" s="1219"/>
      <c r="AE319" s="1528"/>
      <c r="AF319" s="1528"/>
      <c r="AG319" s="1217">
        <v>1</v>
      </c>
      <c r="AH319" s="1218"/>
      <c r="AI319" s="1335"/>
      <c r="AJ319" s="1335"/>
      <c r="AK319" s="1335"/>
      <c r="AL319" s="1496"/>
      <c r="AM319" s="1496"/>
      <c r="AN319" s="1496"/>
      <c r="AO319" s="1149">
        <v>1</v>
      </c>
      <c r="AP319" s="956"/>
      <c r="AQ319" s="1048"/>
      <c r="AR319" s="1048"/>
      <c r="AS319" s="1553"/>
      <c r="AT319" s="1603"/>
      <c r="AU319" s="1561">
        <f t="shared" ref="AU319:AU321" si="299">R319+V319+Z319+AE319+AL319+AS319</f>
        <v>0</v>
      </c>
      <c r="AV319" s="1447">
        <f t="shared" ref="AV319:AV321" si="300">S319+AF319+AM319+AT319</f>
        <v>0</v>
      </c>
      <c r="AW319" s="1447">
        <f t="shared" ref="AW319:AW321" si="301">D319+H319+L319+T319+X319+AN319</f>
        <v>0</v>
      </c>
      <c r="AX319" s="1450">
        <f t="shared" si="221"/>
        <v>0</v>
      </c>
      <c r="AY319" s="1393">
        <f>SUM(O319+U319+Y319+AC319+AI319+AQ319)</f>
        <v>0</v>
      </c>
      <c r="AZ319" s="1247">
        <f>SUM(P319+AD319+AJ319+AR319)</f>
        <v>0</v>
      </c>
      <c r="BA319" s="1247">
        <f>SUM(C319+G319+K319+Q319+W319+AK319)</f>
        <v>0</v>
      </c>
      <c r="BB319" s="1385">
        <f t="shared" si="191"/>
        <v>0</v>
      </c>
    </row>
    <row r="320" spans="1:54" ht="15.6" x14ac:dyDescent="0.3">
      <c r="A320" s="1216">
        <v>2</v>
      </c>
      <c r="B320" s="1218"/>
      <c r="C320" s="1335"/>
      <c r="D320" s="1496"/>
      <c r="E320" s="1217">
        <v>2</v>
      </c>
      <c r="F320" s="1218"/>
      <c r="G320" s="1335"/>
      <c r="H320" s="1496"/>
      <c r="I320" s="1217">
        <v>2</v>
      </c>
      <c r="J320" s="1218"/>
      <c r="K320" s="1335"/>
      <c r="L320" s="1496"/>
      <c r="M320" s="1217">
        <v>2</v>
      </c>
      <c r="N320" s="1218"/>
      <c r="O320" s="1357"/>
      <c r="P320" s="1357"/>
      <c r="Q320" s="1357"/>
      <c r="R320" s="1519"/>
      <c r="S320" s="1519"/>
      <c r="T320" s="1519"/>
      <c r="U320" s="1335"/>
      <c r="V320" s="1496"/>
      <c r="W320" s="1335"/>
      <c r="X320" s="1496"/>
      <c r="Y320" s="1335"/>
      <c r="Z320" s="1496"/>
      <c r="AA320" s="1149">
        <v>2</v>
      </c>
      <c r="AB320" s="1135"/>
      <c r="AC320" s="1219"/>
      <c r="AD320" s="1219"/>
      <c r="AE320" s="1528"/>
      <c r="AF320" s="1528"/>
      <c r="AG320" s="1217">
        <v>2</v>
      </c>
      <c r="AH320" s="1218"/>
      <c r="AI320" s="1335"/>
      <c r="AJ320" s="1335"/>
      <c r="AK320" s="1335"/>
      <c r="AL320" s="1496"/>
      <c r="AM320" s="1496"/>
      <c r="AN320" s="1496"/>
      <c r="AO320" s="1149">
        <v>2</v>
      </c>
      <c r="AP320" s="956"/>
      <c r="AQ320" s="1048"/>
      <c r="AR320" s="1048"/>
      <c r="AS320" s="1553"/>
      <c r="AT320" s="1603"/>
      <c r="AU320" s="1561">
        <f t="shared" si="299"/>
        <v>0</v>
      </c>
      <c r="AV320" s="1447">
        <f t="shared" si="300"/>
        <v>0</v>
      </c>
      <c r="AW320" s="1447">
        <f t="shared" si="301"/>
        <v>0</v>
      </c>
      <c r="AX320" s="1450">
        <f t="shared" si="221"/>
        <v>0</v>
      </c>
      <c r="AY320" s="1393">
        <f>SUM(O320+U320+Y320+AC320+AI320+AQ320)</f>
        <v>0</v>
      </c>
      <c r="AZ320" s="1247">
        <f>SUM(P320+AD320+AJ320+AR320)</f>
        <v>0</v>
      </c>
      <c r="BA320" s="1247">
        <f>SUM(C320+G320+K320+Q320+W320+AK320)</f>
        <v>0</v>
      </c>
      <c r="BB320" s="1385">
        <f t="shared" si="191"/>
        <v>0</v>
      </c>
    </row>
    <row r="321" spans="1:54" ht="16.2" thickBot="1" x14ac:dyDescent="0.35">
      <c r="A321" s="1225">
        <v>3</v>
      </c>
      <c r="B321" s="1226"/>
      <c r="C321" s="1336"/>
      <c r="D321" s="1497"/>
      <c r="E321" s="1227">
        <v>3</v>
      </c>
      <c r="F321" s="1226"/>
      <c r="G321" s="1336"/>
      <c r="H321" s="1497"/>
      <c r="I321" s="1227">
        <v>3</v>
      </c>
      <c r="J321" s="1226"/>
      <c r="K321" s="1336"/>
      <c r="L321" s="1497"/>
      <c r="M321" s="1227">
        <v>3</v>
      </c>
      <c r="N321" s="1226"/>
      <c r="O321" s="1358"/>
      <c r="P321" s="1358"/>
      <c r="Q321" s="1358"/>
      <c r="R321" s="1520"/>
      <c r="S321" s="1520"/>
      <c r="T321" s="1520"/>
      <c r="U321" s="1336"/>
      <c r="V321" s="1497"/>
      <c r="W321" s="1336"/>
      <c r="X321" s="1497"/>
      <c r="Y321" s="1336"/>
      <c r="Z321" s="1497"/>
      <c r="AA321" s="1040">
        <v>3</v>
      </c>
      <c r="AB321" s="961"/>
      <c r="AC321" s="1229"/>
      <c r="AD321" s="1229"/>
      <c r="AE321" s="1529"/>
      <c r="AF321" s="1529"/>
      <c r="AG321" s="1227">
        <v>3</v>
      </c>
      <c r="AH321" s="1226"/>
      <c r="AI321" s="1336"/>
      <c r="AJ321" s="1336"/>
      <c r="AK321" s="1336"/>
      <c r="AL321" s="1497"/>
      <c r="AM321" s="1497"/>
      <c r="AN321" s="1497"/>
      <c r="AO321" s="1040">
        <v>3</v>
      </c>
      <c r="AP321" s="961"/>
      <c r="AQ321" s="1101"/>
      <c r="AR321" s="1101"/>
      <c r="AS321" s="1554"/>
      <c r="AT321" s="1604"/>
      <c r="AU321" s="1561">
        <f t="shared" si="299"/>
        <v>0</v>
      </c>
      <c r="AV321" s="1447">
        <f t="shared" si="300"/>
        <v>0</v>
      </c>
      <c r="AW321" s="1447">
        <f t="shared" si="301"/>
        <v>0</v>
      </c>
      <c r="AX321" s="1462">
        <f t="shared" si="221"/>
        <v>0</v>
      </c>
      <c r="AY321" s="1393">
        <f>SUM(O321+U321+Y321+AC321+AI321+AQ321)</f>
        <v>0</v>
      </c>
      <c r="AZ321" s="1247">
        <f>SUM(P321+AD321+AJ321+AR321)</f>
        <v>0</v>
      </c>
      <c r="BA321" s="1247">
        <f>SUM(C321+G321+K321+Q321+W321+AK321)</f>
        <v>0</v>
      </c>
      <c r="BB321" s="1385">
        <f t="shared" si="191"/>
        <v>0</v>
      </c>
    </row>
    <row r="322" spans="1:54" s="1371" customFormat="1" ht="27.6" thickBot="1" x14ac:dyDescent="0.35">
      <c r="A322" s="1369"/>
      <c r="B322" s="1233" t="s">
        <v>1779</v>
      </c>
      <c r="C322" s="1257">
        <f>SUM(C318:C321)</f>
        <v>0</v>
      </c>
      <c r="D322" s="1433">
        <f>SUM(D318:D321)</f>
        <v>0</v>
      </c>
      <c r="E322" s="1233"/>
      <c r="F322" s="1233" t="s">
        <v>1779</v>
      </c>
      <c r="G322" s="1257">
        <f>SUM(G318:G321)</f>
        <v>0</v>
      </c>
      <c r="H322" s="1433">
        <f>SUM(H318:H321)</f>
        <v>0</v>
      </c>
      <c r="I322" s="1233"/>
      <c r="J322" s="1233" t="s">
        <v>1779</v>
      </c>
      <c r="K322" s="1257">
        <f>SUM(K318:K321)</f>
        <v>0</v>
      </c>
      <c r="L322" s="1433">
        <f>SUM(L318:L321)</f>
        <v>0</v>
      </c>
      <c r="M322" s="1233"/>
      <c r="N322" s="1233" t="s">
        <v>1779</v>
      </c>
      <c r="O322" s="1256">
        <f t="shared" ref="O322:AF322" si="302">SUM(O318:O321)</f>
        <v>0</v>
      </c>
      <c r="P322" s="1256">
        <f t="shared" si="302"/>
        <v>0</v>
      </c>
      <c r="Q322" s="1256">
        <f t="shared" si="302"/>
        <v>0</v>
      </c>
      <c r="R322" s="1433">
        <f t="shared" si="302"/>
        <v>0</v>
      </c>
      <c r="S322" s="1433">
        <f t="shared" si="302"/>
        <v>0</v>
      </c>
      <c r="T322" s="1433">
        <f t="shared" si="302"/>
        <v>0</v>
      </c>
      <c r="U322" s="1256">
        <f t="shared" si="302"/>
        <v>0</v>
      </c>
      <c r="V322" s="1433">
        <f>SUM(V318:V321)</f>
        <v>0</v>
      </c>
      <c r="W322" s="1256">
        <f t="shared" si="302"/>
        <v>0</v>
      </c>
      <c r="X322" s="1433">
        <f t="shared" si="302"/>
        <v>0</v>
      </c>
      <c r="Y322" s="1257">
        <f t="shared" si="302"/>
        <v>0</v>
      </c>
      <c r="Z322" s="1433">
        <f>SUM(Z318:Z321)</f>
        <v>0</v>
      </c>
      <c r="AA322" s="1377">
        <f t="shared" si="302"/>
        <v>6</v>
      </c>
      <c r="AB322" s="1377">
        <f t="shared" si="302"/>
        <v>0</v>
      </c>
      <c r="AC322" s="1256">
        <f t="shared" si="302"/>
        <v>0</v>
      </c>
      <c r="AD322" s="1256">
        <f t="shared" si="302"/>
        <v>0</v>
      </c>
      <c r="AE322" s="1433">
        <f t="shared" si="302"/>
        <v>0</v>
      </c>
      <c r="AF322" s="1433">
        <f t="shared" si="302"/>
        <v>0</v>
      </c>
      <c r="AG322" s="1233"/>
      <c r="AH322" s="1233" t="s">
        <v>1779</v>
      </c>
      <c r="AI322" s="1257">
        <f t="shared" ref="AI322:AN322" si="303">SUM(AI318:AI321)</f>
        <v>0</v>
      </c>
      <c r="AJ322" s="1257">
        <f t="shared" si="303"/>
        <v>0</v>
      </c>
      <c r="AK322" s="1257">
        <f t="shared" si="303"/>
        <v>0</v>
      </c>
      <c r="AL322" s="1433">
        <f t="shared" si="303"/>
        <v>0</v>
      </c>
      <c r="AM322" s="1433">
        <f t="shared" si="303"/>
        <v>0</v>
      </c>
      <c r="AN322" s="1433">
        <f t="shared" si="303"/>
        <v>0</v>
      </c>
      <c r="AO322" s="1233"/>
      <c r="AP322" s="1233" t="s">
        <v>1779</v>
      </c>
      <c r="AQ322" s="1257">
        <f>SUM(AQ318:AQ321)</f>
        <v>0</v>
      </c>
      <c r="AR322" s="1257">
        <f>SUM(AR318:AR321)</f>
        <v>0</v>
      </c>
      <c r="AS322" s="1433">
        <f t="shared" ref="AS322:BB322" si="304">SUM(AS318:AS321)</f>
        <v>0</v>
      </c>
      <c r="AT322" s="1601">
        <f t="shared" si="304"/>
        <v>0</v>
      </c>
      <c r="AU322" s="1562">
        <f t="shared" si="304"/>
        <v>0</v>
      </c>
      <c r="AV322" s="1456">
        <f t="shared" si="304"/>
        <v>0</v>
      </c>
      <c r="AW322" s="1456">
        <f t="shared" si="304"/>
        <v>0</v>
      </c>
      <c r="AX322" s="1448">
        <f t="shared" si="304"/>
        <v>0</v>
      </c>
      <c r="AY322" s="1398">
        <f t="shared" si="304"/>
        <v>0</v>
      </c>
      <c r="AZ322" s="1257">
        <f t="shared" si="304"/>
        <v>0</v>
      </c>
      <c r="BA322" s="1257">
        <f t="shared" si="304"/>
        <v>0</v>
      </c>
      <c r="BB322" s="1400">
        <f t="shared" si="304"/>
        <v>0</v>
      </c>
    </row>
    <row r="323" spans="1:54" s="1371" customFormat="1" ht="15" customHeight="1" x14ac:dyDescent="0.3">
      <c r="A323" s="973"/>
      <c r="B323" s="974" t="s">
        <v>144</v>
      </c>
      <c r="C323" s="1268"/>
      <c r="D323" s="1498"/>
      <c r="E323" s="974"/>
      <c r="F323" s="974" t="s">
        <v>144</v>
      </c>
      <c r="G323" s="1268"/>
      <c r="H323" s="1498"/>
      <c r="I323" s="974"/>
      <c r="J323" s="974" t="s">
        <v>144</v>
      </c>
      <c r="K323" s="1268"/>
      <c r="L323" s="1498"/>
      <c r="M323" s="974"/>
      <c r="N323" s="974" t="s">
        <v>144</v>
      </c>
      <c r="O323" s="1282"/>
      <c r="P323" s="1282"/>
      <c r="Q323" s="1282"/>
      <c r="R323" s="1521"/>
      <c r="S323" s="1521"/>
      <c r="T323" s="1521"/>
      <c r="U323" s="1268"/>
      <c r="V323" s="1498"/>
      <c r="W323" s="1268"/>
      <c r="X323" s="1498"/>
      <c r="Y323" s="1268"/>
      <c r="Z323" s="1498"/>
      <c r="AA323" s="974"/>
      <c r="AB323" s="974" t="s">
        <v>144</v>
      </c>
      <c r="AC323" s="1282"/>
      <c r="AD323" s="1282"/>
      <c r="AE323" s="1521"/>
      <c r="AF323" s="1521"/>
      <c r="AG323" s="974"/>
      <c r="AH323" s="974" t="s">
        <v>144</v>
      </c>
      <c r="AI323" s="1268"/>
      <c r="AJ323" s="1268"/>
      <c r="AK323" s="1268"/>
      <c r="AL323" s="1498"/>
      <c r="AM323" s="1498"/>
      <c r="AN323" s="1498"/>
      <c r="AO323" s="974"/>
      <c r="AP323" s="974" t="s">
        <v>144</v>
      </c>
      <c r="AQ323" s="1268"/>
      <c r="AR323" s="1268"/>
      <c r="AS323" s="1498"/>
      <c r="AT323" s="1602"/>
      <c r="AU323" s="1563"/>
      <c r="AV323" s="1453"/>
      <c r="AW323" s="1459"/>
      <c r="AX323" s="1454">
        <f t="shared" si="221"/>
        <v>0</v>
      </c>
      <c r="AY323" s="1396">
        <f>SUM(O323+U323+Y323+AC323+AI323+AQ323)</f>
        <v>0</v>
      </c>
      <c r="AZ323" s="1219">
        <f>SUM(P323+AD323+AJ323+AR323)</f>
        <v>0</v>
      </c>
      <c r="BA323" s="1219">
        <f>SUM(C323+G323+K323+Q323+W323+AK323)</f>
        <v>0</v>
      </c>
      <c r="BB323" s="1386">
        <f t="shared" si="191"/>
        <v>0</v>
      </c>
    </row>
    <row r="324" spans="1:54" ht="15.6" x14ac:dyDescent="0.3">
      <c r="A324" s="1216">
        <v>1</v>
      </c>
      <c r="B324" s="1218"/>
      <c r="C324" s="1335"/>
      <c r="D324" s="1496"/>
      <c r="E324" s="1217">
        <v>1</v>
      </c>
      <c r="F324" s="1218"/>
      <c r="G324" s="1335"/>
      <c r="H324" s="1496"/>
      <c r="I324" s="1217">
        <v>1</v>
      </c>
      <c r="J324" s="1218"/>
      <c r="K324" s="1335"/>
      <c r="L324" s="1496"/>
      <c r="M324" s="1217">
        <v>1</v>
      </c>
      <c r="N324" s="1218"/>
      <c r="O324" s="1357"/>
      <c r="P324" s="1357"/>
      <c r="Q324" s="1357"/>
      <c r="R324" s="1519"/>
      <c r="S324" s="1519"/>
      <c r="T324" s="1519"/>
      <c r="U324" s="1335"/>
      <c r="V324" s="1496"/>
      <c r="W324" s="1335"/>
      <c r="X324" s="1496"/>
      <c r="Y324" s="1335"/>
      <c r="Z324" s="1496"/>
      <c r="AA324" s="1149">
        <v>1</v>
      </c>
      <c r="AB324" s="956"/>
      <c r="AC324" s="1270"/>
      <c r="AD324" s="1270"/>
      <c r="AE324" s="1534"/>
      <c r="AF324" s="1534"/>
      <c r="AG324" s="1217">
        <v>1</v>
      </c>
      <c r="AH324" s="1218"/>
      <c r="AI324" s="1335"/>
      <c r="AJ324" s="1335"/>
      <c r="AK324" s="1335"/>
      <c r="AL324" s="1496"/>
      <c r="AM324" s="1496"/>
      <c r="AN324" s="1496"/>
      <c r="AO324" s="1149">
        <v>1</v>
      </c>
      <c r="AP324" s="956"/>
      <c r="AQ324" s="1048"/>
      <c r="AR324" s="1048"/>
      <c r="AS324" s="1553"/>
      <c r="AT324" s="1603"/>
      <c r="AU324" s="1578"/>
      <c r="AV324" s="1449"/>
      <c r="AW324" s="1449"/>
      <c r="AX324" s="1450">
        <f t="shared" si="221"/>
        <v>0</v>
      </c>
      <c r="AY324" s="1393">
        <f>SUM(O324+U324+Y324+AC324+AI324+AQ324)</f>
        <v>0</v>
      </c>
      <c r="AZ324" s="1247">
        <f>SUM(P324+AD324+AJ324+AR324)</f>
        <v>0</v>
      </c>
      <c r="BA324" s="1247">
        <f>SUM(C324+G324+K324+Q324+W324+AK324)</f>
        <v>0</v>
      </c>
      <c r="BB324" s="1385">
        <f t="shared" si="191"/>
        <v>0</v>
      </c>
    </row>
    <row r="325" spans="1:54" ht="15.6" x14ac:dyDescent="0.3">
      <c r="A325" s="1216">
        <v>2</v>
      </c>
      <c r="B325" s="1218"/>
      <c r="C325" s="1335"/>
      <c r="D325" s="1496"/>
      <c r="E325" s="1217">
        <v>2</v>
      </c>
      <c r="F325" s="1218"/>
      <c r="G325" s="1335"/>
      <c r="H325" s="1496"/>
      <c r="I325" s="1217">
        <v>2</v>
      </c>
      <c r="J325" s="1218"/>
      <c r="K325" s="1335"/>
      <c r="L325" s="1496"/>
      <c r="M325" s="1217">
        <v>2</v>
      </c>
      <c r="N325" s="1218"/>
      <c r="O325" s="1357"/>
      <c r="P325" s="1357"/>
      <c r="Q325" s="1357"/>
      <c r="R325" s="1519"/>
      <c r="S325" s="1519"/>
      <c r="T325" s="1519"/>
      <c r="U325" s="1335"/>
      <c r="V325" s="1496"/>
      <c r="W325" s="1335"/>
      <c r="X325" s="1496"/>
      <c r="Y325" s="1335"/>
      <c r="Z325" s="1496"/>
      <c r="AA325" s="1149">
        <v>2</v>
      </c>
      <c r="AB325" s="956"/>
      <c r="AC325" s="1270"/>
      <c r="AD325" s="1270"/>
      <c r="AE325" s="1534"/>
      <c r="AF325" s="1534"/>
      <c r="AG325" s="1217">
        <v>2</v>
      </c>
      <c r="AH325" s="1218"/>
      <c r="AI325" s="1335"/>
      <c r="AJ325" s="1335"/>
      <c r="AK325" s="1335"/>
      <c r="AL325" s="1496"/>
      <c r="AM325" s="1496"/>
      <c r="AN325" s="1496"/>
      <c r="AO325" s="1149">
        <v>2</v>
      </c>
      <c r="AP325" s="956"/>
      <c r="AQ325" s="1048"/>
      <c r="AR325" s="1048"/>
      <c r="AS325" s="1553"/>
      <c r="AT325" s="1603"/>
      <c r="AU325" s="1578"/>
      <c r="AV325" s="1449"/>
      <c r="AW325" s="1449"/>
      <c r="AX325" s="1450">
        <f t="shared" si="221"/>
        <v>0</v>
      </c>
      <c r="AY325" s="1393">
        <f>SUM(O325+U325+Y325+AC325+AI325+AQ325)</f>
        <v>0</v>
      </c>
      <c r="AZ325" s="1247">
        <f>SUM(P325+AD325+AJ325+AR325)</f>
        <v>0</v>
      </c>
      <c r="BA325" s="1247">
        <f>SUM(C325+G325+K325+Q325+W325+AK325)</f>
        <v>0</v>
      </c>
      <c r="BB325" s="1385">
        <f t="shared" si="191"/>
        <v>0</v>
      </c>
    </row>
    <row r="326" spans="1:54" ht="16.2" thickBot="1" x14ac:dyDescent="0.35">
      <c r="A326" s="1225">
        <v>3</v>
      </c>
      <c r="B326" s="1226"/>
      <c r="C326" s="1336"/>
      <c r="D326" s="1497"/>
      <c r="E326" s="1227">
        <v>3</v>
      </c>
      <c r="F326" s="1226"/>
      <c r="G326" s="1336"/>
      <c r="H326" s="1497"/>
      <c r="I326" s="1227">
        <v>3</v>
      </c>
      <c r="J326" s="1226"/>
      <c r="K326" s="1336"/>
      <c r="L326" s="1497"/>
      <c r="M326" s="1227">
        <v>3</v>
      </c>
      <c r="N326" s="1226"/>
      <c r="O326" s="1358"/>
      <c r="P326" s="1358"/>
      <c r="Q326" s="1358"/>
      <c r="R326" s="1520"/>
      <c r="S326" s="1520"/>
      <c r="T326" s="1520"/>
      <c r="U326" s="1336"/>
      <c r="V326" s="1497"/>
      <c r="W326" s="1336"/>
      <c r="X326" s="1497"/>
      <c r="Y326" s="1336"/>
      <c r="Z326" s="1497"/>
      <c r="AA326" s="1040">
        <v>3</v>
      </c>
      <c r="AB326" s="961"/>
      <c r="AC326" s="1271"/>
      <c r="AD326" s="1271"/>
      <c r="AE326" s="1535"/>
      <c r="AF326" s="1535"/>
      <c r="AG326" s="1227">
        <v>3</v>
      </c>
      <c r="AH326" s="1226"/>
      <c r="AI326" s="1336"/>
      <c r="AJ326" s="1336"/>
      <c r="AK326" s="1336"/>
      <c r="AL326" s="1497"/>
      <c r="AM326" s="1497"/>
      <c r="AN326" s="1497"/>
      <c r="AO326" s="1040">
        <v>3</v>
      </c>
      <c r="AP326" s="961"/>
      <c r="AQ326" s="1101"/>
      <c r="AR326" s="1101"/>
      <c r="AS326" s="1554"/>
      <c r="AT326" s="1604"/>
      <c r="AU326" s="1579"/>
      <c r="AV326" s="1461"/>
      <c r="AW326" s="1461"/>
      <c r="AX326" s="1462">
        <f t="shared" si="221"/>
        <v>0</v>
      </c>
      <c r="AY326" s="1393">
        <f>SUM(O326+U326+Y326+AC326+AI326+AQ326)</f>
        <v>0</v>
      </c>
      <c r="AZ326" s="1247">
        <f>SUM(P326+AD326+AJ326+AR326)</f>
        <v>0</v>
      </c>
      <c r="BA326" s="1247">
        <f>SUM(C326+G326+K326+Q326+W326+AK326)</f>
        <v>0</v>
      </c>
      <c r="BB326" s="1385">
        <f t="shared" si="191"/>
        <v>0</v>
      </c>
    </row>
    <row r="327" spans="1:54" s="1371" customFormat="1" ht="16.2" thickBot="1" x14ac:dyDescent="0.35">
      <c r="A327" s="1369"/>
      <c r="B327" s="1233" t="s">
        <v>1798</v>
      </c>
      <c r="C327" s="1257">
        <f>SUM(C323:C326)</f>
        <v>0</v>
      </c>
      <c r="D327" s="1433">
        <f>SUM(D323:D326)</f>
        <v>0</v>
      </c>
      <c r="E327" s="1233"/>
      <c r="F327" s="1233" t="s">
        <v>1798</v>
      </c>
      <c r="G327" s="1257">
        <f>SUM(G323:G326)</f>
        <v>0</v>
      </c>
      <c r="H327" s="1433">
        <f>SUM(H323:H326)</f>
        <v>0</v>
      </c>
      <c r="I327" s="1233"/>
      <c r="J327" s="1233" t="s">
        <v>1798</v>
      </c>
      <c r="K327" s="1257">
        <f>SUM(K323:K326)</f>
        <v>0</v>
      </c>
      <c r="L327" s="1433">
        <f>SUM(L323:L326)</f>
        <v>0</v>
      </c>
      <c r="M327" s="1233"/>
      <c r="N327" s="1233" t="s">
        <v>1798</v>
      </c>
      <c r="O327" s="1256">
        <f t="shared" ref="O327:Z327" si="305">SUM(O323:O326)</f>
        <v>0</v>
      </c>
      <c r="P327" s="1256">
        <f t="shared" si="305"/>
        <v>0</v>
      </c>
      <c r="Q327" s="1256">
        <f t="shared" si="305"/>
        <v>0</v>
      </c>
      <c r="R327" s="1433">
        <f t="shared" si="305"/>
        <v>0</v>
      </c>
      <c r="S327" s="1433">
        <f t="shared" si="305"/>
        <v>0</v>
      </c>
      <c r="T327" s="1433">
        <f t="shared" si="305"/>
        <v>0</v>
      </c>
      <c r="U327" s="1257">
        <f t="shared" si="305"/>
        <v>0</v>
      </c>
      <c r="V327" s="1433">
        <f t="shared" si="305"/>
        <v>0</v>
      </c>
      <c r="W327" s="1257">
        <f t="shared" si="305"/>
        <v>0</v>
      </c>
      <c r="X327" s="1433">
        <f t="shared" si="305"/>
        <v>0</v>
      </c>
      <c r="Y327" s="1257">
        <f t="shared" si="305"/>
        <v>0</v>
      </c>
      <c r="Z327" s="1433">
        <f t="shared" si="305"/>
        <v>0</v>
      </c>
      <c r="AA327" s="1233"/>
      <c r="AB327" s="1233" t="s">
        <v>1798</v>
      </c>
      <c r="AC327" s="1256">
        <f t="shared" ref="AC327:AF327" si="306">SUM(AC323:AC326)</f>
        <v>0</v>
      </c>
      <c r="AD327" s="1256">
        <f t="shared" si="306"/>
        <v>0</v>
      </c>
      <c r="AE327" s="1433">
        <f t="shared" si="306"/>
        <v>0</v>
      </c>
      <c r="AF327" s="1433">
        <f t="shared" si="306"/>
        <v>0</v>
      </c>
      <c r="AG327" s="1233"/>
      <c r="AH327" s="1233" t="s">
        <v>1798</v>
      </c>
      <c r="AI327" s="1257">
        <f t="shared" ref="AI327:AN327" si="307">SUM(AI323:AI326)</f>
        <v>0</v>
      </c>
      <c r="AJ327" s="1257">
        <f t="shared" si="307"/>
        <v>0</v>
      </c>
      <c r="AK327" s="1257">
        <f t="shared" si="307"/>
        <v>0</v>
      </c>
      <c r="AL327" s="1433">
        <f t="shared" si="307"/>
        <v>0</v>
      </c>
      <c r="AM327" s="1433">
        <f t="shared" si="307"/>
        <v>0</v>
      </c>
      <c r="AN327" s="1433">
        <f t="shared" si="307"/>
        <v>0</v>
      </c>
      <c r="AO327" s="1233"/>
      <c r="AP327" s="1233" t="s">
        <v>1798</v>
      </c>
      <c r="AQ327" s="1257">
        <f>SUM(AQ323:AQ326)</f>
        <v>0</v>
      </c>
      <c r="AR327" s="1257">
        <f>SUM(AR323:AR326)</f>
        <v>0</v>
      </c>
      <c r="AS327" s="1433">
        <f t="shared" ref="AS327:BB327" si="308">SUM(AS323:AS326)</f>
        <v>0</v>
      </c>
      <c r="AT327" s="1601">
        <f t="shared" si="308"/>
        <v>0</v>
      </c>
      <c r="AU327" s="1562">
        <f t="shared" si="308"/>
        <v>0</v>
      </c>
      <c r="AV327" s="1456">
        <f t="shared" si="308"/>
        <v>0</v>
      </c>
      <c r="AW327" s="1456">
        <f t="shared" si="308"/>
        <v>0</v>
      </c>
      <c r="AX327" s="1448">
        <f t="shared" si="308"/>
        <v>0</v>
      </c>
      <c r="AY327" s="1398">
        <f t="shared" si="308"/>
        <v>0</v>
      </c>
      <c r="AZ327" s="1257">
        <f t="shared" si="308"/>
        <v>0</v>
      </c>
      <c r="BA327" s="1257">
        <f t="shared" si="308"/>
        <v>0</v>
      </c>
      <c r="BB327" s="1400">
        <f t="shared" si="308"/>
        <v>0</v>
      </c>
    </row>
    <row r="328" spans="1:54" s="1371" customFormat="1" ht="15.6" x14ac:dyDescent="0.3">
      <c r="A328" s="973"/>
      <c r="B328" s="974" t="s">
        <v>823</v>
      </c>
      <c r="C328" s="1268"/>
      <c r="D328" s="1498"/>
      <c r="E328" s="974"/>
      <c r="F328" s="974" t="s">
        <v>823</v>
      </c>
      <c r="G328" s="1268"/>
      <c r="H328" s="1498"/>
      <c r="I328" s="974"/>
      <c r="J328" s="974" t="s">
        <v>823</v>
      </c>
      <c r="K328" s="1268"/>
      <c r="L328" s="1498"/>
      <c r="M328" s="974"/>
      <c r="N328" s="974" t="s">
        <v>823</v>
      </c>
      <c r="O328" s="1282"/>
      <c r="P328" s="1282"/>
      <c r="Q328" s="1282"/>
      <c r="R328" s="1521"/>
      <c r="S328" s="1521"/>
      <c r="T328" s="1521"/>
      <c r="U328" s="1268"/>
      <c r="V328" s="1498"/>
      <c r="W328" s="1268"/>
      <c r="X328" s="1498"/>
      <c r="Y328" s="1268"/>
      <c r="Z328" s="1498"/>
      <c r="AA328" s="974"/>
      <c r="AB328" s="974" t="s">
        <v>823</v>
      </c>
      <c r="AC328" s="1282"/>
      <c r="AD328" s="1282"/>
      <c r="AE328" s="1521"/>
      <c r="AF328" s="1521"/>
      <c r="AG328" s="974"/>
      <c r="AH328" s="974" t="s">
        <v>823</v>
      </c>
      <c r="AI328" s="1268"/>
      <c r="AJ328" s="1268"/>
      <c r="AK328" s="1268"/>
      <c r="AL328" s="1498"/>
      <c r="AM328" s="1498"/>
      <c r="AN328" s="1498"/>
      <c r="AO328" s="974"/>
      <c r="AP328" s="974" t="s">
        <v>823</v>
      </c>
      <c r="AQ328" s="1268"/>
      <c r="AR328" s="1268"/>
      <c r="AS328" s="1498"/>
      <c r="AT328" s="1602"/>
      <c r="AU328" s="1563"/>
      <c r="AV328" s="1453"/>
      <c r="AW328" s="1459"/>
      <c r="AX328" s="1454">
        <f t="shared" si="221"/>
        <v>0</v>
      </c>
      <c r="AY328" s="1396">
        <f>SUM(O328+U328+Y328+AC328+AI328+AQ328)</f>
        <v>0</v>
      </c>
      <c r="AZ328" s="1219">
        <f>SUM(P328+AD328+AJ328+AR328)</f>
        <v>0</v>
      </c>
      <c r="BA328" s="1219">
        <f>SUM(C328+G328+K328+Q328+W328+AK328)</f>
        <v>0</v>
      </c>
      <c r="BB328" s="1386">
        <f t="shared" ref="BB328:BB350" si="309">SUM(AY328:BA328)</f>
        <v>0</v>
      </c>
    </row>
    <row r="329" spans="1:54" ht="15.6" x14ac:dyDescent="0.3">
      <c r="A329" s="1216">
        <v>1</v>
      </c>
      <c r="B329" s="956"/>
      <c r="C329" s="1335"/>
      <c r="D329" s="1496"/>
      <c r="E329" s="1217">
        <v>1</v>
      </c>
      <c r="F329" s="956"/>
      <c r="G329" s="1335"/>
      <c r="H329" s="1496"/>
      <c r="I329" s="1217">
        <v>1</v>
      </c>
      <c r="J329" s="956"/>
      <c r="K329" s="1335"/>
      <c r="L329" s="1496"/>
      <c r="M329" s="1217">
        <v>1</v>
      </c>
      <c r="N329" s="956"/>
      <c r="O329" s="1357"/>
      <c r="P329" s="1357"/>
      <c r="Q329" s="1357"/>
      <c r="R329" s="1519"/>
      <c r="S329" s="1519"/>
      <c r="T329" s="1519"/>
      <c r="U329" s="1335"/>
      <c r="V329" s="1496"/>
      <c r="W329" s="1335"/>
      <c r="X329" s="1496"/>
      <c r="Y329" s="1335"/>
      <c r="Z329" s="1496"/>
      <c r="AA329" s="1149">
        <v>1</v>
      </c>
      <c r="AB329" s="956"/>
      <c r="AC329" s="1270"/>
      <c r="AD329" s="1270"/>
      <c r="AE329" s="1534"/>
      <c r="AF329" s="1534"/>
      <c r="AG329" s="1217">
        <v>1</v>
      </c>
      <c r="AH329" s="956"/>
      <c r="AI329" s="1335"/>
      <c r="AJ329" s="1335"/>
      <c r="AK329" s="1335"/>
      <c r="AL329" s="1496"/>
      <c r="AM329" s="1496"/>
      <c r="AN329" s="1496"/>
      <c r="AO329" s="1149">
        <v>1</v>
      </c>
      <c r="AP329" s="956"/>
      <c r="AQ329" s="1048"/>
      <c r="AR329" s="1048"/>
      <c r="AS329" s="1553"/>
      <c r="AT329" s="1603"/>
      <c r="AU329" s="1561">
        <f t="shared" ref="AU329:AU332" si="310">R329+V329+Z329+AE329+AL329+AS329</f>
        <v>0</v>
      </c>
      <c r="AV329" s="1447">
        <f t="shared" ref="AV329:AV332" si="311">S329+AF329+AM329+AT329</f>
        <v>0</v>
      </c>
      <c r="AW329" s="1447">
        <f t="shared" ref="AW329:AW332" si="312">D329+H329+L329+T329+X329+AN329</f>
        <v>0</v>
      </c>
      <c r="AX329" s="1450">
        <f t="shared" si="221"/>
        <v>0</v>
      </c>
      <c r="AY329" s="1393">
        <f>SUM(O329+U329+Y329+AC329+AI329+AQ329)</f>
        <v>0</v>
      </c>
      <c r="AZ329" s="1247">
        <f>SUM(P329+AD329+AJ329+AR329)</f>
        <v>0</v>
      </c>
      <c r="BA329" s="1247">
        <f>SUM(C329+G329+K329+Q329+W329+AK329)</f>
        <v>0</v>
      </c>
      <c r="BB329" s="1385">
        <f t="shared" si="309"/>
        <v>0</v>
      </c>
    </row>
    <row r="330" spans="1:54" ht="15.6" x14ac:dyDescent="0.3">
      <c r="A330" s="1216">
        <v>2</v>
      </c>
      <c r="B330" s="1218"/>
      <c r="C330" s="1335"/>
      <c r="D330" s="1496"/>
      <c r="E330" s="1217">
        <v>2</v>
      </c>
      <c r="F330" s="1218"/>
      <c r="G330" s="1335"/>
      <c r="H330" s="1496"/>
      <c r="I330" s="1217">
        <v>2</v>
      </c>
      <c r="J330" s="1218"/>
      <c r="K330" s="1335"/>
      <c r="L330" s="1496"/>
      <c r="M330" s="1217">
        <v>2</v>
      </c>
      <c r="N330" s="1218"/>
      <c r="O330" s="1357"/>
      <c r="P330" s="1357"/>
      <c r="Q330" s="1357"/>
      <c r="R330" s="1519"/>
      <c r="S330" s="1519"/>
      <c r="T330" s="1519"/>
      <c r="U330" s="1335"/>
      <c r="V330" s="1496"/>
      <c r="W330" s="1335"/>
      <c r="X330" s="1496"/>
      <c r="Y330" s="1335"/>
      <c r="Z330" s="1496"/>
      <c r="AA330" s="1149">
        <v>2</v>
      </c>
      <c r="AB330" s="956"/>
      <c r="AC330" s="1270"/>
      <c r="AD330" s="1270"/>
      <c r="AE330" s="1534"/>
      <c r="AF330" s="1534"/>
      <c r="AG330" s="1217">
        <v>2</v>
      </c>
      <c r="AH330" s="1218"/>
      <c r="AI330" s="1335"/>
      <c r="AJ330" s="1335"/>
      <c r="AK330" s="1335"/>
      <c r="AL330" s="1496"/>
      <c r="AM330" s="1496"/>
      <c r="AN330" s="1496"/>
      <c r="AO330" s="1149">
        <v>2</v>
      </c>
      <c r="AP330" s="956"/>
      <c r="AQ330" s="1048"/>
      <c r="AR330" s="1048"/>
      <c r="AS330" s="1553"/>
      <c r="AT330" s="1603"/>
      <c r="AU330" s="1561">
        <f t="shared" si="310"/>
        <v>0</v>
      </c>
      <c r="AV330" s="1447">
        <f t="shared" si="311"/>
        <v>0</v>
      </c>
      <c r="AW330" s="1447">
        <f t="shared" si="312"/>
        <v>0</v>
      </c>
      <c r="AX330" s="1450">
        <f t="shared" si="221"/>
        <v>0</v>
      </c>
      <c r="AY330" s="1393">
        <f>SUM(O330+U330+Y330+AC330+AI330+AQ330)</f>
        <v>0</v>
      </c>
      <c r="AZ330" s="1247">
        <f>SUM(P330+AD330+AJ330+AR330)</f>
        <v>0</v>
      </c>
      <c r="BA330" s="1247">
        <f>SUM(C330+G330+K330+Q330+W330+AK330)</f>
        <v>0</v>
      </c>
      <c r="BB330" s="1385">
        <f t="shared" si="309"/>
        <v>0</v>
      </c>
    </row>
    <row r="331" spans="1:54" ht="15.6" x14ac:dyDescent="0.3">
      <c r="A331" s="1216">
        <v>3</v>
      </c>
      <c r="B331" s="1218"/>
      <c r="C331" s="1335"/>
      <c r="D331" s="1496"/>
      <c r="E331" s="1217">
        <v>3</v>
      </c>
      <c r="F331" s="1218"/>
      <c r="G331" s="1335"/>
      <c r="H331" s="1496"/>
      <c r="I331" s="1217">
        <v>3</v>
      </c>
      <c r="J331" s="1218"/>
      <c r="K331" s="1335"/>
      <c r="L331" s="1496"/>
      <c r="M331" s="1217">
        <v>3</v>
      </c>
      <c r="N331" s="1218"/>
      <c r="O331" s="1357"/>
      <c r="P331" s="1357"/>
      <c r="Q331" s="1357"/>
      <c r="R331" s="1519"/>
      <c r="S331" s="1519"/>
      <c r="T331" s="1519"/>
      <c r="U331" s="1335"/>
      <c r="V331" s="1496"/>
      <c r="W331" s="1335"/>
      <c r="X331" s="1496"/>
      <c r="Y331" s="1335"/>
      <c r="Z331" s="1496"/>
      <c r="AA331" s="1149">
        <v>3</v>
      </c>
      <c r="AB331" s="956"/>
      <c r="AC331" s="1270"/>
      <c r="AD331" s="1270"/>
      <c r="AE331" s="1534"/>
      <c r="AF331" s="1534"/>
      <c r="AG331" s="1217">
        <v>3</v>
      </c>
      <c r="AH331" s="1218"/>
      <c r="AI331" s="1335"/>
      <c r="AJ331" s="1335"/>
      <c r="AK331" s="1335"/>
      <c r="AL331" s="1496"/>
      <c r="AM331" s="1496"/>
      <c r="AN331" s="1496"/>
      <c r="AO331" s="1149">
        <v>3</v>
      </c>
      <c r="AP331" s="956"/>
      <c r="AQ331" s="1048"/>
      <c r="AR331" s="1048"/>
      <c r="AS331" s="1553"/>
      <c r="AT331" s="1603"/>
      <c r="AU331" s="1561">
        <f t="shared" si="310"/>
        <v>0</v>
      </c>
      <c r="AV331" s="1447">
        <f t="shared" si="311"/>
        <v>0</v>
      </c>
      <c r="AW331" s="1447">
        <f t="shared" si="312"/>
        <v>0</v>
      </c>
      <c r="AX331" s="1450">
        <f t="shared" si="221"/>
        <v>0</v>
      </c>
      <c r="AY331" s="1393">
        <f>SUM(O331+U331+Y331+AC331+AI331+AQ331)</f>
        <v>0</v>
      </c>
      <c r="AZ331" s="1247">
        <f>SUM(P331+AD331+AJ331+AR331)</f>
        <v>0</v>
      </c>
      <c r="BA331" s="1247">
        <f>SUM(C331+G331+K331+Q331+W331+AK331)</f>
        <v>0</v>
      </c>
      <c r="BB331" s="1385">
        <f t="shared" si="309"/>
        <v>0</v>
      </c>
    </row>
    <row r="332" spans="1:54" ht="16.2" thickBot="1" x14ac:dyDescent="0.35">
      <c r="A332" s="1225"/>
      <c r="B332" s="1227"/>
      <c r="C332" s="1333"/>
      <c r="D332" s="1441"/>
      <c r="E332" s="1227"/>
      <c r="F332" s="1227"/>
      <c r="G332" s="1333"/>
      <c r="H332" s="1441"/>
      <c r="I332" s="1227"/>
      <c r="J332" s="1227"/>
      <c r="K332" s="1333"/>
      <c r="L332" s="1441"/>
      <c r="M332" s="1227"/>
      <c r="N332" s="1227"/>
      <c r="O332" s="1355"/>
      <c r="P332" s="1355"/>
      <c r="Q332" s="1355"/>
      <c r="R332" s="1432"/>
      <c r="S332" s="1432"/>
      <c r="T332" s="1432"/>
      <c r="U332" s="1333"/>
      <c r="V332" s="1441"/>
      <c r="W332" s="1333"/>
      <c r="X332" s="1441"/>
      <c r="Y332" s="1333"/>
      <c r="Z332" s="1441"/>
      <c r="AA332" s="1040"/>
      <c r="AB332" s="1040"/>
      <c r="AC332" s="1264"/>
      <c r="AD332" s="1264"/>
      <c r="AE332" s="1533"/>
      <c r="AF332" s="1533"/>
      <c r="AG332" s="1227"/>
      <c r="AH332" s="1227"/>
      <c r="AI332" s="1333"/>
      <c r="AJ332" s="1333"/>
      <c r="AK332" s="1333"/>
      <c r="AL332" s="1441"/>
      <c r="AM332" s="1441"/>
      <c r="AN332" s="1441"/>
      <c r="AO332" s="1040"/>
      <c r="AP332" s="1040"/>
      <c r="AQ332" s="1075"/>
      <c r="AR332" s="1075"/>
      <c r="AS332" s="1444"/>
      <c r="AT332" s="1600"/>
      <c r="AU332" s="1561">
        <f t="shared" si="310"/>
        <v>0</v>
      </c>
      <c r="AV332" s="1447">
        <f t="shared" si="311"/>
        <v>0</v>
      </c>
      <c r="AW332" s="1447">
        <f t="shared" si="312"/>
        <v>0</v>
      </c>
      <c r="AX332" s="1464">
        <f t="shared" si="221"/>
        <v>0</v>
      </c>
      <c r="AY332" s="1393">
        <f>SUM(O332+U332+Y332+AC332+AI332+AQ332)</f>
        <v>0</v>
      </c>
      <c r="AZ332" s="1247">
        <f>SUM(P332+AD332+AJ332+AR332)</f>
        <v>0</v>
      </c>
      <c r="BA332" s="1247">
        <f>SUM(C332+G332+K332+Q332+W332+AK332)</f>
        <v>0</v>
      </c>
      <c r="BB332" s="1385">
        <f t="shared" si="309"/>
        <v>0</v>
      </c>
    </row>
    <row r="333" spans="1:54" s="1371" customFormat="1" ht="16.2" thickBot="1" x14ac:dyDescent="0.35">
      <c r="A333" s="1369"/>
      <c r="B333" s="1233" t="s">
        <v>1799</v>
      </c>
      <c r="C333" s="1257">
        <f>SUM(C328:C332)</f>
        <v>0</v>
      </c>
      <c r="D333" s="1433">
        <f>SUM(D328:D332)</f>
        <v>0</v>
      </c>
      <c r="E333" s="1233"/>
      <c r="F333" s="1233" t="s">
        <v>1799</v>
      </c>
      <c r="G333" s="1257">
        <f>SUM(G328:G332)</f>
        <v>0</v>
      </c>
      <c r="H333" s="1433">
        <f>SUM(H328:H332)</f>
        <v>0</v>
      </c>
      <c r="I333" s="1233"/>
      <c r="J333" s="1233" t="s">
        <v>1799</v>
      </c>
      <c r="K333" s="1257">
        <f>SUM(K328:K332)</f>
        <v>0</v>
      </c>
      <c r="L333" s="1433">
        <f>SUM(L328:L332)</f>
        <v>0</v>
      </c>
      <c r="M333" s="1233"/>
      <c r="N333" s="1233" t="s">
        <v>1799</v>
      </c>
      <c r="O333" s="1256">
        <f t="shared" ref="O333:Y333" si="313">SUM(O328:O332)</f>
        <v>0</v>
      </c>
      <c r="P333" s="1256">
        <f t="shared" si="313"/>
        <v>0</v>
      </c>
      <c r="Q333" s="1256">
        <f t="shared" si="313"/>
        <v>0</v>
      </c>
      <c r="R333" s="1433">
        <f t="shared" si="313"/>
        <v>0</v>
      </c>
      <c r="S333" s="1433">
        <f t="shared" si="313"/>
        <v>0</v>
      </c>
      <c r="T333" s="1433">
        <f t="shared" si="313"/>
        <v>0</v>
      </c>
      <c r="U333" s="1256">
        <f t="shared" si="313"/>
        <v>0</v>
      </c>
      <c r="V333" s="1433">
        <f>SUM(V328:V332)</f>
        <v>0</v>
      </c>
      <c r="W333" s="1256">
        <f t="shared" si="313"/>
        <v>0</v>
      </c>
      <c r="X333" s="1433">
        <f>SUM(X328:X332)</f>
        <v>0</v>
      </c>
      <c r="Y333" s="1256">
        <f t="shared" si="313"/>
        <v>0</v>
      </c>
      <c r="Z333" s="1433">
        <f>SUM(Z328:Z332)</f>
        <v>0</v>
      </c>
      <c r="AA333" s="1233"/>
      <c r="AB333" s="1233" t="s">
        <v>1799</v>
      </c>
      <c r="AC333" s="1256">
        <f t="shared" ref="AC333:AF333" si="314">SUM(AC328:AC332)</f>
        <v>0</v>
      </c>
      <c r="AD333" s="1256">
        <f t="shared" si="314"/>
        <v>0</v>
      </c>
      <c r="AE333" s="1433">
        <f t="shared" si="314"/>
        <v>0</v>
      </c>
      <c r="AF333" s="1433">
        <f t="shared" si="314"/>
        <v>0</v>
      </c>
      <c r="AG333" s="1233"/>
      <c r="AH333" s="1233" t="s">
        <v>1799</v>
      </c>
      <c r="AI333" s="1257">
        <f t="shared" ref="AI333:AN333" si="315">SUM(AI328:AI332)</f>
        <v>0</v>
      </c>
      <c r="AJ333" s="1257">
        <f t="shared" si="315"/>
        <v>0</v>
      </c>
      <c r="AK333" s="1257">
        <f t="shared" si="315"/>
        <v>0</v>
      </c>
      <c r="AL333" s="1433">
        <f t="shared" si="315"/>
        <v>0</v>
      </c>
      <c r="AM333" s="1433">
        <f t="shared" si="315"/>
        <v>0</v>
      </c>
      <c r="AN333" s="1433">
        <f t="shared" si="315"/>
        <v>0</v>
      </c>
      <c r="AO333" s="1233"/>
      <c r="AP333" s="1233" t="s">
        <v>1799</v>
      </c>
      <c r="AQ333" s="1257">
        <f>SUM(AQ328:AQ332)</f>
        <v>0</v>
      </c>
      <c r="AR333" s="1257">
        <f>SUM(AR328:AR332)</f>
        <v>0</v>
      </c>
      <c r="AS333" s="1433">
        <f>SUM(AS328:AS332)</f>
        <v>0</v>
      </c>
      <c r="AT333" s="1601">
        <f>SUM(AT328:AT332)</f>
        <v>0</v>
      </c>
      <c r="AU333" s="1562">
        <f t="shared" ref="AU333:BB333" si="316">SUM(AU328:AU332)</f>
        <v>0</v>
      </c>
      <c r="AV333" s="1456">
        <f t="shared" si="316"/>
        <v>0</v>
      </c>
      <c r="AW333" s="1456">
        <f t="shared" si="316"/>
        <v>0</v>
      </c>
      <c r="AX333" s="1448">
        <f t="shared" si="316"/>
        <v>0</v>
      </c>
      <c r="AY333" s="1398">
        <f t="shared" si="316"/>
        <v>0</v>
      </c>
      <c r="AZ333" s="1257">
        <f t="shared" si="316"/>
        <v>0</v>
      </c>
      <c r="BA333" s="1257">
        <f t="shared" si="316"/>
        <v>0</v>
      </c>
      <c r="BB333" s="1400">
        <f t="shared" si="316"/>
        <v>0</v>
      </c>
    </row>
    <row r="334" spans="1:54" s="1371" customFormat="1" ht="15.6" x14ac:dyDescent="0.3">
      <c r="A334" s="973">
        <v>1</v>
      </c>
      <c r="B334" s="974" t="s">
        <v>1808</v>
      </c>
      <c r="C334" s="1067"/>
      <c r="D334" s="1493"/>
      <c r="E334" s="974">
        <v>1</v>
      </c>
      <c r="F334" s="974" t="s">
        <v>1808</v>
      </c>
      <c r="G334" s="1067"/>
      <c r="H334" s="1493"/>
      <c r="I334" s="974">
        <v>1</v>
      </c>
      <c r="J334" s="974" t="s">
        <v>1808</v>
      </c>
      <c r="K334" s="1067"/>
      <c r="L334" s="1493"/>
      <c r="M334" s="974">
        <v>1</v>
      </c>
      <c r="N334" s="974" t="s">
        <v>1808</v>
      </c>
      <c r="O334" s="1259"/>
      <c r="P334" s="1259"/>
      <c r="Q334" s="1259"/>
      <c r="R334" s="1430"/>
      <c r="S334" s="1430"/>
      <c r="T334" s="1430"/>
      <c r="U334" s="1067"/>
      <c r="V334" s="1493"/>
      <c r="W334" s="1067"/>
      <c r="X334" s="1493"/>
      <c r="Y334" s="1067"/>
      <c r="Z334" s="1493"/>
      <c r="AA334" s="974">
        <v>1</v>
      </c>
      <c r="AB334" s="974" t="s">
        <v>1808</v>
      </c>
      <c r="AC334" s="1259"/>
      <c r="AD334" s="1259"/>
      <c r="AE334" s="1430"/>
      <c r="AF334" s="1430"/>
      <c r="AG334" s="974">
        <v>1</v>
      </c>
      <c r="AH334" s="974" t="s">
        <v>1808</v>
      </c>
      <c r="AI334" s="1067"/>
      <c r="AJ334" s="1067"/>
      <c r="AK334" s="1067"/>
      <c r="AL334" s="1493"/>
      <c r="AM334" s="1493"/>
      <c r="AN334" s="1493"/>
      <c r="AO334" s="974">
        <v>1</v>
      </c>
      <c r="AP334" s="974" t="s">
        <v>1808</v>
      </c>
      <c r="AQ334" s="1067"/>
      <c r="AR334" s="1067"/>
      <c r="AS334" s="1493"/>
      <c r="AT334" s="1595"/>
      <c r="AU334" s="1563"/>
      <c r="AV334" s="1453"/>
      <c r="AW334" s="1459"/>
      <c r="AX334" s="1454">
        <f t="shared" si="221"/>
        <v>0</v>
      </c>
      <c r="AY334" s="1396">
        <f>SUM(O334+U334+Y334+AC334+AI334+AQ334)</f>
        <v>0</v>
      </c>
      <c r="AZ334" s="1219">
        <f>SUM(P334+AD334+AJ334+AR334)</f>
        <v>0</v>
      </c>
      <c r="BA334" s="1219">
        <f>SUM(C334+G334+K334+Q334+W334+AK334)</f>
        <v>0</v>
      </c>
      <c r="BB334" s="1386">
        <f t="shared" si="309"/>
        <v>0</v>
      </c>
    </row>
    <row r="335" spans="1:54" ht="15.6" x14ac:dyDescent="0.3">
      <c r="A335" s="1216">
        <v>2</v>
      </c>
      <c r="B335" s="1149"/>
      <c r="C335" s="1294"/>
      <c r="D335" s="1494"/>
      <c r="E335" s="1217">
        <v>2</v>
      </c>
      <c r="F335" s="1149"/>
      <c r="G335" s="1294"/>
      <c r="H335" s="1494"/>
      <c r="I335" s="1217">
        <v>2</v>
      </c>
      <c r="J335" s="1149"/>
      <c r="K335" s="1294"/>
      <c r="L335" s="1494"/>
      <c r="M335" s="1217">
        <v>2</v>
      </c>
      <c r="N335" s="1149"/>
      <c r="O335" s="1295"/>
      <c r="P335" s="1295"/>
      <c r="Q335" s="1295"/>
      <c r="R335" s="1431"/>
      <c r="S335" s="1431"/>
      <c r="T335" s="1431"/>
      <c r="U335" s="1294"/>
      <c r="V335" s="1494"/>
      <c r="W335" s="1294"/>
      <c r="X335" s="1494"/>
      <c r="Y335" s="1294"/>
      <c r="Z335" s="1494"/>
      <c r="AA335" s="1149">
        <v>2</v>
      </c>
      <c r="AB335" s="1149"/>
      <c r="AC335" s="1261"/>
      <c r="AD335" s="1261"/>
      <c r="AE335" s="1532"/>
      <c r="AF335" s="1532"/>
      <c r="AG335" s="1217">
        <v>2</v>
      </c>
      <c r="AH335" s="1149"/>
      <c r="AI335" s="1294"/>
      <c r="AJ335" s="1294"/>
      <c r="AK335" s="1294"/>
      <c r="AL335" s="1494"/>
      <c r="AM335" s="1494"/>
      <c r="AN335" s="1494"/>
      <c r="AO335" s="1149">
        <v>2</v>
      </c>
      <c r="AP335" s="1149"/>
      <c r="AQ335" s="1262"/>
      <c r="AR335" s="1262"/>
      <c r="AS335" s="1552"/>
      <c r="AT335" s="1599"/>
      <c r="AU335" s="1561">
        <f t="shared" ref="AU335:AU337" si="317">R335+V335+Z335+AE335+AL335+AS335</f>
        <v>0</v>
      </c>
      <c r="AV335" s="1447">
        <f t="shared" ref="AV335:AV337" si="318">S335+AF335+AM335+AT335</f>
        <v>0</v>
      </c>
      <c r="AW335" s="1447">
        <f t="shared" ref="AW335:AW337" si="319">D335+H335+L335+T335+X335+AN335</f>
        <v>0</v>
      </c>
      <c r="AX335" s="1463">
        <f t="shared" si="221"/>
        <v>0</v>
      </c>
      <c r="AY335" s="1393">
        <f>SUM(O335+U335+Y335+AC335+AI335+AQ335)</f>
        <v>0</v>
      </c>
      <c r="AZ335" s="1247">
        <f>SUM(P335+AD335+AJ335+AR335)</f>
        <v>0</v>
      </c>
      <c r="BA335" s="1247">
        <f>SUM(C335+G335+K335+Q335+W335+AK335)</f>
        <v>0</v>
      </c>
      <c r="BB335" s="1385">
        <f t="shared" si="309"/>
        <v>0</v>
      </c>
    </row>
    <row r="336" spans="1:54" ht="15.6" x14ac:dyDescent="0.3">
      <c r="A336" s="1216">
        <v>3</v>
      </c>
      <c r="B336" s="1149"/>
      <c r="C336" s="1294"/>
      <c r="D336" s="1494"/>
      <c r="E336" s="1217">
        <v>3</v>
      </c>
      <c r="F336" s="1149"/>
      <c r="G336" s="1294"/>
      <c r="H336" s="1494"/>
      <c r="I336" s="1217">
        <v>3</v>
      </c>
      <c r="J336" s="1149"/>
      <c r="K336" s="1294"/>
      <c r="L336" s="1494"/>
      <c r="M336" s="1217">
        <v>3</v>
      </c>
      <c r="N336" s="1149"/>
      <c r="O336" s="1295"/>
      <c r="P336" s="1295"/>
      <c r="Q336" s="1295"/>
      <c r="R336" s="1431"/>
      <c r="S336" s="1431"/>
      <c r="T336" s="1431"/>
      <c r="U336" s="1294"/>
      <c r="V336" s="1494"/>
      <c r="W336" s="1294"/>
      <c r="X336" s="1494"/>
      <c r="Y336" s="1294"/>
      <c r="Z336" s="1494"/>
      <c r="AA336" s="1149">
        <v>3</v>
      </c>
      <c r="AB336" s="1149"/>
      <c r="AC336" s="1261"/>
      <c r="AD336" s="1261"/>
      <c r="AE336" s="1532"/>
      <c r="AF336" s="1532"/>
      <c r="AG336" s="1217">
        <v>3</v>
      </c>
      <c r="AH336" s="1149"/>
      <c r="AI336" s="1294"/>
      <c r="AJ336" s="1294"/>
      <c r="AK336" s="1294"/>
      <c r="AL336" s="1494"/>
      <c r="AM336" s="1494"/>
      <c r="AN336" s="1494"/>
      <c r="AO336" s="1149">
        <v>3</v>
      </c>
      <c r="AP336" s="1149"/>
      <c r="AQ336" s="1262"/>
      <c r="AR336" s="1262"/>
      <c r="AS336" s="1552"/>
      <c r="AT336" s="1599"/>
      <c r="AU336" s="1561">
        <f t="shared" si="317"/>
        <v>0</v>
      </c>
      <c r="AV336" s="1447">
        <f t="shared" si="318"/>
        <v>0</v>
      </c>
      <c r="AW336" s="1447">
        <f t="shared" si="319"/>
        <v>0</v>
      </c>
      <c r="AX336" s="1463">
        <f t="shared" si="221"/>
        <v>0</v>
      </c>
      <c r="AY336" s="1393">
        <f>SUM(O336+U336+Y336+AC336+AI336+AQ336)</f>
        <v>0</v>
      </c>
      <c r="AZ336" s="1247">
        <f>SUM(P336+AD336+AJ336+AR336)</f>
        <v>0</v>
      </c>
      <c r="BA336" s="1247">
        <f>SUM(C336+G336+K336+Q336+W336+AK336)</f>
        <v>0</v>
      </c>
      <c r="BB336" s="1385">
        <f t="shared" si="309"/>
        <v>0</v>
      </c>
    </row>
    <row r="337" spans="1:56" ht="16.2" thickBot="1" x14ac:dyDescent="0.35">
      <c r="A337" s="1216">
        <v>4</v>
      </c>
      <c r="B337" s="1040"/>
      <c r="C337" s="1333"/>
      <c r="D337" s="1441"/>
      <c r="E337" s="1227">
        <v>4</v>
      </c>
      <c r="F337" s="1040"/>
      <c r="G337" s="1333"/>
      <c r="H337" s="1441"/>
      <c r="I337" s="1227">
        <v>4</v>
      </c>
      <c r="J337" s="1040"/>
      <c r="K337" s="1333"/>
      <c r="L337" s="1441"/>
      <c r="M337" s="1227">
        <v>4</v>
      </c>
      <c r="N337" s="1040"/>
      <c r="O337" s="1355"/>
      <c r="P337" s="1355"/>
      <c r="Q337" s="1355"/>
      <c r="R337" s="1432"/>
      <c r="S337" s="1432"/>
      <c r="T337" s="1432"/>
      <c r="U337" s="1333"/>
      <c r="V337" s="1441"/>
      <c r="W337" s="1333"/>
      <c r="X337" s="1441"/>
      <c r="Y337" s="1333"/>
      <c r="Z337" s="1441"/>
      <c r="AA337" s="1040">
        <v>4</v>
      </c>
      <c r="AB337" s="1040"/>
      <c r="AC337" s="1264"/>
      <c r="AD337" s="1264"/>
      <c r="AE337" s="1533"/>
      <c r="AF337" s="1533"/>
      <c r="AG337" s="1227">
        <v>4</v>
      </c>
      <c r="AH337" s="1040"/>
      <c r="AI337" s="1333"/>
      <c r="AJ337" s="1333"/>
      <c r="AK337" s="1333"/>
      <c r="AL337" s="1441"/>
      <c r="AM337" s="1441"/>
      <c r="AN337" s="1441"/>
      <c r="AO337" s="1040">
        <v>4</v>
      </c>
      <c r="AP337" s="1040"/>
      <c r="AQ337" s="1075"/>
      <c r="AR337" s="1075"/>
      <c r="AS337" s="1444"/>
      <c r="AT337" s="1600"/>
      <c r="AU337" s="1561">
        <f t="shared" si="317"/>
        <v>0</v>
      </c>
      <c r="AV337" s="1447">
        <f t="shared" si="318"/>
        <v>0</v>
      </c>
      <c r="AW337" s="1447">
        <f t="shared" si="319"/>
        <v>0</v>
      </c>
      <c r="AX337" s="1464">
        <f t="shared" si="221"/>
        <v>0</v>
      </c>
      <c r="AY337" s="1393">
        <f>SUM(O337+U337+Y337+AC337+AI337+AQ337)</f>
        <v>0</v>
      </c>
      <c r="AZ337" s="1247">
        <f>SUM(P337+AD337+AJ337+AR337)</f>
        <v>0</v>
      </c>
      <c r="BA337" s="1247">
        <f>SUM(C337+G337+K337+Q337+W337+AK337)</f>
        <v>0</v>
      </c>
      <c r="BB337" s="1385">
        <f t="shared" si="309"/>
        <v>0</v>
      </c>
    </row>
    <row r="338" spans="1:56" s="1371" customFormat="1" ht="16.2" thickBot="1" x14ac:dyDescent="0.35">
      <c r="A338" s="1379"/>
      <c r="B338" s="1383" t="s">
        <v>1810</v>
      </c>
      <c r="C338" s="1323">
        <f>SUM(C334:C337)</f>
        <v>0</v>
      </c>
      <c r="D338" s="1445">
        <f>SUM(D334:D337)</f>
        <v>0</v>
      </c>
      <c r="E338" s="1273"/>
      <c r="F338" s="1273" t="s">
        <v>1810</v>
      </c>
      <c r="G338" s="1323">
        <f>SUM(G334:G337)</f>
        <v>0</v>
      </c>
      <c r="H338" s="1445">
        <f>SUM(H334:H337)</f>
        <v>0</v>
      </c>
      <c r="I338" s="1273"/>
      <c r="J338" s="1273" t="s">
        <v>1810</v>
      </c>
      <c r="K338" s="1323">
        <f>SUM(K334:K337)</f>
        <v>0</v>
      </c>
      <c r="L338" s="1445">
        <f>SUM(L334:L337)</f>
        <v>0</v>
      </c>
      <c r="M338" s="1273"/>
      <c r="N338" s="1273" t="s">
        <v>1810</v>
      </c>
      <c r="O338" s="1322">
        <f t="shared" ref="O338:Y338" si="320">SUM(O334:O337)</f>
        <v>0</v>
      </c>
      <c r="P338" s="1322">
        <f t="shared" si="320"/>
        <v>0</v>
      </c>
      <c r="Q338" s="1322">
        <f t="shared" si="320"/>
        <v>0</v>
      </c>
      <c r="R338" s="1445">
        <f t="shared" si="320"/>
        <v>0</v>
      </c>
      <c r="S338" s="1445">
        <f t="shared" si="320"/>
        <v>0</v>
      </c>
      <c r="T338" s="1445">
        <f t="shared" si="320"/>
        <v>0</v>
      </c>
      <c r="U338" s="1322">
        <f t="shared" si="320"/>
        <v>0</v>
      </c>
      <c r="V338" s="1445">
        <f>SUM(V334:V337)</f>
        <v>0</v>
      </c>
      <c r="W338" s="1322">
        <f t="shared" si="320"/>
        <v>0</v>
      </c>
      <c r="X338" s="1445">
        <f>SUM(X334:X337)</f>
        <v>0</v>
      </c>
      <c r="Y338" s="1322">
        <f t="shared" si="320"/>
        <v>0</v>
      </c>
      <c r="Z338" s="1445">
        <f>SUM(Z334:Z337)</f>
        <v>0</v>
      </c>
      <c r="AA338" s="1273"/>
      <c r="AB338" s="1273" t="s">
        <v>1810</v>
      </c>
      <c r="AC338" s="1322">
        <f t="shared" ref="AC338:AF338" si="321">SUM(AC334:AC337)</f>
        <v>0</v>
      </c>
      <c r="AD338" s="1322">
        <f t="shared" si="321"/>
        <v>0</v>
      </c>
      <c r="AE338" s="1445">
        <f t="shared" si="321"/>
        <v>0</v>
      </c>
      <c r="AF338" s="1445">
        <f t="shared" si="321"/>
        <v>0</v>
      </c>
      <c r="AG338" s="1273"/>
      <c r="AH338" s="1273" t="s">
        <v>1810</v>
      </c>
      <c r="AI338" s="1323">
        <f t="shared" ref="AI338:AN338" si="322">SUM(AI334:AI337)</f>
        <v>0</v>
      </c>
      <c r="AJ338" s="1323">
        <f t="shared" si="322"/>
        <v>0</v>
      </c>
      <c r="AK338" s="1323">
        <f t="shared" si="322"/>
        <v>0</v>
      </c>
      <c r="AL338" s="1445">
        <f t="shared" si="322"/>
        <v>0</v>
      </c>
      <c r="AM338" s="1445">
        <f t="shared" si="322"/>
        <v>0</v>
      </c>
      <c r="AN338" s="1445">
        <f t="shared" si="322"/>
        <v>0</v>
      </c>
      <c r="AO338" s="1273"/>
      <c r="AP338" s="1273" t="s">
        <v>1810</v>
      </c>
      <c r="AQ338" s="1323">
        <f>SUM(AQ334:AQ337)</f>
        <v>0</v>
      </c>
      <c r="AR338" s="1323">
        <f>SUM(AR334:AR337)</f>
        <v>0</v>
      </c>
      <c r="AS338" s="1445">
        <f t="shared" ref="AS338:BB338" si="323">SUM(AS334:AS337)</f>
        <v>0</v>
      </c>
      <c r="AT338" s="1616">
        <f t="shared" si="323"/>
        <v>0</v>
      </c>
      <c r="AU338" s="1580">
        <f t="shared" si="323"/>
        <v>0</v>
      </c>
      <c r="AV338" s="1481">
        <f t="shared" si="323"/>
        <v>0</v>
      </c>
      <c r="AW338" s="1481">
        <f t="shared" si="323"/>
        <v>0</v>
      </c>
      <c r="AX338" s="1482">
        <f t="shared" si="323"/>
        <v>0</v>
      </c>
      <c r="AY338" s="1411">
        <f t="shared" si="323"/>
        <v>0</v>
      </c>
      <c r="AZ338" s="1323">
        <f t="shared" si="323"/>
        <v>0</v>
      </c>
      <c r="BA338" s="1323">
        <f t="shared" si="323"/>
        <v>0</v>
      </c>
      <c r="BB338" s="1412">
        <f t="shared" si="323"/>
        <v>0</v>
      </c>
    </row>
    <row r="339" spans="1:56" ht="30" customHeight="1" thickBot="1" x14ac:dyDescent="0.35">
      <c r="A339" s="2504" t="s">
        <v>1811</v>
      </c>
      <c r="B339" s="2505"/>
      <c r="C339" s="1331">
        <f>SUM(C338+C327+C322+C317+C333)</f>
        <v>0</v>
      </c>
      <c r="D339" s="1443">
        <f>SUM(D338+D327+D322+D317+D333)</f>
        <v>0</v>
      </c>
      <c r="E339" s="2505" t="s">
        <v>1811</v>
      </c>
      <c r="F339" s="2505"/>
      <c r="G339" s="1267">
        <f t="shared" ref="G339" si="324">SUM(G338+G327+G322+G317+G333)</f>
        <v>0</v>
      </c>
      <c r="H339" s="1443">
        <f>SUM(H338+H327+H322+H317+H333)</f>
        <v>0</v>
      </c>
      <c r="I339" s="2505" t="s">
        <v>1811</v>
      </c>
      <c r="J339" s="2505"/>
      <c r="K339" s="1267">
        <f t="shared" ref="K339" si="325">SUM(K338+K327+K322+K317+K333)</f>
        <v>0</v>
      </c>
      <c r="L339" s="1443">
        <f>SUM(L338+L327+L322+L317+L333)</f>
        <v>0</v>
      </c>
      <c r="M339" s="2505" t="s">
        <v>1811</v>
      </c>
      <c r="N339" s="2505"/>
      <c r="O339" s="1353">
        <f t="shared" ref="O339:Y339" si="326">SUM(O338+O327+O322+O317+O333)</f>
        <v>0</v>
      </c>
      <c r="P339" s="1353">
        <f t="shared" si="326"/>
        <v>0</v>
      </c>
      <c r="Q339" s="1353">
        <f t="shared" si="326"/>
        <v>0</v>
      </c>
      <c r="R339" s="1443">
        <f t="shared" si="326"/>
        <v>0</v>
      </c>
      <c r="S339" s="1443">
        <f t="shared" si="326"/>
        <v>0</v>
      </c>
      <c r="T339" s="1443">
        <f t="shared" si="326"/>
        <v>0</v>
      </c>
      <c r="U339" s="1267">
        <f t="shared" si="326"/>
        <v>0</v>
      </c>
      <c r="V339" s="1443">
        <f>SUM(V338+V327+V322+V317+V333)</f>
        <v>0</v>
      </c>
      <c r="W339" s="1267">
        <f t="shared" si="326"/>
        <v>0</v>
      </c>
      <c r="X339" s="1443">
        <f>SUM(X338+X327+X322+X317+X333)</f>
        <v>0</v>
      </c>
      <c r="Y339" s="1267">
        <f t="shared" si="326"/>
        <v>0</v>
      </c>
      <c r="Z339" s="1443">
        <f>SUM(Z338+Z327+Z322+Z317+Z333)</f>
        <v>0</v>
      </c>
      <c r="AA339" s="2505" t="s">
        <v>1811</v>
      </c>
      <c r="AB339" s="2505"/>
      <c r="AC339" s="1256">
        <f t="shared" ref="AC339:AF339" si="327">SUM(AC338+AC327+AC322+AC317+AC333)</f>
        <v>0</v>
      </c>
      <c r="AD339" s="1256">
        <f t="shared" si="327"/>
        <v>0</v>
      </c>
      <c r="AE339" s="1443">
        <f t="shared" si="327"/>
        <v>0</v>
      </c>
      <c r="AF339" s="1443">
        <f t="shared" si="327"/>
        <v>0</v>
      </c>
      <c r="AG339" s="2505" t="s">
        <v>1811</v>
      </c>
      <c r="AH339" s="2505"/>
      <c r="AI339" s="1267">
        <f t="shared" ref="AI339:AN339" si="328">SUM(AI338+AI327+AI322+AI317+AI333)</f>
        <v>0</v>
      </c>
      <c r="AJ339" s="1267">
        <f t="shared" si="328"/>
        <v>0</v>
      </c>
      <c r="AK339" s="1267">
        <f t="shared" si="328"/>
        <v>0</v>
      </c>
      <c r="AL339" s="1443">
        <f t="shared" si="328"/>
        <v>0</v>
      </c>
      <c r="AM339" s="1443">
        <f t="shared" si="328"/>
        <v>0</v>
      </c>
      <c r="AN339" s="1443">
        <f t="shared" si="328"/>
        <v>0</v>
      </c>
      <c r="AO339" s="2505" t="s">
        <v>1811</v>
      </c>
      <c r="AP339" s="2505"/>
      <c r="AQ339" s="1257">
        <f t="shared" ref="AQ339:BB339" si="329">SUM(AQ338+AQ327+AQ322+AQ317+AQ333)</f>
        <v>0</v>
      </c>
      <c r="AR339" s="1257">
        <f t="shared" si="329"/>
        <v>0</v>
      </c>
      <c r="AS339" s="1443">
        <f t="shared" si="329"/>
        <v>0</v>
      </c>
      <c r="AT339" s="1612">
        <f t="shared" si="329"/>
        <v>0</v>
      </c>
      <c r="AU339" s="1575">
        <f t="shared" si="329"/>
        <v>0</v>
      </c>
      <c r="AV339" s="1473">
        <f t="shared" si="329"/>
        <v>0</v>
      </c>
      <c r="AW339" s="1473">
        <f t="shared" si="329"/>
        <v>0</v>
      </c>
      <c r="AX339" s="1474">
        <f t="shared" si="329"/>
        <v>0</v>
      </c>
      <c r="AY339" s="1408">
        <f t="shared" si="329"/>
        <v>0</v>
      </c>
      <c r="AZ339" s="1331">
        <f t="shared" si="329"/>
        <v>0</v>
      </c>
      <c r="BA339" s="1331">
        <f t="shared" si="329"/>
        <v>0</v>
      </c>
      <c r="BB339" s="1409">
        <f t="shared" si="329"/>
        <v>0</v>
      </c>
    </row>
    <row r="340" spans="1:56" ht="27" x14ac:dyDescent="0.3">
      <c r="A340" s="1044"/>
      <c r="B340" s="1286" t="s">
        <v>1584</v>
      </c>
      <c r="C340" s="1332"/>
      <c r="D340" s="1502"/>
      <c r="E340" s="1213"/>
      <c r="F340" s="1286" t="s">
        <v>1584</v>
      </c>
      <c r="G340" s="1332"/>
      <c r="H340" s="1502"/>
      <c r="I340" s="1213"/>
      <c r="J340" s="1286" t="s">
        <v>1584</v>
      </c>
      <c r="K340" s="1332"/>
      <c r="L340" s="1502"/>
      <c r="M340" s="1213"/>
      <c r="N340" s="1286" t="s">
        <v>1584</v>
      </c>
      <c r="O340" s="1354"/>
      <c r="P340" s="1354"/>
      <c r="Q340" s="1354"/>
      <c r="R340" s="1440"/>
      <c r="S340" s="1440"/>
      <c r="T340" s="1440"/>
      <c r="U340" s="1332"/>
      <c r="V340" s="1502"/>
      <c r="W340" s="1332"/>
      <c r="X340" s="1502"/>
      <c r="Y340" s="1332"/>
      <c r="Z340" s="1502"/>
      <c r="AA340" s="1213"/>
      <c r="AB340" s="1286" t="s">
        <v>1584</v>
      </c>
      <c r="AC340" s="1259"/>
      <c r="AD340" s="1259"/>
      <c r="AE340" s="1430"/>
      <c r="AF340" s="1430"/>
      <c r="AG340" s="1213"/>
      <c r="AH340" s="1286" t="s">
        <v>1584</v>
      </c>
      <c r="AI340" s="1332"/>
      <c r="AJ340" s="1332"/>
      <c r="AK340" s="1332"/>
      <c r="AL340" s="1502"/>
      <c r="AM340" s="1502"/>
      <c r="AN340" s="1502"/>
      <c r="AO340" s="1213"/>
      <c r="AP340" s="1286" t="s">
        <v>1584</v>
      </c>
      <c r="AQ340" s="1067"/>
      <c r="AR340" s="1067"/>
      <c r="AS340" s="1493"/>
      <c r="AT340" s="1595"/>
      <c r="AU340" s="1571"/>
      <c r="AV340" s="1469"/>
      <c r="AW340" s="1471"/>
      <c r="AX340" s="1470">
        <f t="shared" si="221"/>
        <v>0</v>
      </c>
      <c r="AY340" s="1393">
        <f>SUM(O340+U340+Y340+AC340+AI340+AQ340)</f>
        <v>0</v>
      </c>
      <c r="AZ340" s="1247">
        <f>SUM(P340+AD340+AJ340+AR340)</f>
        <v>0</v>
      </c>
      <c r="BA340" s="1247">
        <f>SUM(C340+G340+K340+Q340+W340+AK340)</f>
        <v>0</v>
      </c>
      <c r="BB340" s="1385">
        <f t="shared" si="309"/>
        <v>0</v>
      </c>
    </row>
    <row r="341" spans="1:56" ht="15.6" x14ac:dyDescent="0.3">
      <c r="A341" s="1120">
        <v>1</v>
      </c>
      <c r="B341" s="1176"/>
      <c r="C341" s="1294"/>
      <c r="D341" s="1494"/>
      <c r="E341" s="1175">
        <v>1</v>
      </c>
      <c r="F341" s="1176"/>
      <c r="G341" s="1294"/>
      <c r="H341" s="1494"/>
      <c r="I341" s="1175">
        <v>1</v>
      </c>
      <c r="J341" s="1176"/>
      <c r="K341" s="1294"/>
      <c r="L341" s="1494"/>
      <c r="M341" s="1175">
        <v>1</v>
      </c>
      <c r="N341" s="1304" t="s">
        <v>1767</v>
      </c>
      <c r="O341" s="1295"/>
      <c r="P341" s="1295"/>
      <c r="Q341" s="1295"/>
      <c r="R341" s="1431"/>
      <c r="S341" s="1431"/>
      <c r="T341" s="1431"/>
      <c r="U341" s="1294"/>
      <c r="V341" s="1494"/>
      <c r="W341" s="1294"/>
      <c r="X341" s="1494"/>
      <c r="Y341" s="1294"/>
      <c r="Z341" s="1494"/>
      <c r="AA341" s="1175">
        <v>1</v>
      </c>
      <c r="AB341" s="1176"/>
      <c r="AC341" s="1261"/>
      <c r="AD341" s="1261"/>
      <c r="AE341" s="1532"/>
      <c r="AF341" s="1532"/>
      <c r="AG341" s="1175">
        <v>1</v>
      </c>
      <c r="AH341" s="1176"/>
      <c r="AI341" s="1294"/>
      <c r="AJ341" s="1294"/>
      <c r="AK341" s="1294"/>
      <c r="AL341" s="1494"/>
      <c r="AM341" s="1494"/>
      <c r="AN341" s="1494"/>
      <c r="AO341" s="1175">
        <v>1</v>
      </c>
      <c r="AP341" s="1176"/>
      <c r="AQ341" s="1262"/>
      <c r="AR341" s="1262"/>
      <c r="AS341" s="1552"/>
      <c r="AT341" s="1599"/>
      <c r="AU341" s="1561">
        <f t="shared" ref="AU341:AU342" si="330">R341+V341+Z341+AE341+AL341+AS341</f>
        <v>0</v>
      </c>
      <c r="AV341" s="1447">
        <f t="shared" ref="AV341:AV342" si="331">S341+AF341+AM341+AT341</f>
        <v>0</v>
      </c>
      <c r="AW341" s="1447">
        <f t="shared" ref="AW341:AW342" si="332">D341+H341+L341+T341+X341+AN341</f>
        <v>0</v>
      </c>
      <c r="AX341" s="1463">
        <f t="shared" ref="AX341:AX350" si="333">SUM(AU341:AW341)</f>
        <v>0</v>
      </c>
      <c r="AY341" s="1393">
        <f>SUM(O341+U341+Y341+AC341+AI341+AQ341)</f>
        <v>0</v>
      </c>
      <c r="AZ341" s="1247">
        <f>SUM(P341+AD341+AJ341+AR341)</f>
        <v>0</v>
      </c>
      <c r="BA341" s="1247">
        <f>SUM(C341+G341+K341+Q341+W341+AK341)</f>
        <v>0</v>
      </c>
      <c r="BB341" s="1385">
        <f t="shared" si="309"/>
        <v>0</v>
      </c>
    </row>
    <row r="342" spans="1:56" ht="16.2" thickBot="1" x14ac:dyDescent="0.35">
      <c r="A342" s="1129">
        <v>2</v>
      </c>
      <c r="B342" s="1289"/>
      <c r="C342" s="1333"/>
      <c r="D342" s="1441"/>
      <c r="E342" s="1287">
        <v>2</v>
      </c>
      <c r="F342" s="1289"/>
      <c r="G342" s="1333"/>
      <c r="H342" s="1441"/>
      <c r="I342" s="1287">
        <v>2</v>
      </c>
      <c r="J342" s="1115"/>
      <c r="K342" s="1333"/>
      <c r="L342" s="1441"/>
      <c r="M342" s="1287">
        <v>2</v>
      </c>
      <c r="N342" s="1306" t="s">
        <v>1768</v>
      </c>
      <c r="O342" s="1307">
        <f>66070-19570</f>
        <v>46500</v>
      </c>
      <c r="P342" s="1355"/>
      <c r="Q342" s="1355"/>
      <c r="R342" s="1432">
        <f>23381-7000</f>
        <v>16381</v>
      </c>
      <c r="S342" s="1432"/>
      <c r="T342" s="1432"/>
      <c r="U342" s="1333">
        <v>68450</v>
      </c>
      <c r="V342" s="1441">
        <v>35000</v>
      </c>
      <c r="W342" s="1333"/>
      <c r="X342" s="1441"/>
      <c r="Y342" s="1333"/>
      <c r="Z342" s="1441"/>
      <c r="AA342" s="1287">
        <v>2</v>
      </c>
      <c r="AB342" s="1289"/>
      <c r="AC342" s="1264"/>
      <c r="AD342" s="1264"/>
      <c r="AE342" s="1533"/>
      <c r="AF342" s="1533"/>
      <c r="AG342" s="1287">
        <v>2</v>
      </c>
      <c r="AH342" s="1289"/>
      <c r="AI342" s="1333"/>
      <c r="AJ342" s="1333"/>
      <c r="AK342" s="1333"/>
      <c r="AL342" s="1441"/>
      <c r="AM342" s="1441"/>
      <c r="AN342" s="1441"/>
      <c r="AO342" s="1287">
        <v>2</v>
      </c>
      <c r="AP342" s="1115"/>
      <c r="AQ342" s="1159">
        <v>2000</v>
      </c>
      <c r="AR342" s="1075"/>
      <c r="AS342" s="1444">
        <v>2540</v>
      </c>
      <c r="AT342" s="1600"/>
      <c r="AU342" s="1561">
        <f t="shared" si="330"/>
        <v>53921</v>
      </c>
      <c r="AV342" s="1447">
        <f t="shared" si="331"/>
        <v>0</v>
      </c>
      <c r="AW342" s="1447">
        <f t="shared" si="332"/>
        <v>0</v>
      </c>
      <c r="AX342" s="1464">
        <f t="shared" si="333"/>
        <v>53921</v>
      </c>
      <c r="AY342" s="1393">
        <f>SUM(O342+U342+Y342+AC342+AI342+AQ342)</f>
        <v>116950</v>
      </c>
      <c r="AZ342" s="1247">
        <f>SUM(P342+AD342+AJ342+AR342)</f>
        <v>0</v>
      </c>
      <c r="BA342" s="1247">
        <f>SUM(C342+G342+K342+Q342+W342+AK342)</f>
        <v>0</v>
      </c>
      <c r="BB342" s="1385">
        <f t="shared" si="309"/>
        <v>116950</v>
      </c>
    </row>
    <row r="343" spans="1:56" ht="16.2" thickBot="1" x14ac:dyDescent="0.35">
      <c r="A343" s="2297"/>
      <c r="B343" s="1288" t="s">
        <v>1812</v>
      </c>
      <c r="C343" s="1267">
        <f>SUM(C340:C342)</f>
        <v>0</v>
      </c>
      <c r="D343" s="1434">
        <f>SUM(D340:D342)</f>
        <v>0</v>
      </c>
      <c r="E343" s="2296"/>
      <c r="F343" s="1288" t="s">
        <v>1812</v>
      </c>
      <c r="G343" s="1267">
        <f>SUM(G340:G342)</f>
        <v>0</v>
      </c>
      <c r="H343" s="1434">
        <f>SUM(H340:H342)</f>
        <v>0</v>
      </c>
      <c r="I343" s="2296"/>
      <c r="J343" s="1288" t="s">
        <v>1812</v>
      </c>
      <c r="K343" s="1267">
        <f>SUM(K340:K342)</f>
        <v>0</v>
      </c>
      <c r="L343" s="1434">
        <f>SUM(L340:L342)</f>
        <v>0</v>
      </c>
      <c r="M343" s="2296"/>
      <c r="N343" s="1288" t="s">
        <v>1812</v>
      </c>
      <c r="O343" s="1353">
        <f t="shared" ref="O343:Y343" si="334">SUM(O340:O342)</f>
        <v>46500</v>
      </c>
      <c r="P343" s="1353">
        <f t="shared" si="334"/>
        <v>0</v>
      </c>
      <c r="Q343" s="1353">
        <f t="shared" si="334"/>
        <v>0</v>
      </c>
      <c r="R343" s="1434">
        <f t="shared" si="334"/>
        <v>16381</v>
      </c>
      <c r="S343" s="1434">
        <f t="shared" si="334"/>
        <v>0</v>
      </c>
      <c r="T343" s="1434">
        <f t="shared" si="334"/>
        <v>0</v>
      </c>
      <c r="U343" s="1353">
        <f t="shared" si="334"/>
        <v>68450</v>
      </c>
      <c r="V343" s="1434">
        <f>SUM(V340:V342)</f>
        <v>35000</v>
      </c>
      <c r="W343" s="1353">
        <f t="shared" si="334"/>
        <v>0</v>
      </c>
      <c r="X343" s="1434">
        <f>SUM(X340:X342)</f>
        <v>0</v>
      </c>
      <c r="Y343" s="1353">
        <f t="shared" si="334"/>
        <v>0</v>
      </c>
      <c r="Z343" s="1434">
        <f>SUM(Z340:Z342)</f>
        <v>0</v>
      </c>
      <c r="AA343" s="2296"/>
      <c r="AB343" s="1288" t="s">
        <v>1812</v>
      </c>
      <c r="AC343" s="1256">
        <f t="shared" ref="AC343:AF343" si="335">SUM(AC340:AC342)</f>
        <v>0</v>
      </c>
      <c r="AD343" s="1256">
        <f t="shared" si="335"/>
        <v>0</v>
      </c>
      <c r="AE343" s="1434">
        <f t="shared" si="335"/>
        <v>0</v>
      </c>
      <c r="AF343" s="1434">
        <f t="shared" si="335"/>
        <v>0</v>
      </c>
      <c r="AG343" s="2296"/>
      <c r="AH343" s="1288" t="s">
        <v>1812</v>
      </c>
      <c r="AI343" s="1267">
        <f t="shared" ref="AI343:AN343" si="336">SUM(AI340:AI342)</f>
        <v>0</v>
      </c>
      <c r="AJ343" s="1267">
        <f t="shared" si="336"/>
        <v>0</v>
      </c>
      <c r="AK343" s="1267">
        <f t="shared" si="336"/>
        <v>0</v>
      </c>
      <c r="AL343" s="1434">
        <f t="shared" si="336"/>
        <v>0</v>
      </c>
      <c r="AM343" s="1434">
        <f t="shared" si="336"/>
        <v>0</v>
      </c>
      <c r="AN343" s="1434">
        <f t="shared" si="336"/>
        <v>0</v>
      </c>
      <c r="AO343" s="2296"/>
      <c r="AP343" s="1288" t="s">
        <v>1812</v>
      </c>
      <c r="AQ343" s="1257">
        <f>SUM(AQ340:AQ342)</f>
        <v>2000</v>
      </c>
      <c r="AR343" s="1257">
        <f>SUM(AR340:AR342)</f>
        <v>0</v>
      </c>
      <c r="AS343" s="1434">
        <f t="shared" ref="AS343:BB343" si="337">SUM(AS340:AS342)</f>
        <v>2540</v>
      </c>
      <c r="AT343" s="1598">
        <f t="shared" si="337"/>
        <v>0</v>
      </c>
      <c r="AU343" s="1572">
        <f t="shared" si="337"/>
        <v>53921</v>
      </c>
      <c r="AV343" s="1457">
        <f t="shared" si="337"/>
        <v>0</v>
      </c>
      <c r="AW343" s="1457">
        <f t="shared" si="337"/>
        <v>0</v>
      </c>
      <c r="AX343" s="1458">
        <f t="shared" si="337"/>
        <v>53921</v>
      </c>
      <c r="AY343" s="1405">
        <f t="shared" si="337"/>
        <v>116950</v>
      </c>
      <c r="AZ343" s="1267">
        <f t="shared" si="337"/>
        <v>0</v>
      </c>
      <c r="BA343" s="1267">
        <f t="shared" si="337"/>
        <v>0</v>
      </c>
      <c r="BB343" s="1399">
        <f t="shared" si="337"/>
        <v>116950</v>
      </c>
    </row>
    <row r="344" spans="1:56" ht="15.6" x14ac:dyDescent="0.3">
      <c r="A344" s="1044"/>
      <c r="B344" s="1286" t="s">
        <v>1770</v>
      </c>
      <c r="C344" s="1332"/>
      <c r="D344" s="1502"/>
      <c r="E344" s="1213"/>
      <c r="F344" s="1286" t="s">
        <v>1770</v>
      </c>
      <c r="G344" s="1332"/>
      <c r="H344" s="1502"/>
      <c r="I344" s="1213"/>
      <c r="J344" s="1286" t="s">
        <v>1770</v>
      </c>
      <c r="K344" s="1332"/>
      <c r="L344" s="1502"/>
      <c r="M344" s="1213"/>
      <c r="N344" s="1286" t="s">
        <v>1770</v>
      </c>
      <c r="O344" s="1354"/>
      <c r="P344" s="1354"/>
      <c r="Q344" s="1354"/>
      <c r="R344" s="1440"/>
      <c r="S344" s="1440"/>
      <c r="T344" s="1440"/>
      <c r="U344" s="1332"/>
      <c r="V344" s="1502"/>
      <c r="W344" s="1332"/>
      <c r="X344" s="1502"/>
      <c r="Y344" s="1332"/>
      <c r="Z344" s="1502"/>
      <c r="AA344" s="1213"/>
      <c r="AB344" s="1286" t="s">
        <v>1770</v>
      </c>
      <c r="AC344" s="1259"/>
      <c r="AD344" s="1259"/>
      <c r="AE344" s="1430"/>
      <c r="AF344" s="1430"/>
      <c r="AG344" s="1213"/>
      <c r="AH344" s="1286" t="s">
        <v>1770</v>
      </c>
      <c r="AI344" s="1332"/>
      <c r="AJ344" s="1332"/>
      <c r="AK344" s="1332"/>
      <c r="AL344" s="1502"/>
      <c r="AM344" s="1502"/>
      <c r="AN344" s="1502"/>
      <c r="AO344" s="1213"/>
      <c r="AP344" s="1286" t="s">
        <v>1770</v>
      </c>
      <c r="AQ344" s="1067"/>
      <c r="AR344" s="1067"/>
      <c r="AS344" s="1493"/>
      <c r="AT344" s="1595"/>
      <c r="AU344" s="1571"/>
      <c r="AV344" s="1469"/>
      <c r="AW344" s="1471"/>
      <c r="AX344" s="1470">
        <f t="shared" si="333"/>
        <v>0</v>
      </c>
      <c r="AY344" s="1393">
        <f>SUM(O344+U344+Y344+AC344+AI344+AQ344)</f>
        <v>0</v>
      </c>
      <c r="AZ344" s="1247">
        <f>SUM(P344+AD344+AJ344+AR344)</f>
        <v>0</v>
      </c>
      <c r="BA344" s="1247">
        <f>SUM(C344+G344+K344+Q344+W344+AK344)</f>
        <v>0</v>
      </c>
      <c r="BB344" s="1385">
        <f t="shared" si="309"/>
        <v>0</v>
      </c>
    </row>
    <row r="345" spans="1:56" ht="15.6" x14ac:dyDescent="0.3">
      <c r="A345" s="1120">
        <v>1</v>
      </c>
      <c r="B345" s="1176"/>
      <c r="C345" s="1294"/>
      <c r="D345" s="1494"/>
      <c r="E345" s="1175">
        <v>1</v>
      </c>
      <c r="F345" s="1176"/>
      <c r="G345" s="1294"/>
      <c r="H345" s="1494"/>
      <c r="I345" s="1175">
        <v>1</v>
      </c>
      <c r="J345" s="1176"/>
      <c r="K345" s="1294"/>
      <c r="L345" s="1494"/>
      <c r="M345" s="1175">
        <v>1</v>
      </c>
      <c r="N345" s="1176"/>
      <c r="O345" s="1295"/>
      <c r="P345" s="1295"/>
      <c r="Q345" s="1295"/>
      <c r="R345" s="1431"/>
      <c r="S345" s="1431"/>
      <c r="T345" s="1431"/>
      <c r="U345" s="1294"/>
      <c r="V345" s="1494"/>
      <c r="W345" s="1294"/>
      <c r="X345" s="1494"/>
      <c r="Y345" s="1294"/>
      <c r="Z345" s="1494"/>
      <c r="AA345" s="1175">
        <v>1</v>
      </c>
      <c r="AB345" s="1176"/>
      <c r="AC345" s="1261"/>
      <c r="AD345" s="1261"/>
      <c r="AE345" s="1532"/>
      <c r="AF345" s="1532"/>
      <c r="AG345" s="1175">
        <v>1</v>
      </c>
      <c r="AH345" s="1176"/>
      <c r="AI345" s="1294"/>
      <c r="AJ345" s="1294"/>
      <c r="AK345" s="1294"/>
      <c r="AL345" s="1494"/>
      <c r="AM345" s="1494"/>
      <c r="AN345" s="1494"/>
      <c r="AO345" s="1175">
        <v>1</v>
      </c>
      <c r="AP345" s="1176"/>
      <c r="AQ345" s="1262"/>
      <c r="AR345" s="1262"/>
      <c r="AS345" s="1552"/>
      <c r="AT345" s="1599"/>
      <c r="AU345" s="1561">
        <f t="shared" ref="AU345:AU346" si="338">R345+V345+Z345+AE345+AL345+AS345</f>
        <v>0</v>
      </c>
      <c r="AV345" s="1447">
        <f t="shared" ref="AV345:AV346" si="339">S345+AF345+AM345+AT345</f>
        <v>0</v>
      </c>
      <c r="AW345" s="1447">
        <f t="shared" ref="AW345:AW346" si="340">D345+H345+L345+T345+X345+AN345</f>
        <v>0</v>
      </c>
      <c r="AX345" s="1463">
        <f t="shared" si="333"/>
        <v>0</v>
      </c>
      <c r="AY345" s="1393">
        <f>SUM(O345+U345+Y345+AC345+AI345+AQ345)</f>
        <v>0</v>
      </c>
      <c r="AZ345" s="1247">
        <f>SUM(P345+AD345+AJ345+AR345)</f>
        <v>0</v>
      </c>
      <c r="BA345" s="1247">
        <f>SUM(C345+G345+K345+Q345+W345+AK345)</f>
        <v>0</v>
      </c>
      <c r="BB345" s="1385">
        <f t="shared" si="309"/>
        <v>0</v>
      </c>
    </row>
    <row r="346" spans="1:56" ht="16.2" thickBot="1" x14ac:dyDescent="0.35">
      <c r="A346" s="1129">
        <v>2</v>
      </c>
      <c r="B346" s="1289"/>
      <c r="C346" s="1333"/>
      <c r="D346" s="1441"/>
      <c r="E346" s="1287">
        <v>2</v>
      </c>
      <c r="F346" s="1289"/>
      <c r="G346" s="1333"/>
      <c r="H346" s="1441"/>
      <c r="I346" s="1287">
        <v>2</v>
      </c>
      <c r="J346" s="1289"/>
      <c r="K346" s="1333"/>
      <c r="L346" s="1441"/>
      <c r="M346" s="1287">
        <v>2</v>
      </c>
      <c r="N346" s="1289"/>
      <c r="O346" s="1355"/>
      <c r="P346" s="1355"/>
      <c r="Q346" s="1355"/>
      <c r="R346" s="1432"/>
      <c r="S346" s="1432"/>
      <c r="T346" s="1432"/>
      <c r="U346" s="1333"/>
      <c r="V346" s="1441"/>
      <c r="W346" s="1333"/>
      <c r="X346" s="1441"/>
      <c r="Y346" s="1333"/>
      <c r="Z346" s="1441"/>
      <c r="AA346" s="1287">
        <v>2</v>
      </c>
      <c r="AB346" s="1289"/>
      <c r="AC346" s="1264"/>
      <c r="AD346" s="1264"/>
      <c r="AE346" s="1533"/>
      <c r="AF346" s="1533"/>
      <c r="AG346" s="1287">
        <v>2</v>
      </c>
      <c r="AH346" s="1289"/>
      <c r="AI346" s="1333"/>
      <c r="AJ346" s="1333"/>
      <c r="AK346" s="1333"/>
      <c r="AL346" s="1441"/>
      <c r="AM346" s="1441"/>
      <c r="AN346" s="1441"/>
      <c r="AO346" s="1287">
        <v>2</v>
      </c>
      <c r="AP346" s="1289"/>
      <c r="AQ346" s="1075"/>
      <c r="AR346" s="1075"/>
      <c r="AS346" s="1444"/>
      <c r="AT346" s="1600"/>
      <c r="AU346" s="1561">
        <f t="shared" si="338"/>
        <v>0</v>
      </c>
      <c r="AV346" s="1447">
        <f t="shared" si="339"/>
        <v>0</v>
      </c>
      <c r="AW346" s="1447">
        <f t="shared" si="340"/>
        <v>0</v>
      </c>
      <c r="AX346" s="1464">
        <f t="shared" si="333"/>
        <v>0</v>
      </c>
      <c r="AY346" s="1393">
        <f>SUM(O346+U346+Y346+AC346+AI346+AQ346)</f>
        <v>0</v>
      </c>
      <c r="AZ346" s="1247">
        <f>SUM(P346+AD346+AJ346+AR346)</f>
        <v>0</v>
      </c>
      <c r="BA346" s="1247">
        <f>SUM(C346+G346+K346+Q346+W346+AK346)</f>
        <v>0</v>
      </c>
      <c r="BB346" s="1385">
        <f t="shared" si="309"/>
        <v>0</v>
      </c>
    </row>
    <row r="347" spans="1:56" ht="16.2" thickBot="1" x14ac:dyDescent="0.35">
      <c r="A347" s="2297"/>
      <c r="B347" s="1288" t="s">
        <v>1773</v>
      </c>
      <c r="C347" s="1267">
        <f>SUM(C344:C346)</f>
        <v>0</v>
      </c>
      <c r="D347" s="1434">
        <f>SUM(D344:D346)</f>
        <v>0</v>
      </c>
      <c r="E347" s="2296"/>
      <c r="F347" s="1288" t="s">
        <v>1773</v>
      </c>
      <c r="G347" s="1267">
        <f>SUM(G344:G346)</f>
        <v>0</v>
      </c>
      <c r="H347" s="1434">
        <f>SUM(H344:H346)</f>
        <v>0</v>
      </c>
      <c r="I347" s="2296"/>
      <c r="J347" s="1288" t="s">
        <v>1773</v>
      </c>
      <c r="K347" s="1267">
        <f>SUM(K344:K346)</f>
        <v>0</v>
      </c>
      <c r="L347" s="1434">
        <f>SUM(L344:L346)</f>
        <v>0</v>
      </c>
      <c r="M347" s="2296"/>
      <c r="N347" s="1288" t="s">
        <v>1773</v>
      </c>
      <c r="O347" s="1353">
        <f t="shared" ref="O347:Q347" si="341">SUM(O344:O346)</f>
        <v>0</v>
      </c>
      <c r="P347" s="1353">
        <f t="shared" si="341"/>
        <v>0</v>
      </c>
      <c r="Q347" s="1353">
        <f t="shared" si="341"/>
        <v>0</v>
      </c>
      <c r="R347" s="1434">
        <f>SUM(R344:R346)</f>
        <v>0</v>
      </c>
      <c r="S347" s="1434">
        <f t="shared" ref="S347:Z347" si="342">SUM(S344:S346)</f>
        <v>0</v>
      </c>
      <c r="T347" s="1434">
        <f t="shared" si="342"/>
        <v>0</v>
      </c>
      <c r="U347" s="1267">
        <f t="shared" si="342"/>
        <v>0</v>
      </c>
      <c r="V347" s="1434">
        <f t="shared" si="342"/>
        <v>0</v>
      </c>
      <c r="W347" s="1267">
        <f t="shared" si="342"/>
        <v>0</v>
      </c>
      <c r="X347" s="1434">
        <f t="shared" si="342"/>
        <v>0</v>
      </c>
      <c r="Y347" s="1267">
        <f t="shared" si="342"/>
        <v>0</v>
      </c>
      <c r="Z347" s="1434">
        <f t="shared" si="342"/>
        <v>0</v>
      </c>
      <c r="AA347" s="2296"/>
      <c r="AB347" s="1288" t="s">
        <v>1773</v>
      </c>
      <c r="AC347" s="1256">
        <f t="shared" ref="AC347:AF347" si="343">SUM(AC344:AC346)</f>
        <v>0</v>
      </c>
      <c r="AD347" s="1256">
        <f t="shared" si="343"/>
        <v>0</v>
      </c>
      <c r="AE347" s="1434">
        <f t="shared" si="343"/>
        <v>0</v>
      </c>
      <c r="AF347" s="1434">
        <f t="shared" si="343"/>
        <v>0</v>
      </c>
      <c r="AG347" s="2296"/>
      <c r="AH347" s="1288" t="s">
        <v>1773</v>
      </c>
      <c r="AI347" s="1267">
        <f t="shared" ref="AI347:AN347" si="344">SUM(AI344:AI346)</f>
        <v>0</v>
      </c>
      <c r="AJ347" s="1267">
        <f t="shared" si="344"/>
        <v>0</v>
      </c>
      <c r="AK347" s="1267">
        <f t="shared" si="344"/>
        <v>0</v>
      </c>
      <c r="AL347" s="1434">
        <f t="shared" si="344"/>
        <v>0</v>
      </c>
      <c r="AM347" s="1434">
        <f t="shared" si="344"/>
        <v>0</v>
      </c>
      <c r="AN347" s="1434">
        <f t="shared" si="344"/>
        <v>0</v>
      </c>
      <c r="AO347" s="2296"/>
      <c r="AP347" s="1288" t="s">
        <v>1773</v>
      </c>
      <c r="AQ347" s="1257">
        <f>SUM(AQ344:AQ346)</f>
        <v>0</v>
      </c>
      <c r="AR347" s="1257">
        <f>SUM(AR344:AR346)</f>
        <v>0</v>
      </c>
      <c r="AS347" s="1434">
        <f t="shared" ref="AS347:BB347" si="345">SUM(AS344:AS346)</f>
        <v>0</v>
      </c>
      <c r="AT347" s="1598">
        <f t="shared" si="345"/>
        <v>0</v>
      </c>
      <c r="AU347" s="1572">
        <f t="shared" si="345"/>
        <v>0</v>
      </c>
      <c r="AV347" s="1457">
        <f t="shared" si="345"/>
        <v>0</v>
      </c>
      <c r="AW347" s="1457">
        <f t="shared" si="345"/>
        <v>0</v>
      </c>
      <c r="AX347" s="1458">
        <f t="shared" si="345"/>
        <v>0</v>
      </c>
      <c r="AY347" s="1405">
        <f t="shared" si="345"/>
        <v>0</v>
      </c>
      <c r="AZ347" s="1267">
        <f t="shared" si="345"/>
        <v>0</v>
      </c>
      <c r="BA347" s="1267">
        <f t="shared" si="345"/>
        <v>0</v>
      </c>
      <c r="BB347" s="1399">
        <f t="shared" si="345"/>
        <v>0</v>
      </c>
    </row>
    <row r="348" spans="1:56" ht="27" x14ac:dyDescent="0.3">
      <c r="A348" s="1044"/>
      <c r="B348" s="1286" t="s">
        <v>1774</v>
      </c>
      <c r="C348" s="1332"/>
      <c r="D348" s="1502"/>
      <c r="E348" s="1213"/>
      <c r="F348" s="1286" t="s">
        <v>1774</v>
      </c>
      <c r="G348" s="1332"/>
      <c r="H348" s="1502"/>
      <c r="I348" s="1213"/>
      <c r="J348" s="1286" t="s">
        <v>1774</v>
      </c>
      <c r="K348" s="1332"/>
      <c r="L348" s="1502"/>
      <c r="M348" s="1213"/>
      <c r="N348" s="1286" t="s">
        <v>1774</v>
      </c>
      <c r="O348" s="1354"/>
      <c r="P348" s="1354"/>
      <c r="Q348" s="1354"/>
      <c r="R348" s="1440"/>
      <c r="S348" s="1440"/>
      <c r="T348" s="1440"/>
      <c r="U348" s="1332"/>
      <c r="V348" s="1502"/>
      <c r="W348" s="1332"/>
      <c r="X348" s="1502"/>
      <c r="Y348" s="1332"/>
      <c r="Z348" s="1502"/>
      <c r="AA348" s="1213"/>
      <c r="AB348" s="1286" t="s">
        <v>1774</v>
      </c>
      <c r="AC348" s="1259"/>
      <c r="AD348" s="1259"/>
      <c r="AE348" s="1430"/>
      <c r="AF348" s="1430"/>
      <c r="AG348" s="1213"/>
      <c r="AH348" s="1286" t="s">
        <v>1774</v>
      </c>
      <c r="AI348" s="1332"/>
      <c r="AJ348" s="1332"/>
      <c r="AK348" s="1332"/>
      <c r="AL348" s="1502"/>
      <c r="AM348" s="1502"/>
      <c r="AN348" s="1502"/>
      <c r="AO348" s="1213"/>
      <c r="AP348" s="1286" t="s">
        <v>1774</v>
      </c>
      <c r="AQ348" s="1067"/>
      <c r="AR348" s="1067"/>
      <c r="AS348" s="1493"/>
      <c r="AT348" s="1595"/>
      <c r="AU348" s="1571"/>
      <c r="AV348" s="1469"/>
      <c r="AW348" s="1471"/>
      <c r="AX348" s="1470">
        <f t="shared" si="333"/>
        <v>0</v>
      </c>
      <c r="AY348" s="1393">
        <f>SUM(O348+U348+Y348+AC348+AI348+AQ348)</f>
        <v>0</v>
      </c>
      <c r="AZ348" s="1247">
        <f>SUM(P348+AD348+AJ348+AR348)</f>
        <v>0</v>
      </c>
      <c r="BA348" s="1247">
        <f>SUM(C348+G348+K348+Q348+W348+AK348)</f>
        <v>0</v>
      </c>
      <c r="BB348" s="1385">
        <f t="shared" si="309"/>
        <v>0</v>
      </c>
    </row>
    <row r="349" spans="1:56" ht="15.6" x14ac:dyDescent="0.3">
      <c r="A349" s="1120">
        <v>1</v>
      </c>
      <c r="B349" s="1176"/>
      <c r="C349" s="1294"/>
      <c r="D349" s="1494"/>
      <c r="E349" s="1175">
        <v>1</v>
      </c>
      <c r="F349" s="1176"/>
      <c r="G349" s="1294"/>
      <c r="H349" s="1494"/>
      <c r="I349" s="1175">
        <v>1</v>
      </c>
      <c r="J349" s="1176"/>
      <c r="K349" s="1294"/>
      <c r="L349" s="1494"/>
      <c r="M349" s="1175">
        <v>1</v>
      </c>
      <c r="N349" s="1176"/>
      <c r="O349" s="1295"/>
      <c r="P349" s="1295"/>
      <c r="Q349" s="1295"/>
      <c r="R349" s="1431"/>
      <c r="S349" s="1431"/>
      <c r="T349" s="1431"/>
      <c r="U349" s="1294"/>
      <c r="V349" s="1494"/>
      <c r="W349" s="1294"/>
      <c r="X349" s="1494"/>
      <c r="Y349" s="1294"/>
      <c r="Z349" s="1494"/>
      <c r="AA349" s="1175">
        <v>1</v>
      </c>
      <c r="AB349" s="1176"/>
      <c r="AC349" s="1261"/>
      <c r="AD349" s="1261"/>
      <c r="AE349" s="1532"/>
      <c r="AF349" s="1532"/>
      <c r="AG349" s="1175">
        <v>1</v>
      </c>
      <c r="AH349" s="1176"/>
      <c r="AI349" s="1294"/>
      <c r="AJ349" s="1294"/>
      <c r="AK349" s="1294"/>
      <c r="AL349" s="1494"/>
      <c r="AM349" s="1494"/>
      <c r="AN349" s="1494"/>
      <c r="AO349" s="1175">
        <v>1</v>
      </c>
      <c r="AP349" s="1176"/>
      <c r="AQ349" s="1262"/>
      <c r="AR349" s="1262"/>
      <c r="AS349" s="1552"/>
      <c r="AT349" s="1599"/>
      <c r="AU349" s="1561">
        <f t="shared" ref="AU349:AU350" si="346">R349+V349+Z349+AE349+AL349+AS349</f>
        <v>0</v>
      </c>
      <c r="AV349" s="1447">
        <f t="shared" ref="AV349:AV350" si="347">S349+AF349+AM349+AT349</f>
        <v>0</v>
      </c>
      <c r="AW349" s="1447">
        <f t="shared" ref="AW349:AW350" si="348">D349+H349+L349+T349+X349+AN349</f>
        <v>0</v>
      </c>
      <c r="AX349" s="1463">
        <f t="shared" si="333"/>
        <v>0</v>
      </c>
      <c r="AY349" s="1393">
        <f>SUM(O349+U349+Y349+AC349+AI349+AQ349)</f>
        <v>0</v>
      </c>
      <c r="AZ349" s="1247">
        <f>SUM(P349+AD349+AJ349+AR349)</f>
        <v>0</v>
      </c>
      <c r="BA349" s="1247">
        <f>SUM(C349+G349+K349+Q349+W349+AK349)</f>
        <v>0</v>
      </c>
      <c r="BB349" s="1385">
        <f t="shared" si="309"/>
        <v>0</v>
      </c>
    </row>
    <row r="350" spans="1:56" ht="16.2" thickBot="1" x14ac:dyDescent="0.35">
      <c r="A350" s="1129">
        <v>2</v>
      </c>
      <c r="B350" s="1289"/>
      <c r="C350" s="1333"/>
      <c r="D350" s="1441"/>
      <c r="E350" s="1287">
        <v>2</v>
      </c>
      <c r="F350" s="1289"/>
      <c r="G350" s="1333"/>
      <c r="H350" s="1441"/>
      <c r="I350" s="1287">
        <v>2</v>
      </c>
      <c r="J350" s="1289"/>
      <c r="K350" s="1333"/>
      <c r="L350" s="1441"/>
      <c r="M350" s="1287">
        <v>2</v>
      </c>
      <c r="N350" s="1289"/>
      <c r="O350" s="1355"/>
      <c r="P350" s="1355"/>
      <c r="Q350" s="1355"/>
      <c r="R350" s="1432"/>
      <c r="S350" s="1432"/>
      <c r="T350" s="1432"/>
      <c r="U350" s="1333"/>
      <c r="V350" s="1441"/>
      <c r="W350" s="1333"/>
      <c r="X350" s="1441"/>
      <c r="Y350" s="1333"/>
      <c r="Z350" s="1441"/>
      <c r="AA350" s="1287">
        <v>2</v>
      </c>
      <c r="AB350" s="1289"/>
      <c r="AC350" s="1264"/>
      <c r="AD350" s="1264"/>
      <c r="AE350" s="1533"/>
      <c r="AF350" s="1533"/>
      <c r="AG350" s="1287">
        <v>2</v>
      </c>
      <c r="AH350" s="1289"/>
      <c r="AI350" s="1333"/>
      <c r="AJ350" s="1333"/>
      <c r="AK350" s="1333"/>
      <c r="AL350" s="1441"/>
      <c r="AM350" s="1441"/>
      <c r="AN350" s="1441"/>
      <c r="AO350" s="1287">
        <v>2</v>
      </c>
      <c r="AP350" s="1289"/>
      <c r="AQ350" s="1075"/>
      <c r="AR350" s="1075"/>
      <c r="AS350" s="1444"/>
      <c r="AT350" s="1600"/>
      <c r="AU350" s="1561">
        <f t="shared" si="346"/>
        <v>0</v>
      </c>
      <c r="AV350" s="1447">
        <f t="shared" si="347"/>
        <v>0</v>
      </c>
      <c r="AW350" s="1447">
        <f t="shared" si="348"/>
        <v>0</v>
      </c>
      <c r="AX350" s="1464">
        <f t="shared" si="333"/>
        <v>0</v>
      </c>
      <c r="AY350" s="1393">
        <f>SUM(O350+U350+Y350+AC350+AI350+AQ350)</f>
        <v>0</v>
      </c>
      <c r="AZ350" s="1247">
        <f>SUM(P350+AD350+AJ350+AR350)</f>
        <v>0</v>
      </c>
      <c r="BA350" s="1247">
        <f>SUM(C350+G350+K350+Q350+W350+AK350)</f>
        <v>0</v>
      </c>
      <c r="BB350" s="1385">
        <f t="shared" si="309"/>
        <v>0</v>
      </c>
      <c r="BD350" s="1418"/>
    </row>
    <row r="351" spans="1:56" ht="30" customHeight="1" thickBot="1" x14ac:dyDescent="0.35">
      <c r="A351" s="2297"/>
      <c r="B351" s="1288" t="s">
        <v>1813</v>
      </c>
      <c r="C351" s="1267">
        <f>SUM(C348:C350)</f>
        <v>0</v>
      </c>
      <c r="D351" s="1434">
        <f>SUM(D348:D350)</f>
        <v>0</v>
      </c>
      <c r="E351" s="2296"/>
      <c r="F351" s="1288" t="s">
        <v>1813</v>
      </c>
      <c r="G351" s="1267">
        <f>SUM(G348:G350)</f>
        <v>0</v>
      </c>
      <c r="H351" s="1434">
        <f>SUM(H348:H350)</f>
        <v>0</v>
      </c>
      <c r="I351" s="2296"/>
      <c r="J351" s="1288" t="s">
        <v>1813</v>
      </c>
      <c r="K351" s="1267">
        <f>SUM(K348:K350)</f>
        <v>0</v>
      </c>
      <c r="L351" s="1434">
        <f>SUM(L348:L350)</f>
        <v>0</v>
      </c>
      <c r="M351" s="2296"/>
      <c r="N351" s="1288" t="s">
        <v>1813</v>
      </c>
      <c r="O351" s="1353">
        <f t="shared" ref="O351:Y351" si="349">SUM(O348:O350)</f>
        <v>0</v>
      </c>
      <c r="P351" s="1353">
        <f t="shared" si="349"/>
        <v>0</v>
      </c>
      <c r="Q351" s="1353">
        <f t="shared" si="349"/>
        <v>0</v>
      </c>
      <c r="R351" s="1434">
        <f t="shared" si="349"/>
        <v>0</v>
      </c>
      <c r="S351" s="1434">
        <f t="shared" si="349"/>
        <v>0</v>
      </c>
      <c r="T351" s="1434">
        <f t="shared" si="349"/>
        <v>0</v>
      </c>
      <c r="U351" s="1353">
        <f t="shared" si="349"/>
        <v>0</v>
      </c>
      <c r="V351" s="1434">
        <f>SUM(V348:V350)</f>
        <v>0</v>
      </c>
      <c r="W351" s="1353">
        <f t="shared" si="349"/>
        <v>0</v>
      </c>
      <c r="X351" s="1434">
        <f>SUM(X348:X350)</f>
        <v>0</v>
      </c>
      <c r="Y351" s="1353">
        <f t="shared" si="349"/>
        <v>0</v>
      </c>
      <c r="Z351" s="1434">
        <f>SUM(Z348:Z350)</f>
        <v>0</v>
      </c>
      <c r="AA351" s="2296"/>
      <c r="AB351" s="1288" t="s">
        <v>1813</v>
      </c>
      <c r="AC351" s="1256">
        <f t="shared" ref="AC351:AF351" si="350">SUM(AC348:AC350)</f>
        <v>0</v>
      </c>
      <c r="AD351" s="1256">
        <f t="shared" si="350"/>
        <v>0</v>
      </c>
      <c r="AE351" s="1434">
        <f t="shared" si="350"/>
        <v>0</v>
      </c>
      <c r="AF351" s="1434">
        <f t="shared" si="350"/>
        <v>0</v>
      </c>
      <c r="AG351" s="2296"/>
      <c r="AH351" s="1288" t="s">
        <v>1813</v>
      </c>
      <c r="AI351" s="1267">
        <f t="shared" ref="AI351:AN351" si="351">SUM(AI348:AI350)</f>
        <v>0</v>
      </c>
      <c r="AJ351" s="1267">
        <f t="shared" si="351"/>
        <v>0</v>
      </c>
      <c r="AK351" s="1267">
        <f t="shared" si="351"/>
        <v>0</v>
      </c>
      <c r="AL351" s="1434">
        <f t="shared" si="351"/>
        <v>0</v>
      </c>
      <c r="AM351" s="1434">
        <f t="shared" si="351"/>
        <v>0</v>
      </c>
      <c r="AN351" s="1434">
        <f t="shared" si="351"/>
        <v>0</v>
      </c>
      <c r="AO351" s="2296"/>
      <c r="AP351" s="1288" t="s">
        <v>1813</v>
      </c>
      <c r="AQ351" s="1257">
        <f>SUM(AQ348:AQ350)</f>
        <v>0</v>
      </c>
      <c r="AR351" s="1257">
        <f>SUM(AR348:AR350)</f>
        <v>0</v>
      </c>
      <c r="AS351" s="1434">
        <f t="shared" ref="AS351:BB351" si="352">SUM(AS348:AS350)</f>
        <v>0</v>
      </c>
      <c r="AT351" s="1598">
        <f t="shared" si="352"/>
        <v>0</v>
      </c>
      <c r="AU351" s="1572">
        <f t="shared" si="352"/>
        <v>0</v>
      </c>
      <c r="AV351" s="1457">
        <f t="shared" si="352"/>
        <v>0</v>
      </c>
      <c r="AW351" s="1457">
        <f t="shared" si="352"/>
        <v>0</v>
      </c>
      <c r="AX351" s="1458">
        <f t="shared" si="352"/>
        <v>0</v>
      </c>
      <c r="AY351" s="1405">
        <f t="shared" si="352"/>
        <v>0</v>
      </c>
      <c r="AZ351" s="1267">
        <f t="shared" si="352"/>
        <v>0</v>
      </c>
      <c r="BA351" s="1267">
        <f t="shared" si="352"/>
        <v>0</v>
      </c>
      <c r="BB351" s="1399">
        <f t="shared" si="352"/>
        <v>0</v>
      </c>
    </row>
    <row r="352" spans="1:56" s="1371" customFormat="1" ht="30" customHeight="1" thickBot="1" x14ac:dyDescent="0.35">
      <c r="A352" s="2506" t="s">
        <v>1814</v>
      </c>
      <c r="B352" s="2503"/>
      <c r="C352" s="1375">
        <f>C351+C347+C343</f>
        <v>0</v>
      </c>
      <c r="D352" s="1429">
        <f>D351+D347+D343</f>
        <v>0</v>
      </c>
      <c r="E352" s="2503" t="s">
        <v>1814</v>
      </c>
      <c r="F352" s="2503"/>
      <c r="G352" s="1257">
        <f>G351+G347+G343</f>
        <v>0</v>
      </c>
      <c r="H352" s="1429">
        <f>H351+H347+H343</f>
        <v>0</v>
      </c>
      <c r="I352" s="2503" t="s">
        <v>1814</v>
      </c>
      <c r="J352" s="2503"/>
      <c r="K352" s="1257">
        <f>K351+K347+K343</f>
        <v>0</v>
      </c>
      <c r="L352" s="1429">
        <f>L351+L347+L343</f>
        <v>0</v>
      </c>
      <c r="M352" s="2503" t="s">
        <v>1814</v>
      </c>
      <c r="N352" s="2503"/>
      <c r="O352" s="1256">
        <f t="shared" ref="O352:Y352" si="353">O351+O347+O343</f>
        <v>46500</v>
      </c>
      <c r="P352" s="1256">
        <f t="shared" si="353"/>
        <v>0</v>
      </c>
      <c r="Q352" s="1256">
        <f t="shared" si="353"/>
        <v>0</v>
      </c>
      <c r="R352" s="1429">
        <f t="shared" si="353"/>
        <v>16381</v>
      </c>
      <c r="S352" s="1429">
        <f t="shared" si="353"/>
        <v>0</v>
      </c>
      <c r="T352" s="1429">
        <f t="shared" si="353"/>
        <v>0</v>
      </c>
      <c r="U352" s="1256">
        <f t="shared" si="353"/>
        <v>68450</v>
      </c>
      <c r="V352" s="1429">
        <f>V351+V347+V343</f>
        <v>35000</v>
      </c>
      <c r="W352" s="1256">
        <f t="shared" si="353"/>
        <v>0</v>
      </c>
      <c r="X352" s="1429">
        <f>X351+X347+X343</f>
        <v>0</v>
      </c>
      <c r="Y352" s="1256">
        <f t="shared" si="353"/>
        <v>0</v>
      </c>
      <c r="Z352" s="1429">
        <f>Z351+Z347+Z343</f>
        <v>0</v>
      </c>
      <c r="AA352" s="2503" t="s">
        <v>1814</v>
      </c>
      <c r="AB352" s="2503"/>
      <c r="AC352" s="1256">
        <f t="shared" ref="AC352:AF352" si="354">AC351+AC347+AC343</f>
        <v>0</v>
      </c>
      <c r="AD352" s="1256">
        <f t="shared" si="354"/>
        <v>0</v>
      </c>
      <c r="AE352" s="1429">
        <f t="shared" si="354"/>
        <v>0</v>
      </c>
      <c r="AF352" s="1429">
        <f t="shared" si="354"/>
        <v>0</v>
      </c>
      <c r="AG352" s="2503" t="s">
        <v>1814</v>
      </c>
      <c r="AH352" s="2503"/>
      <c r="AI352" s="1257">
        <f t="shared" ref="AI352:AN352" si="355">AI351+AI347+AI343</f>
        <v>0</v>
      </c>
      <c r="AJ352" s="1257">
        <f t="shared" si="355"/>
        <v>0</v>
      </c>
      <c r="AK352" s="1257">
        <f t="shared" si="355"/>
        <v>0</v>
      </c>
      <c r="AL352" s="1429">
        <f t="shared" si="355"/>
        <v>0</v>
      </c>
      <c r="AM352" s="1429">
        <f t="shared" si="355"/>
        <v>0</v>
      </c>
      <c r="AN352" s="1429">
        <f t="shared" si="355"/>
        <v>0</v>
      </c>
      <c r="AO352" s="2503" t="s">
        <v>1814</v>
      </c>
      <c r="AP352" s="2503"/>
      <c r="AQ352" s="1257">
        <f>AQ351+AQ347+AQ343</f>
        <v>2000</v>
      </c>
      <c r="AR352" s="1257">
        <f>AR351+AR347+AR343</f>
        <v>0</v>
      </c>
      <c r="AS352" s="1429">
        <f t="shared" ref="AS352:BB352" si="356">AS351+AS347+AS343</f>
        <v>2540</v>
      </c>
      <c r="AT352" s="1594">
        <f t="shared" si="356"/>
        <v>0</v>
      </c>
      <c r="AU352" s="1569">
        <f t="shared" si="356"/>
        <v>53921</v>
      </c>
      <c r="AV352" s="1451">
        <f t="shared" si="356"/>
        <v>0</v>
      </c>
      <c r="AW352" s="1451">
        <f t="shared" si="356"/>
        <v>0</v>
      </c>
      <c r="AX352" s="1452">
        <f t="shared" si="356"/>
        <v>53921</v>
      </c>
      <c r="AY352" s="1397">
        <f t="shared" si="356"/>
        <v>116950</v>
      </c>
      <c r="AZ352" s="1375">
        <f t="shared" si="356"/>
        <v>0</v>
      </c>
      <c r="BA352" s="1375">
        <f t="shared" si="356"/>
        <v>0</v>
      </c>
      <c r="BB352" s="1389">
        <f t="shared" si="356"/>
        <v>116950</v>
      </c>
    </row>
    <row r="353" spans="1:54" s="1371" customFormat="1" ht="30" customHeight="1" thickBot="1" x14ac:dyDescent="0.35">
      <c r="A353" s="2502" t="s">
        <v>1815</v>
      </c>
      <c r="B353" s="2499"/>
      <c r="C353" s="1375">
        <f>SUM(C339+C300+C352+C313)</f>
        <v>17608</v>
      </c>
      <c r="D353" s="1429">
        <f>SUM(D339+D300+D352+D313)</f>
        <v>12303</v>
      </c>
      <c r="E353" s="2499" t="s">
        <v>1815</v>
      </c>
      <c r="F353" s="2499"/>
      <c r="G353" s="1257">
        <f t="shared" ref="G353" si="357">SUM(G339+G300+G352+G313)</f>
        <v>5811</v>
      </c>
      <c r="H353" s="1429">
        <f>SUM(H339+H300+H352+H313)</f>
        <v>5789</v>
      </c>
      <c r="I353" s="2499" t="s">
        <v>1815</v>
      </c>
      <c r="J353" s="2499"/>
      <c r="K353" s="1257">
        <f t="shared" ref="K353" si="358">SUM(K339+K300+K352+K313)</f>
        <v>5832</v>
      </c>
      <c r="L353" s="1429">
        <f>SUM(L339+L300+L352+L313)</f>
        <v>5440</v>
      </c>
      <c r="M353" s="2499" t="s">
        <v>1815</v>
      </c>
      <c r="N353" s="2499"/>
      <c r="O353" s="1256">
        <f t="shared" ref="O353:Y353" si="359">SUM(O339+O300+O352+O313)</f>
        <v>319011</v>
      </c>
      <c r="P353" s="1256">
        <f t="shared" si="359"/>
        <v>9991</v>
      </c>
      <c r="Q353" s="1256">
        <f t="shared" si="359"/>
        <v>1500</v>
      </c>
      <c r="R353" s="1429">
        <f t="shared" si="359"/>
        <v>247170</v>
      </c>
      <c r="S353" s="1429">
        <f t="shared" si="359"/>
        <v>11823</v>
      </c>
      <c r="T353" s="1429">
        <f t="shared" si="359"/>
        <v>1500</v>
      </c>
      <c r="U353" s="1257">
        <f t="shared" si="359"/>
        <v>115546</v>
      </c>
      <c r="V353" s="1429">
        <f>SUM(V339+V300+V352+V313)</f>
        <v>76026</v>
      </c>
      <c r="W353" s="1257">
        <f t="shared" si="359"/>
        <v>500</v>
      </c>
      <c r="X353" s="1429">
        <f>SUM(X339+X300+X352+X313)</f>
        <v>500</v>
      </c>
      <c r="Y353" s="1257">
        <f t="shared" si="359"/>
        <v>14410</v>
      </c>
      <c r="Z353" s="1429">
        <f>SUM(Z339+Z300+Z352+Z313)</f>
        <v>14264</v>
      </c>
      <c r="AA353" s="2499" t="s">
        <v>1815</v>
      </c>
      <c r="AB353" s="2499"/>
      <c r="AC353" s="1256">
        <f t="shared" ref="AC353:AF353" si="360">SUM(AC339+AC300+AC352+AC313)</f>
        <v>56977</v>
      </c>
      <c r="AD353" s="1256">
        <f t="shared" si="360"/>
        <v>22782</v>
      </c>
      <c r="AE353" s="1429">
        <f t="shared" si="360"/>
        <v>16825</v>
      </c>
      <c r="AF353" s="1429">
        <f t="shared" si="360"/>
        <v>20293</v>
      </c>
      <c r="AG353" s="2499" t="s">
        <v>1815</v>
      </c>
      <c r="AH353" s="2499"/>
      <c r="AI353" s="1257">
        <f t="shared" ref="AI353:AN353" si="361">SUM(AI339+AI300+AI352+AI313)</f>
        <v>1132181</v>
      </c>
      <c r="AJ353" s="1257">
        <f t="shared" si="361"/>
        <v>36081</v>
      </c>
      <c r="AK353" s="1257">
        <f t="shared" si="361"/>
        <v>276970</v>
      </c>
      <c r="AL353" s="1429">
        <f t="shared" si="361"/>
        <v>1193328</v>
      </c>
      <c r="AM353" s="1429">
        <f t="shared" si="361"/>
        <v>33954</v>
      </c>
      <c r="AN353" s="1429">
        <f t="shared" si="361"/>
        <v>244610</v>
      </c>
      <c r="AO353" s="2499" t="s">
        <v>1815</v>
      </c>
      <c r="AP353" s="2499"/>
      <c r="AQ353" s="1257">
        <f t="shared" ref="AQ353:BB353" si="362">SUM(AQ339+AQ300+AQ352+AQ313)</f>
        <v>532481</v>
      </c>
      <c r="AR353" s="1257">
        <f t="shared" si="362"/>
        <v>2487</v>
      </c>
      <c r="AS353" s="1429">
        <f t="shared" si="362"/>
        <v>510265</v>
      </c>
      <c r="AT353" s="1594">
        <f t="shared" si="362"/>
        <v>28485</v>
      </c>
      <c r="AU353" s="1569">
        <f t="shared" si="362"/>
        <v>2057878</v>
      </c>
      <c r="AV353" s="1451">
        <f t="shared" si="362"/>
        <v>94555</v>
      </c>
      <c r="AW353" s="1451">
        <f t="shared" si="362"/>
        <v>270142</v>
      </c>
      <c r="AX353" s="1452">
        <f t="shared" si="362"/>
        <v>2422575</v>
      </c>
      <c r="AY353" s="1397">
        <f t="shared" si="362"/>
        <v>2170606</v>
      </c>
      <c r="AZ353" s="1375">
        <f t="shared" si="362"/>
        <v>71341</v>
      </c>
      <c r="BA353" s="1375">
        <f t="shared" si="362"/>
        <v>308221</v>
      </c>
      <c r="BB353" s="1389">
        <f t="shared" si="362"/>
        <v>2550168</v>
      </c>
    </row>
    <row r="354" spans="1:54" s="1371" customFormat="1" ht="30" customHeight="1" thickBot="1" x14ac:dyDescent="0.35">
      <c r="A354" s="2500" t="s">
        <v>1687</v>
      </c>
      <c r="B354" s="2501"/>
      <c r="C354" s="1325">
        <f>SUM(C353-C269)</f>
        <v>0</v>
      </c>
      <c r="D354" s="1446">
        <f>SUM(D353-D269)</f>
        <v>0</v>
      </c>
      <c r="E354" s="2501" t="s">
        <v>1687</v>
      </c>
      <c r="F354" s="2501"/>
      <c r="G354" s="1325">
        <f>SUM(G353-G269)</f>
        <v>0</v>
      </c>
      <c r="H354" s="1446">
        <f>SUM(H353-H269)</f>
        <v>0</v>
      </c>
      <c r="I354" s="2501" t="s">
        <v>1687</v>
      </c>
      <c r="J354" s="2501"/>
      <c r="K354" s="1325">
        <f>SUM(K353-K269)</f>
        <v>0</v>
      </c>
      <c r="L354" s="1446">
        <f>SUM(L353-L269)</f>
        <v>0</v>
      </c>
      <c r="M354" s="2501" t="s">
        <v>1687</v>
      </c>
      <c r="N354" s="2501"/>
      <c r="O354" s="1324">
        <f t="shared" ref="O354:Z354" si="363">SUM(O353-O269)</f>
        <v>0</v>
      </c>
      <c r="P354" s="1324">
        <f t="shared" si="363"/>
        <v>0</v>
      </c>
      <c r="Q354" s="1324">
        <f t="shared" si="363"/>
        <v>0</v>
      </c>
      <c r="R354" s="1446">
        <f t="shared" si="363"/>
        <v>0</v>
      </c>
      <c r="S354" s="1446">
        <f t="shared" si="363"/>
        <v>0</v>
      </c>
      <c r="T354" s="1446">
        <f t="shared" si="363"/>
        <v>0</v>
      </c>
      <c r="U354" s="1325">
        <f t="shared" si="363"/>
        <v>0</v>
      </c>
      <c r="V354" s="1446">
        <f t="shared" si="363"/>
        <v>0</v>
      </c>
      <c r="W354" s="1325">
        <f t="shared" si="363"/>
        <v>0</v>
      </c>
      <c r="X354" s="1446">
        <f t="shared" si="363"/>
        <v>0</v>
      </c>
      <c r="Y354" s="1325">
        <f t="shared" si="363"/>
        <v>0</v>
      </c>
      <c r="Z354" s="1446">
        <f t="shared" si="363"/>
        <v>0</v>
      </c>
      <c r="AA354" s="2501" t="s">
        <v>1687</v>
      </c>
      <c r="AB354" s="2501"/>
      <c r="AC354" s="1324">
        <f t="shared" ref="AC354:AF354" si="364">SUM(AC353-AC269)</f>
        <v>0</v>
      </c>
      <c r="AD354" s="1324">
        <f t="shared" si="364"/>
        <v>0</v>
      </c>
      <c r="AE354" s="1446">
        <f t="shared" si="364"/>
        <v>0</v>
      </c>
      <c r="AF354" s="1446">
        <f t="shared" si="364"/>
        <v>0</v>
      </c>
      <c r="AG354" s="2501" t="s">
        <v>1687</v>
      </c>
      <c r="AH354" s="2501"/>
      <c r="AI354" s="1325"/>
      <c r="AJ354" s="1325"/>
      <c r="AK354" s="1325"/>
      <c r="AL354" s="1446">
        <f t="shared" ref="AL354:AN354" si="365">SUM(AL353-AL269)</f>
        <v>0</v>
      </c>
      <c r="AM354" s="1446">
        <f t="shared" si="365"/>
        <v>0</v>
      </c>
      <c r="AN354" s="1446">
        <f t="shared" si="365"/>
        <v>0</v>
      </c>
      <c r="AO354" s="2501" t="s">
        <v>1687</v>
      </c>
      <c r="AP354" s="2501"/>
      <c r="AQ354" s="1325">
        <f>SUM(AQ353-AQ269)</f>
        <v>0</v>
      </c>
      <c r="AR354" s="1325">
        <f>SUM(AR353-AR269)</f>
        <v>0</v>
      </c>
      <c r="AS354" s="1446">
        <f t="shared" ref="AS354:BB354" si="366">SUM(AS353-AS269)</f>
        <v>0</v>
      </c>
      <c r="AT354" s="1617">
        <f t="shared" si="366"/>
        <v>0</v>
      </c>
      <c r="AU354" s="1581">
        <f t="shared" si="366"/>
        <v>0</v>
      </c>
      <c r="AV354" s="1483">
        <f t="shared" si="366"/>
        <v>0</v>
      </c>
      <c r="AW354" s="1483">
        <f t="shared" si="366"/>
        <v>0</v>
      </c>
      <c r="AX354" s="1484">
        <f t="shared" si="366"/>
        <v>0</v>
      </c>
      <c r="AY354" s="1413">
        <f t="shared" si="366"/>
        <v>0</v>
      </c>
      <c r="AZ354" s="1325">
        <f t="shared" si="366"/>
        <v>0</v>
      </c>
      <c r="BA354" s="1325">
        <f t="shared" si="366"/>
        <v>0</v>
      </c>
      <c r="BB354" s="1414">
        <f t="shared" si="366"/>
        <v>0</v>
      </c>
    </row>
    <row r="355" spans="1:54" x14ac:dyDescent="0.25">
      <c r="B355" s="13"/>
      <c r="C355" s="124"/>
      <c r="D355" s="124"/>
      <c r="F355" s="13"/>
      <c r="G355" s="124"/>
      <c r="H355" s="124"/>
      <c r="J355" s="13"/>
      <c r="K355" s="124"/>
      <c r="L355" s="124"/>
      <c r="N355" s="13"/>
      <c r="O355" s="124"/>
      <c r="P355" s="124"/>
      <c r="Q355" s="124"/>
      <c r="R355" s="124"/>
      <c r="S355" s="124"/>
      <c r="T355" s="124"/>
      <c r="U355" s="124"/>
      <c r="V355" s="124"/>
      <c r="W355" s="124"/>
      <c r="X355" s="124"/>
      <c r="Y355" s="124"/>
      <c r="Z355" s="124"/>
      <c r="AB355" s="1198"/>
      <c r="AC355" s="1201"/>
      <c r="AD355" s="1201"/>
      <c r="AE355" s="1201"/>
      <c r="AF355" s="1201"/>
      <c r="AH355" s="13"/>
      <c r="AI355" s="124"/>
      <c r="AJ355" s="124"/>
      <c r="AK355" s="124"/>
      <c r="AL355" s="124"/>
      <c r="AM355" s="124"/>
      <c r="AN355" s="124"/>
      <c r="AP355" s="1198"/>
      <c r="AQ355" s="1201"/>
      <c r="AR355" s="1201"/>
      <c r="AS355" s="1201"/>
      <c r="AT355" s="1201"/>
      <c r="AU355" s="1326"/>
      <c r="AV355" s="1326"/>
      <c r="AW355" s="1326"/>
      <c r="AX355" s="1326"/>
      <c r="AY355" s="1387"/>
      <c r="AZ355" s="1387"/>
      <c r="BA355" s="1387"/>
      <c r="BB355" s="1387"/>
    </row>
    <row r="356" spans="1:54" x14ac:dyDescent="0.25">
      <c r="A356" s="107"/>
      <c r="B356" s="1327"/>
      <c r="C356" s="1342">
        <f t="shared" ref="C356" si="367">SUM(C267)</f>
        <v>17608</v>
      </c>
      <c r="D356" s="1342">
        <f t="shared" ref="D356" si="368">SUM(D267)</f>
        <v>12303</v>
      </c>
      <c r="E356" s="1328"/>
      <c r="F356" s="1328"/>
      <c r="G356" s="1342">
        <f t="shared" ref="G356:AN356" si="369">SUM(G267)</f>
        <v>5811</v>
      </c>
      <c r="H356" s="1342">
        <f t="shared" si="369"/>
        <v>5789</v>
      </c>
      <c r="I356" s="1328"/>
      <c r="J356" s="1328"/>
      <c r="K356" s="1342">
        <f t="shared" si="369"/>
        <v>5832</v>
      </c>
      <c r="L356" s="1342">
        <f t="shared" si="369"/>
        <v>5440</v>
      </c>
      <c r="M356" s="1328"/>
      <c r="N356" s="1328"/>
      <c r="O356" s="1342">
        <f t="shared" si="369"/>
        <v>319011</v>
      </c>
      <c r="P356" s="1342">
        <f t="shared" si="369"/>
        <v>9991</v>
      </c>
      <c r="Q356" s="1342">
        <f t="shared" si="369"/>
        <v>1500</v>
      </c>
      <c r="R356" s="1342">
        <f t="shared" si="369"/>
        <v>247170</v>
      </c>
      <c r="S356" s="1342">
        <f t="shared" si="369"/>
        <v>11823</v>
      </c>
      <c r="T356" s="1342">
        <f t="shared" si="369"/>
        <v>1500</v>
      </c>
      <c r="U356" s="1342">
        <f t="shared" si="369"/>
        <v>115546</v>
      </c>
      <c r="V356" s="1342">
        <f t="shared" si="369"/>
        <v>76026</v>
      </c>
      <c r="W356" s="1342">
        <f t="shared" si="369"/>
        <v>500</v>
      </c>
      <c r="X356" s="1342">
        <f t="shared" si="369"/>
        <v>500</v>
      </c>
      <c r="Y356" s="1342">
        <f t="shared" si="369"/>
        <v>14410</v>
      </c>
      <c r="Z356" s="1342">
        <f t="shared" si="369"/>
        <v>14264</v>
      </c>
      <c r="AA356" s="1199"/>
      <c r="AB356" s="1199"/>
      <c r="AC356" s="1200">
        <f t="shared" ref="AC356:AF356" si="370">SUM(AC267)</f>
        <v>56977</v>
      </c>
      <c r="AD356" s="1200">
        <f t="shared" si="370"/>
        <v>22782</v>
      </c>
      <c r="AE356" s="1200">
        <f t="shared" si="370"/>
        <v>16825</v>
      </c>
      <c r="AF356" s="1200">
        <f t="shared" si="370"/>
        <v>20293</v>
      </c>
      <c r="AG356" s="1328"/>
      <c r="AH356" s="1328"/>
      <c r="AI356" s="1342">
        <f t="shared" si="369"/>
        <v>1132181</v>
      </c>
      <c r="AJ356" s="1342">
        <f t="shared" si="369"/>
        <v>36081</v>
      </c>
      <c r="AK356" s="1342">
        <f t="shared" si="369"/>
        <v>276970</v>
      </c>
      <c r="AL356" s="1342">
        <f t="shared" si="369"/>
        <v>1193328</v>
      </c>
      <c r="AM356" s="1342">
        <f t="shared" si="369"/>
        <v>33954</v>
      </c>
      <c r="AN356" s="1342">
        <f t="shared" si="369"/>
        <v>244610</v>
      </c>
      <c r="AO356" s="1199"/>
      <c r="AP356" s="1199"/>
      <c r="AQ356" s="1200">
        <f t="shared" ref="AQ356:BB356" si="371">SUM(AQ267)</f>
        <v>532481</v>
      </c>
      <c r="AR356" s="1200">
        <f t="shared" si="371"/>
        <v>2487</v>
      </c>
      <c r="AS356" s="1200">
        <f t="shared" si="371"/>
        <v>510265</v>
      </c>
      <c r="AT356" s="1200">
        <f t="shared" si="371"/>
        <v>28485</v>
      </c>
      <c r="AU356" s="1200">
        <f t="shared" si="371"/>
        <v>2057878</v>
      </c>
      <c r="AV356" s="1200">
        <f t="shared" si="371"/>
        <v>94555</v>
      </c>
      <c r="AW356" s="1200">
        <f t="shared" si="371"/>
        <v>270142</v>
      </c>
      <c r="AX356" s="1200">
        <f t="shared" si="371"/>
        <v>2422575</v>
      </c>
      <c r="AY356" s="1200">
        <f t="shared" si="371"/>
        <v>2170606</v>
      </c>
      <c r="AZ356" s="1200">
        <f t="shared" si="371"/>
        <v>71341</v>
      </c>
      <c r="BA356" s="1200">
        <f t="shared" si="371"/>
        <v>308221</v>
      </c>
      <c r="BB356" s="1200">
        <f t="shared" si="371"/>
        <v>2550168</v>
      </c>
    </row>
    <row r="357" spans="1:54" x14ac:dyDescent="0.25">
      <c r="B357" s="13"/>
      <c r="C357" s="1343">
        <f t="shared" ref="C357:D357" si="372">SUM(C353)</f>
        <v>17608</v>
      </c>
      <c r="D357" s="1343">
        <f t="shared" si="372"/>
        <v>12303</v>
      </c>
      <c r="E357" s="17"/>
      <c r="F357" s="17"/>
      <c r="G357" s="1343">
        <f t="shared" ref="G357:AN357" si="373">SUM(G353)</f>
        <v>5811</v>
      </c>
      <c r="H357" s="1343">
        <f t="shared" si="373"/>
        <v>5789</v>
      </c>
      <c r="I357" s="17"/>
      <c r="J357" s="17"/>
      <c r="K357" s="1343">
        <f t="shared" si="373"/>
        <v>5832</v>
      </c>
      <c r="L357" s="1343">
        <f t="shared" si="373"/>
        <v>5440</v>
      </c>
      <c r="M357" s="17"/>
      <c r="N357" s="17"/>
      <c r="O357" s="1343">
        <f t="shared" si="373"/>
        <v>319011</v>
      </c>
      <c r="P357" s="1343">
        <f t="shared" si="373"/>
        <v>9991</v>
      </c>
      <c r="Q357" s="1343">
        <f t="shared" si="373"/>
        <v>1500</v>
      </c>
      <c r="R357" s="1343">
        <f t="shared" si="373"/>
        <v>247170</v>
      </c>
      <c r="S357" s="1343">
        <f t="shared" si="373"/>
        <v>11823</v>
      </c>
      <c r="T357" s="1343">
        <f t="shared" si="373"/>
        <v>1500</v>
      </c>
      <c r="U357" s="1343">
        <f t="shared" si="373"/>
        <v>115546</v>
      </c>
      <c r="V357" s="1343">
        <f t="shared" si="373"/>
        <v>76026</v>
      </c>
      <c r="W357" s="1343">
        <f t="shared" si="373"/>
        <v>500</v>
      </c>
      <c r="X357" s="1343">
        <f t="shared" si="373"/>
        <v>500</v>
      </c>
      <c r="Y357" s="1343">
        <f t="shared" si="373"/>
        <v>14410</v>
      </c>
      <c r="Z357" s="1343">
        <f t="shared" si="373"/>
        <v>14264</v>
      </c>
      <c r="AA357" s="1199"/>
      <c r="AB357" s="1199"/>
      <c r="AC357" s="1200">
        <f t="shared" ref="AC357:AF357" si="374">SUM(AC353)</f>
        <v>56977</v>
      </c>
      <c r="AD357" s="1200">
        <f t="shared" si="374"/>
        <v>22782</v>
      </c>
      <c r="AE357" s="1200">
        <f t="shared" si="374"/>
        <v>16825</v>
      </c>
      <c r="AF357" s="1200">
        <f t="shared" si="374"/>
        <v>20293</v>
      </c>
      <c r="AG357" s="17"/>
      <c r="AH357" s="17"/>
      <c r="AI357" s="1343">
        <f t="shared" si="373"/>
        <v>1132181</v>
      </c>
      <c r="AJ357" s="1343">
        <f t="shared" si="373"/>
        <v>36081</v>
      </c>
      <c r="AK357" s="1343">
        <f t="shared" si="373"/>
        <v>276970</v>
      </c>
      <c r="AL357" s="1343">
        <f t="shared" si="373"/>
        <v>1193328</v>
      </c>
      <c r="AM357" s="1343">
        <f t="shared" si="373"/>
        <v>33954</v>
      </c>
      <c r="AN357" s="1343">
        <f t="shared" si="373"/>
        <v>244610</v>
      </c>
      <c r="AO357" s="1199"/>
      <c r="AP357" s="1199"/>
      <c r="AQ357" s="1200">
        <f t="shared" ref="AQ357:BB357" si="375">SUM(AQ353)</f>
        <v>532481</v>
      </c>
      <c r="AR357" s="1200">
        <f t="shared" si="375"/>
        <v>2487</v>
      </c>
      <c r="AS357" s="1200">
        <f t="shared" si="375"/>
        <v>510265</v>
      </c>
      <c r="AT357" s="1200">
        <f t="shared" si="375"/>
        <v>28485</v>
      </c>
      <c r="AU357" s="1200">
        <f t="shared" si="375"/>
        <v>2057878</v>
      </c>
      <c r="AV357" s="1200">
        <f t="shared" si="375"/>
        <v>94555</v>
      </c>
      <c r="AW357" s="1200">
        <f t="shared" si="375"/>
        <v>270142</v>
      </c>
      <c r="AX357" s="1200">
        <f t="shared" si="375"/>
        <v>2422575</v>
      </c>
      <c r="AY357" s="1200">
        <f t="shared" si="375"/>
        <v>2170606</v>
      </c>
      <c r="AZ357" s="1200">
        <f t="shared" si="375"/>
        <v>71341</v>
      </c>
      <c r="BA357" s="1200">
        <f t="shared" si="375"/>
        <v>308221</v>
      </c>
      <c r="BB357" s="1200">
        <f t="shared" si="375"/>
        <v>2550168</v>
      </c>
    </row>
    <row r="358" spans="1:54" x14ac:dyDescent="0.25">
      <c r="AB358" s="1198"/>
      <c r="AC358" s="1201"/>
      <c r="AD358" s="1201"/>
      <c r="AE358" s="1201"/>
      <c r="AF358" s="1201"/>
      <c r="AO358" s="1198"/>
      <c r="AP358" s="1198"/>
      <c r="AQ358" s="1201"/>
      <c r="AR358" s="1201"/>
      <c r="AS358" s="1201"/>
      <c r="AT358" s="1201"/>
      <c r="AU358" s="1201"/>
      <c r="AV358" s="1201"/>
      <c r="AW358" s="1201"/>
      <c r="AX358" s="1201"/>
      <c r="AY358" s="1201"/>
      <c r="AZ358" s="1201"/>
      <c r="BA358" s="1201"/>
      <c r="BB358" s="1201"/>
    </row>
    <row r="359" spans="1:54" x14ac:dyDescent="0.25">
      <c r="C359" s="368">
        <f t="shared" ref="C359:D359" si="376">SUM(C356-C357)</f>
        <v>0</v>
      </c>
      <c r="D359" s="368">
        <f t="shared" si="376"/>
        <v>0</v>
      </c>
      <c r="E359" s="107"/>
      <c r="F359" s="107"/>
      <c r="G359" s="368">
        <f t="shared" ref="G359:AN359" si="377">SUM(G356-G357)</f>
        <v>0</v>
      </c>
      <c r="H359" s="368">
        <f t="shared" si="377"/>
        <v>0</v>
      </c>
      <c r="I359" s="107"/>
      <c r="J359" s="107"/>
      <c r="K359" s="368">
        <f t="shared" si="377"/>
        <v>0</v>
      </c>
      <c r="L359" s="368">
        <f t="shared" si="377"/>
        <v>0</v>
      </c>
      <c r="M359" s="107"/>
      <c r="N359" s="107"/>
      <c r="O359" s="368">
        <f t="shared" si="377"/>
        <v>0</v>
      </c>
      <c r="P359" s="368">
        <f t="shared" si="377"/>
        <v>0</v>
      </c>
      <c r="Q359" s="368">
        <f t="shared" si="377"/>
        <v>0</v>
      </c>
      <c r="R359" s="368">
        <f t="shared" si="377"/>
        <v>0</v>
      </c>
      <c r="S359" s="368">
        <f t="shared" si="377"/>
        <v>0</v>
      </c>
      <c r="T359" s="368">
        <f t="shared" si="377"/>
        <v>0</v>
      </c>
      <c r="U359" s="368">
        <f t="shared" si="377"/>
        <v>0</v>
      </c>
      <c r="V359" s="368">
        <f t="shared" si="377"/>
        <v>0</v>
      </c>
      <c r="W359" s="368">
        <f t="shared" si="377"/>
        <v>0</v>
      </c>
      <c r="X359" s="368">
        <f t="shared" si="377"/>
        <v>0</v>
      </c>
      <c r="Y359" s="368">
        <f t="shared" si="377"/>
        <v>0</v>
      </c>
      <c r="Z359" s="368">
        <f t="shared" si="377"/>
        <v>0</v>
      </c>
      <c r="AA359" s="1202"/>
      <c r="AB359" s="1202"/>
      <c r="AC359" s="1203">
        <f t="shared" ref="AC359:AF359" si="378">SUM(AC267-AC353)</f>
        <v>0</v>
      </c>
      <c r="AD359" s="1203">
        <f t="shared" si="378"/>
        <v>0</v>
      </c>
      <c r="AE359" s="1203">
        <f t="shared" si="378"/>
        <v>0</v>
      </c>
      <c r="AF359" s="1203">
        <f t="shared" si="378"/>
        <v>0</v>
      </c>
      <c r="AG359" s="107"/>
      <c r="AH359" s="107"/>
      <c r="AI359" s="368">
        <f t="shared" si="377"/>
        <v>0</v>
      </c>
      <c r="AJ359" s="368">
        <f t="shared" si="377"/>
        <v>0</v>
      </c>
      <c r="AK359" s="368">
        <f t="shared" si="377"/>
        <v>0</v>
      </c>
      <c r="AL359" s="368">
        <f t="shared" si="377"/>
        <v>0</v>
      </c>
      <c r="AM359" s="368">
        <f t="shared" si="377"/>
        <v>0</v>
      </c>
      <c r="AN359" s="368">
        <f t="shared" si="377"/>
        <v>0</v>
      </c>
      <c r="AO359" s="1202"/>
      <c r="AP359" s="1202"/>
      <c r="AQ359" s="1203">
        <f t="shared" ref="AQ359:BB359" si="379">SUM(AQ267-AQ353)</f>
        <v>0</v>
      </c>
      <c r="AR359" s="1203">
        <f t="shared" si="379"/>
        <v>0</v>
      </c>
      <c r="AS359" s="1203">
        <f t="shared" si="379"/>
        <v>0</v>
      </c>
      <c r="AT359" s="1203">
        <f t="shared" si="379"/>
        <v>0</v>
      </c>
      <c r="AU359" s="1203">
        <f t="shared" si="379"/>
        <v>0</v>
      </c>
      <c r="AV359" s="1203">
        <f t="shared" si="379"/>
        <v>0</v>
      </c>
      <c r="AW359" s="1203">
        <f t="shared" si="379"/>
        <v>0</v>
      </c>
      <c r="AX359" s="1203">
        <f t="shared" si="379"/>
        <v>0</v>
      </c>
      <c r="AY359" s="1203">
        <f t="shared" si="379"/>
        <v>0</v>
      </c>
      <c r="AZ359" s="1203">
        <f t="shared" si="379"/>
        <v>0</v>
      </c>
      <c r="BA359" s="1203">
        <f t="shared" si="379"/>
        <v>0</v>
      </c>
      <c r="BB359" s="1203">
        <f t="shared" si="379"/>
        <v>0</v>
      </c>
    </row>
    <row r="360" spans="1:54" x14ac:dyDescent="0.25">
      <c r="AB360" s="1198"/>
      <c r="AC360" s="1201"/>
      <c r="AD360" s="1201"/>
      <c r="AE360" s="1201"/>
      <c r="AF360" s="1201"/>
      <c r="AQ360" s="1201"/>
      <c r="AR360" s="1201"/>
      <c r="AS360" s="1201"/>
      <c r="AT360" s="1201"/>
    </row>
  </sheetData>
  <mergeCells count="124">
    <mergeCell ref="M1:N2"/>
    <mergeCell ref="O1:Q1"/>
    <mergeCell ref="AA1:AB2"/>
    <mergeCell ref="R1:T1"/>
    <mergeCell ref="A1:B2"/>
    <mergeCell ref="E1:F2"/>
    <mergeCell ref="I1:J2"/>
    <mergeCell ref="AO1:AP2"/>
    <mergeCell ref="AQ1:AR1"/>
    <mergeCell ref="AU1:AX1"/>
    <mergeCell ref="AY1:BB1"/>
    <mergeCell ref="AS1:AT1"/>
    <mergeCell ref="AC1:AD1"/>
    <mergeCell ref="AG1:AH2"/>
    <mergeCell ref="AI1:AK1"/>
    <mergeCell ref="AE1:AF1"/>
    <mergeCell ref="AL1:AN1"/>
    <mergeCell ref="AO3:AP3"/>
    <mergeCell ref="AU4:AX4"/>
    <mergeCell ref="AY4:BB4"/>
    <mergeCell ref="A195:B195"/>
    <mergeCell ref="E195:F195"/>
    <mergeCell ref="I195:J195"/>
    <mergeCell ref="M195:N195"/>
    <mergeCell ref="AA195:AB195"/>
    <mergeCell ref="AG195:AH195"/>
    <mergeCell ref="AO195:AP195"/>
    <mergeCell ref="M5:N5"/>
    <mergeCell ref="AA5:AB5"/>
    <mergeCell ref="AG5:AH5"/>
    <mergeCell ref="A3:B3"/>
    <mergeCell ref="E3:F3"/>
    <mergeCell ref="I3:J3"/>
    <mergeCell ref="M3:N3"/>
    <mergeCell ref="AA3:AB3"/>
    <mergeCell ref="AG3:AH3"/>
    <mergeCell ref="AO200:AP200"/>
    <mergeCell ref="A256:B256"/>
    <mergeCell ref="E256:F256"/>
    <mergeCell ref="I256:J256"/>
    <mergeCell ref="M256:N256"/>
    <mergeCell ref="AA256:AB256"/>
    <mergeCell ref="AG256:AH256"/>
    <mergeCell ref="AO256:AP256"/>
    <mergeCell ref="A200:B200"/>
    <mergeCell ref="E200:F200"/>
    <mergeCell ref="I200:J200"/>
    <mergeCell ref="M200:N200"/>
    <mergeCell ref="AA200:AB200"/>
    <mergeCell ref="AG200:AH200"/>
    <mergeCell ref="AO5:AP5"/>
    <mergeCell ref="A5:B5"/>
    <mergeCell ref="E5:F5"/>
    <mergeCell ref="I5:J5"/>
    <mergeCell ref="AO266:AP266"/>
    <mergeCell ref="A267:B267"/>
    <mergeCell ref="E267:F267"/>
    <mergeCell ref="I267:J267"/>
    <mergeCell ref="M267:N267"/>
    <mergeCell ref="AA267:AB267"/>
    <mergeCell ref="AG267:AH267"/>
    <mergeCell ref="AO267:AP267"/>
    <mergeCell ref="A266:B266"/>
    <mergeCell ref="E266:F266"/>
    <mergeCell ref="I266:J266"/>
    <mergeCell ref="M266:N266"/>
    <mergeCell ref="AA266:AB266"/>
    <mergeCell ref="AG266:AH266"/>
    <mergeCell ref="AO268:AP268"/>
    <mergeCell ref="A269:B269"/>
    <mergeCell ref="E269:F269"/>
    <mergeCell ref="I269:J269"/>
    <mergeCell ref="M269:N269"/>
    <mergeCell ref="AA269:AB269"/>
    <mergeCell ref="AG269:AH269"/>
    <mergeCell ref="AO269:AP269"/>
    <mergeCell ref="A268:B268"/>
    <mergeCell ref="E268:F268"/>
    <mergeCell ref="I268:J268"/>
    <mergeCell ref="M268:N268"/>
    <mergeCell ref="AA268:AB268"/>
    <mergeCell ref="AG268:AH268"/>
    <mergeCell ref="AO300:AP300"/>
    <mergeCell ref="A313:B313"/>
    <mergeCell ref="E313:F313"/>
    <mergeCell ref="I313:J313"/>
    <mergeCell ref="M313:N313"/>
    <mergeCell ref="AA313:AB313"/>
    <mergeCell ref="AG313:AH313"/>
    <mergeCell ref="AO313:AP313"/>
    <mergeCell ref="A300:B300"/>
    <mergeCell ref="E300:F300"/>
    <mergeCell ref="I300:J300"/>
    <mergeCell ref="M300:N300"/>
    <mergeCell ref="AA300:AB300"/>
    <mergeCell ref="AG300:AH300"/>
    <mergeCell ref="I352:J352"/>
    <mergeCell ref="M352:N352"/>
    <mergeCell ref="AA352:AB352"/>
    <mergeCell ref="AG352:AH352"/>
    <mergeCell ref="AO352:AP352"/>
    <mergeCell ref="A339:B339"/>
    <mergeCell ref="E339:F339"/>
    <mergeCell ref="I339:J339"/>
    <mergeCell ref="M339:N339"/>
    <mergeCell ref="AA339:AB339"/>
    <mergeCell ref="AG339:AH339"/>
    <mergeCell ref="AO339:AP339"/>
    <mergeCell ref="A352:B352"/>
    <mergeCell ref="E352:F352"/>
    <mergeCell ref="AO353:AP353"/>
    <mergeCell ref="A354:B354"/>
    <mergeCell ref="E354:F354"/>
    <mergeCell ref="I354:J354"/>
    <mergeCell ref="M354:N354"/>
    <mergeCell ref="AA354:AB354"/>
    <mergeCell ref="AG354:AH354"/>
    <mergeCell ref="AO354:AP354"/>
    <mergeCell ref="A353:B353"/>
    <mergeCell ref="E353:F353"/>
    <mergeCell ref="I353:J353"/>
    <mergeCell ref="M353:N353"/>
    <mergeCell ref="AA353:AB353"/>
    <mergeCell ref="AG353:AH35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G160"/>
  <sheetViews>
    <sheetView topLeftCell="A7" zoomScaleNormal="100" workbookViewId="0">
      <selection activeCell="K6" sqref="K6"/>
    </sheetView>
  </sheetViews>
  <sheetFormatPr defaultRowHeight="12.6" x14ac:dyDescent="0.25"/>
  <cols>
    <col min="1" max="1" width="34.6640625" customWidth="1"/>
    <col min="2" max="2" width="15.6640625" style="321" customWidth="1"/>
    <col min="3" max="7" width="15.6640625" style="316" customWidth="1"/>
  </cols>
  <sheetData>
    <row r="1" spans="1:7" s="110" customFormat="1" ht="63" customHeight="1" thickBot="1" x14ac:dyDescent="0.3">
      <c r="A1" s="299" t="s">
        <v>608</v>
      </c>
      <c r="B1" s="2294" t="s">
        <v>133</v>
      </c>
      <c r="C1" s="191" t="s">
        <v>609</v>
      </c>
      <c r="D1" s="522" t="s">
        <v>610</v>
      </c>
      <c r="E1" s="271" t="s">
        <v>144</v>
      </c>
      <c r="F1" s="191" t="s">
        <v>611</v>
      </c>
      <c r="G1" s="391" t="s">
        <v>612</v>
      </c>
    </row>
    <row r="2" spans="1:7" s="110" customFormat="1" ht="30" customHeight="1" x14ac:dyDescent="0.25">
      <c r="A2" s="327" t="s">
        <v>613</v>
      </c>
      <c r="B2" s="786"/>
      <c r="C2" s="780"/>
      <c r="D2" s="780"/>
      <c r="E2" s="780"/>
      <c r="F2" s="780"/>
      <c r="G2" s="781"/>
    </row>
    <row r="3" spans="1:7" ht="30" customHeight="1" x14ac:dyDescent="0.25">
      <c r="A3" s="187" t="s">
        <v>614</v>
      </c>
      <c r="B3" s="311">
        <v>21620</v>
      </c>
      <c r="C3" s="301">
        <f t="shared" ref="C3:C14" si="0">SUM(B3:B3)</f>
        <v>21620</v>
      </c>
      <c r="D3" s="302">
        <v>0</v>
      </c>
      <c r="E3" s="302">
        <v>0</v>
      </c>
      <c r="F3" s="301">
        <f>SUM(D3:E3)</f>
        <v>0</v>
      </c>
      <c r="G3" s="393">
        <f t="shared" ref="G3:G14" si="1">F3+C3</f>
        <v>21620</v>
      </c>
    </row>
    <row r="4" spans="1:7" ht="30" customHeight="1" x14ac:dyDescent="0.25">
      <c r="A4" s="187" t="s">
        <v>2056</v>
      </c>
      <c r="B4" s="311">
        <v>7000</v>
      </c>
      <c r="C4" s="301">
        <f t="shared" si="0"/>
        <v>7000</v>
      </c>
      <c r="D4" s="302"/>
      <c r="E4" s="302"/>
      <c r="F4" s="301">
        <f t="shared" ref="F4:F6" si="2">SUM(D4:E4)</f>
        <v>0</v>
      </c>
      <c r="G4" s="393">
        <f t="shared" si="1"/>
        <v>7000</v>
      </c>
    </row>
    <row r="5" spans="1:7" ht="30" customHeight="1" x14ac:dyDescent="0.25">
      <c r="A5" s="187" t="s">
        <v>2057</v>
      </c>
      <c r="B5" s="311">
        <v>7463</v>
      </c>
      <c r="C5" s="301">
        <f t="shared" si="0"/>
        <v>7463</v>
      </c>
      <c r="D5" s="302"/>
      <c r="E5" s="302"/>
      <c r="F5" s="301">
        <f t="shared" si="2"/>
        <v>0</v>
      </c>
      <c r="G5" s="393">
        <f t="shared" si="1"/>
        <v>7463</v>
      </c>
    </row>
    <row r="6" spans="1:7" ht="30" customHeight="1" x14ac:dyDescent="0.25">
      <c r="A6" s="187" t="s">
        <v>2058</v>
      </c>
      <c r="B6" s="311">
        <v>4000</v>
      </c>
      <c r="C6" s="301">
        <f t="shared" si="0"/>
        <v>4000</v>
      </c>
      <c r="D6" s="302"/>
      <c r="E6" s="302"/>
      <c r="F6" s="301">
        <f t="shared" si="2"/>
        <v>0</v>
      </c>
      <c r="G6" s="393">
        <f t="shared" si="1"/>
        <v>4000</v>
      </c>
    </row>
    <row r="7" spans="1:7" ht="30" customHeight="1" x14ac:dyDescent="0.25">
      <c r="A7" s="187" t="s">
        <v>615</v>
      </c>
      <c r="B7" s="311">
        <v>17500</v>
      </c>
      <c r="C7" s="301">
        <f t="shared" si="0"/>
        <v>17500</v>
      </c>
      <c r="D7" s="302">
        <v>0</v>
      </c>
      <c r="E7" s="302">
        <v>0</v>
      </c>
      <c r="F7" s="301">
        <f>SUM(D7:E7)</f>
        <v>0</v>
      </c>
      <c r="G7" s="393">
        <f t="shared" si="1"/>
        <v>17500</v>
      </c>
    </row>
    <row r="8" spans="1:7" ht="30" customHeight="1" thickBot="1" x14ac:dyDescent="0.3">
      <c r="A8" s="303" t="s">
        <v>616</v>
      </c>
      <c r="B8" s="336">
        <v>29000</v>
      </c>
      <c r="C8" s="304">
        <f t="shared" si="0"/>
        <v>29000</v>
      </c>
      <c r="D8" s="305">
        <v>0</v>
      </c>
      <c r="E8" s="305">
        <v>0</v>
      </c>
      <c r="F8" s="304">
        <f>SUM(D8:E8)</f>
        <v>0</v>
      </c>
      <c r="G8" s="394">
        <f t="shared" si="1"/>
        <v>29000</v>
      </c>
    </row>
    <row r="9" spans="1:7" s="110" customFormat="1" ht="30" customHeight="1" thickBot="1" x14ac:dyDescent="0.3">
      <c r="A9" s="408" t="s">
        <v>617</v>
      </c>
      <c r="B9" s="306">
        <f t="shared" ref="B9:G9" si="3">SUM(B3:B8)</f>
        <v>86583</v>
      </c>
      <c r="C9" s="307">
        <f t="shared" si="3"/>
        <v>86583</v>
      </c>
      <c r="D9" s="307">
        <f t="shared" si="3"/>
        <v>0</v>
      </c>
      <c r="E9" s="307">
        <f t="shared" si="3"/>
        <v>0</v>
      </c>
      <c r="F9" s="307">
        <f t="shared" si="3"/>
        <v>0</v>
      </c>
      <c r="G9" s="395">
        <f t="shared" si="3"/>
        <v>86583</v>
      </c>
    </row>
    <row r="10" spans="1:7" ht="30" customHeight="1" x14ac:dyDescent="0.25">
      <c r="A10" s="833" t="s">
        <v>618</v>
      </c>
      <c r="B10" s="787"/>
      <c r="C10" s="780"/>
      <c r="D10" s="782"/>
      <c r="E10" s="782"/>
      <c r="F10" s="780"/>
      <c r="G10" s="781"/>
    </row>
    <row r="11" spans="1:7" ht="30" customHeight="1" x14ac:dyDescent="0.25">
      <c r="A11" s="310" t="s">
        <v>905</v>
      </c>
      <c r="B11" s="311"/>
      <c r="C11" s="301">
        <f t="shared" si="0"/>
        <v>0</v>
      </c>
      <c r="D11" s="302">
        <v>0</v>
      </c>
      <c r="E11" s="302">
        <v>0</v>
      </c>
      <c r="F11" s="301">
        <f>SUM(D11:E11)</f>
        <v>0</v>
      </c>
      <c r="G11" s="390">
        <f t="shared" si="1"/>
        <v>0</v>
      </c>
    </row>
    <row r="12" spans="1:7" ht="45" customHeight="1" x14ac:dyDescent="0.25">
      <c r="A12" s="310" t="s">
        <v>904</v>
      </c>
      <c r="B12" s="311"/>
      <c r="C12" s="301">
        <f t="shared" si="0"/>
        <v>0</v>
      </c>
      <c r="D12" s="302">
        <v>0</v>
      </c>
      <c r="E12" s="302">
        <v>0</v>
      </c>
      <c r="F12" s="301">
        <f t="shared" ref="F12:F14" si="4">SUM(D12:E12)</f>
        <v>0</v>
      </c>
      <c r="G12" s="390">
        <f t="shared" si="1"/>
        <v>0</v>
      </c>
    </row>
    <row r="13" spans="1:7" ht="30" customHeight="1" x14ac:dyDescent="0.25">
      <c r="A13" s="403" t="s">
        <v>2059</v>
      </c>
      <c r="B13" s="336">
        <v>33687</v>
      </c>
      <c r="C13" s="301">
        <f t="shared" si="0"/>
        <v>33687</v>
      </c>
      <c r="D13" s="305">
        <v>0</v>
      </c>
      <c r="E13" s="305">
        <v>0</v>
      </c>
      <c r="F13" s="301">
        <f t="shared" si="4"/>
        <v>0</v>
      </c>
      <c r="G13" s="390">
        <f t="shared" si="1"/>
        <v>33687</v>
      </c>
    </row>
    <row r="14" spans="1:7" ht="45" customHeight="1" thickBot="1" x14ac:dyDescent="0.3">
      <c r="A14" s="312" t="s">
        <v>2060</v>
      </c>
      <c r="B14" s="313">
        <v>25692</v>
      </c>
      <c r="C14" s="301">
        <f t="shared" si="0"/>
        <v>25692</v>
      </c>
      <c r="D14" s="314">
        <v>0</v>
      </c>
      <c r="E14" s="314">
        <v>0</v>
      </c>
      <c r="F14" s="301">
        <f t="shared" si="4"/>
        <v>0</v>
      </c>
      <c r="G14" s="397">
        <f t="shared" si="1"/>
        <v>25692</v>
      </c>
    </row>
    <row r="15" spans="1:7" s="110" customFormat="1" ht="30" customHeight="1" thickBot="1" x14ac:dyDescent="0.3">
      <c r="A15" s="408" t="s">
        <v>619</v>
      </c>
      <c r="B15" s="306">
        <f>SUM(B11:B14)</f>
        <v>59379</v>
      </c>
      <c r="C15" s="306">
        <f t="shared" ref="C15:G15" si="5">SUM(C11:C14)</f>
        <v>59379</v>
      </c>
      <c r="D15" s="306">
        <f t="shared" si="5"/>
        <v>0</v>
      </c>
      <c r="E15" s="306">
        <f t="shared" si="5"/>
        <v>0</v>
      </c>
      <c r="F15" s="307">
        <f t="shared" si="5"/>
        <v>0</v>
      </c>
      <c r="G15" s="395">
        <f t="shared" si="5"/>
        <v>59379</v>
      </c>
    </row>
    <row r="16" spans="1:7" s="110" customFormat="1" ht="30" customHeight="1" thickBot="1" x14ac:dyDescent="0.3">
      <c r="A16" s="408" t="s">
        <v>620</v>
      </c>
      <c r="B16" s="306">
        <f t="shared" ref="B16:G16" si="6">B15+B9</f>
        <v>145962</v>
      </c>
      <c r="C16" s="307">
        <f t="shared" si="6"/>
        <v>145962</v>
      </c>
      <c r="D16" s="307">
        <f t="shared" si="6"/>
        <v>0</v>
      </c>
      <c r="E16" s="307">
        <f t="shared" si="6"/>
        <v>0</v>
      </c>
      <c r="F16" s="307">
        <f t="shared" si="6"/>
        <v>0</v>
      </c>
      <c r="G16" s="395">
        <f t="shared" si="6"/>
        <v>145962</v>
      </c>
    </row>
    <row r="17" spans="1:2" customFormat="1" ht="13.2" x14ac:dyDescent="0.25">
      <c r="A17" s="2"/>
      <c r="B17" s="315"/>
    </row>
    <row r="18" spans="1:2" customFormat="1" ht="13.2" x14ac:dyDescent="0.25">
      <c r="A18" s="20"/>
      <c r="B18" s="315"/>
    </row>
    <row r="19" spans="1:2" customFormat="1" ht="13.2" x14ac:dyDescent="0.25">
      <c r="A19" s="20"/>
      <c r="B19" s="315"/>
    </row>
    <row r="20" spans="1:2" customFormat="1" ht="13.2" x14ac:dyDescent="0.25">
      <c r="A20" s="20"/>
      <c r="B20" s="315"/>
    </row>
    <row r="21" spans="1:2" customFormat="1" ht="13.2" x14ac:dyDescent="0.25">
      <c r="A21" s="20"/>
      <c r="B21" s="315"/>
    </row>
    <row r="22" spans="1:2" customFormat="1" ht="13.2" x14ac:dyDescent="0.25">
      <c r="A22" s="20"/>
      <c r="B22" s="315"/>
    </row>
    <row r="23" spans="1:2" customFormat="1" ht="13.2" x14ac:dyDescent="0.25">
      <c r="A23" s="317"/>
      <c r="B23" s="315"/>
    </row>
    <row r="24" spans="1:2" customFormat="1" ht="13.2" x14ac:dyDescent="0.25">
      <c r="A24" s="317"/>
      <c r="B24" s="315"/>
    </row>
    <row r="25" spans="1:2" customFormat="1" ht="13.2" x14ac:dyDescent="0.25">
      <c r="A25" s="317"/>
      <c r="B25" s="315"/>
    </row>
    <row r="26" spans="1:2" customFormat="1" ht="13.2" x14ac:dyDescent="0.25">
      <c r="A26" s="317"/>
      <c r="B26" s="315"/>
    </row>
    <row r="27" spans="1:2" customFormat="1" ht="13.2" x14ac:dyDescent="0.25">
      <c r="A27" s="2295"/>
      <c r="B27" s="2292"/>
    </row>
    <row r="28" spans="1:2" customFormat="1" ht="13.2" x14ac:dyDescent="0.25">
      <c r="A28" s="2295"/>
      <c r="B28" s="2292"/>
    </row>
    <row r="29" spans="1:2" customFormat="1" ht="13.2" x14ac:dyDescent="0.25">
      <c r="A29" s="2295"/>
      <c r="B29" s="2292"/>
    </row>
    <row r="30" spans="1:2" customFormat="1" ht="13.2" x14ac:dyDescent="0.25">
      <c r="A30" s="2295"/>
      <c r="B30" s="2292"/>
    </row>
    <row r="31" spans="1:2" customFormat="1" ht="13.2" x14ac:dyDescent="0.25">
      <c r="A31" s="2295"/>
      <c r="B31" s="2292"/>
    </row>
    <row r="32" spans="1:2" customFormat="1" ht="13.2" x14ac:dyDescent="0.25">
      <c r="A32" s="2295"/>
      <c r="B32" s="2292"/>
    </row>
    <row r="33" spans="1:2" customFormat="1" ht="13.2" x14ac:dyDescent="0.25">
      <c r="A33" s="2295"/>
      <c r="B33" s="2292"/>
    </row>
    <row r="34" spans="1:2" customFormat="1" ht="13.2" x14ac:dyDescent="0.25">
      <c r="A34" s="2295"/>
      <c r="B34" s="2292"/>
    </row>
    <row r="35" spans="1:2" customFormat="1" ht="13.2" x14ac:dyDescent="0.25">
      <c r="A35" s="2295"/>
      <c r="B35" s="2292"/>
    </row>
    <row r="36" spans="1:2" customFormat="1" ht="13.2" x14ac:dyDescent="0.25">
      <c r="A36" s="2295"/>
      <c r="B36" s="2292"/>
    </row>
    <row r="37" spans="1:2" customFormat="1" ht="13.2" x14ac:dyDescent="0.25">
      <c r="A37" s="2295"/>
      <c r="B37" s="2292"/>
    </row>
    <row r="38" spans="1:2" customFormat="1" ht="13.2" x14ac:dyDescent="0.25">
      <c r="A38" s="2295"/>
      <c r="B38" s="2292"/>
    </row>
    <row r="39" spans="1:2" customFormat="1" ht="13.2" x14ac:dyDescent="0.25">
      <c r="A39" s="2295"/>
      <c r="B39" s="2292"/>
    </row>
    <row r="40" spans="1:2" customFormat="1" ht="13.2" x14ac:dyDescent="0.25">
      <c r="A40" s="2295"/>
      <c r="B40" s="2292"/>
    </row>
    <row r="41" spans="1:2" customFormat="1" ht="13.2" x14ac:dyDescent="0.25">
      <c r="A41" s="2295"/>
      <c r="B41" s="2292"/>
    </row>
    <row r="42" spans="1:2" customFormat="1" ht="13.2" x14ac:dyDescent="0.25">
      <c r="A42" s="2295"/>
      <c r="B42" s="2292"/>
    </row>
    <row r="43" spans="1:2" customFormat="1" ht="13.2" x14ac:dyDescent="0.25">
      <c r="A43" s="2295"/>
      <c r="B43" s="2292"/>
    </row>
    <row r="44" spans="1:2" customFormat="1" ht="13.2" x14ac:dyDescent="0.25">
      <c r="A44" s="2295"/>
      <c r="B44" s="2292"/>
    </row>
    <row r="45" spans="1:2" customFormat="1" ht="13.2" x14ac:dyDescent="0.25">
      <c r="A45" s="2295"/>
      <c r="B45" s="2292"/>
    </row>
    <row r="46" spans="1:2" customFormat="1" ht="13.2" x14ac:dyDescent="0.25">
      <c r="A46" s="2295"/>
      <c r="B46" s="2292"/>
    </row>
    <row r="47" spans="1:2" customFormat="1" ht="13.2" x14ac:dyDescent="0.25">
      <c r="A47" s="2295"/>
      <c r="B47" s="2292"/>
    </row>
    <row r="48" spans="1:2" customFormat="1" ht="13.2" x14ac:dyDescent="0.25">
      <c r="A48" s="2295"/>
      <c r="B48" s="2292"/>
    </row>
    <row r="49" spans="1:2" customFormat="1" ht="13.2" x14ac:dyDescent="0.25">
      <c r="A49" s="2295"/>
      <c r="B49" s="2292"/>
    </row>
    <row r="50" spans="1:2" customFormat="1" ht="13.2" x14ac:dyDescent="0.25">
      <c r="A50" s="2295"/>
      <c r="B50" s="2292"/>
    </row>
    <row r="51" spans="1:2" customFormat="1" ht="13.2" x14ac:dyDescent="0.25">
      <c r="A51" s="2295"/>
      <c r="B51" s="2292"/>
    </row>
    <row r="52" spans="1:2" customFormat="1" ht="13.2" x14ac:dyDescent="0.25">
      <c r="A52" s="2295"/>
      <c r="B52" s="2292"/>
    </row>
    <row r="53" spans="1:2" customFormat="1" ht="13.2" x14ac:dyDescent="0.25">
      <c r="A53" s="2295"/>
      <c r="B53" s="2292"/>
    </row>
    <row r="54" spans="1:2" customFormat="1" ht="13.2" x14ac:dyDescent="0.25">
      <c r="A54" s="2663"/>
      <c r="B54" s="2663"/>
    </row>
    <row r="55" spans="1:2" customFormat="1" ht="13.2" x14ac:dyDescent="0.25">
      <c r="A55" s="3"/>
      <c r="B55" s="2292"/>
    </row>
    <row r="56" spans="1:2" customFormat="1" ht="13.2" x14ac:dyDescent="0.25">
      <c r="A56" s="20"/>
      <c r="B56" s="315"/>
    </row>
    <row r="57" spans="1:2" customFormat="1" ht="13.2" x14ac:dyDescent="0.25">
      <c r="A57" s="20"/>
      <c r="B57" s="315"/>
    </row>
    <row r="58" spans="1:2" customFormat="1" ht="13.2" x14ac:dyDescent="0.25">
      <c r="A58" s="20"/>
      <c r="B58" s="315"/>
    </row>
    <row r="59" spans="1:2" customFormat="1" ht="13.2" x14ac:dyDescent="0.25">
      <c r="A59" s="20"/>
      <c r="B59" s="315"/>
    </row>
    <row r="60" spans="1:2" customFormat="1" ht="13.2" x14ac:dyDescent="0.25">
      <c r="A60" s="24"/>
      <c r="B60" s="315"/>
    </row>
    <row r="61" spans="1:2" customFormat="1" ht="56.25" customHeight="1" x14ac:dyDescent="0.25">
      <c r="A61" s="20"/>
      <c r="B61" s="315"/>
    </row>
    <row r="62" spans="1:2" customFormat="1" ht="13.2" x14ac:dyDescent="0.25">
      <c r="A62" s="20"/>
      <c r="B62" s="315"/>
    </row>
    <row r="63" spans="1:2" customFormat="1" ht="13.2" x14ac:dyDescent="0.25">
      <c r="A63" s="20"/>
      <c r="B63" s="315"/>
    </row>
    <row r="64" spans="1:2" customFormat="1" ht="13.2" x14ac:dyDescent="0.25">
      <c r="A64" s="20"/>
      <c r="B64" s="315"/>
    </row>
    <row r="65" spans="1:2" customFormat="1" ht="13.2" x14ac:dyDescent="0.25">
      <c r="A65" s="20"/>
      <c r="B65" s="315"/>
    </row>
    <row r="66" spans="1:2" customFormat="1" ht="13.2" x14ac:dyDescent="0.25">
      <c r="A66" s="20"/>
      <c r="B66" s="315"/>
    </row>
    <row r="67" spans="1:2" customFormat="1" ht="13.2" x14ac:dyDescent="0.25">
      <c r="A67" s="20"/>
      <c r="B67" s="315"/>
    </row>
    <row r="68" spans="1:2" customFormat="1" ht="13.2" x14ac:dyDescent="0.25">
      <c r="A68" s="20"/>
      <c r="B68" s="315"/>
    </row>
    <row r="69" spans="1:2" customFormat="1" ht="13.2" x14ac:dyDescent="0.25">
      <c r="A69" s="24"/>
      <c r="B69" s="315"/>
    </row>
    <row r="70" spans="1:2" customFormat="1" ht="13.2" x14ac:dyDescent="0.25">
      <c r="A70" s="20"/>
      <c r="B70" s="315"/>
    </row>
    <row r="71" spans="1:2" customFormat="1" ht="13.2" x14ac:dyDescent="0.25">
      <c r="A71" s="20"/>
      <c r="B71" s="315"/>
    </row>
    <row r="72" spans="1:2" customFormat="1" ht="13.2" x14ac:dyDescent="0.25">
      <c r="A72" s="20"/>
      <c r="B72" s="315"/>
    </row>
    <row r="73" spans="1:2" customFormat="1" ht="13.2" x14ac:dyDescent="0.25">
      <c r="A73" s="20"/>
      <c r="B73" s="315"/>
    </row>
    <row r="74" spans="1:2" customFormat="1" ht="13.2" x14ac:dyDescent="0.25">
      <c r="A74" s="20"/>
      <c r="B74" s="315"/>
    </row>
    <row r="75" spans="1:2" customFormat="1" ht="13.2" x14ac:dyDescent="0.25">
      <c r="A75" s="20"/>
      <c r="B75" s="315"/>
    </row>
    <row r="76" spans="1:2" customFormat="1" ht="13.2" x14ac:dyDescent="0.25">
      <c r="A76" s="20"/>
      <c r="B76" s="315"/>
    </row>
    <row r="77" spans="1:2" customFormat="1" ht="13.2" x14ac:dyDescent="0.25">
      <c r="A77" s="20"/>
      <c r="B77" s="315"/>
    </row>
    <row r="78" spans="1:2" customFormat="1" ht="13.2" x14ac:dyDescent="0.25">
      <c r="A78" s="2"/>
      <c r="B78" s="315"/>
    </row>
    <row r="79" spans="1:2" customFormat="1" ht="13.2" x14ac:dyDescent="0.25">
      <c r="A79" s="2"/>
      <c r="B79" s="315"/>
    </row>
    <row r="80" spans="1:2" customFormat="1" ht="13.2" x14ac:dyDescent="0.25">
      <c r="A80" s="2"/>
      <c r="B80" s="315"/>
    </row>
    <row r="81" spans="1:2" customFormat="1" ht="13.2" x14ac:dyDescent="0.25">
      <c r="A81" s="2"/>
      <c r="B81" s="315"/>
    </row>
    <row r="82" spans="1:2" customFormat="1" ht="13.2" x14ac:dyDescent="0.25">
      <c r="A82" s="2"/>
      <c r="B82" s="315"/>
    </row>
    <row r="83" spans="1:2" customFormat="1" ht="13.2" x14ac:dyDescent="0.25">
      <c r="A83" s="2"/>
      <c r="B83" s="315"/>
    </row>
    <row r="84" spans="1:2" customFormat="1" ht="13.2" x14ac:dyDescent="0.25">
      <c r="A84" s="2"/>
      <c r="B84" s="315"/>
    </row>
    <row r="85" spans="1:2" customFormat="1" ht="13.2" x14ac:dyDescent="0.25">
      <c r="A85" s="2"/>
      <c r="B85" s="315"/>
    </row>
    <row r="86" spans="1:2" customFormat="1" ht="13.2" x14ac:dyDescent="0.25">
      <c r="A86" s="2"/>
      <c r="B86" s="315"/>
    </row>
    <row r="87" spans="1:2" customFormat="1" ht="13.2" x14ac:dyDescent="0.25">
      <c r="A87" s="2"/>
      <c r="B87" s="315"/>
    </row>
    <row r="88" spans="1:2" customFormat="1" ht="13.2" x14ac:dyDescent="0.25">
      <c r="A88" s="2"/>
      <c r="B88" s="315"/>
    </row>
    <row r="89" spans="1:2" customFormat="1" ht="13.2" x14ac:dyDescent="0.25">
      <c r="A89" s="2"/>
      <c r="B89" s="315"/>
    </row>
    <row r="90" spans="1:2" customFormat="1" ht="13.2" x14ac:dyDescent="0.25">
      <c r="A90" s="2"/>
      <c r="B90" s="315"/>
    </row>
    <row r="91" spans="1:2" customFormat="1" ht="13.2" x14ac:dyDescent="0.25">
      <c r="A91" s="2"/>
      <c r="B91" s="315"/>
    </row>
    <row r="92" spans="1:2" customFormat="1" ht="13.2" x14ac:dyDescent="0.25">
      <c r="A92" s="2"/>
      <c r="B92" s="315"/>
    </row>
    <row r="93" spans="1:2" customFormat="1" ht="13.2" x14ac:dyDescent="0.25">
      <c r="A93" s="2"/>
      <c r="B93" s="315"/>
    </row>
    <row r="94" spans="1:2" customFormat="1" ht="13.2" x14ac:dyDescent="0.25">
      <c r="A94" s="2"/>
      <c r="B94" s="315"/>
    </row>
    <row r="95" spans="1:2" customFormat="1" ht="13.2" x14ac:dyDescent="0.25">
      <c r="A95" s="2"/>
      <c r="B95" s="315"/>
    </row>
    <row r="96" spans="1:2" customFormat="1" ht="13.2" x14ac:dyDescent="0.25">
      <c r="A96" s="2"/>
      <c r="B96" s="315"/>
    </row>
    <row r="97" spans="1:2" customFormat="1" ht="13.2" x14ac:dyDescent="0.25">
      <c r="A97" s="2"/>
      <c r="B97" s="315"/>
    </row>
    <row r="98" spans="1:2" customFormat="1" ht="13.2" x14ac:dyDescent="0.25">
      <c r="A98" s="2"/>
      <c r="B98" s="315"/>
    </row>
    <row r="99" spans="1:2" customFormat="1" ht="13.2" x14ac:dyDescent="0.25">
      <c r="A99" s="2"/>
      <c r="B99" s="315"/>
    </row>
    <row r="100" spans="1:2" customFormat="1" ht="13.2" x14ac:dyDescent="0.25">
      <c r="A100" s="2"/>
      <c r="B100" s="315"/>
    </row>
    <row r="101" spans="1:2" customFormat="1" ht="13.2" x14ac:dyDescent="0.25">
      <c r="A101" s="2"/>
      <c r="B101" s="315"/>
    </row>
    <row r="102" spans="1:2" customFormat="1" ht="13.2" x14ac:dyDescent="0.25">
      <c r="A102" s="2"/>
      <c r="B102" s="315"/>
    </row>
    <row r="103" spans="1:2" customFormat="1" ht="13.2" x14ac:dyDescent="0.25">
      <c r="A103" s="2"/>
      <c r="B103" s="315"/>
    </row>
    <row r="104" spans="1:2" customFormat="1" ht="13.2" x14ac:dyDescent="0.25">
      <c r="A104" s="2"/>
      <c r="B104" s="315"/>
    </row>
    <row r="105" spans="1:2" customFormat="1" ht="13.2" x14ac:dyDescent="0.25">
      <c r="A105" s="2"/>
      <c r="B105" s="315"/>
    </row>
    <row r="106" spans="1:2" customFormat="1" ht="13.2" x14ac:dyDescent="0.25">
      <c r="A106" s="2"/>
      <c r="B106" s="315"/>
    </row>
    <row r="107" spans="1:2" customFormat="1" ht="13.2" x14ac:dyDescent="0.25">
      <c r="A107" s="2"/>
      <c r="B107" s="315"/>
    </row>
    <row r="108" spans="1:2" customFormat="1" ht="13.2" x14ac:dyDescent="0.25">
      <c r="A108" s="2"/>
      <c r="B108" s="315"/>
    </row>
    <row r="109" spans="1:2" customFormat="1" ht="13.2" x14ac:dyDescent="0.25">
      <c r="A109" s="20"/>
      <c r="B109" s="315"/>
    </row>
    <row r="110" spans="1:2" customFormat="1" ht="13.2" x14ac:dyDescent="0.25">
      <c r="A110" s="20"/>
      <c r="B110" s="315"/>
    </row>
    <row r="111" spans="1:2" customFormat="1" ht="13.2" x14ac:dyDescent="0.25">
      <c r="A111" s="20"/>
      <c r="B111" s="315"/>
    </row>
    <row r="112" spans="1:2" customFormat="1" ht="13.2" x14ac:dyDescent="0.25">
      <c r="A112" s="20"/>
      <c r="B112" s="315"/>
    </row>
    <row r="113" spans="1:2" customFormat="1" ht="13.2" x14ac:dyDescent="0.25">
      <c r="A113" s="20"/>
      <c r="B113" s="315"/>
    </row>
    <row r="114" spans="1:2" customFormat="1" ht="13.2" x14ac:dyDescent="0.25">
      <c r="A114" s="20"/>
      <c r="B114" s="315"/>
    </row>
    <row r="115" spans="1:2" customFormat="1" ht="13.2" x14ac:dyDescent="0.25">
      <c r="A115" s="20"/>
      <c r="B115" s="315"/>
    </row>
    <row r="116" spans="1:2" customFormat="1" ht="13.2" x14ac:dyDescent="0.25">
      <c r="A116" s="20"/>
      <c r="B116" s="315"/>
    </row>
    <row r="117" spans="1:2" customFormat="1" ht="13.2" x14ac:dyDescent="0.25">
      <c r="A117" s="20"/>
      <c r="B117" s="315"/>
    </row>
    <row r="118" spans="1:2" customFormat="1" ht="13.2" x14ac:dyDescent="0.25">
      <c r="A118" s="20"/>
      <c r="B118" s="315"/>
    </row>
    <row r="119" spans="1:2" customFormat="1" ht="13.2" x14ac:dyDescent="0.25">
      <c r="A119" s="20"/>
      <c r="B119" s="315"/>
    </row>
    <row r="120" spans="1:2" customFormat="1" ht="13.2" x14ac:dyDescent="0.25">
      <c r="A120" s="20"/>
      <c r="B120" s="315"/>
    </row>
    <row r="121" spans="1:2" customFormat="1" ht="13.2" x14ac:dyDescent="0.25">
      <c r="A121" s="20"/>
      <c r="B121" s="315"/>
    </row>
    <row r="122" spans="1:2" customFormat="1" ht="13.2" x14ac:dyDescent="0.25">
      <c r="A122" s="20"/>
      <c r="B122" s="315"/>
    </row>
    <row r="123" spans="1:2" customFormat="1" ht="13.2" x14ac:dyDescent="0.25">
      <c r="A123" s="20"/>
      <c r="B123" s="315"/>
    </row>
    <row r="124" spans="1:2" customFormat="1" ht="13.2" x14ac:dyDescent="0.25">
      <c r="A124" s="20"/>
      <c r="B124" s="315"/>
    </row>
    <row r="125" spans="1:2" customFormat="1" ht="13.2" x14ac:dyDescent="0.25">
      <c r="A125" s="20"/>
      <c r="B125" s="315"/>
    </row>
    <row r="126" spans="1:2" customFormat="1" ht="13.2" x14ac:dyDescent="0.25">
      <c r="A126" s="20"/>
      <c r="B126" s="315"/>
    </row>
    <row r="127" spans="1:2" customFormat="1" ht="13.2" x14ac:dyDescent="0.25">
      <c r="A127" s="20"/>
      <c r="B127" s="315"/>
    </row>
    <row r="128" spans="1:2" customFormat="1" ht="13.2" x14ac:dyDescent="0.25">
      <c r="A128" s="20"/>
      <c r="B128" s="315"/>
    </row>
    <row r="129" spans="1:2" customFormat="1" ht="13.2" x14ac:dyDescent="0.25">
      <c r="A129" s="20"/>
      <c r="B129" s="315"/>
    </row>
    <row r="130" spans="1:2" customFormat="1" ht="13.2" x14ac:dyDescent="0.25">
      <c r="A130" s="20"/>
      <c r="B130" s="315"/>
    </row>
    <row r="131" spans="1:2" customFormat="1" ht="13.2" x14ac:dyDescent="0.25">
      <c r="A131" s="20"/>
      <c r="B131" s="315"/>
    </row>
    <row r="132" spans="1:2" customFormat="1" ht="13.2" x14ac:dyDescent="0.25">
      <c r="A132" s="20"/>
      <c r="B132" s="315"/>
    </row>
    <row r="133" spans="1:2" customFormat="1" ht="13.2" x14ac:dyDescent="0.25">
      <c r="A133" s="20"/>
      <c r="B133" s="315"/>
    </row>
    <row r="134" spans="1:2" customFormat="1" ht="13.2" x14ac:dyDescent="0.25">
      <c r="A134" s="20"/>
      <c r="B134" s="315"/>
    </row>
    <row r="135" spans="1:2" customFormat="1" ht="13.2" x14ac:dyDescent="0.25">
      <c r="A135" s="20"/>
      <c r="B135" s="315"/>
    </row>
    <row r="136" spans="1:2" customFormat="1" ht="13.2" x14ac:dyDescent="0.25">
      <c r="A136" s="20"/>
      <c r="B136" s="315"/>
    </row>
    <row r="137" spans="1:2" customFormat="1" ht="13.2" x14ac:dyDescent="0.25">
      <c r="A137" s="20"/>
      <c r="B137" s="315"/>
    </row>
    <row r="138" spans="1:2" customFormat="1" ht="13.2" x14ac:dyDescent="0.25">
      <c r="A138" s="20"/>
      <c r="B138" s="315"/>
    </row>
    <row r="139" spans="1:2" customFormat="1" ht="13.2" x14ac:dyDescent="0.25">
      <c r="A139" s="20"/>
      <c r="B139" s="315"/>
    </row>
    <row r="140" spans="1:2" customFormat="1" ht="13.2" x14ac:dyDescent="0.25">
      <c r="A140" s="20"/>
      <c r="B140" s="315"/>
    </row>
    <row r="141" spans="1:2" customFormat="1" ht="13.2" x14ac:dyDescent="0.25">
      <c r="A141" s="20"/>
      <c r="B141" s="315"/>
    </row>
    <row r="142" spans="1:2" customFormat="1" ht="13.2" x14ac:dyDescent="0.25">
      <c r="A142" s="20"/>
      <c r="B142" s="315"/>
    </row>
    <row r="143" spans="1:2" customFormat="1" ht="13.2" x14ac:dyDescent="0.25">
      <c r="A143" s="20"/>
      <c r="B143" s="315"/>
    </row>
    <row r="144" spans="1:2" customFormat="1" ht="13.2" x14ac:dyDescent="0.25">
      <c r="A144" s="317"/>
      <c r="B144" s="2292"/>
    </row>
    <row r="145" spans="1:2" customFormat="1" ht="13.2" x14ac:dyDescent="0.25">
      <c r="A145" s="317"/>
      <c r="B145" s="319"/>
    </row>
    <row r="146" spans="1:2" customFormat="1" ht="13.2" x14ac:dyDescent="0.25">
      <c r="A146" s="317"/>
      <c r="B146" s="319"/>
    </row>
    <row r="147" spans="1:2" customFormat="1" ht="13.2" x14ac:dyDescent="0.25">
      <c r="A147" s="317"/>
      <c r="B147" s="319"/>
    </row>
    <row r="148" spans="1:2" customFormat="1" x14ac:dyDescent="0.25">
      <c r="A148" s="320"/>
      <c r="B148" s="319"/>
    </row>
    <row r="149" spans="1:2" customFormat="1" x14ac:dyDescent="0.25">
      <c r="A149" s="320"/>
      <c r="B149" s="319"/>
    </row>
    <row r="150" spans="1:2" customFormat="1" x14ac:dyDescent="0.25">
      <c r="A150" s="320"/>
      <c r="B150" s="319"/>
    </row>
    <row r="151" spans="1:2" customFormat="1" x14ac:dyDescent="0.25">
      <c r="A151" s="320"/>
      <c r="B151" s="319"/>
    </row>
    <row r="152" spans="1:2" customFormat="1" x14ac:dyDescent="0.25">
      <c r="A152" s="320"/>
      <c r="B152" s="319"/>
    </row>
    <row r="153" spans="1:2" customFormat="1" x14ac:dyDescent="0.25">
      <c r="A153" s="320"/>
      <c r="B153" s="319"/>
    </row>
    <row r="154" spans="1:2" customFormat="1" x14ac:dyDescent="0.25">
      <c r="A154" s="320"/>
      <c r="B154" s="319"/>
    </row>
    <row r="155" spans="1:2" customFormat="1" x14ac:dyDescent="0.25">
      <c r="A155" s="320"/>
      <c r="B155" s="319"/>
    </row>
    <row r="156" spans="1:2" customFormat="1" x14ac:dyDescent="0.25">
      <c r="A156" s="320"/>
      <c r="B156" s="319"/>
    </row>
    <row r="157" spans="1:2" customFormat="1" x14ac:dyDescent="0.25">
      <c r="A157" s="320"/>
      <c r="B157" s="319"/>
    </row>
    <row r="158" spans="1:2" customFormat="1" x14ac:dyDescent="0.25">
      <c r="A158" s="320"/>
      <c r="B158" s="319"/>
    </row>
    <row r="159" spans="1:2" customFormat="1" x14ac:dyDescent="0.25">
      <c r="A159" s="320"/>
      <c r="B159" s="319"/>
    </row>
    <row r="160" spans="1:2" customFormat="1" x14ac:dyDescent="0.25">
      <c r="A160" s="320"/>
      <c r="B160" s="319"/>
    </row>
  </sheetData>
  <mergeCells count="1">
    <mergeCell ref="A54:B54"/>
  </mergeCells>
  <printOptions horizontalCentered="1"/>
  <pageMargins left="0.19685039370078741" right="0.19685039370078741" top="0.98425196850393704" bottom="0.35433070866141736" header="0.19685039370078741" footer="0.19685039370078741"/>
  <pageSetup paperSize="9" scale="88" orientation="landscape" r:id="rId1"/>
  <headerFooter alignWithMargins="0">
    <oddHeader xml:space="preserve">&amp;C&amp;"Times New Roman,Félkövér"2020. évi költségvetés 
törzsvagyon karbantartása, fejlesztése
11601 cím bevételi előiányzat&amp;R&amp;"Times New Roman,Félkövér dőlt"8. mell.a /2020. () 
önkormányzati rendelethez
ezer forintban&amp;"Times New Roman,Normál"
</oddHeader>
    <oddFooter>&amp;R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I53"/>
  <sheetViews>
    <sheetView zoomScaleNormal="100" workbookViewId="0">
      <pane xSplit="1" ySplit="2" topLeftCell="B18" activePane="bottomRight" state="frozen"/>
      <selection pane="topRight" activeCell="B1" sqref="B1"/>
      <selection pane="bottomLeft" activeCell="A3" sqref="A3"/>
      <selection pane="bottomRight" activeCell="L8" sqref="L8"/>
    </sheetView>
  </sheetViews>
  <sheetFormatPr defaultColWidth="9.109375" defaultRowHeight="13.2" x14ac:dyDescent="0.25"/>
  <cols>
    <col min="1" max="1" width="43.109375" style="92" customWidth="1"/>
    <col min="2" max="2" width="15.6640625" style="103" customWidth="1"/>
    <col min="3" max="3" width="15.6640625" style="107" customWidth="1"/>
    <col min="4" max="7" width="15.6640625" style="103" customWidth="1"/>
    <col min="8" max="9" width="15.6640625" style="107" customWidth="1"/>
    <col min="10" max="16384" width="9.109375" style="127"/>
  </cols>
  <sheetData>
    <row r="1" spans="1:9" ht="13.8" thickBot="1" x14ac:dyDescent="0.3">
      <c r="A1" s="2466"/>
    </row>
    <row r="2" spans="1:9" s="128" customFormat="1" ht="63" customHeight="1" thickBot="1" x14ac:dyDescent="0.3">
      <c r="A2" s="192" t="s">
        <v>608</v>
      </c>
      <c r="B2" s="191" t="s">
        <v>91</v>
      </c>
      <c r="C2" s="191" t="s">
        <v>621</v>
      </c>
      <c r="D2" s="191" t="s">
        <v>106</v>
      </c>
      <c r="E2" s="191" t="s">
        <v>108</v>
      </c>
      <c r="F2" s="522" t="s">
        <v>113</v>
      </c>
      <c r="G2" s="522" t="s">
        <v>114</v>
      </c>
      <c r="H2" s="191" t="s">
        <v>622</v>
      </c>
      <c r="I2" s="504" t="s">
        <v>623</v>
      </c>
    </row>
    <row r="3" spans="1:9" ht="15" customHeight="1" x14ac:dyDescent="0.25">
      <c r="A3" s="515" t="s">
        <v>167</v>
      </c>
      <c r="B3" s="783"/>
      <c r="C3" s="784"/>
      <c r="D3" s="783"/>
      <c r="E3" s="783"/>
      <c r="F3" s="783"/>
      <c r="G3" s="783"/>
      <c r="H3" s="784"/>
      <c r="I3" s="785"/>
    </row>
    <row r="4" spans="1:9" ht="15" customHeight="1" x14ac:dyDescent="0.25">
      <c r="A4" s="528" t="s">
        <v>624</v>
      </c>
      <c r="B4" s="29">
        <v>17500</v>
      </c>
      <c r="C4" s="323">
        <f t="shared" ref="C4:C9" si="0">SUM(B4:B4)</f>
        <v>17500</v>
      </c>
      <c r="D4" s="29"/>
      <c r="E4" s="29"/>
      <c r="F4" s="29"/>
      <c r="G4" s="29"/>
      <c r="H4" s="190">
        <f t="shared" ref="H4:H29" si="1">SUM(D4:G4)</f>
        <v>0</v>
      </c>
      <c r="I4" s="520">
        <f t="shared" ref="I4:I9" si="2">H4+C4</f>
        <v>17500</v>
      </c>
    </row>
    <row r="5" spans="1:9" ht="15" customHeight="1" x14ac:dyDescent="0.25">
      <c r="A5" s="528" t="s">
        <v>2061</v>
      </c>
      <c r="B5" s="29">
        <v>7000</v>
      </c>
      <c r="C5" s="323">
        <f t="shared" si="0"/>
        <v>7000</v>
      </c>
      <c r="D5" s="29"/>
      <c r="E5" s="29"/>
      <c r="F5" s="29"/>
      <c r="G5" s="29"/>
      <c r="H5" s="190">
        <f t="shared" si="1"/>
        <v>0</v>
      </c>
      <c r="I5" s="520">
        <f t="shared" si="2"/>
        <v>7000</v>
      </c>
    </row>
    <row r="6" spans="1:9" ht="27.75" customHeight="1" x14ac:dyDescent="0.25">
      <c r="A6" s="528" t="s">
        <v>2058</v>
      </c>
      <c r="B6" s="29">
        <v>4000</v>
      </c>
      <c r="C6" s="323">
        <f t="shared" si="0"/>
        <v>4000</v>
      </c>
      <c r="D6" s="29"/>
      <c r="E6" s="29"/>
      <c r="F6" s="29"/>
      <c r="G6" s="29"/>
      <c r="H6" s="190">
        <f t="shared" si="1"/>
        <v>0</v>
      </c>
      <c r="I6" s="520">
        <f t="shared" si="2"/>
        <v>4000</v>
      </c>
    </row>
    <row r="7" spans="1:9" ht="39.9" customHeight="1" x14ac:dyDescent="0.25">
      <c r="A7" s="528" t="s">
        <v>625</v>
      </c>
      <c r="B7" s="29">
        <v>400</v>
      </c>
      <c r="C7" s="323">
        <f t="shared" si="0"/>
        <v>400</v>
      </c>
      <c r="D7" s="29"/>
      <c r="E7" s="29"/>
      <c r="F7" s="29"/>
      <c r="G7" s="29"/>
      <c r="H7" s="190">
        <f t="shared" si="1"/>
        <v>0</v>
      </c>
      <c r="I7" s="520">
        <f t="shared" si="2"/>
        <v>400</v>
      </c>
    </row>
    <row r="8" spans="1:9" ht="30" customHeight="1" x14ac:dyDescent="0.25">
      <c r="A8" s="528" t="s">
        <v>626</v>
      </c>
      <c r="B8" s="29">
        <v>5000</v>
      </c>
      <c r="C8" s="323">
        <f t="shared" si="0"/>
        <v>5000</v>
      </c>
      <c r="D8" s="29"/>
      <c r="E8" s="29"/>
      <c r="F8" s="29"/>
      <c r="G8" s="29"/>
      <c r="H8" s="190">
        <f t="shared" si="1"/>
        <v>0</v>
      </c>
      <c r="I8" s="520">
        <f t="shared" si="2"/>
        <v>5000</v>
      </c>
    </row>
    <row r="9" spans="1:9" ht="15" customHeight="1" thickBot="1" x14ac:dyDescent="0.3">
      <c r="A9" s="837" t="s">
        <v>892</v>
      </c>
      <c r="B9" s="717"/>
      <c r="C9" s="323">
        <f t="shared" si="0"/>
        <v>0</v>
      </c>
      <c r="D9" s="717"/>
      <c r="E9" s="717"/>
      <c r="F9" s="717"/>
      <c r="G9" s="717"/>
      <c r="H9" s="190">
        <f t="shared" si="1"/>
        <v>0</v>
      </c>
      <c r="I9" s="520">
        <f t="shared" si="2"/>
        <v>0</v>
      </c>
    </row>
    <row r="10" spans="1:9" s="128" customFormat="1" ht="15" customHeight="1" thickBot="1" x14ac:dyDescent="0.3">
      <c r="A10" s="529" t="s">
        <v>627</v>
      </c>
      <c r="B10" s="326">
        <f>SUM(B3:B9)</f>
        <v>33900</v>
      </c>
      <c r="C10" s="326">
        <f t="shared" ref="C10:I10" si="3">SUM(C3:C9)</f>
        <v>33900</v>
      </c>
      <c r="D10" s="326">
        <f t="shared" si="3"/>
        <v>0</v>
      </c>
      <c r="E10" s="326">
        <f t="shared" si="3"/>
        <v>0</v>
      </c>
      <c r="F10" s="326">
        <f t="shared" si="3"/>
        <v>0</v>
      </c>
      <c r="G10" s="326">
        <f t="shared" si="3"/>
        <v>0</v>
      </c>
      <c r="H10" s="326">
        <f t="shared" si="3"/>
        <v>0</v>
      </c>
      <c r="I10" s="467">
        <f t="shared" si="3"/>
        <v>33900</v>
      </c>
    </row>
    <row r="11" spans="1:9" ht="15" customHeight="1" x14ac:dyDescent="0.25">
      <c r="A11" s="515" t="s">
        <v>618</v>
      </c>
      <c r="B11" s="783"/>
      <c r="C11" s="784"/>
      <c r="D11" s="783"/>
      <c r="E11" s="783"/>
      <c r="F11" s="783"/>
      <c r="G11" s="783"/>
      <c r="H11" s="784"/>
      <c r="I11" s="785"/>
    </row>
    <row r="12" spans="1:9" ht="15" customHeight="1" x14ac:dyDescent="0.25">
      <c r="A12" s="515" t="s">
        <v>628</v>
      </c>
      <c r="B12" s="324"/>
      <c r="C12" s="323"/>
      <c r="D12" s="324"/>
      <c r="E12" s="324"/>
      <c r="F12" s="324"/>
      <c r="G12" s="324"/>
      <c r="H12" s="323"/>
      <c r="I12" s="519"/>
    </row>
    <row r="13" spans="1:9" ht="30" customHeight="1" x14ac:dyDescent="0.25">
      <c r="A13" s="516" t="s">
        <v>629</v>
      </c>
      <c r="B13" s="29"/>
      <c r="C13" s="190">
        <f t="shared" ref="C13:C29" si="4">SUM(B13:B13)</f>
        <v>0</v>
      </c>
      <c r="D13" s="29">
        <v>174000</v>
      </c>
      <c r="E13" s="29"/>
      <c r="F13" s="29"/>
      <c r="G13" s="29"/>
      <c r="H13" s="190">
        <f t="shared" si="1"/>
        <v>174000</v>
      </c>
      <c r="I13" s="520">
        <f t="shared" ref="I13:I29" si="5">H13+C13</f>
        <v>174000</v>
      </c>
    </row>
    <row r="14" spans="1:9" ht="15" customHeight="1" x14ac:dyDescent="0.25">
      <c r="A14" s="516" t="s">
        <v>630</v>
      </c>
      <c r="B14" s="29">
        <v>1000</v>
      </c>
      <c r="C14" s="190">
        <f t="shared" si="4"/>
        <v>1000</v>
      </c>
      <c r="D14" s="29"/>
      <c r="E14" s="29"/>
      <c r="F14" s="29"/>
      <c r="G14" s="29"/>
      <c r="H14" s="190">
        <f t="shared" si="1"/>
        <v>0</v>
      </c>
      <c r="I14" s="520">
        <f t="shared" si="5"/>
        <v>1000</v>
      </c>
    </row>
    <row r="15" spans="1:9" ht="15" customHeight="1" x14ac:dyDescent="0.25">
      <c r="A15" s="516" t="s">
        <v>631</v>
      </c>
      <c r="B15" s="29"/>
      <c r="C15" s="190">
        <f t="shared" si="4"/>
        <v>0</v>
      </c>
      <c r="D15" s="29">
        <v>10000</v>
      </c>
      <c r="E15" s="29"/>
      <c r="F15" s="29"/>
      <c r="G15" s="29"/>
      <c r="H15" s="190">
        <f t="shared" si="1"/>
        <v>10000</v>
      </c>
      <c r="I15" s="520">
        <f t="shared" si="5"/>
        <v>10000</v>
      </c>
    </row>
    <row r="16" spans="1:9" ht="15" customHeight="1" x14ac:dyDescent="0.25">
      <c r="A16" s="517" t="s">
        <v>712</v>
      </c>
      <c r="B16" s="330"/>
      <c r="C16" s="190"/>
      <c r="D16" s="330"/>
      <c r="E16" s="29"/>
      <c r="F16" s="29"/>
      <c r="G16" s="29"/>
      <c r="H16" s="190"/>
      <c r="I16" s="520"/>
    </row>
    <row r="17" spans="1:9" ht="30" customHeight="1" x14ac:dyDescent="0.25">
      <c r="A17" s="511" t="s">
        <v>2059</v>
      </c>
      <c r="B17" s="330"/>
      <c r="C17" s="190">
        <f t="shared" si="4"/>
        <v>0</v>
      </c>
      <c r="D17" s="330"/>
      <c r="E17" s="29">
        <v>33687</v>
      </c>
      <c r="F17" s="29"/>
      <c r="G17" s="29"/>
      <c r="H17" s="190">
        <f t="shared" si="1"/>
        <v>33687</v>
      </c>
      <c r="I17" s="520">
        <f t="shared" si="5"/>
        <v>33687</v>
      </c>
    </row>
    <row r="18" spans="1:9" ht="39.9" customHeight="1" x14ac:dyDescent="0.25">
      <c r="A18" s="511" t="s">
        <v>2060</v>
      </c>
      <c r="B18" s="330"/>
      <c r="C18" s="190">
        <f t="shared" si="4"/>
        <v>0</v>
      </c>
      <c r="D18" s="330"/>
      <c r="E18" s="29">
        <v>25692</v>
      </c>
      <c r="F18" s="29"/>
      <c r="G18" s="29"/>
      <c r="H18" s="190">
        <f t="shared" si="1"/>
        <v>25692</v>
      </c>
      <c r="I18" s="520">
        <f t="shared" si="5"/>
        <v>25692</v>
      </c>
    </row>
    <row r="19" spans="1:9" ht="15" customHeight="1" x14ac:dyDescent="0.25">
      <c r="A19" s="511" t="s">
        <v>632</v>
      </c>
      <c r="B19" s="330">
        <v>12624</v>
      </c>
      <c r="C19" s="190">
        <f t="shared" si="4"/>
        <v>12624</v>
      </c>
      <c r="D19" s="330"/>
      <c r="E19" s="29"/>
      <c r="F19" s="29"/>
      <c r="G19" s="29"/>
      <c r="H19" s="190">
        <f t="shared" si="1"/>
        <v>0</v>
      </c>
      <c r="I19" s="520">
        <f t="shared" si="5"/>
        <v>12624</v>
      </c>
    </row>
    <row r="20" spans="1:9" ht="15" customHeight="1" x14ac:dyDescent="0.25">
      <c r="A20" s="517" t="s">
        <v>713</v>
      </c>
      <c r="B20" s="29"/>
      <c r="C20" s="2340"/>
      <c r="D20" s="29"/>
      <c r="E20" s="29"/>
      <c r="F20" s="29"/>
      <c r="G20" s="29"/>
      <c r="H20" s="2340"/>
      <c r="I20" s="520"/>
    </row>
    <row r="21" spans="1:9" ht="15" customHeight="1" x14ac:dyDescent="0.25">
      <c r="A21" s="517" t="s">
        <v>714</v>
      </c>
      <c r="B21" s="29"/>
      <c r="C21" s="190"/>
      <c r="D21" s="29"/>
      <c r="E21" s="29"/>
      <c r="F21" s="29"/>
      <c r="G21" s="29"/>
      <c r="H21" s="190"/>
      <c r="I21" s="520"/>
    </row>
    <row r="22" spans="1:9" s="128" customFormat="1" ht="15" customHeight="1" x14ac:dyDescent="0.25">
      <c r="A22" s="517" t="s">
        <v>774</v>
      </c>
      <c r="B22" s="190"/>
      <c r="C22" s="190"/>
      <c r="D22" s="190"/>
      <c r="E22" s="190"/>
      <c r="F22" s="190"/>
      <c r="G22" s="190"/>
      <c r="H22" s="190"/>
      <c r="I22" s="520"/>
    </row>
    <row r="23" spans="1:9" ht="45" customHeight="1" x14ac:dyDescent="0.25">
      <c r="A23" s="2465" t="s">
        <v>2213</v>
      </c>
      <c r="B23" s="330"/>
      <c r="C23" s="190">
        <f t="shared" si="4"/>
        <v>0</v>
      </c>
      <c r="D23" s="330">
        <v>4445</v>
      </c>
      <c r="E23" s="29"/>
      <c r="F23" s="29"/>
      <c r="G23" s="29"/>
      <c r="H23" s="190">
        <f t="shared" si="1"/>
        <v>4445</v>
      </c>
      <c r="I23" s="520">
        <f t="shared" si="5"/>
        <v>4445</v>
      </c>
    </row>
    <row r="24" spans="1:9" ht="15" customHeight="1" x14ac:dyDescent="0.25">
      <c r="A24" s="517" t="s">
        <v>775</v>
      </c>
      <c r="B24" s="330"/>
      <c r="C24" s="2340"/>
      <c r="D24" s="330"/>
      <c r="E24" s="29"/>
      <c r="F24" s="29"/>
      <c r="G24" s="29"/>
      <c r="H24" s="190"/>
      <c r="I24" s="520"/>
    </row>
    <row r="25" spans="1:9" ht="15" customHeight="1" x14ac:dyDescent="0.25">
      <c r="A25" s="510" t="s">
        <v>776</v>
      </c>
      <c r="B25" s="330"/>
      <c r="C25" s="190"/>
      <c r="D25" s="330"/>
      <c r="E25" s="330"/>
      <c r="F25" s="29"/>
      <c r="G25" s="29"/>
      <c r="H25" s="190"/>
      <c r="I25" s="520"/>
    </row>
    <row r="26" spans="1:9" ht="15" customHeight="1" x14ac:dyDescent="0.25">
      <c r="A26" s="511" t="s">
        <v>1046</v>
      </c>
      <c r="B26" s="330">
        <v>63500</v>
      </c>
      <c r="C26" s="190">
        <f t="shared" ref="C26" si="6">SUM(B26:B26)</f>
        <v>63500</v>
      </c>
      <c r="D26" s="330"/>
      <c r="E26" s="330"/>
      <c r="F26" s="29"/>
      <c r="G26" s="29"/>
      <c r="H26" s="190">
        <f t="shared" ref="H26" si="7">SUM(D26:G26)</f>
        <v>0</v>
      </c>
      <c r="I26" s="520">
        <f t="shared" ref="I26" si="8">H26+C26</f>
        <v>63500</v>
      </c>
    </row>
    <row r="27" spans="1:9" ht="15" customHeight="1" x14ac:dyDescent="0.25">
      <c r="A27" s="518" t="s">
        <v>633</v>
      </c>
      <c r="B27" s="330"/>
      <c r="C27" s="190"/>
      <c r="D27" s="330"/>
      <c r="E27" s="330"/>
      <c r="F27" s="29"/>
      <c r="G27" s="29"/>
      <c r="H27" s="190"/>
      <c r="I27" s="520"/>
    </row>
    <row r="28" spans="1:9" ht="30" customHeight="1" x14ac:dyDescent="0.25">
      <c r="A28" s="511" t="s">
        <v>2195</v>
      </c>
      <c r="B28" s="330"/>
      <c r="C28" s="190">
        <f t="shared" si="4"/>
        <v>0</v>
      </c>
      <c r="D28" s="330">
        <v>1915649</v>
      </c>
      <c r="E28" s="330"/>
      <c r="F28" s="29"/>
      <c r="G28" s="29"/>
      <c r="H28" s="190">
        <f t="shared" si="1"/>
        <v>1915649</v>
      </c>
      <c r="I28" s="520">
        <f t="shared" si="5"/>
        <v>1915649</v>
      </c>
    </row>
    <row r="29" spans="1:9" ht="15" customHeight="1" x14ac:dyDescent="0.25">
      <c r="A29" s="511" t="s">
        <v>2196</v>
      </c>
      <c r="B29" s="330"/>
      <c r="C29" s="190">
        <f t="shared" si="4"/>
        <v>0</v>
      </c>
      <c r="D29" s="330">
        <v>250000</v>
      </c>
      <c r="E29" s="330"/>
      <c r="F29" s="29"/>
      <c r="G29" s="29"/>
      <c r="H29" s="190">
        <f t="shared" si="1"/>
        <v>250000</v>
      </c>
      <c r="I29" s="520">
        <f t="shared" si="5"/>
        <v>250000</v>
      </c>
    </row>
    <row r="30" spans="1:9" s="128" customFormat="1" ht="15" customHeight="1" thickBot="1" x14ac:dyDescent="0.3">
      <c r="A30" s="834" t="s">
        <v>619</v>
      </c>
      <c r="B30" s="333">
        <f t="shared" ref="B30:I30" si="9">SUM(B11:B29)</f>
        <v>77124</v>
      </c>
      <c r="C30" s="333">
        <f t="shared" si="9"/>
        <v>77124</v>
      </c>
      <c r="D30" s="333">
        <f t="shared" si="9"/>
        <v>2354094</v>
      </c>
      <c r="E30" s="333">
        <f t="shared" si="9"/>
        <v>59379</v>
      </c>
      <c r="F30" s="333">
        <f t="shared" si="9"/>
        <v>0</v>
      </c>
      <c r="G30" s="333">
        <f t="shared" si="9"/>
        <v>0</v>
      </c>
      <c r="H30" s="333">
        <f t="shared" si="9"/>
        <v>2413473</v>
      </c>
      <c r="I30" s="512">
        <f t="shared" si="9"/>
        <v>2490597</v>
      </c>
    </row>
    <row r="31" spans="1:9" s="128" customFormat="1" ht="15" customHeight="1" thickBot="1" x14ac:dyDescent="0.3">
      <c r="A31" s="835" t="s">
        <v>634</v>
      </c>
      <c r="B31" s="345">
        <f t="shared" ref="B31:I31" si="10">B10+B30</f>
        <v>111024</v>
      </c>
      <c r="C31" s="334">
        <f t="shared" si="10"/>
        <v>111024</v>
      </c>
      <c r="D31" s="334">
        <f t="shared" si="10"/>
        <v>2354094</v>
      </c>
      <c r="E31" s="334">
        <f t="shared" si="10"/>
        <v>59379</v>
      </c>
      <c r="F31" s="334">
        <f t="shared" si="10"/>
        <v>0</v>
      </c>
      <c r="G31" s="334">
        <f t="shared" si="10"/>
        <v>0</v>
      </c>
      <c r="H31" s="334">
        <f t="shared" si="10"/>
        <v>2413473</v>
      </c>
      <c r="I31" s="513">
        <f t="shared" si="10"/>
        <v>2524497</v>
      </c>
    </row>
    <row r="32" spans="1:9" x14ac:dyDescent="0.25">
      <c r="A32" s="2"/>
      <c r="B32" s="17"/>
      <c r="C32" s="123"/>
      <c r="D32" s="17"/>
      <c r="E32" s="17"/>
      <c r="F32" s="17"/>
      <c r="G32" s="17"/>
      <c r="H32" s="123"/>
      <c r="I32" s="123"/>
    </row>
    <row r="33" spans="1:9" x14ac:dyDescent="0.25">
      <c r="A33" s="2"/>
      <c r="B33" s="17"/>
      <c r="C33" s="123"/>
      <c r="D33" s="17"/>
      <c r="E33" s="17"/>
      <c r="F33" s="17"/>
      <c r="G33" s="17"/>
      <c r="H33" s="123"/>
      <c r="I33" s="123"/>
    </row>
    <row r="34" spans="1:9" x14ac:dyDescent="0.25">
      <c r="A34" s="2"/>
      <c r="B34" s="17"/>
      <c r="C34" s="123"/>
      <c r="D34" s="17"/>
      <c r="E34" s="17"/>
      <c r="F34" s="17"/>
      <c r="G34" s="17"/>
      <c r="H34" s="123"/>
      <c r="I34" s="123"/>
    </row>
    <row r="35" spans="1:9" x14ac:dyDescent="0.25">
      <c r="A35" s="2"/>
      <c r="B35" s="17"/>
      <c r="C35" s="123"/>
      <c r="D35" s="17"/>
      <c r="E35" s="17"/>
      <c r="F35" s="17"/>
      <c r="G35" s="17"/>
      <c r="H35" s="123"/>
      <c r="I35" s="123"/>
    </row>
    <row r="36" spans="1:9" x14ac:dyDescent="0.25">
      <c r="A36" s="2"/>
      <c r="B36" s="17"/>
      <c r="C36" s="123"/>
      <c r="D36" s="17"/>
      <c r="E36" s="17"/>
      <c r="F36" s="17"/>
      <c r="G36" s="17"/>
      <c r="H36" s="123"/>
      <c r="I36" s="123"/>
    </row>
    <row r="37" spans="1:9" x14ac:dyDescent="0.25">
      <c r="A37" s="2"/>
      <c r="B37" s="17"/>
      <c r="C37" s="123"/>
      <c r="D37" s="17"/>
      <c r="E37" s="17"/>
      <c r="F37" s="17"/>
      <c r="G37" s="17"/>
      <c r="H37" s="123"/>
      <c r="I37" s="123"/>
    </row>
    <row r="38" spans="1:9" x14ac:dyDescent="0.25">
      <c r="A38" s="2"/>
      <c r="B38" s="17"/>
      <c r="C38" s="123"/>
      <c r="D38" s="17"/>
      <c r="E38" s="17"/>
      <c r="F38" s="17"/>
      <c r="G38" s="17"/>
      <c r="H38" s="123"/>
      <c r="I38" s="123"/>
    </row>
    <row r="39" spans="1:9" x14ac:dyDescent="0.25">
      <c r="A39" s="2"/>
      <c r="B39" s="17"/>
      <c r="C39" s="123"/>
      <c r="D39" s="17"/>
      <c r="E39" s="17"/>
      <c r="F39" s="17"/>
      <c r="G39" s="17"/>
      <c r="H39" s="123"/>
      <c r="I39" s="123"/>
    </row>
    <row r="40" spans="1:9" x14ac:dyDescent="0.25">
      <c r="A40" s="2"/>
      <c r="B40" s="17"/>
      <c r="C40" s="123"/>
      <c r="D40" s="17"/>
      <c r="E40" s="17"/>
      <c r="F40" s="17"/>
      <c r="G40" s="17"/>
      <c r="H40" s="123"/>
      <c r="I40" s="123"/>
    </row>
    <row r="41" spans="1:9" x14ac:dyDescent="0.25">
      <c r="A41" s="2"/>
      <c r="B41" s="17"/>
      <c r="C41" s="123"/>
      <c r="D41" s="17"/>
      <c r="E41" s="17"/>
      <c r="F41" s="17"/>
      <c r="G41" s="17"/>
      <c r="H41" s="123"/>
      <c r="I41" s="123"/>
    </row>
    <row r="42" spans="1:9" x14ac:dyDescent="0.25">
      <c r="A42" s="2"/>
      <c r="B42" s="17"/>
      <c r="C42" s="123"/>
      <c r="D42" s="17"/>
      <c r="E42" s="17"/>
      <c r="F42" s="17"/>
      <c r="G42" s="17"/>
      <c r="H42" s="123"/>
      <c r="I42" s="123"/>
    </row>
    <row r="43" spans="1:9" x14ac:dyDescent="0.25">
      <c r="A43" s="2"/>
      <c r="B43" s="17"/>
      <c r="C43" s="123"/>
      <c r="D43" s="17"/>
      <c r="E43" s="17"/>
      <c r="F43" s="17"/>
      <c r="G43" s="17"/>
      <c r="H43" s="123"/>
      <c r="I43" s="123"/>
    </row>
    <row r="44" spans="1:9" x14ac:dyDescent="0.25">
      <c r="A44" s="2"/>
      <c r="B44" s="17"/>
      <c r="C44" s="123"/>
      <c r="D44" s="17"/>
      <c r="E44" s="17"/>
      <c r="F44" s="17"/>
      <c r="G44" s="17"/>
      <c r="H44" s="123"/>
      <c r="I44" s="123"/>
    </row>
    <row r="45" spans="1:9" x14ac:dyDescent="0.25">
      <c r="A45" s="2"/>
      <c r="B45" s="17"/>
      <c r="C45" s="123"/>
      <c r="D45" s="17"/>
      <c r="E45" s="17"/>
      <c r="F45" s="17"/>
      <c r="G45" s="17"/>
      <c r="H45" s="123"/>
      <c r="I45" s="123"/>
    </row>
    <row r="46" spans="1:9" x14ac:dyDescent="0.25">
      <c r="A46" s="2"/>
      <c r="B46" s="17"/>
      <c r="C46" s="123"/>
      <c r="D46" s="17"/>
      <c r="E46" s="17"/>
      <c r="F46" s="17"/>
      <c r="G46" s="17"/>
      <c r="H46" s="123"/>
      <c r="I46" s="123"/>
    </row>
    <row r="47" spans="1:9" x14ac:dyDescent="0.25">
      <c r="A47" s="2"/>
      <c r="B47" s="17"/>
      <c r="C47" s="123"/>
      <c r="D47" s="17"/>
      <c r="E47" s="17"/>
      <c r="F47" s="17"/>
      <c r="G47" s="17"/>
      <c r="H47" s="123"/>
      <c r="I47" s="123"/>
    </row>
    <row r="48" spans="1:9" x14ac:dyDescent="0.25">
      <c r="A48" s="2"/>
      <c r="B48" s="17"/>
      <c r="C48" s="123"/>
      <c r="D48" s="17"/>
      <c r="E48" s="17"/>
      <c r="F48" s="17"/>
      <c r="G48" s="17"/>
      <c r="H48" s="123"/>
      <c r="I48" s="123"/>
    </row>
    <row r="49" spans="1:9" x14ac:dyDescent="0.25">
      <c r="A49" s="2"/>
      <c r="B49" s="17"/>
      <c r="C49" s="123"/>
      <c r="D49" s="17"/>
      <c r="E49" s="17"/>
      <c r="F49" s="17"/>
      <c r="G49" s="17"/>
      <c r="H49" s="123"/>
      <c r="I49" s="123"/>
    </row>
    <row r="50" spans="1:9" x14ac:dyDescent="0.25">
      <c r="A50" s="2"/>
      <c r="B50" s="17"/>
      <c r="C50" s="123"/>
      <c r="D50" s="17"/>
      <c r="E50" s="17"/>
      <c r="F50" s="17"/>
      <c r="G50" s="17"/>
      <c r="H50" s="123"/>
      <c r="I50" s="123"/>
    </row>
    <row r="51" spans="1:9" x14ac:dyDescent="0.25">
      <c r="A51" s="2"/>
      <c r="B51" s="17"/>
      <c r="C51" s="123"/>
      <c r="D51" s="17"/>
      <c r="E51" s="17"/>
      <c r="F51" s="17"/>
      <c r="G51" s="17"/>
      <c r="H51" s="123"/>
      <c r="I51" s="123"/>
    </row>
    <row r="52" spans="1:9" x14ac:dyDescent="0.25">
      <c r="A52" s="2"/>
      <c r="B52" s="17"/>
      <c r="C52" s="123"/>
      <c r="D52" s="17"/>
      <c r="E52" s="17"/>
      <c r="F52" s="17"/>
      <c r="G52" s="17"/>
      <c r="H52" s="123"/>
      <c r="I52" s="123"/>
    </row>
    <row r="53" spans="1:9" x14ac:dyDescent="0.25">
      <c r="A53" s="2"/>
      <c r="B53" s="17"/>
      <c r="C53" s="123"/>
      <c r="D53" s="17"/>
      <c r="E53" s="17"/>
      <c r="F53" s="17"/>
      <c r="G53" s="17"/>
      <c r="H53" s="123"/>
      <c r="I53" s="123"/>
    </row>
  </sheetData>
  <printOptions horizontalCentered="1"/>
  <pageMargins left="0.39370078740157483" right="0.19685039370078741" top="0.82677165354330717" bottom="0.51181102362204722" header="0.15748031496062992" footer="0.15748031496062992"/>
  <pageSetup paperSize="9" scale="68" orientation="landscape" r:id="rId1"/>
  <headerFooter alignWithMargins="0">
    <oddHeader xml:space="preserve">&amp;C&amp;"Times New Roman,Félkövér" 2020. évi költségvetés
 törzsvagyon karbantartása, fejlesztése
11601 cím kiadási előirányzat&amp;R&amp;"Times New Roman,Félkövér dőlt"8. melléklet a /2020. () 
önk. rendelethez
ezer forintban&amp;"Times New Roman,Normál"&amp;8
</oddHeader>
    <oddFooter xml:space="preserve">&amp;C
&amp;R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185"/>
  <sheetViews>
    <sheetView zoomScaleNormal="100" workbookViewId="0">
      <pane xSplit="1" ySplit="1" topLeftCell="B26" activePane="bottomRight" state="frozen"/>
      <selection pane="topRight" activeCell="B1" sqref="B1"/>
      <selection pane="bottomLeft" activeCell="A2" sqref="A2"/>
      <selection pane="bottomRight" activeCell="B46" sqref="B46"/>
    </sheetView>
  </sheetViews>
  <sheetFormatPr defaultRowHeight="12.6" x14ac:dyDescent="0.25"/>
  <cols>
    <col min="1" max="1" width="40.6640625" customWidth="1"/>
    <col min="2" max="2" width="15.6640625" style="321" customWidth="1"/>
    <col min="3" max="7" width="15.6640625" style="316" customWidth="1"/>
    <col min="8" max="8" width="10.44140625" bestFit="1" customWidth="1"/>
  </cols>
  <sheetData>
    <row r="1" spans="1:7" s="110" customFormat="1" ht="63" customHeight="1" thickBot="1" x14ac:dyDescent="0.3">
      <c r="A1" s="192" t="s">
        <v>608</v>
      </c>
      <c r="B1" s="271" t="s">
        <v>133</v>
      </c>
      <c r="C1" s="191" t="s">
        <v>609</v>
      </c>
      <c r="D1" s="522" t="s">
        <v>635</v>
      </c>
      <c r="E1" s="271" t="s">
        <v>144</v>
      </c>
      <c r="F1" s="191" t="s">
        <v>611</v>
      </c>
      <c r="G1" s="504" t="s">
        <v>612</v>
      </c>
    </row>
    <row r="2" spans="1:7" s="110" customFormat="1" ht="15" customHeight="1" x14ac:dyDescent="0.25">
      <c r="A2" s="523" t="s">
        <v>613</v>
      </c>
      <c r="B2" s="780"/>
      <c r="C2" s="780"/>
      <c r="D2" s="780"/>
      <c r="E2" s="780"/>
      <c r="F2" s="780"/>
      <c r="G2" s="781"/>
    </row>
    <row r="3" spans="1:7" s="596" customFormat="1" ht="15" customHeight="1" x14ac:dyDescent="0.25">
      <c r="A3" s="498" t="s">
        <v>636</v>
      </c>
      <c r="B3" s="302">
        <v>490000</v>
      </c>
      <c r="C3" s="301">
        <f t="shared" ref="C3:C38" si="0">SUM(B3:B3)</f>
        <v>490000</v>
      </c>
      <c r="D3" s="302">
        <v>0</v>
      </c>
      <c r="E3" s="302">
        <v>0</v>
      </c>
      <c r="F3" s="301">
        <f t="shared" ref="F3:F23" si="1">SUM(D3:D3)</f>
        <v>0</v>
      </c>
      <c r="G3" s="393">
        <f t="shared" ref="G3:G38" si="2">F3+C3</f>
        <v>490000</v>
      </c>
    </row>
    <row r="4" spans="1:7" s="596" customFormat="1" ht="15" customHeight="1" x14ac:dyDescent="0.25">
      <c r="A4" s="498" t="s">
        <v>637</v>
      </c>
      <c r="B4" s="302">
        <v>110000</v>
      </c>
      <c r="C4" s="301">
        <f t="shared" si="0"/>
        <v>110000</v>
      </c>
      <c r="D4" s="302">
        <v>0</v>
      </c>
      <c r="E4" s="302">
        <v>0</v>
      </c>
      <c r="F4" s="301">
        <f t="shared" si="1"/>
        <v>0</v>
      </c>
      <c r="G4" s="393">
        <f t="shared" si="2"/>
        <v>110000</v>
      </c>
    </row>
    <row r="5" spans="1:7" s="596" customFormat="1" ht="15" customHeight="1" x14ac:dyDescent="0.25">
      <c r="A5" s="498" t="s">
        <v>638</v>
      </c>
      <c r="B5" s="302">
        <v>104000</v>
      </c>
      <c r="C5" s="301">
        <f t="shared" si="0"/>
        <v>104000</v>
      </c>
      <c r="D5" s="302">
        <v>0</v>
      </c>
      <c r="E5" s="302">
        <v>0</v>
      </c>
      <c r="F5" s="301">
        <f t="shared" si="1"/>
        <v>0</v>
      </c>
      <c r="G5" s="393">
        <f t="shared" si="2"/>
        <v>104000</v>
      </c>
    </row>
    <row r="6" spans="1:7" s="596" customFormat="1" ht="15" customHeight="1" x14ac:dyDescent="0.25">
      <c r="A6" s="498" t="s">
        <v>639</v>
      </c>
      <c r="B6" s="302">
        <v>27000</v>
      </c>
      <c r="C6" s="301">
        <f t="shared" si="0"/>
        <v>27000</v>
      </c>
      <c r="D6" s="302">
        <v>0</v>
      </c>
      <c r="E6" s="302">
        <v>0</v>
      </c>
      <c r="F6" s="301">
        <f t="shared" si="1"/>
        <v>0</v>
      </c>
      <c r="G6" s="393">
        <f t="shared" si="2"/>
        <v>27000</v>
      </c>
    </row>
    <row r="7" spans="1:7" s="596" customFormat="1" ht="15" customHeight="1" x14ac:dyDescent="0.25">
      <c r="A7" s="498" t="s">
        <v>640</v>
      </c>
      <c r="B7" s="302">
        <v>15600</v>
      </c>
      <c r="C7" s="301">
        <f t="shared" si="0"/>
        <v>15600</v>
      </c>
      <c r="D7" s="302">
        <v>0</v>
      </c>
      <c r="E7" s="302">
        <v>0</v>
      </c>
      <c r="F7" s="301">
        <f t="shared" si="1"/>
        <v>0</v>
      </c>
      <c r="G7" s="393">
        <f t="shared" si="2"/>
        <v>15600</v>
      </c>
    </row>
    <row r="8" spans="1:7" s="596" customFormat="1" ht="15" customHeight="1" x14ac:dyDescent="0.25">
      <c r="A8" s="498" t="s">
        <v>660</v>
      </c>
      <c r="B8" s="302">
        <v>14000</v>
      </c>
      <c r="C8" s="301">
        <f t="shared" si="0"/>
        <v>14000</v>
      </c>
      <c r="D8" s="302">
        <v>0</v>
      </c>
      <c r="E8" s="302">
        <v>0</v>
      </c>
      <c r="F8" s="301">
        <f t="shared" si="1"/>
        <v>0</v>
      </c>
      <c r="G8" s="393">
        <f t="shared" si="2"/>
        <v>14000</v>
      </c>
    </row>
    <row r="9" spans="1:7" s="596" customFormat="1" ht="15" customHeight="1" x14ac:dyDescent="0.25">
      <c r="A9" s="498" t="s">
        <v>907</v>
      </c>
      <c r="B9" s="302">
        <v>200000</v>
      </c>
      <c r="C9" s="301">
        <f t="shared" si="0"/>
        <v>200000</v>
      </c>
      <c r="D9" s="302">
        <v>0</v>
      </c>
      <c r="E9" s="302">
        <v>0</v>
      </c>
      <c r="F9" s="301">
        <f>SUM(D9:D9)</f>
        <v>0</v>
      </c>
      <c r="G9" s="393">
        <f>F9+C9</f>
        <v>200000</v>
      </c>
    </row>
    <row r="10" spans="1:7" s="596" customFormat="1" ht="15" customHeight="1" x14ac:dyDescent="0.25">
      <c r="A10" s="498" t="s">
        <v>641</v>
      </c>
      <c r="B10" s="302">
        <f>670000+20000</f>
        <v>690000</v>
      </c>
      <c r="C10" s="301">
        <f t="shared" si="0"/>
        <v>690000</v>
      </c>
      <c r="D10" s="302">
        <v>0</v>
      </c>
      <c r="E10" s="302">
        <v>0</v>
      </c>
      <c r="F10" s="301">
        <f t="shared" si="1"/>
        <v>0</v>
      </c>
      <c r="G10" s="393">
        <f t="shared" si="2"/>
        <v>690000</v>
      </c>
    </row>
    <row r="11" spans="1:7" s="596" customFormat="1" ht="15" customHeight="1" x14ac:dyDescent="0.25">
      <c r="A11" s="498" t="s">
        <v>642</v>
      </c>
      <c r="B11" s="302">
        <v>5000</v>
      </c>
      <c r="C11" s="301">
        <f t="shared" si="0"/>
        <v>5000</v>
      </c>
      <c r="D11" s="302">
        <v>0</v>
      </c>
      <c r="E11" s="302">
        <v>0</v>
      </c>
      <c r="F11" s="301">
        <f t="shared" si="1"/>
        <v>0</v>
      </c>
      <c r="G11" s="393">
        <f t="shared" si="2"/>
        <v>5000</v>
      </c>
    </row>
    <row r="12" spans="1:7" s="596" customFormat="1" ht="15" customHeight="1" x14ac:dyDescent="0.25">
      <c r="A12" s="498" t="s">
        <v>643</v>
      </c>
      <c r="B12" s="302">
        <v>19000</v>
      </c>
      <c r="C12" s="301">
        <f t="shared" si="0"/>
        <v>19000</v>
      </c>
      <c r="D12" s="302">
        <v>0</v>
      </c>
      <c r="E12" s="302">
        <v>0</v>
      </c>
      <c r="F12" s="301">
        <f t="shared" si="1"/>
        <v>0</v>
      </c>
      <c r="G12" s="393">
        <f t="shared" si="2"/>
        <v>19000</v>
      </c>
    </row>
    <row r="13" spans="1:7" s="596" customFormat="1" ht="15" customHeight="1" x14ac:dyDescent="0.25">
      <c r="A13" s="498" t="s">
        <v>644</v>
      </c>
      <c r="B13" s="302">
        <v>13000</v>
      </c>
      <c r="C13" s="301">
        <f t="shared" si="0"/>
        <v>13000</v>
      </c>
      <c r="D13" s="302">
        <v>0</v>
      </c>
      <c r="E13" s="302">
        <v>0</v>
      </c>
      <c r="F13" s="301">
        <f t="shared" si="1"/>
        <v>0</v>
      </c>
      <c r="G13" s="393">
        <f t="shared" si="2"/>
        <v>13000</v>
      </c>
    </row>
    <row r="14" spans="1:7" s="596" customFormat="1" ht="15" customHeight="1" x14ac:dyDescent="0.25">
      <c r="A14" s="498" t="s">
        <v>645</v>
      </c>
      <c r="B14" s="302">
        <v>12000</v>
      </c>
      <c r="C14" s="301">
        <f t="shared" si="0"/>
        <v>12000</v>
      </c>
      <c r="D14" s="302">
        <v>0</v>
      </c>
      <c r="E14" s="302">
        <v>0</v>
      </c>
      <c r="F14" s="301">
        <f t="shared" si="1"/>
        <v>0</v>
      </c>
      <c r="G14" s="393">
        <f t="shared" si="2"/>
        <v>12000</v>
      </c>
    </row>
    <row r="15" spans="1:7" s="596" customFormat="1" ht="15" customHeight="1" x14ac:dyDescent="0.25">
      <c r="A15" s="498" t="s">
        <v>646</v>
      </c>
      <c r="B15" s="302">
        <v>2200</v>
      </c>
      <c r="C15" s="301">
        <f t="shared" si="0"/>
        <v>2200</v>
      </c>
      <c r="D15" s="302">
        <v>0</v>
      </c>
      <c r="E15" s="302">
        <v>0</v>
      </c>
      <c r="F15" s="301">
        <f t="shared" si="1"/>
        <v>0</v>
      </c>
      <c r="G15" s="393">
        <f t="shared" si="2"/>
        <v>2200</v>
      </c>
    </row>
    <row r="16" spans="1:7" s="596" customFormat="1" ht="15" customHeight="1" x14ac:dyDescent="0.25">
      <c r="A16" s="498" t="s">
        <v>647</v>
      </c>
      <c r="B16" s="302">
        <v>1000</v>
      </c>
      <c r="C16" s="301">
        <f t="shared" si="0"/>
        <v>1000</v>
      </c>
      <c r="D16" s="302"/>
      <c r="E16" s="302">
        <v>0</v>
      </c>
      <c r="F16" s="301">
        <f>SUM(D16:D16)</f>
        <v>0</v>
      </c>
      <c r="G16" s="393">
        <f>F16+C16</f>
        <v>1000</v>
      </c>
    </row>
    <row r="17" spans="1:8" s="596" customFormat="1" ht="15" customHeight="1" x14ac:dyDescent="0.25">
      <c r="A17" s="498" t="s">
        <v>648</v>
      </c>
      <c r="B17" s="302">
        <v>1600</v>
      </c>
      <c r="C17" s="301">
        <f t="shared" si="0"/>
        <v>1600</v>
      </c>
      <c r="D17" s="302">
        <v>0</v>
      </c>
      <c r="E17" s="302">
        <v>0</v>
      </c>
      <c r="F17" s="301">
        <f t="shared" si="1"/>
        <v>0</v>
      </c>
      <c r="G17" s="393">
        <f t="shared" si="2"/>
        <v>1600</v>
      </c>
    </row>
    <row r="18" spans="1:8" s="596" customFormat="1" ht="15" customHeight="1" x14ac:dyDescent="0.25">
      <c r="A18" s="524" t="s">
        <v>649</v>
      </c>
      <c r="B18" s="305">
        <v>100000</v>
      </c>
      <c r="C18" s="304">
        <f t="shared" si="0"/>
        <v>100000</v>
      </c>
      <c r="D18" s="305">
        <v>0</v>
      </c>
      <c r="E18" s="302">
        <v>0</v>
      </c>
      <c r="F18" s="304">
        <f t="shared" si="1"/>
        <v>0</v>
      </c>
      <c r="G18" s="394">
        <f t="shared" si="2"/>
        <v>100000</v>
      </c>
    </row>
    <row r="19" spans="1:8" s="596" customFormat="1" ht="15" customHeight="1" x14ac:dyDescent="0.25">
      <c r="A19" s="524" t="s">
        <v>660</v>
      </c>
      <c r="B19" s="305">
        <v>14000</v>
      </c>
      <c r="C19" s="304">
        <f t="shared" si="0"/>
        <v>14000</v>
      </c>
      <c r="D19" s="305"/>
      <c r="E19" s="302"/>
      <c r="F19" s="304">
        <f t="shared" si="1"/>
        <v>0</v>
      </c>
      <c r="G19" s="394">
        <f t="shared" si="2"/>
        <v>14000</v>
      </c>
    </row>
    <row r="20" spans="1:8" s="596" customFormat="1" ht="15" customHeight="1" x14ac:dyDescent="0.25">
      <c r="A20" s="524" t="s">
        <v>915</v>
      </c>
      <c r="B20" s="305">
        <v>2600</v>
      </c>
      <c r="C20" s="304">
        <f t="shared" si="0"/>
        <v>2600</v>
      </c>
      <c r="D20" s="305">
        <v>0</v>
      </c>
      <c r="E20" s="302">
        <v>0</v>
      </c>
      <c r="F20" s="304">
        <f t="shared" si="1"/>
        <v>0</v>
      </c>
      <c r="G20" s="394">
        <f t="shared" si="2"/>
        <v>2600</v>
      </c>
    </row>
    <row r="21" spans="1:8" s="596" customFormat="1" ht="15" customHeight="1" x14ac:dyDescent="0.25">
      <c r="A21" s="498" t="s">
        <v>908</v>
      </c>
      <c r="B21" s="302">
        <v>5000</v>
      </c>
      <c r="C21" s="304">
        <f t="shared" si="0"/>
        <v>5000</v>
      </c>
      <c r="D21" s="302"/>
      <c r="E21" s="302">
        <v>0</v>
      </c>
      <c r="F21" s="304">
        <f t="shared" si="1"/>
        <v>0</v>
      </c>
      <c r="G21" s="394">
        <f t="shared" si="2"/>
        <v>5000</v>
      </c>
    </row>
    <row r="22" spans="1:8" s="596" customFormat="1" ht="30" customHeight="1" x14ac:dyDescent="0.25">
      <c r="A22" s="498" t="s">
        <v>906</v>
      </c>
      <c r="B22" s="302">
        <v>13000</v>
      </c>
      <c r="C22" s="304">
        <f t="shared" si="0"/>
        <v>13000</v>
      </c>
      <c r="D22" s="302">
        <v>0</v>
      </c>
      <c r="E22" s="302">
        <v>0</v>
      </c>
      <c r="F22" s="304">
        <f t="shared" si="1"/>
        <v>0</v>
      </c>
      <c r="G22" s="394">
        <f t="shared" si="2"/>
        <v>13000</v>
      </c>
    </row>
    <row r="23" spans="1:8" s="596" customFormat="1" ht="15" customHeight="1" thickBot="1" x14ac:dyDescent="0.3">
      <c r="A23" s="498" t="s">
        <v>2062</v>
      </c>
      <c r="B23" s="302">
        <v>101600</v>
      </c>
      <c r="C23" s="304">
        <f t="shared" si="0"/>
        <v>101600</v>
      </c>
      <c r="D23" s="302"/>
      <c r="E23" s="302">
        <v>0</v>
      </c>
      <c r="F23" s="304">
        <f t="shared" si="1"/>
        <v>0</v>
      </c>
      <c r="G23" s="394">
        <f t="shared" si="2"/>
        <v>101600</v>
      </c>
    </row>
    <row r="24" spans="1:8" s="110" customFormat="1" ht="15" customHeight="1" thickBot="1" x14ac:dyDescent="0.3">
      <c r="A24" s="525" t="s">
        <v>617</v>
      </c>
      <c r="B24" s="307">
        <f t="shared" ref="B24:G24" si="3">SUM(B3:B23)</f>
        <v>1940600</v>
      </c>
      <c r="C24" s="306">
        <f t="shared" si="3"/>
        <v>1940600</v>
      </c>
      <c r="D24" s="307">
        <f t="shared" si="3"/>
        <v>0</v>
      </c>
      <c r="E24" s="307">
        <f t="shared" si="3"/>
        <v>0</v>
      </c>
      <c r="F24" s="307">
        <f t="shared" si="3"/>
        <v>0</v>
      </c>
      <c r="G24" s="395">
        <f t="shared" si="3"/>
        <v>1940600</v>
      </c>
      <c r="H24" s="130"/>
    </row>
    <row r="25" spans="1:8" s="596" customFormat="1" ht="15" customHeight="1" x14ac:dyDescent="0.25">
      <c r="A25" s="526" t="s">
        <v>618</v>
      </c>
      <c r="B25" s="782"/>
      <c r="C25" s="780"/>
      <c r="D25" s="782"/>
      <c r="E25" s="782"/>
      <c r="F25" s="780"/>
      <c r="G25" s="781"/>
    </row>
    <row r="26" spans="1:8" s="596" customFormat="1" ht="15" customHeight="1" x14ac:dyDescent="0.25">
      <c r="A26" s="498" t="s">
        <v>650</v>
      </c>
      <c r="B26" s="302"/>
      <c r="C26" s="301">
        <f t="shared" si="0"/>
        <v>0</v>
      </c>
      <c r="D26" s="302"/>
      <c r="E26" s="302">
        <v>40000</v>
      </c>
      <c r="F26" s="301">
        <f>D26+E26</f>
        <v>40000</v>
      </c>
      <c r="G26" s="393">
        <f>F26+C26</f>
        <v>40000</v>
      </c>
    </row>
    <row r="27" spans="1:8" s="596" customFormat="1" ht="15" customHeight="1" x14ac:dyDescent="0.25">
      <c r="A27" s="498" t="s">
        <v>651</v>
      </c>
      <c r="B27" s="302"/>
      <c r="C27" s="301">
        <f t="shared" si="0"/>
        <v>0</v>
      </c>
      <c r="D27" s="302"/>
      <c r="E27" s="302">
        <v>70000</v>
      </c>
      <c r="F27" s="301">
        <f t="shared" ref="F27:F38" si="4">D27+E27</f>
        <v>70000</v>
      </c>
      <c r="G27" s="393">
        <f t="shared" si="2"/>
        <v>70000</v>
      </c>
    </row>
    <row r="28" spans="1:8" s="596" customFormat="1" ht="15" customHeight="1" x14ac:dyDescent="0.25">
      <c r="A28" s="498" t="s">
        <v>652</v>
      </c>
      <c r="B28" s="302">
        <v>11000</v>
      </c>
      <c r="C28" s="301">
        <f t="shared" si="0"/>
        <v>11000</v>
      </c>
      <c r="D28" s="302"/>
      <c r="E28" s="302"/>
      <c r="F28" s="301">
        <f t="shared" si="4"/>
        <v>0</v>
      </c>
      <c r="G28" s="393">
        <f t="shared" si="2"/>
        <v>11000</v>
      </c>
    </row>
    <row r="29" spans="1:8" s="596" customFormat="1" ht="15" customHeight="1" x14ac:dyDescent="0.25">
      <c r="A29" s="498" t="s">
        <v>653</v>
      </c>
      <c r="B29" s="302"/>
      <c r="C29" s="301">
        <f t="shared" si="0"/>
        <v>0</v>
      </c>
      <c r="D29" s="302"/>
      <c r="E29" s="302">
        <f>110000+90000</f>
        <v>200000</v>
      </c>
      <c r="F29" s="301">
        <f t="shared" si="4"/>
        <v>200000</v>
      </c>
      <c r="G29" s="393">
        <f t="shared" si="2"/>
        <v>200000</v>
      </c>
    </row>
    <row r="30" spans="1:8" s="596" customFormat="1" ht="15" customHeight="1" x14ac:dyDescent="0.25">
      <c r="A30" s="498" t="s">
        <v>654</v>
      </c>
      <c r="B30" s="302"/>
      <c r="C30" s="301">
        <f t="shared" si="0"/>
        <v>0</v>
      </c>
      <c r="D30" s="302"/>
      <c r="E30" s="302">
        <f>100000+50000</f>
        <v>150000</v>
      </c>
      <c r="F30" s="301">
        <f t="shared" si="4"/>
        <v>150000</v>
      </c>
      <c r="G30" s="393">
        <f t="shared" si="2"/>
        <v>150000</v>
      </c>
    </row>
    <row r="31" spans="1:8" s="596" customFormat="1" ht="15" customHeight="1" x14ac:dyDescent="0.25">
      <c r="A31" s="498" t="s">
        <v>655</v>
      </c>
      <c r="B31" s="302"/>
      <c r="C31" s="301">
        <f t="shared" si="0"/>
        <v>0</v>
      </c>
      <c r="D31" s="302"/>
      <c r="E31" s="302">
        <v>15000</v>
      </c>
      <c r="F31" s="301">
        <f t="shared" si="4"/>
        <v>15000</v>
      </c>
      <c r="G31" s="393">
        <f t="shared" si="2"/>
        <v>15000</v>
      </c>
    </row>
    <row r="32" spans="1:8" s="596" customFormat="1" ht="15" customHeight="1" x14ac:dyDescent="0.25">
      <c r="A32" s="498" t="s">
        <v>656</v>
      </c>
      <c r="B32" s="302">
        <v>500</v>
      </c>
      <c r="C32" s="301">
        <f t="shared" si="0"/>
        <v>500</v>
      </c>
      <c r="D32" s="302"/>
      <c r="E32" s="302"/>
      <c r="F32" s="301">
        <f t="shared" si="4"/>
        <v>0</v>
      </c>
      <c r="G32" s="393">
        <f t="shared" si="2"/>
        <v>500</v>
      </c>
    </row>
    <row r="33" spans="1:8" s="596" customFormat="1" ht="15" customHeight="1" x14ac:dyDescent="0.25">
      <c r="A33" s="498" t="s">
        <v>657</v>
      </c>
      <c r="B33" s="302"/>
      <c r="C33" s="301">
        <f t="shared" si="0"/>
        <v>0</v>
      </c>
      <c r="D33" s="302"/>
      <c r="E33" s="302">
        <v>120000</v>
      </c>
      <c r="F33" s="301">
        <f t="shared" si="4"/>
        <v>120000</v>
      </c>
      <c r="G33" s="393">
        <f t="shared" si="2"/>
        <v>120000</v>
      </c>
    </row>
    <row r="34" spans="1:8" s="596" customFormat="1" ht="15" customHeight="1" x14ac:dyDescent="0.25">
      <c r="A34" s="498" t="s">
        <v>658</v>
      </c>
      <c r="B34" s="302">
        <v>1200</v>
      </c>
      <c r="C34" s="301">
        <f t="shared" si="0"/>
        <v>1200</v>
      </c>
      <c r="D34" s="302"/>
      <c r="E34" s="302"/>
      <c r="F34" s="301">
        <f t="shared" si="4"/>
        <v>0</v>
      </c>
      <c r="G34" s="393">
        <f t="shared" si="2"/>
        <v>1200</v>
      </c>
    </row>
    <row r="35" spans="1:8" s="596" customFormat="1" ht="15" customHeight="1" x14ac:dyDescent="0.25">
      <c r="A35" s="498" t="s">
        <v>659</v>
      </c>
      <c r="B35" s="302">
        <v>1000</v>
      </c>
      <c r="C35" s="301">
        <f t="shared" si="0"/>
        <v>1000</v>
      </c>
      <c r="D35" s="302"/>
      <c r="E35" s="302"/>
      <c r="F35" s="301">
        <f t="shared" si="4"/>
        <v>0</v>
      </c>
      <c r="G35" s="393">
        <f t="shared" si="2"/>
        <v>1000</v>
      </c>
    </row>
    <row r="36" spans="1:8" s="596" customFormat="1" ht="15" customHeight="1" x14ac:dyDescent="0.25">
      <c r="A36" s="524" t="s">
        <v>1051</v>
      </c>
      <c r="B36" s="305">
        <v>10630</v>
      </c>
      <c r="C36" s="301">
        <f t="shared" si="0"/>
        <v>10630</v>
      </c>
      <c r="D36" s="305"/>
      <c r="E36" s="302">
        <v>39370</v>
      </c>
      <c r="F36" s="301">
        <f t="shared" si="4"/>
        <v>39370</v>
      </c>
      <c r="G36" s="393">
        <f t="shared" si="2"/>
        <v>50000</v>
      </c>
    </row>
    <row r="37" spans="1:8" s="596" customFormat="1" ht="15" customHeight="1" x14ac:dyDescent="0.25">
      <c r="A37" s="524" t="s">
        <v>1063</v>
      </c>
      <c r="B37" s="305">
        <v>21260</v>
      </c>
      <c r="C37" s="301">
        <f t="shared" si="0"/>
        <v>21260</v>
      </c>
      <c r="D37" s="305"/>
      <c r="E37" s="302">
        <v>78740</v>
      </c>
      <c r="F37" s="301">
        <f t="shared" si="4"/>
        <v>78740</v>
      </c>
      <c r="G37" s="393">
        <f t="shared" si="2"/>
        <v>100000</v>
      </c>
    </row>
    <row r="38" spans="1:8" s="596" customFormat="1" ht="15" customHeight="1" thickBot="1" x14ac:dyDescent="0.3">
      <c r="A38" s="524" t="s">
        <v>2245</v>
      </c>
      <c r="B38" s="305">
        <v>21260</v>
      </c>
      <c r="C38" s="301">
        <f t="shared" si="0"/>
        <v>21260</v>
      </c>
      <c r="D38" s="305"/>
      <c r="E38" s="302">
        <v>78740</v>
      </c>
      <c r="F38" s="301">
        <f t="shared" si="4"/>
        <v>78740</v>
      </c>
      <c r="G38" s="393">
        <f t="shared" si="2"/>
        <v>100000</v>
      </c>
    </row>
    <row r="39" spans="1:8" s="110" customFormat="1" ht="15" customHeight="1" thickBot="1" x14ac:dyDescent="0.3">
      <c r="A39" s="525" t="s">
        <v>619</v>
      </c>
      <c r="B39" s="307">
        <f t="shared" ref="B39:G39" si="5">SUM(B26:B38)</f>
        <v>66850</v>
      </c>
      <c r="C39" s="306">
        <f t="shared" si="5"/>
        <v>66850</v>
      </c>
      <c r="D39" s="306">
        <f t="shared" si="5"/>
        <v>0</v>
      </c>
      <c r="E39" s="306">
        <f t="shared" si="5"/>
        <v>791850</v>
      </c>
      <c r="F39" s="306">
        <f t="shared" si="5"/>
        <v>791850</v>
      </c>
      <c r="G39" s="395">
        <f t="shared" si="5"/>
        <v>858700</v>
      </c>
      <c r="H39" s="130"/>
    </row>
    <row r="40" spans="1:8" s="338" customFormat="1" ht="15" customHeight="1" thickBot="1" x14ac:dyDescent="0.4">
      <c r="A40" s="527" t="s">
        <v>620</v>
      </c>
      <c r="B40" s="2467">
        <f t="shared" ref="B40:G40" si="6">B39+B24</f>
        <v>2007450</v>
      </c>
      <c r="C40" s="2468">
        <f t="shared" si="6"/>
        <v>2007450</v>
      </c>
      <c r="D40" s="2468">
        <f t="shared" si="6"/>
        <v>0</v>
      </c>
      <c r="E40" s="2468">
        <f t="shared" si="6"/>
        <v>791850</v>
      </c>
      <c r="F40" s="2468">
        <f t="shared" si="6"/>
        <v>791850</v>
      </c>
      <c r="G40" s="2469">
        <f t="shared" si="6"/>
        <v>2799300</v>
      </c>
      <c r="H40" s="337"/>
    </row>
    <row r="41" spans="1:8" ht="13.2" x14ac:dyDescent="0.25">
      <c r="A41" s="2"/>
      <c r="B41" s="315"/>
    </row>
    <row r="42" spans="1:8" ht="13.2" x14ac:dyDescent="0.25">
      <c r="A42" s="2"/>
      <c r="B42" s="315"/>
    </row>
    <row r="43" spans="1:8" ht="13.2" x14ac:dyDescent="0.25">
      <c r="A43" s="20"/>
      <c r="B43" s="315"/>
      <c r="C43"/>
      <c r="D43"/>
      <c r="E43"/>
      <c r="F43"/>
      <c r="G43"/>
    </row>
    <row r="44" spans="1:8" ht="13.2" x14ac:dyDescent="0.25">
      <c r="A44" s="20"/>
      <c r="B44" s="315"/>
      <c r="C44"/>
      <c r="D44"/>
      <c r="E44"/>
      <c r="F44"/>
      <c r="G44"/>
    </row>
    <row r="45" spans="1:8" ht="13.2" x14ac:dyDescent="0.25">
      <c r="A45" s="20"/>
      <c r="B45" s="315"/>
      <c r="C45"/>
      <c r="D45"/>
      <c r="E45"/>
      <c r="F45"/>
      <c r="G45"/>
    </row>
    <row r="46" spans="1:8" ht="13.2" x14ac:dyDescent="0.25">
      <c r="A46" s="20"/>
      <c r="B46" s="315"/>
      <c r="C46"/>
      <c r="D46"/>
      <c r="E46"/>
      <c r="F46"/>
      <c r="G46"/>
    </row>
    <row r="47" spans="1:8" ht="13.2" x14ac:dyDescent="0.25">
      <c r="A47" s="20"/>
      <c r="B47" s="315"/>
      <c r="C47"/>
      <c r="D47"/>
      <c r="E47"/>
      <c r="F47"/>
      <c r="G47"/>
    </row>
    <row r="48" spans="1:8" ht="13.2" x14ac:dyDescent="0.25">
      <c r="A48" s="317"/>
      <c r="B48" s="315"/>
      <c r="C48"/>
      <c r="D48"/>
      <c r="E48"/>
      <c r="F48"/>
      <c r="G48"/>
    </row>
    <row r="49" spans="1:7" ht="13.2" x14ac:dyDescent="0.25">
      <c r="A49" s="317"/>
      <c r="B49" s="315"/>
      <c r="C49"/>
      <c r="D49"/>
      <c r="E49"/>
      <c r="F49"/>
      <c r="G49"/>
    </row>
    <row r="50" spans="1:7" ht="13.2" x14ac:dyDescent="0.25">
      <c r="A50" s="317"/>
      <c r="B50" s="315"/>
      <c r="C50"/>
      <c r="D50"/>
      <c r="E50"/>
      <c r="F50"/>
      <c r="G50"/>
    </row>
    <row r="51" spans="1:7" ht="13.2" x14ac:dyDescent="0.25">
      <c r="A51" s="317"/>
      <c r="B51" s="315"/>
      <c r="C51"/>
      <c r="D51"/>
      <c r="E51"/>
      <c r="F51"/>
      <c r="G51"/>
    </row>
    <row r="52" spans="1:7" ht="13.2" x14ac:dyDescent="0.25">
      <c r="A52" s="2295"/>
      <c r="B52" s="2292"/>
      <c r="C52"/>
      <c r="D52"/>
      <c r="E52"/>
      <c r="F52"/>
      <c r="G52"/>
    </row>
    <row r="53" spans="1:7" ht="13.2" x14ac:dyDescent="0.25">
      <c r="A53" s="2295"/>
      <c r="B53" s="2292"/>
      <c r="C53"/>
      <c r="D53"/>
      <c r="E53"/>
      <c r="F53"/>
      <c r="G53"/>
    </row>
    <row r="54" spans="1:7" ht="13.2" x14ac:dyDescent="0.25">
      <c r="A54" s="2295"/>
      <c r="B54" s="2292"/>
      <c r="C54"/>
      <c r="D54"/>
      <c r="E54"/>
      <c r="F54"/>
      <c r="G54"/>
    </row>
    <row r="55" spans="1:7" ht="13.2" x14ac:dyDescent="0.25">
      <c r="A55" s="2295"/>
      <c r="B55" s="2292"/>
      <c r="C55"/>
      <c r="D55"/>
      <c r="E55"/>
      <c r="F55"/>
      <c r="G55"/>
    </row>
    <row r="56" spans="1:7" ht="13.2" x14ac:dyDescent="0.25">
      <c r="A56" s="2295"/>
      <c r="B56" s="2292"/>
      <c r="C56"/>
      <c r="D56"/>
      <c r="E56"/>
      <c r="F56"/>
      <c r="G56"/>
    </row>
    <row r="57" spans="1:7" ht="13.2" x14ac:dyDescent="0.25">
      <c r="A57" s="2295"/>
      <c r="B57" s="2292"/>
      <c r="C57"/>
      <c r="D57"/>
      <c r="E57"/>
      <c r="F57"/>
      <c r="G57"/>
    </row>
    <row r="58" spans="1:7" ht="13.2" x14ac:dyDescent="0.25">
      <c r="A58" s="2295"/>
      <c r="B58" s="2292"/>
      <c r="C58"/>
      <c r="D58"/>
      <c r="E58"/>
      <c r="F58"/>
      <c r="G58"/>
    </row>
    <row r="59" spans="1:7" ht="13.2" x14ac:dyDescent="0.25">
      <c r="A59" s="2295"/>
      <c r="B59" s="2292"/>
      <c r="C59"/>
      <c r="D59"/>
      <c r="E59"/>
      <c r="F59"/>
      <c r="G59"/>
    </row>
    <row r="60" spans="1:7" ht="13.2" x14ac:dyDescent="0.25">
      <c r="A60" s="2295"/>
      <c r="B60" s="2292"/>
      <c r="C60"/>
      <c r="D60"/>
      <c r="E60"/>
      <c r="F60"/>
      <c r="G60"/>
    </row>
    <row r="61" spans="1:7" ht="13.2" x14ac:dyDescent="0.25">
      <c r="A61" s="2295"/>
      <c r="B61" s="2292"/>
      <c r="C61"/>
      <c r="D61"/>
      <c r="E61"/>
      <c r="F61"/>
      <c r="G61"/>
    </row>
    <row r="62" spans="1:7" ht="13.2" x14ac:dyDescent="0.25">
      <c r="A62" s="2295"/>
      <c r="B62" s="2292"/>
      <c r="C62"/>
      <c r="D62"/>
      <c r="E62"/>
      <c r="F62"/>
      <c r="G62"/>
    </row>
    <row r="63" spans="1:7" ht="13.2" x14ac:dyDescent="0.25">
      <c r="A63" s="2295"/>
      <c r="B63" s="2292"/>
      <c r="C63"/>
      <c r="D63"/>
      <c r="E63"/>
      <c r="F63"/>
      <c r="G63"/>
    </row>
    <row r="64" spans="1:7" ht="13.2" x14ac:dyDescent="0.25">
      <c r="A64" s="2295"/>
      <c r="B64" s="2292"/>
      <c r="C64"/>
      <c r="D64"/>
      <c r="E64"/>
      <c r="F64"/>
      <c r="G64"/>
    </row>
    <row r="65" spans="1:7" ht="13.2" x14ac:dyDescent="0.25">
      <c r="A65" s="2295"/>
      <c r="B65" s="2292"/>
      <c r="C65"/>
      <c r="D65"/>
      <c r="E65"/>
      <c r="F65"/>
      <c r="G65"/>
    </row>
    <row r="66" spans="1:7" ht="13.2" x14ac:dyDescent="0.25">
      <c r="A66" s="2295"/>
      <c r="B66" s="2292"/>
      <c r="C66"/>
      <c r="D66"/>
      <c r="E66"/>
      <c r="F66"/>
      <c r="G66"/>
    </row>
    <row r="67" spans="1:7" ht="13.2" x14ac:dyDescent="0.25">
      <c r="A67" s="2295"/>
      <c r="B67" s="2292"/>
      <c r="C67"/>
      <c r="D67"/>
      <c r="E67"/>
      <c r="F67"/>
      <c r="G67"/>
    </row>
    <row r="68" spans="1:7" ht="13.2" x14ac:dyDescent="0.25">
      <c r="A68" s="2295"/>
      <c r="B68" s="2292"/>
      <c r="C68"/>
      <c r="D68"/>
      <c r="E68"/>
      <c r="F68"/>
      <c r="G68"/>
    </row>
    <row r="69" spans="1:7" ht="13.2" x14ac:dyDescent="0.25">
      <c r="A69" s="2295"/>
      <c r="B69" s="2292"/>
      <c r="C69"/>
      <c r="D69"/>
      <c r="E69"/>
      <c r="F69"/>
      <c r="G69"/>
    </row>
    <row r="70" spans="1:7" ht="13.2" x14ac:dyDescent="0.25">
      <c r="A70" s="2295"/>
      <c r="B70" s="2292"/>
      <c r="C70"/>
      <c r="D70"/>
      <c r="E70"/>
      <c r="F70"/>
      <c r="G70"/>
    </row>
    <row r="71" spans="1:7" ht="13.2" x14ac:dyDescent="0.25">
      <c r="A71" s="2295"/>
      <c r="B71" s="2292"/>
      <c r="C71"/>
      <c r="D71"/>
      <c r="E71"/>
      <c r="F71"/>
      <c r="G71"/>
    </row>
    <row r="72" spans="1:7" ht="13.2" x14ac:dyDescent="0.25">
      <c r="A72" s="2295"/>
      <c r="B72" s="2292"/>
      <c r="C72"/>
      <c r="D72"/>
      <c r="E72"/>
      <c r="F72"/>
      <c r="G72"/>
    </row>
    <row r="73" spans="1:7" ht="13.2" x14ac:dyDescent="0.25">
      <c r="A73" s="2295"/>
      <c r="B73" s="2292"/>
      <c r="C73"/>
      <c r="D73"/>
      <c r="E73"/>
      <c r="F73"/>
      <c r="G73"/>
    </row>
    <row r="74" spans="1:7" ht="13.2" x14ac:dyDescent="0.25">
      <c r="A74" s="2295"/>
      <c r="B74" s="2292"/>
      <c r="C74"/>
      <c r="D74"/>
      <c r="E74"/>
      <c r="F74"/>
      <c r="G74"/>
    </row>
    <row r="75" spans="1:7" ht="13.2" x14ac:dyDescent="0.25">
      <c r="A75" s="2295"/>
      <c r="B75" s="2292"/>
      <c r="C75"/>
      <c r="D75"/>
      <c r="E75"/>
      <c r="F75"/>
      <c r="G75"/>
    </row>
    <row r="76" spans="1:7" ht="13.2" x14ac:dyDescent="0.25">
      <c r="A76" s="2295"/>
      <c r="B76" s="2292"/>
      <c r="C76"/>
      <c r="D76"/>
      <c r="E76"/>
      <c r="F76"/>
      <c r="G76"/>
    </row>
    <row r="77" spans="1:7" ht="13.2" x14ac:dyDescent="0.25">
      <c r="A77" s="2295"/>
      <c r="B77" s="2292"/>
      <c r="C77"/>
      <c r="D77"/>
      <c r="E77"/>
      <c r="F77"/>
      <c r="G77"/>
    </row>
    <row r="78" spans="1:7" ht="13.2" x14ac:dyDescent="0.25">
      <c r="A78" s="2295"/>
      <c r="B78" s="2292"/>
      <c r="C78"/>
      <c r="D78"/>
      <c r="E78"/>
      <c r="F78"/>
      <c r="G78"/>
    </row>
    <row r="79" spans="1:7" ht="13.2" x14ac:dyDescent="0.25">
      <c r="A79" s="2663"/>
      <c r="B79" s="2663"/>
      <c r="C79"/>
      <c r="D79"/>
      <c r="E79"/>
      <c r="F79"/>
      <c r="G79"/>
    </row>
    <row r="80" spans="1:7" ht="13.2" x14ac:dyDescent="0.25">
      <c r="A80" s="3"/>
      <c r="B80" s="2292"/>
      <c r="C80"/>
      <c r="D80"/>
      <c r="E80"/>
      <c r="F80"/>
      <c r="G80"/>
    </row>
    <row r="81" spans="1:7" ht="13.2" x14ac:dyDescent="0.25">
      <c r="A81" s="20"/>
      <c r="B81" s="315"/>
      <c r="C81"/>
      <c r="D81"/>
      <c r="E81"/>
      <c r="F81"/>
      <c r="G81"/>
    </row>
    <row r="82" spans="1:7" ht="13.2" x14ac:dyDescent="0.25">
      <c r="A82" s="20"/>
      <c r="B82" s="315"/>
      <c r="C82"/>
      <c r="D82"/>
      <c r="E82"/>
      <c r="F82"/>
      <c r="G82"/>
    </row>
    <row r="83" spans="1:7" ht="13.2" x14ac:dyDescent="0.25">
      <c r="A83" s="20"/>
      <c r="B83" s="315"/>
      <c r="C83"/>
      <c r="D83"/>
      <c r="E83"/>
      <c r="F83"/>
      <c r="G83"/>
    </row>
    <row r="84" spans="1:7" ht="13.2" x14ac:dyDescent="0.25">
      <c r="A84" s="20"/>
      <c r="B84" s="315"/>
      <c r="C84"/>
      <c r="D84"/>
      <c r="E84"/>
      <c r="F84"/>
      <c r="G84"/>
    </row>
    <row r="85" spans="1:7" ht="13.2" x14ac:dyDescent="0.25">
      <c r="A85" s="24"/>
      <c r="B85" s="315"/>
      <c r="C85"/>
      <c r="D85"/>
      <c r="E85"/>
      <c r="F85"/>
      <c r="G85"/>
    </row>
    <row r="86" spans="1:7" ht="56.25" customHeight="1" x14ac:dyDescent="0.25">
      <c r="A86" s="20"/>
      <c r="B86" s="315"/>
      <c r="C86"/>
      <c r="D86"/>
      <c r="E86"/>
      <c r="F86"/>
      <c r="G86"/>
    </row>
    <row r="87" spans="1:7" ht="13.2" x14ac:dyDescent="0.25">
      <c r="A87" s="20"/>
      <c r="B87" s="315"/>
      <c r="C87"/>
      <c r="D87"/>
      <c r="E87"/>
      <c r="F87"/>
      <c r="G87"/>
    </row>
    <row r="88" spans="1:7" ht="13.2" x14ac:dyDescent="0.25">
      <c r="A88" s="20"/>
      <c r="B88" s="315"/>
      <c r="C88"/>
      <c r="D88"/>
      <c r="E88"/>
      <c r="F88"/>
      <c r="G88"/>
    </row>
    <row r="89" spans="1:7" ht="13.2" x14ac:dyDescent="0.25">
      <c r="A89" s="20"/>
      <c r="B89" s="315"/>
      <c r="C89"/>
      <c r="D89"/>
      <c r="E89"/>
      <c r="F89"/>
      <c r="G89"/>
    </row>
    <row r="90" spans="1:7" ht="13.2" x14ac:dyDescent="0.25">
      <c r="A90" s="20"/>
      <c r="B90" s="315"/>
      <c r="C90"/>
      <c r="D90"/>
      <c r="E90"/>
      <c r="F90"/>
      <c r="G90"/>
    </row>
    <row r="91" spans="1:7" ht="13.2" x14ac:dyDescent="0.25">
      <c r="A91" s="20"/>
      <c r="B91" s="315"/>
      <c r="C91"/>
      <c r="D91"/>
      <c r="E91"/>
      <c r="F91"/>
      <c r="G91"/>
    </row>
    <row r="92" spans="1:7" ht="13.2" x14ac:dyDescent="0.25">
      <c r="A92" s="20"/>
      <c r="B92" s="315"/>
      <c r="C92"/>
      <c r="D92"/>
      <c r="E92"/>
      <c r="F92"/>
      <c r="G92"/>
    </row>
    <row r="93" spans="1:7" ht="13.2" x14ac:dyDescent="0.25">
      <c r="A93" s="20"/>
      <c r="B93" s="315"/>
      <c r="C93"/>
      <c r="D93"/>
      <c r="E93"/>
      <c r="F93"/>
      <c r="G93"/>
    </row>
    <row r="94" spans="1:7" ht="13.2" x14ac:dyDescent="0.25">
      <c r="A94" s="24"/>
      <c r="B94" s="315"/>
      <c r="C94"/>
      <c r="D94"/>
      <c r="E94"/>
      <c r="F94"/>
      <c r="G94"/>
    </row>
    <row r="95" spans="1:7" ht="13.2" x14ac:dyDescent="0.25">
      <c r="A95" s="20"/>
      <c r="B95" s="315"/>
      <c r="C95"/>
      <c r="D95"/>
      <c r="E95"/>
      <c r="F95"/>
      <c r="G95"/>
    </row>
    <row r="96" spans="1:7" ht="13.2" x14ac:dyDescent="0.25">
      <c r="A96" s="20"/>
      <c r="B96" s="315"/>
      <c r="C96"/>
      <c r="D96"/>
      <c r="E96"/>
      <c r="F96"/>
      <c r="G96"/>
    </row>
    <row r="97" spans="1:7" ht="13.2" x14ac:dyDescent="0.25">
      <c r="A97" s="20"/>
      <c r="B97" s="315"/>
      <c r="C97"/>
      <c r="D97"/>
      <c r="E97"/>
      <c r="F97"/>
      <c r="G97"/>
    </row>
    <row r="98" spans="1:7" ht="13.2" x14ac:dyDescent="0.25">
      <c r="A98" s="20"/>
      <c r="B98" s="315"/>
      <c r="C98"/>
      <c r="D98"/>
      <c r="E98"/>
      <c r="F98"/>
      <c r="G98"/>
    </row>
    <row r="99" spans="1:7" ht="13.2" x14ac:dyDescent="0.25">
      <c r="A99" s="20"/>
      <c r="B99" s="315"/>
      <c r="C99"/>
      <c r="D99"/>
      <c r="E99"/>
      <c r="F99"/>
      <c r="G99"/>
    </row>
    <row r="100" spans="1:7" ht="13.2" x14ac:dyDescent="0.25">
      <c r="A100" s="20"/>
      <c r="B100" s="315"/>
      <c r="C100"/>
      <c r="D100"/>
      <c r="E100"/>
      <c r="F100"/>
      <c r="G100"/>
    </row>
    <row r="101" spans="1:7" ht="13.2" x14ac:dyDescent="0.25">
      <c r="A101" s="20"/>
      <c r="B101" s="315"/>
      <c r="C101"/>
      <c r="D101"/>
      <c r="E101"/>
      <c r="F101"/>
      <c r="G101"/>
    </row>
    <row r="102" spans="1:7" ht="13.2" x14ac:dyDescent="0.25">
      <c r="A102" s="20"/>
      <c r="B102" s="315"/>
      <c r="C102"/>
      <c r="D102"/>
      <c r="E102"/>
      <c r="F102"/>
      <c r="G102"/>
    </row>
    <row r="103" spans="1:7" ht="13.2" x14ac:dyDescent="0.25">
      <c r="A103" s="2"/>
      <c r="B103" s="315"/>
      <c r="C103"/>
      <c r="D103"/>
      <c r="E103"/>
      <c r="F103"/>
      <c r="G103"/>
    </row>
    <row r="104" spans="1:7" ht="13.2" x14ac:dyDescent="0.25">
      <c r="A104" s="2"/>
      <c r="B104" s="315"/>
      <c r="C104"/>
      <c r="D104"/>
      <c r="E104"/>
      <c r="F104"/>
      <c r="G104"/>
    </row>
    <row r="105" spans="1:7" ht="13.2" x14ac:dyDescent="0.25">
      <c r="A105" s="2"/>
      <c r="B105" s="315"/>
      <c r="C105"/>
      <c r="D105"/>
      <c r="E105"/>
      <c r="F105"/>
      <c r="G105"/>
    </row>
    <row r="106" spans="1:7" ht="13.2" x14ac:dyDescent="0.25">
      <c r="A106" s="2"/>
      <c r="B106" s="315"/>
      <c r="C106"/>
      <c r="D106"/>
      <c r="E106"/>
      <c r="F106"/>
      <c r="G106"/>
    </row>
    <row r="107" spans="1:7" ht="13.2" x14ac:dyDescent="0.25">
      <c r="A107" s="2"/>
      <c r="B107" s="315"/>
      <c r="C107"/>
      <c r="D107"/>
      <c r="E107"/>
      <c r="F107"/>
      <c r="G107"/>
    </row>
    <row r="108" spans="1:7" ht="13.2" x14ac:dyDescent="0.25">
      <c r="A108" s="2"/>
      <c r="B108" s="315"/>
      <c r="C108"/>
      <c r="D108"/>
      <c r="E108"/>
      <c r="F108"/>
      <c r="G108"/>
    </row>
    <row r="109" spans="1:7" ht="13.2" x14ac:dyDescent="0.25">
      <c r="A109" s="2"/>
      <c r="B109" s="315"/>
      <c r="C109"/>
      <c r="D109"/>
      <c r="E109"/>
      <c r="F109"/>
      <c r="G109"/>
    </row>
    <row r="110" spans="1:7" ht="13.2" x14ac:dyDescent="0.25">
      <c r="A110" s="2"/>
      <c r="B110" s="315"/>
      <c r="C110"/>
      <c r="D110"/>
      <c r="E110"/>
      <c r="F110"/>
      <c r="G110"/>
    </row>
    <row r="111" spans="1:7" ht="13.2" x14ac:dyDescent="0.25">
      <c r="A111" s="2"/>
      <c r="B111" s="315"/>
      <c r="C111"/>
      <c r="D111"/>
      <c r="E111"/>
      <c r="F111"/>
      <c r="G111"/>
    </row>
    <row r="112" spans="1:7" ht="13.2" x14ac:dyDescent="0.25">
      <c r="A112" s="2"/>
      <c r="B112" s="315"/>
      <c r="C112"/>
      <c r="D112"/>
      <c r="E112"/>
      <c r="F112"/>
      <c r="G112"/>
    </row>
    <row r="113" spans="1:7" ht="13.2" x14ac:dyDescent="0.25">
      <c r="A113" s="2"/>
      <c r="B113" s="315"/>
      <c r="C113"/>
      <c r="D113"/>
      <c r="E113"/>
      <c r="F113"/>
      <c r="G113"/>
    </row>
    <row r="114" spans="1:7" ht="13.2" x14ac:dyDescent="0.25">
      <c r="A114" s="2"/>
      <c r="B114" s="315"/>
      <c r="C114"/>
      <c r="D114"/>
      <c r="E114"/>
      <c r="F114"/>
      <c r="G114"/>
    </row>
    <row r="115" spans="1:7" ht="13.2" x14ac:dyDescent="0.25">
      <c r="A115" s="2"/>
      <c r="B115" s="315"/>
      <c r="C115"/>
      <c r="D115"/>
      <c r="E115"/>
      <c r="F115"/>
      <c r="G115"/>
    </row>
    <row r="116" spans="1:7" ht="13.2" x14ac:dyDescent="0.25">
      <c r="A116" s="2"/>
      <c r="B116" s="315"/>
      <c r="C116"/>
      <c r="D116"/>
      <c r="E116"/>
      <c r="F116"/>
      <c r="G116"/>
    </row>
    <row r="117" spans="1:7" ht="13.2" x14ac:dyDescent="0.25">
      <c r="A117" s="2"/>
      <c r="B117" s="315"/>
      <c r="C117"/>
      <c r="D117"/>
      <c r="E117"/>
      <c r="F117"/>
      <c r="G117"/>
    </row>
    <row r="118" spans="1:7" ht="13.2" x14ac:dyDescent="0.25">
      <c r="A118" s="2"/>
      <c r="B118" s="315"/>
      <c r="C118"/>
      <c r="D118"/>
      <c r="E118"/>
      <c r="F118"/>
      <c r="G118"/>
    </row>
    <row r="119" spans="1:7" ht="13.2" x14ac:dyDescent="0.25">
      <c r="A119" s="2"/>
      <c r="B119" s="315"/>
      <c r="C119"/>
      <c r="D119"/>
      <c r="E119"/>
      <c r="F119"/>
      <c r="G119"/>
    </row>
    <row r="120" spans="1:7" ht="13.2" x14ac:dyDescent="0.25">
      <c r="A120" s="2"/>
      <c r="B120" s="315"/>
      <c r="C120"/>
      <c r="D120"/>
      <c r="E120"/>
      <c r="F120"/>
      <c r="G120"/>
    </row>
    <row r="121" spans="1:7" ht="13.2" x14ac:dyDescent="0.25">
      <c r="A121" s="2"/>
      <c r="B121" s="315"/>
      <c r="C121"/>
      <c r="D121"/>
      <c r="E121"/>
      <c r="F121"/>
      <c r="G121"/>
    </row>
    <row r="122" spans="1:7" ht="13.2" x14ac:dyDescent="0.25">
      <c r="A122" s="2"/>
      <c r="B122" s="315"/>
      <c r="C122"/>
      <c r="D122"/>
      <c r="E122"/>
      <c r="F122"/>
      <c r="G122"/>
    </row>
    <row r="123" spans="1:7" ht="13.2" x14ac:dyDescent="0.25">
      <c r="A123" s="2"/>
      <c r="B123" s="315"/>
      <c r="C123"/>
      <c r="D123"/>
      <c r="E123"/>
      <c r="F123"/>
      <c r="G123"/>
    </row>
    <row r="124" spans="1:7" ht="13.2" x14ac:dyDescent="0.25">
      <c r="A124" s="2"/>
      <c r="B124" s="315"/>
      <c r="C124"/>
      <c r="D124"/>
      <c r="E124"/>
      <c r="F124"/>
      <c r="G124"/>
    </row>
    <row r="125" spans="1:7" ht="13.2" x14ac:dyDescent="0.25">
      <c r="A125" s="2"/>
      <c r="B125" s="315"/>
      <c r="C125"/>
      <c r="D125"/>
      <c r="E125"/>
      <c r="F125"/>
      <c r="G125"/>
    </row>
    <row r="126" spans="1:7" ht="13.2" x14ac:dyDescent="0.25">
      <c r="A126" s="2"/>
      <c r="B126" s="315"/>
      <c r="C126"/>
      <c r="D126"/>
      <c r="E126"/>
      <c r="F126"/>
      <c r="G126"/>
    </row>
    <row r="127" spans="1:7" ht="13.2" x14ac:dyDescent="0.25">
      <c r="A127" s="2"/>
      <c r="B127" s="315"/>
      <c r="C127"/>
      <c r="D127"/>
      <c r="E127"/>
      <c r="F127"/>
      <c r="G127"/>
    </row>
    <row r="128" spans="1:7" ht="13.2" x14ac:dyDescent="0.25">
      <c r="A128" s="2"/>
      <c r="B128" s="315"/>
      <c r="C128"/>
      <c r="D128"/>
      <c r="E128"/>
      <c r="F128"/>
      <c r="G128"/>
    </row>
    <row r="129" spans="1:7" ht="13.2" x14ac:dyDescent="0.25">
      <c r="A129" s="2"/>
      <c r="B129" s="315"/>
      <c r="C129"/>
      <c r="D129"/>
      <c r="E129"/>
      <c r="F129"/>
      <c r="G129"/>
    </row>
    <row r="130" spans="1:7" ht="13.2" x14ac:dyDescent="0.25">
      <c r="A130" s="2"/>
      <c r="B130" s="315"/>
      <c r="C130"/>
      <c r="D130"/>
      <c r="E130"/>
      <c r="F130"/>
      <c r="G130"/>
    </row>
    <row r="131" spans="1:7" ht="13.2" x14ac:dyDescent="0.25">
      <c r="A131" s="2"/>
      <c r="B131" s="315"/>
      <c r="C131"/>
      <c r="D131"/>
      <c r="E131"/>
      <c r="F131"/>
      <c r="G131"/>
    </row>
    <row r="132" spans="1:7" ht="13.2" x14ac:dyDescent="0.25">
      <c r="A132" s="2"/>
      <c r="B132" s="315"/>
      <c r="C132"/>
      <c r="D132"/>
      <c r="E132"/>
      <c r="F132"/>
      <c r="G132"/>
    </row>
    <row r="133" spans="1:7" ht="13.2" x14ac:dyDescent="0.25">
      <c r="A133" s="2"/>
      <c r="B133" s="315"/>
      <c r="C133"/>
      <c r="D133"/>
      <c r="E133"/>
      <c r="F133"/>
      <c r="G133"/>
    </row>
    <row r="134" spans="1:7" ht="13.2" x14ac:dyDescent="0.25">
      <c r="A134" s="20"/>
      <c r="B134" s="315"/>
      <c r="C134"/>
      <c r="D134"/>
      <c r="E134"/>
      <c r="F134"/>
      <c r="G134"/>
    </row>
    <row r="135" spans="1:7" ht="13.2" x14ac:dyDescent="0.25">
      <c r="A135" s="20"/>
      <c r="B135" s="315"/>
      <c r="C135"/>
      <c r="D135"/>
      <c r="E135"/>
      <c r="F135"/>
      <c r="G135"/>
    </row>
    <row r="136" spans="1:7" ht="13.2" x14ac:dyDescent="0.25">
      <c r="A136" s="20"/>
      <c r="B136" s="315"/>
      <c r="C136"/>
      <c r="D136"/>
      <c r="E136"/>
      <c r="F136"/>
      <c r="G136"/>
    </row>
    <row r="137" spans="1:7" ht="13.2" x14ac:dyDescent="0.25">
      <c r="A137" s="20"/>
      <c r="B137" s="315"/>
      <c r="C137"/>
      <c r="D137"/>
      <c r="E137"/>
      <c r="F137"/>
      <c r="G137"/>
    </row>
    <row r="138" spans="1:7" ht="13.2" x14ac:dyDescent="0.25">
      <c r="A138" s="20"/>
      <c r="B138" s="315"/>
      <c r="C138"/>
      <c r="D138"/>
      <c r="E138"/>
      <c r="F138"/>
      <c r="G138"/>
    </row>
    <row r="139" spans="1:7" ht="13.2" x14ac:dyDescent="0.25">
      <c r="A139" s="20"/>
      <c r="B139" s="315"/>
      <c r="C139"/>
      <c r="D139"/>
      <c r="E139"/>
      <c r="F139"/>
      <c r="G139"/>
    </row>
    <row r="140" spans="1:7" ht="13.2" x14ac:dyDescent="0.25">
      <c r="A140" s="20"/>
      <c r="B140" s="315"/>
      <c r="C140"/>
      <c r="D140"/>
      <c r="E140"/>
      <c r="F140"/>
      <c r="G140"/>
    </row>
    <row r="141" spans="1:7" ht="13.2" x14ac:dyDescent="0.25">
      <c r="A141" s="20"/>
      <c r="B141" s="315"/>
      <c r="C141"/>
      <c r="D141"/>
      <c r="E141"/>
      <c r="F141"/>
      <c r="G141"/>
    </row>
    <row r="142" spans="1:7" ht="13.2" x14ac:dyDescent="0.25">
      <c r="A142" s="20"/>
      <c r="B142" s="315"/>
      <c r="C142"/>
      <c r="D142"/>
      <c r="E142"/>
      <c r="F142"/>
      <c r="G142"/>
    </row>
    <row r="143" spans="1:7" ht="13.2" x14ac:dyDescent="0.25">
      <c r="A143" s="20"/>
      <c r="B143" s="315"/>
      <c r="C143"/>
      <c r="D143"/>
      <c r="E143"/>
      <c r="F143"/>
      <c r="G143"/>
    </row>
    <row r="144" spans="1:7" ht="13.2" x14ac:dyDescent="0.25">
      <c r="A144" s="20"/>
      <c r="B144" s="315"/>
      <c r="C144"/>
      <c r="D144"/>
      <c r="E144"/>
      <c r="F144"/>
      <c r="G144"/>
    </row>
    <row r="145" spans="1:7" ht="13.2" x14ac:dyDescent="0.25">
      <c r="A145" s="20"/>
      <c r="B145" s="315"/>
      <c r="C145"/>
      <c r="D145"/>
      <c r="E145"/>
      <c r="F145"/>
      <c r="G145"/>
    </row>
    <row r="146" spans="1:7" ht="13.2" x14ac:dyDescent="0.25">
      <c r="A146" s="20"/>
      <c r="B146" s="315"/>
      <c r="C146"/>
      <c r="D146"/>
      <c r="E146"/>
      <c r="F146"/>
      <c r="G146"/>
    </row>
    <row r="147" spans="1:7" ht="13.2" x14ac:dyDescent="0.25">
      <c r="A147" s="20"/>
      <c r="B147" s="315"/>
      <c r="C147"/>
      <c r="D147"/>
      <c r="E147"/>
      <c r="F147"/>
      <c r="G147"/>
    </row>
    <row r="148" spans="1:7" ht="13.2" x14ac:dyDescent="0.25">
      <c r="A148" s="20"/>
      <c r="B148" s="315"/>
      <c r="C148"/>
      <c r="D148"/>
      <c r="E148"/>
      <c r="F148"/>
      <c r="G148"/>
    </row>
    <row r="149" spans="1:7" ht="13.2" x14ac:dyDescent="0.25">
      <c r="A149" s="20"/>
      <c r="B149" s="315"/>
      <c r="C149"/>
      <c r="D149"/>
      <c r="E149"/>
      <c r="F149"/>
      <c r="G149"/>
    </row>
    <row r="150" spans="1:7" ht="13.2" x14ac:dyDescent="0.25">
      <c r="A150" s="20"/>
      <c r="B150" s="315"/>
      <c r="C150"/>
      <c r="D150"/>
      <c r="E150"/>
      <c r="F150"/>
      <c r="G150"/>
    </row>
    <row r="151" spans="1:7" ht="13.2" x14ac:dyDescent="0.25">
      <c r="A151" s="20"/>
      <c r="B151" s="315"/>
      <c r="C151"/>
      <c r="D151"/>
      <c r="E151"/>
      <c r="F151"/>
      <c r="G151"/>
    </row>
    <row r="152" spans="1:7" ht="13.2" x14ac:dyDescent="0.25">
      <c r="A152" s="20"/>
      <c r="B152" s="315"/>
      <c r="C152"/>
      <c r="D152"/>
      <c r="E152"/>
      <c r="F152"/>
      <c r="G152"/>
    </row>
    <row r="153" spans="1:7" ht="13.2" x14ac:dyDescent="0.25">
      <c r="A153" s="20"/>
      <c r="B153" s="315"/>
      <c r="C153"/>
      <c r="D153"/>
      <c r="E153"/>
      <c r="F153"/>
      <c r="G153"/>
    </row>
    <row r="154" spans="1:7" ht="13.2" x14ac:dyDescent="0.25">
      <c r="A154" s="20"/>
      <c r="B154" s="315"/>
      <c r="C154"/>
      <c r="D154"/>
      <c r="E154"/>
      <c r="F154"/>
      <c r="G154"/>
    </row>
    <row r="155" spans="1:7" ht="13.2" x14ac:dyDescent="0.25">
      <c r="A155" s="20"/>
      <c r="B155" s="315"/>
      <c r="C155"/>
      <c r="D155"/>
      <c r="E155"/>
      <c r="F155"/>
      <c r="G155"/>
    </row>
    <row r="156" spans="1:7" ht="13.2" x14ac:dyDescent="0.25">
      <c r="A156" s="20"/>
      <c r="B156" s="315"/>
      <c r="C156"/>
      <c r="D156"/>
      <c r="E156"/>
      <c r="F156"/>
      <c r="G156"/>
    </row>
    <row r="157" spans="1:7" ht="13.2" x14ac:dyDescent="0.25">
      <c r="A157" s="20"/>
      <c r="B157" s="315"/>
      <c r="C157"/>
      <c r="D157"/>
      <c r="E157"/>
      <c r="F157"/>
      <c r="G157"/>
    </row>
    <row r="158" spans="1:7" ht="13.2" x14ac:dyDescent="0.25">
      <c r="A158" s="20"/>
      <c r="B158" s="315"/>
      <c r="C158"/>
      <c r="D158"/>
      <c r="E158"/>
      <c r="F158"/>
      <c r="G158"/>
    </row>
    <row r="159" spans="1:7" ht="13.2" x14ac:dyDescent="0.25">
      <c r="A159" s="20"/>
      <c r="B159" s="315"/>
      <c r="C159"/>
      <c r="D159"/>
      <c r="E159"/>
      <c r="F159"/>
      <c r="G159"/>
    </row>
    <row r="160" spans="1:7" ht="13.2" x14ac:dyDescent="0.25">
      <c r="A160" s="20"/>
      <c r="B160" s="315"/>
      <c r="C160"/>
      <c r="D160"/>
      <c r="E160"/>
      <c r="F160"/>
      <c r="G160"/>
    </row>
    <row r="161" spans="1:7" ht="13.2" x14ac:dyDescent="0.25">
      <c r="A161" s="20"/>
      <c r="B161" s="315"/>
      <c r="C161"/>
      <c r="D161"/>
      <c r="E161"/>
      <c r="F161"/>
      <c r="G161"/>
    </row>
    <row r="162" spans="1:7" ht="13.2" x14ac:dyDescent="0.25">
      <c r="A162" s="20"/>
      <c r="B162" s="315"/>
      <c r="C162"/>
      <c r="D162"/>
      <c r="E162"/>
      <c r="F162"/>
      <c r="G162"/>
    </row>
    <row r="163" spans="1:7" ht="13.2" x14ac:dyDescent="0.25">
      <c r="A163" s="20"/>
      <c r="B163" s="315"/>
      <c r="C163"/>
      <c r="D163"/>
      <c r="E163"/>
      <c r="F163"/>
      <c r="G163"/>
    </row>
    <row r="164" spans="1:7" ht="13.2" x14ac:dyDescent="0.25">
      <c r="A164" s="20"/>
      <c r="B164" s="315"/>
      <c r="C164"/>
      <c r="D164"/>
      <c r="E164"/>
      <c r="F164"/>
      <c r="G164"/>
    </row>
    <row r="165" spans="1:7" ht="13.2" x14ac:dyDescent="0.25">
      <c r="A165" s="20"/>
      <c r="B165" s="315"/>
      <c r="C165"/>
      <c r="D165"/>
      <c r="E165"/>
      <c r="F165"/>
      <c r="G165"/>
    </row>
    <row r="166" spans="1:7" ht="13.2" x14ac:dyDescent="0.25">
      <c r="A166" s="20"/>
      <c r="B166" s="315"/>
      <c r="C166"/>
      <c r="D166"/>
      <c r="E166"/>
      <c r="F166"/>
      <c r="G166"/>
    </row>
    <row r="167" spans="1:7" ht="13.2" x14ac:dyDescent="0.25">
      <c r="A167" s="20"/>
      <c r="B167" s="315"/>
      <c r="C167"/>
      <c r="D167"/>
      <c r="E167"/>
      <c r="F167"/>
      <c r="G167"/>
    </row>
    <row r="168" spans="1:7" ht="13.2" x14ac:dyDescent="0.25">
      <c r="A168" s="20"/>
      <c r="B168" s="315"/>
      <c r="C168"/>
      <c r="D168"/>
      <c r="E168"/>
      <c r="F168"/>
      <c r="G168"/>
    </row>
    <row r="169" spans="1:7" ht="13.2" x14ac:dyDescent="0.25">
      <c r="A169" s="317"/>
      <c r="B169" s="2292"/>
      <c r="C169"/>
      <c r="D169"/>
      <c r="E169"/>
      <c r="F169"/>
      <c r="G169"/>
    </row>
    <row r="170" spans="1:7" ht="13.2" x14ac:dyDescent="0.25">
      <c r="A170" s="317"/>
      <c r="B170" s="319"/>
      <c r="C170"/>
      <c r="D170"/>
      <c r="E170"/>
      <c r="F170"/>
      <c r="G170"/>
    </row>
    <row r="171" spans="1:7" ht="13.2" x14ac:dyDescent="0.25">
      <c r="A171" s="317"/>
      <c r="B171" s="319"/>
      <c r="C171"/>
      <c r="D171"/>
      <c r="E171"/>
      <c r="F171"/>
      <c r="G171"/>
    </row>
    <row r="172" spans="1:7" ht="13.2" x14ac:dyDescent="0.25">
      <c r="A172" s="317"/>
      <c r="B172" s="319"/>
      <c r="C172"/>
      <c r="D172"/>
      <c r="E172"/>
      <c r="F172"/>
      <c r="G172"/>
    </row>
    <row r="173" spans="1:7" x14ac:dyDescent="0.25">
      <c r="A173" s="320"/>
      <c r="B173" s="319"/>
      <c r="C173"/>
      <c r="D173"/>
      <c r="E173"/>
      <c r="F173"/>
      <c r="G173"/>
    </row>
    <row r="174" spans="1:7" x14ac:dyDescent="0.25">
      <c r="A174" s="320"/>
      <c r="B174" s="319"/>
      <c r="C174"/>
      <c r="D174"/>
      <c r="E174"/>
      <c r="F174"/>
      <c r="G174"/>
    </row>
    <row r="175" spans="1:7" x14ac:dyDescent="0.25">
      <c r="A175" s="320"/>
      <c r="B175" s="319"/>
      <c r="C175"/>
      <c r="D175"/>
      <c r="E175"/>
      <c r="F175"/>
      <c r="G175"/>
    </row>
    <row r="176" spans="1:7" x14ac:dyDescent="0.25">
      <c r="A176" s="320"/>
      <c r="B176" s="319"/>
      <c r="C176"/>
      <c r="D176"/>
      <c r="E176"/>
      <c r="F176"/>
      <c r="G176"/>
    </row>
    <row r="177" spans="1:7" x14ac:dyDescent="0.25">
      <c r="A177" s="320"/>
      <c r="B177" s="319"/>
      <c r="C177"/>
      <c r="D177"/>
      <c r="E177"/>
      <c r="F177"/>
      <c r="G177"/>
    </row>
    <row r="178" spans="1:7" x14ac:dyDescent="0.25">
      <c r="A178" s="320"/>
      <c r="B178" s="319"/>
      <c r="C178"/>
      <c r="D178"/>
      <c r="E178"/>
      <c r="F178"/>
      <c r="G178"/>
    </row>
    <row r="179" spans="1:7" x14ac:dyDescent="0.25">
      <c r="A179" s="320"/>
      <c r="B179" s="319"/>
      <c r="C179"/>
      <c r="D179"/>
      <c r="E179"/>
      <c r="F179"/>
      <c r="G179"/>
    </row>
    <row r="180" spans="1:7" x14ac:dyDescent="0.25">
      <c r="A180" s="320"/>
      <c r="B180" s="319"/>
      <c r="C180"/>
      <c r="D180"/>
      <c r="E180"/>
      <c r="F180"/>
      <c r="G180"/>
    </row>
    <row r="181" spans="1:7" x14ac:dyDescent="0.25">
      <c r="A181" s="320"/>
      <c r="B181" s="319"/>
      <c r="C181"/>
      <c r="D181"/>
      <c r="E181"/>
      <c r="F181"/>
      <c r="G181"/>
    </row>
    <row r="182" spans="1:7" x14ac:dyDescent="0.25">
      <c r="A182" s="320"/>
      <c r="B182" s="319"/>
      <c r="C182"/>
      <c r="D182"/>
      <c r="E182"/>
      <c r="F182"/>
      <c r="G182"/>
    </row>
    <row r="183" spans="1:7" x14ac:dyDescent="0.25">
      <c r="A183" s="320"/>
      <c r="B183" s="319"/>
      <c r="C183"/>
      <c r="D183"/>
      <c r="E183"/>
      <c r="F183"/>
      <c r="G183"/>
    </row>
    <row r="184" spans="1:7" x14ac:dyDescent="0.25">
      <c r="A184" s="320"/>
      <c r="B184" s="319"/>
      <c r="C184"/>
      <c r="D184"/>
      <c r="E184"/>
      <c r="F184"/>
      <c r="G184"/>
    </row>
    <row r="185" spans="1:7" x14ac:dyDescent="0.25">
      <c r="A185" s="320"/>
      <c r="B185" s="319"/>
      <c r="C185"/>
      <c r="D185"/>
      <c r="E185"/>
      <c r="F185"/>
      <c r="G185"/>
    </row>
  </sheetData>
  <mergeCells count="1">
    <mergeCell ref="A79:B79"/>
  </mergeCells>
  <printOptions horizontalCentered="1"/>
  <pageMargins left="0.39370078740157483" right="0" top="1.1417322834645669" bottom="0.39370078740157483" header="0.39370078740157483" footer="0.15748031496062992"/>
  <pageSetup paperSize="9" scale="95" orientation="landscape" r:id="rId1"/>
  <headerFooter alignWithMargins="0">
    <oddHeader>&amp;C&amp;"Times New Roman,Félkövér"&amp;8
&amp;10 2020. évi költségvetés JGK Zrt. üzleti vagyonnal kapcsolatos feladatai
11602 cím bevételi előirányzat&amp;R&amp;"Times New Roman,Félkövér dőlt"9. melléklet a /2020. ()
 önkormányzati rendelethez
ezer Ft-ban</oddHeader>
    <oddFooter xml:space="preserve">&amp;C
&amp;R
&amp;P
</oddFooter>
  </headerFooter>
  <rowBreaks count="1" manualBreakCount="1">
    <brk id="24"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62"/>
  <sheetViews>
    <sheetView zoomScaleNormal="100" workbookViewId="0">
      <pane xSplit="1" ySplit="1" topLeftCell="B32" activePane="bottomRight" state="frozen"/>
      <selection pane="topRight" activeCell="B1" sqref="B1"/>
      <selection pane="bottomLeft" activeCell="A3" sqref="A3"/>
      <selection pane="bottomRight" activeCell="K27" sqref="K27"/>
    </sheetView>
  </sheetViews>
  <sheetFormatPr defaultColWidth="9.109375" defaultRowHeight="13.2" x14ac:dyDescent="0.25"/>
  <cols>
    <col min="1" max="1" width="34.6640625" style="92" customWidth="1"/>
    <col min="2" max="2" width="15.6640625" style="339" customWidth="1"/>
    <col min="3" max="3" width="15.6640625" style="103" customWidth="1"/>
    <col min="4" max="4" width="15.6640625" style="107" customWidth="1"/>
    <col min="5" max="5" width="14.44140625" style="103" customWidth="1"/>
    <col min="6" max="8" width="15.6640625" style="103" customWidth="1"/>
    <col min="9" max="10" width="15.6640625" style="107" customWidth="1"/>
    <col min="11" max="11" width="10.109375" style="127" bestFit="1" customWidth="1"/>
    <col min="12" max="16384" width="9.109375" style="127"/>
  </cols>
  <sheetData>
    <row r="1" spans="1:10" s="128" customFormat="1" ht="66.599999999999994" thickBot="1" x14ac:dyDescent="0.3">
      <c r="A1" s="192" t="s">
        <v>608</v>
      </c>
      <c r="B1" s="191" t="s">
        <v>2063</v>
      </c>
      <c r="C1" s="191" t="s">
        <v>91</v>
      </c>
      <c r="D1" s="191" t="s">
        <v>621</v>
      </c>
      <c r="E1" s="191" t="s">
        <v>106</v>
      </c>
      <c r="F1" s="191" t="s">
        <v>108</v>
      </c>
      <c r="G1" s="191" t="s">
        <v>113</v>
      </c>
      <c r="H1" s="191" t="s">
        <v>114</v>
      </c>
      <c r="I1" s="191" t="s">
        <v>622</v>
      </c>
      <c r="J1" s="504" t="s">
        <v>623</v>
      </c>
    </row>
    <row r="2" spans="1:10" ht="15" customHeight="1" x14ac:dyDescent="0.25">
      <c r="A2" s="515" t="s">
        <v>167</v>
      </c>
      <c r="B2" s="533"/>
      <c r="C2" s="324"/>
      <c r="D2" s="323"/>
      <c r="E2" s="324"/>
      <c r="F2" s="324"/>
      <c r="G2" s="324"/>
      <c r="H2" s="324"/>
      <c r="I2" s="323"/>
      <c r="J2" s="519"/>
    </row>
    <row r="3" spans="1:10" ht="20.25" customHeight="1" x14ac:dyDescent="0.25">
      <c r="A3" s="498" t="s">
        <v>2231</v>
      </c>
      <c r="B3" s="534"/>
      <c r="C3" s="29">
        <f>14000+14000</f>
        <v>28000</v>
      </c>
      <c r="D3" s="190">
        <f>SUM(B3:C3)</f>
        <v>28000</v>
      </c>
      <c r="E3" s="29"/>
      <c r="F3" s="29"/>
      <c r="G3" s="29"/>
      <c r="H3" s="29"/>
      <c r="I3" s="190">
        <f t="shared" ref="I3:I23" si="0">SUM(E3:H3)</f>
        <v>0</v>
      </c>
      <c r="J3" s="520">
        <f t="shared" ref="J3:J23" si="1">I3+D3</f>
        <v>28000</v>
      </c>
    </row>
    <row r="4" spans="1:10" ht="15" customHeight="1" x14ac:dyDescent="0.25">
      <c r="A4" s="498" t="s">
        <v>660</v>
      </c>
      <c r="B4" s="534"/>
      <c r="C4" s="29">
        <v>13000</v>
      </c>
      <c r="D4" s="190">
        <f>SUM(B4:C4)</f>
        <v>13000</v>
      </c>
      <c r="E4" s="29"/>
      <c r="F4" s="29"/>
      <c r="G4" s="29"/>
      <c r="H4" s="29"/>
      <c r="I4" s="190">
        <f t="shared" si="0"/>
        <v>0</v>
      </c>
      <c r="J4" s="520">
        <f t="shared" si="1"/>
        <v>13000</v>
      </c>
    </row>
    <row r="5" spans="1:10" ht="30" customHeight="1" x14ac:dyDescent="0.25">
      <c r="A5" s="498" t="s">
        <v>661</v>
      </c>
      <c r="B5" s="534"/>
      <c r="C5" s="29"/>
      <c r="D5" s="190">
        <f t="shared" ref="D5:D38" si="2">SUM(B5:C5)</f>
        <v>0</v>
      </c>
      <c r="E5" s="29"/>
      <c r="F5" s="29"/>
      <c r="G5" s="29">
        <v>15300</v>
      </c>
      <c r="H5" s="29"/>
      <c r="I5" s="190">
        <f t="shared" si="0"/>
        <v>15300</v>
      </c>
      <c r="J5" s="520">
        <f t="shared" si="1"/>
        <v>15300</v>
      </c>
    </row>
    <row r="6" spans="1:10" ht="15" customHeight="1" x14ac:dyDescent="0.25">
      <c r="A6" s="498" t="s">
        <v>662</v>
      </c>
      <c r="B6" s="534"/>
      <c r="C6" s="29">
        <v>580000</v>
      </c>
      <c r="D6" s="190">
        <f t="shared" si="2"/>
        <v>580000</v>
      </c>
      <c r="E6" s="29"/>
      <c r="F6" s="29"/>
      <c r="G6" s="29"/>
      <c r="H6" s="29">
        <v>90000</v>
      </c>
      <c r="I6" s="190">
        <f t="shared" si="0"/>
        <v>90000</v>
      </c>
      <c r="J6" s="520">
        <f t="shared" si="1"/>
        <v>670000</v>
      </c>
    </row>
    <row r="7" spans="1:10" ht="15" customHeight="1" x14ac:dyDescent="0.25">
      <c r="A7" s="498" t="s">
        <v>2064</v>
      </c>
      <c r="B7" s="534"/>
      <c r="C7" s="29">
        <v>22000</v>
      </c>
      <c r="D7" s="190">
        <f t="shared" si="2"/>
        <v>22000</v>
      </c>
      <c r="E7" s="29"/>
      <c r="F7" s="29"/>
      <c r="G7" s="2301"/>
      <c r="H7" s="2301"/>
      <c r="I7" s="190">
        <f t="shared" si="0"/>
        <v>0</v>
      </c>
      <c r="J7" s="520">
        <f t="shared" si="1"/>
        <v>22000</v>
      </c>
    </row>
    <row r="8" spans="1:10" ht="15" customHeight="1" x14ac:dyDescent="0.25">
      <c r="A8" s="498" t="s">
        <v>663</v>
      </c>
      <c r="B8" s="534"/>
      <c r="C8" s="29">
        <f>500000-80000</f>
        <v>420000</v>
      </c>
      <c r="D8" s="190">
        <f t="shared" si="2"/>
        <v>420000</v>
      </c>
      <c r="E8" s="29"/>
      <c r="F8" s="29"/>
      <c r="G8" s="2301"/>
      <c r="H8" s="2301"/>
      <c r="I8" s="190">
        <f t="shared" si="0"/>
        <v>0</v>
      </c>
      <c r="J8" s="520">
        <f t="shared" si="1"/>
        <v>420000</v>
      </c>
    </row>
    <row r="9" spans="1:10" ht="15" customHeight="1" x14ac:dyDescent="0.25">
      <c r="A9" s="498" t="s">
        <v>664</v>
      </c>
      <c r="B9" s="534"/>
      <c r="C9" s="29">
        <v>200000</v>
      </c>
      <c r="D9" s="190">
        <f t="shared" si="2"/>
        <v>200000</v>
      </c>
      <c r="E9" s="29"/>
      <c r="F9" s="29"/>
      <c r="G9" s="2301"/>
      <c r="H9" s="2301"/>
      <c r="I9" s="190">
        <f t="shared" si="0"/>
        <v>0</v>
      </c>
      <c r="J9" s="520">
        <f t="shared" si="1"/>
        <v>200000</v>
      </c>
    </row>
    <row r="10" spans="1:10" ht="15" customHeight="1" x14ac:dyDescent="0.25">
      <c r="A10" s="498" t="s">
        <v>665</v>
      </c>
      <c r="B10" s="534"/>
      <c r="C10" s="29">
        <v>100000</v>
      </c>
      <c r="D10" s="190">
        <f>SUM(B10:C10)</f>
        <v>100000</v>
      </c>
      <c r="E10" s="29"/>
      <c r="F10" s="29"/>
      <c r="G10" s="2301"/>
      <c r="H10" s="2301"/>
      <c r="I10" s="190">
        <f t="shared" si="0"/>
        <v>0</v>
      </c>
      <c r="J10" s="520">
        <f t="shared" si="1"/>
        <v>100000</v>
      </c>
    </row>
    <row r="11" spans="1:10" ht="15" customHeight="1" x14ac:dyDescent="0.25">
      <c r="A11" s="498" t="s">
        <v>666</v>
      </c>
      <c r="B11" s="534"/>
      <c r="C11" s="29">
        <v>30000</v>
      </c>
      <c r="D11" s="190">
        <f t="shared" si="2"/>
        <v>30000</v>
      </c>
      <c r="E11" s="29"/>
      <c r="F11" s="29"/>
      <c r="G11" s="2301"/>
      <c r="H11" s="2301"/>
      <c r="I11" s="190">
        <f t="shared" si="0"/>
        <v>0</v>
      </c>
      <c r="J11" s="520">
        <f t="shared" si="1"/>
        <v>30000</v>
      </c>
    </row>
    <row r="12" spans="1:10" ht="15" customHeight="1" x14ac:dyDescent="0.25">
      <c r="A12" s="498" t="s">
        <v>667</v>
      </c>
      <c r="B12" s="534"/>
      <c r="C12" s="29">
        <v>145000</v>
      </c>
      <c r="D12" s="190">
        <f t="shared" si="2"/>
        <v>145000</v>
      </c>
      <c r="E12" s="29"/>
      <c r="F12" s="29"/>
      <c r="G12" s="2301"/>
      <c r="H12" s="2301"/>
      <c r="I12" s="190">
        <f t="shared" si="0"/>
        <v>0</v>
      </c>
      <c r="J12" s="520">
        <f t="shared" si="1"/>
        <v>145000</v>
      </c>
    </row>
    <row r="13" spans="1:10" ht="15" customHeight="1" x14ac:dyDescent="0.25">
      <c r="A13" s="498" t="s">
        <v>668</v>
      </c>
      <c r="B13" s="534"/>
      <c r="C13" s="29">
        <v>110000</v>
      </c>
      <c r="D13" s="190">
        <f t="shared" si="2"/>
        <v>110000</v>
      </c>
      <c r="E13" s="29"/>
      <c r="F13" s="29"/>
      <c r="G13" s="2301"/>
      <c r="H13" s="2301"/>
      <c r="I13" s="190">
        <f t="shared" si="0"/>
        <v>0</v>
      </c>
      <c r="J13" s="520">
        <f t="shared" si="1"/>
        <v>110000</v>
      </c>
    </row>
    <row r="14" spans="1:10" ht="15" customHeight="1" x14ac:dyDescent="0.25">
      <c r="A14" s="498" t="s">
        <v>669</v>
      </c>
      <c r="B14" s="534"/>
      <c r="C14" s="29">
        <v>45000</v>
      </c>
      <c r="D14" s="190">
        <f t="shared" si="2"/>
        <v>45000</v>
      </c>
      <c r="E14" s="29"/>
      <c r="F14" s="29"/>
      <c r="G14" s="2301"/>
      <c r="H14" s="2301"/>
      <c r="I14" s="190">
        <f t="shared" si="0"/>
        <v>0</v>
      </c>
      <c r="J14" s="520">
        <f t="shared" si="1"/>
        <v>45000</v>
      </c>
    </row>
    <row r="15" spans="1:10" ht="15" customHeight="1" x14ac:dyDescent="0.25">
      <c r="A15" s="498" t="s">
        <v>670</v>
      </c>
      <c r="B15" s="534"/>
      <c r="C15" s="29">
        <v>30000</v>
      </c>
      <c r="D15" s="190">
        <f t="shared" si="2"/>
        <v>30000</v>
      </c>
      <c r="E15" s="29"/>
      <c r="F15" s="29"/>
      <c r="G15" s="2301"/>
      <c r="H15" s="2301"/>
      <c r="I15" s="190">
        <f t="shared" si="0"/>
        <v>0</v>
      </c>
      <c r="J15" s="520">
        <f t="shared" si="1"/>
        <v>30000</v>
      </c>
    </row>
    <row r="16" spans="1:10" ht="15" customHeight="1" x14ac:dyDescent="0.25">
      <c r="A16" s="498" t="s">
        <v>910</v>
      </c>
      <c r="B16" s="534"/>
      <c r="C16" s="29">
        <v>600</v>
      </c>
      <c r="D16" s="190">
        <f t="shared" si="2"/>
        <v>600</v>
      </c>
      <c r="E16" s="29"/>
      <c r="F16" s="29"/>
      <c r="G16" s="2301"/>
      <c r="H16" s="2301"/>
      <c r="I16" s="190">
        <f t="shared" si="0"/>
        <v>0</v>
      </c>
      <c r="J16" s="520">
        <f t="shared" si="1"/>
        <v>600</v>
      </c>
    </row>
    <row r="17" spans="1:11" ht="15" customHeight="1" x14ac:dyDescent="0.25">
      <c r="A17" s="498" t="s">
        <v>911</v>
      </c>
      <c r="B17" s="534"/>
      <c r="C17" s="29">
        <v>12000</v>
      </c>
      <c r="D17" s="190">
        <f t="shared" si="2"/>
        <v>12000</v>
      </c>
      <c r="E17" s="29"/>
      <c r="F17" s="29"/>
      <c r="G17" s="2301"/>
      <c r="H17" s="2301"/>
      <c r="I17" s="190">
        <f t="shared" si="0"/>
        <v>0</v>
      </c>
      <c r="J17" s="520">
        <f t="shared" si="1"/>
        <v>12000</v>
      </c>
    </row>
    <row r="18" spans="1:11" ht="15" customHeight="1" x14ac:dyDescent="0.25">
      <c r="A18" s="514" t="s">
        <v>671</v>
      </c>
      <c r="B18" s="534"/>
      <c r="C18" s="29"/>
      <c r="D18" s="190">
        <f t="shared" si="2"/>
        <v>0</v>
      </c>
      <c r="E18" s="29"/>
      <c r="F18" s="29"/>
      <c r="G18" s="2301"/>
      <c r="H18" s="29">
        <f>100000-60000</f>
        <v>40000</v>
      </c>
      <c r="I18" s="190">
        <f t="shared" si="0"/>
        <v>40000</v>
      </c>
      <c r="J18" s="520">
        <f t="shared" si="1"/>
        <v>40000</v>
      </c>
    </row>
    <row r="19" spans="1:11" ht="30" customHeight="1" x14ac:dyDescent="0.25">
      <c r="A19" s="514" t="s">
        <v>2065</v>
      </c>
      <c r="B19" s="535"/>
      <c r="C19" s="29">
        <v>25000</v>
      </c>
      <c r="D19" s="190">
        <f t="shared" si="2"/>
        <v>25000</v>
      </c>
      <c r="E19" s="29"/>
      <c r="F19" s="29"/>
      <c r="G19" s="29"/>
      <c r="H19" s="29"/>
      <c r="I19" s="190">
        <f t="shared" si="0"/>
        <v>0</v>
      </c>
      <c r="J19" s="520">
        <f t="shared" si="1"/>
        <v>25000</v>
      </c>
    </row>
    <row r="20" spans="1:11" ht="30" customHeight="1" x14ac:dyDescent="0.25">
      <c r="A20" s="514" t="s">
        <v>2066</v>
      </c>
      <c r="B20" s="535"/>
      <c r="C20" s="29">
        <v>21600</v>
      </c>
      <c r="D20" s="190">
        <f t="shared" si="2"/>
        <v>21600</v>
      </c>
      <c r="E20" s="29"/>
      <c r="F20" s="29"/>
      <c r="G20" s="29"/>
      <c r="H20" s="29"/>
      <c r="I20" s="190">
        <f t="shared" si="0"/>
        <v>0</v>
      </c>
      <c r="J20" s="520">
        <f t="shared" si="1"/>
        <v>21600</v>
      </c>
    </row>
    <row r="21" spans="1:11" ht="15" customHeight="1" x14ac:dyDescent="0.25">
      <c r="A21" s="528" t="s">
        <v>2232</v>
      </c>
      <c r="B21" s="536"/>
      <c r="C21" s="331">
        <v>122674</v>
      </c>
      <c r="D21" s="190">
        <f t="shared" si="2"/>
        <v>122674</v>
      </c>
      <c r="E21" s="29"/>
      <c r="F21" s="29"/>
      <c r="G21" s="29"/>
      <c r="H21" s="29"/>
      <c r="I21" s="190">
        <f t="shared" si="0"/>
        <v>0</v>
      </c>
      <c r="J21" s="520">
        <f t="shared" si="1"/>
        <v>122674</v>
      </c>
    </row>
    <row r="22" spans="1:11" ht="15" customHeight="1" x14ac:dyDescent="0.25">
      <c r="A22" s="528" t="s">
        <v>2233</v>
      </c>
      <c r="B22" s="536"/>
      <c r="C22" s="331">
        <v>50000</v>
      </c>
      <c r="D22" s="190">
        <f t="shared" si="2"/>
        <v>50000</v>
      </c>
      <c r="E22" s="29"/>
      <c r="F22" s="29"/>
      <c r="G22" s="29"/>
      <c r="H22" s="29"/>
      <c r="I22" s="190">
        <f t="shared" si="0"/>
        <v>0</v>
      </c>
      <c r="J22" s="520">
        <f t="shared" si="1"/>
        <v>50000</v>
      </c>
    </row>
    <row r="23" spans="1:11" ht="45" customHeight="1" thickBot="1" x14ac:dyDescent="0.3">
      <c r="A23" s="524" t="s">
        <v>672</v>
      </c>
      <c r="B23" s="534"/>
      <c r="C23" s="330">
        <v>974917</v>
      </c>
      <c r="D23" s="340">
        <f t="shared" si="2"/>
        <v>974917</v>
      </c>
      <c r="E23" s="330"/>
      <c r="F23" s="330"/>
      <c r="G23" s="29">
        <v>0</v>
      </c>
      <c r="H23" s="29">
        <v>0</v>
      </c>
      <c r="I23" s="340">
        <f t="shared" si="0"/>
        <v>0</v>
      </c>
      <c r="J23" s="531">
        <f t="shared" si="1"/>
        <v>974917</v>
      </c>
    </row>
    <row r="24" spans="1:11" s="128" customFormat="1" ht="15" customHeight="1" thickBot="1" x14ac:dyDescent="0.3">
      <c r="A24" s="529" t="s">
        <v>627</v>
      </c>
      <c r="B24" s="341">
        <f t="shared" ref="B24:J24" si="3">SUM(B3:B23)</f>
        <v>0</v>
      </c>
      <c r="C24" s="341">
        <f t="shared" si="3"/>
        <v>2929791</v>
      </c>
      <c r="D24" s="341">
        <f t="shared" si="3"/>
        <v>2929791</v>
      </c>
      <c r="E24" s="341">
        <f t="shared" si="3"/>
        <v>0</v>
      </c>
      <c r="F24" s="341">
        <f t="shared" si="3"/>
        <v>0</v>
      </c>
      <c r="G24" s="341">
        <f t="shared" si="3"/>
        <v>15300</v>
      </c>
      <c r="H24" s="341">
        <f t="shared" si="3"/>
        <v>130000</v>
      </c>
      <c r="I24" s="341">
        <f t="shared" si="3"/>
        <v>145300</v>
      </c>
      <c r="J24" s="532">
        <f t="shared" si="3"/>
        <v>3075091</v>
      </c>
      <c r="K24" s="107"/>
    </row>
    <row r="25" spans="1:11" ht="15" customHeight="1" x14ac:dyDescent="0.25">
      <c r="A25" s="515" t="s">
        <v>618</v>
      </c>
      <c r="B25" s="533"/>
      <c r="C25" s="324"/>
      <c r="D25" s="323"/>
      <c r="E25" s="324"/>
      <c r="F25" s="324"/>
      <c r="G25" s="324"/>
      <c r="H25" s="324"/>
      <c r="I25" s="323"/>
      <c r="J25" s="519"/>
    </row>
    <row r="26" spans="1:11" ht="45" customHeight="1" x14ac:dyDescent="0.25">
      <c r="A26" s="524" t="s">
        <v>673</v>
      </c>
      <c r="B26" s="534"/>
      <c r="C26" s="29">
        <v>108138</v>
      </c>
      <c r="D26" s="323">
        <f>SUM(B26:C26)</f>
        <v>108138</v>
      </c>
      <c r="E26" s="29"/>
      <c r="F26" s="29"/>
      <c r="G26" s="29"/>
      <c r="H26" s="29"/>
      <c r="I26" s="29">
        <f t="shared" ref="I26:I38" si="4">SUM(E26:H26)</f>
        <v>0</v>
      </c>
      <c r="J26" s="520">
        <f t="shared" ref="J26:J38" si="5">I26+D26</f>
        <v>108138</v>
      </c>
    </row>
    <row r="27" spans="1:11" ht="45" customHeight="1" x14ac:dyDescent="0.25">
      <c r="A27" s="524" t="s">
        <v>672</v>
      </c>
      <c r="B27" s="534"/>
      <c r="C27" s="29">
        <v>20762</v>
      </c>
      <c r="D27" s="323">
        <f t="shared" si="2"/>
        <v>20762</v>
      </c>
      <c r="E27" s="29"/>
      <c r="F27" s="29"/>
      <c r="G27" s="29"/>
      <c r="H27" s="29"/>
      <c r="I27" s="29">
        <f t="shared" si="4"/>
        <v>0</v>
      </c>
      <c r="J27" s="520">
        <f t="shared" si="5"/>
        <v>20762</v>
      </c>
    </row>
    <row r="28" spans="1:11" ht="15" customHeight="1" x14ac:dyDescent="0.25">
      <c r="A28" s="530" t="s">
        <v>674</v>
      </c>
      <c r="B28" s="534"/>
      <c r="C28" s="29">
        <f>'bevétel 11602'!B36+'bevétel 11602'!B37+'bevétel 11602'!B38</f>
        <v>53150</v>
      </c>
      <c r="D28" s="190">
        <f t="shared" si="2"/>
        <v>53150</v>
      </c>
      <c r="E28" s="29"/>
      <c r="F28" s="29"/>
      <c r="G28" s="29"/>
      <c r="H28" s="29"/>
      <c r="I28" s="29">
        <f t="shared" si="4"/>
        <v>0</v>
      </c>
      <c r="J28" s="520">
        <f t="shared" si="5"/>
        <v>53150</v>
      </c>
    </row>
    <row r="29" spans="1:11" ht="15" customHeight="1" x14ac:dyDescent="0.25">
      <c r="A29" s="498" t="s">
        <v>909</v>
      </c>
      <c r="B29" s="534"/>
      <c r="C29" s="29"/>
      <c r="D29" s="190">
        <f t="shared" si="2"/>
        <v>0</v>
      </c>
      <c r="E29" s="29"/>
      <c r="F29" s="29"/>
      <c r="G29" s="29"/>
      <c r="H29" s="29">
        <f>100000-50000</f>
        <v>50000</v>
      </c>
      <c r="I29" s="29">
        <f t="shared" si="4"/>
        <v>50000</v>
      </c>
      <c r="J29" s="520">
        <f t="shared" si="5"/>
        <v>50000</v>
      </c>
    </row>
    <row r="30" spans="1:11" ht="15" customHeight="1" x14ac:dyDescent="0.25">
      <c r="A30" s="498" t="s">
        <v>675</v>
      </c>
      <c r="B30" s="534"/>
      <c r="C30" s="29">
        <v>10000</v>
      </c>
      <c r="D30" s="190">
        <f t="shared" si="2"/>
        <v>10000</v>
      </c>
      <c r="E30" s="29"/>
      <c r="F30" s="29"/>
      <c r="G30" s="29"/>
      <c r="H30" s="29"/>
      <c r="I30" s="29">
        <f t="shared" si="4"/>
        <v>0</v>
      </c>
      <c r="J30" s="520">
        <f t="shared" si="5"/>
        <v>10000</v>
      </c>
    </row>
    <row r="31" spans="1:11" ht="30" customHeight="1" x14ac:dyDescent="0.25">
      <c r="A31" s="498" t="s">
        <v>676</v>
      </c>
      <c r="B31" s="534"/>
      <c r="C31" s="29">
        <f>25000-20000</f>
        <v>5000</v>
      </c>
      <c r="D31" s="190">
        <f t="shared" si="2"/>
        <v>5000</v>
      </c>
      <c r="E31" s="29"/>
      <c r="F31" s="29"/>
      <c r="G31" s="29"/>
      <c r="H31" s="29"/>
      <c r="I31" s="29">
        <f t="shared" si="4"/>
        <v>0</v>
      </c>
      <c r="J31" s="520">
        <f t="shared" si="5"/>
        <v>5000</v>
      </c>
    </row>
    <row r="32" spans="1:11" ht="18.75" customHeight="1" x14ac:dyDescent="0.25">
      <c r="A32" s="498" t="s">
        <v>2349</v>
      </c>
      <c r="B32" s="534"/>
      <c r="C32" s="29"/>
      <c r="D32" s="2340">
        <f t="shared" si="2"/>
        <v>0</v>
      </c>
      <c r="E32" s="29"/>
      <c r="F32" s="29">
        <v>250000</v>
      </c>
      <c r="G32" s="29"/>
      <c r="H32" s="29"/>
      <c r="I32" s="29">
        <f t="shared" si="4"/>
        <v>250000</v>
      </c>
      <c r="J32" s="520">
        <f t="shared" si="5"/>
        <v>250000</v>
      </c>
    </row>
    <row r="33" spans="1:11" ht="15" customHeight="1" x14ac:dyDescent="0.25">
      <c r="A33" s="498" t="s">
        <v>2067</v>
      </c>
      <c r="B33" s="534"/>
      <c r="C33" s="29"/>
      <c r="D33" s="190">
        <f t="shared" si="2"/>
        <v>0</v>
      </c>
      <c r="E33" s="29"/>
      <c r="F33" s="29">
        <f>100000+50000</f>
        <v>150000</v>
      </c>
      <c r="G33" s="29"/>
      <c r="H33" s="29">
        <f>93000+50000</f>
        <v>143000</v>
      </c>
      <c r="I33" s="29">
        <f t="shared" si="4"/>
        <v>293000</v>
      </c>
      <c r="J33" s="520">
        <f t="shared" si="5"/>
        <v>293000</v>
      </c>
    </row>
    <row r="34" spans="1:11" ht="15" customHeight="1" x14ac:dyDescent="0.25">
      <c r="A34" s="498" t="s">
        <v>2315</v>
      </c>
      <c r="B34" s="534"/>
      <c r="C34" s="29">
        <v>8599</v>
      </c>
      <c r="D34" s="2340">
        <f t="shared" si="2"/>
        <v>8599</v>
      </c>
      <c r="E34" s="29"/>
      <c r="F34" s="29"/>
      <c r="G34" s="29"/>
      <c r="H34" s="29"/>
      <c r="I34" s="29">
        <f t="shared" si="4"/>
        <v>0</v>
      </c>
      <c r="J34" s="520">
        <f t="shared" si="5"/>
        <v>8599</v>
      </c>
    </row>
    <row r="35" spans="1:11" ht="30" customHeight="1" x14ac:dyDescent="0.25">
      <c r="A35" s="498" t="s">
        <v>2342</v>
      </c>
      <c r="B35" s="534"/>
      <c r="C35" s="29"/>
      <c r="D35" s="2340">
        <f t="shared" si="2"/>
        <v>0</v>
      </c>
      <c r="E35" s="29"/>
      <c r="F35" s="29"/>
      <c r="G35" s="29"/>
      <c r="H35" s="29">
        <v>40005</v>
      </c>
      <c r="I35" s="29">
        <f t="shared" si="4"/>
        <v>40005</v>
      </c>
      <c r="J35" s="520">
        <f t="shared" si="5"/>
        <v>40005</v>
      </c>
    </row>
    <row r="36" spans="1:11" ht="40.950000000000003" customHeight="1" x14ac:dyDescent="0.25">
      <c r="A36" s="498" t="s">
        <v>2193</v>
      </c>
      <c r="B36" s="534"/>
      <c r="C36" s="29">
        <v>80000</v>
      </c>
      <c r="D36" s="190">
        <f t="shared" si="2"/>
        <v>80000</v>
      </c>
      <c r="E36" s="29"/>
      <c r="F36" s="29"/>
      <c r="G36" s="29"/>
      <c r="H36" s="29"/>
      <c r="I36" s="29">
        <f t="shared" si="4"/>
        <v>0</v>
      </c>
      <c r="J36" s="520">
        <f t="shared" si="5"/>
        <v>80000</v>
      </c>
    </row>
    <row r="37" spans="1:11" ht="40.950000000000003" customHeight="1" x14ac:dyDescent="0.25">
      <c r="A37" s="498" t="s">
        <v>2246</v>
      </c>
      <c r="B37" s="534"/>
      <c r="C37" s="29">
        <v>30000</v>
      </c>
      <c r="D37" s="2340">
        <f t="shared" si="2"/>
        <v>30000</v>
      </c>
      <c r="E37" s="29"/>
      <c r="F37" s="29"/>
      <c r="G37" s="29"/>
      <c r="H37" s="29"/>
      <c r="I37" s="29">
        <f t="shared" si="4"/>
        <v>0</v>
      </c>
      <c r="J37" s="520">
        <f t="shared" si="5"/>
        <v>30000</v>
      </c>
    </row>
    <row r="38" spans="1:11" ht="39.9" customHeight="1" thickBot="1" x14ac:dyDescent="0.3">
      <c r="A38" s="498" t="s">
        <v>677</v>
      </c>
      <c r="B38" s="534"/>
      <c r="C38" s="29">
        <v>10000</v>
      </c>
      <c r="D38" s="190">
        <f t="shared" si="2"/>
        <v>10000</v>
      </c>
      <c r="E38" s="29"/>
      <c r="F38" s="29"/>
      <c r="G38" s="29"/>
      <c r="H38" s="29"/>
      <c r="I38" s="29">
        <f t="shared" si="4"/>
        <v>0</v>
      </c>
      <c r="J38" s="520">
        <f t="shared" si="5"/>
        <v>10000</v>
      </c>
    </row>
    <row r="39" spans="1:11" s="128" customFormat="1" ht="15" customHeight="1" thickBot="1" x14ac:dyDescent="0.3">
      <c r="A39" s="529" t="s">
        <v>619</v>
      </c>
      <c r="B39" s="341">
        <f t="shared" ref="B39:J39" si="6">SUM(B25:B38)</f>
        <v>0</v>
      </c>
      <c r="C39" s="341">
        <f t="shared" si="6"/>
        <v>325649</v>
      </c>
      <c r="D39" s="341">
        <f t="shared" si="6"/>
        <v>325649</v>
      </c>
      <c r="E39" s="341">
        <f t="shared" si="6"/>
        <v>0</v>
      </c>
      <c r="F39" s="341">
        <f t="shared" si="6"/>
        <v>400000</v>
      </c>
      <c r="G39" s="341">
        <f t="shared" si="6"/>
        <v>0</v>
      </c>
      <c r="H39" s="341">
        <f t="shared" si="6"/>
        <v>233005</v>
      </c>
      <c r="I39" s="341">
        <f t="shared" si="6"/>
        <v>633005</v>
      </c>
      <c r="J39" s="532">
        <f t="shared" si="6"/>
        <v>958654</v>
      </c>
      <c r="K39" s="107"/>
    </row>
    <row r="40" spans="1:11" s="128" customFormat="1" ht="15" customHeight="1" thickBot="1" x14ac:dyDescent="0.3">
      <c r="A40" s="529" t="s">
        <v>634</v>
      </c>
      <c r="B40" s="816">
        <f t="shared" ref="B40:J40" si="7">B39+B24</f>
        <v>0</v>
      </c>
      <c r="C40" s="816">
        <f t="shared" si="7"/>
        <v>3255440</v>
      </c>
      <c r="D40" s="816">
        <f t="shared" si="7"/>
        <v>3255440</v>
      </c>
      <c r="E40" s="816">
        <f t="shared" si="7"/>
        <v>0</v>
      </c>
      <c r="F40" s="816">
        <f t="shared" si="7"/>
        <v>400000</v>
      </c>
      <c r="G40" s="816">
        <f t="shared" si="7"/>
        <v>15300</v>
      </c>
      <c r="H40" s="816">
        <f t="shared" si="7"/>
        <v>363005</v>
      </c>
      <c r="I40" s="816">
        <f t="shared" si="7"/>
        <v>778305</v>
      </c>
      <c r="J40" s="817">
        <f t="shared" si="7"/>
        <v>4033745</v>
      </c>
      <c r="K40" s="107"/>
    </row>
    <row r="41" spans="1:11" x14ac:dyDescent="0.25">
      <c r="A41" s="2"/>
      <c r="B41" s="343"/>
      <c r="C41" s="17"/>
      <c r="D41" s="123"/>
      <c r="E41" s="17"/>
      <c r="F41" s="17"/>
      <c r="G41" s="17"/>
      <c r="H41" s="17"/>
      <c r="I41" s="123"/>
      <c r="J41" s="123"/>
    </row>
    <row r="42" spans="1:11" x14ac:dyDescent="0.25">
      <c r="A42" s="2"/>
      <c r="B42" s="343"/>
      <c r="C42" s="17"/>
      <c r="D42" s="123"/>
      <c r="E42" s="17"/>
      <c r="F42" s="17"/>
      <c r="G42" s="17"/>
      <c r="H42" s="17"/>
      <c r="I42" s="123"/>
      <c r="J42" s="123"/>
    </row>
    <row r="43" spans="1:11" x14ac:dyDescent="0.25">
      <c r="A43" s="2"/>
      <c r="B43" s="343"/>
      <c r="C43" s="17"/>
      <c r="D43" s="123"/>
      <c r="E43" s="17"/>
      <c r="F43" s="17"/>
      <c r="G43" s="17"/>
      <c r="H43" s="17"/>
      <c r="I43" s="123"/>
      <c r="J43" s="123"/>
    </row>
    <row r="44" spans="1:11" x14ac:dyDescent="0.25">
      <c r="A44" s="2"/>
      <c r="B44" s="343"/>
      <c r="C44" s="17"/>
      <c r="D44" s="123"/>
      <c r="E44" s="17"/>
      <c r="F44" s="17"/>
      <c r="G44" s="17"/>
      <c r="H44" s="17"/>
      <c r="I44" s="123"/>
      <c r="J44" s="123"/>
    </row>
    <row r="45" spans="1:11" x14ac:dyDescent="0.25">
      <c r="A45" s="2"/>
      <c r="B45" s="343"/>
      <c r="C45" s="17"/>
      <c r="D45" s="123"/>
      <c r="E45" s="17"/>
      <c r="F45" s="17"/>
      <c r="G45" s="17"/>
      <c r="H45" s="17"/>
      <c r="I45" s="123"/>
      <c r="J45" s="123"/>
    </row>
    <row r="46" spans="1:11" x14ac:dyDescent="0.25">
      <c r="A46" s="2"/>
      <c r="B46" s="343"/>
      <c r="C46" s="17"/>
      <c r="D46" s="123"/>
      <c r="E46" s="17"/>
      <c r="F46" s="17"/>
      <c r="G46" s="17"/>
      <c r="H46" s="17"/>
      <c r="I46" s="123"/>
      <c r="J46" s="123"/>
    </row>
    <row r="47" spans="1:11" x14ac:dyDescent="0.25">
      <c r="A47" s="2"/>
      <c r="B47" s="343"/>
      <c r="C47" s="17"/>
      <c r="D47" s="123"/>
      <c r="E47" s="17"/>
      <c r="F47" s="17"/>
      <c r="G47" s="17"/>
      <c r="H47" s="17"/>
      <c r="I47" s="123"/>
      <c r="J47" s="123"/>
    </row>
    <row r="48" spans="1:11" x14ac:dyDescent="0.25">
      <c r="A48" s="2"/>
      <c r="B48" s="343"/>
      <c r="C48" s="17"/>
      <c r="D48" s="123"/>
      <c r="E48" s="17"/>
      <c r="F48" s="17"/>
      <c r="G48" s="17"/>
      <c r="H48" s="17"/>
      <c r="I48" s="123"/>
      <c r="J48" s="123"/>
    </row>
    <row r="49" spans="1:10" x14ac:dyDescent="0.25">
      <c r="A49" s="2"/>
      <c r="B49" s="343"/>
      <c r="C49" s="17"/>
      <c r="D49" s="123"/>
      <c r="E49" s="17"/>
      <c r="F49" s="17"/>
      <c r="G49" s="17"/>
      <c r="H49" s="17"/>
      <c r="I49" s="123"/>
      <c r="J49" s="123"/>
    </row>
    <row r="50" spans="1:10" x14ac:dyDescent="0.25">
      <c r="A50" s="2"/>
      <c r="B50" s="343"/>
      <c r="C50" s="17"/>
      <c r="D50" s="123"/>
      <c r="E50" s="17"/>
      <c r="F50" s="17"/>
      <c r="G50" s="17"/>
      <c r="H50" s="17"/>
      <c r="I50" s="123"/>
      <c r="J50" s="123"/>
    </row>
    <row r="51" spans="1:10" x14ac:dyDescent="0.25">
      <c r="A51" s="2"/>
      <c r="B51" s="343"/>
      <c r="C51" s="17"/>
      <c r="D51" s="123"/>
      <c r="E51" s="17"/>
      <c r="F51" s="17"/>
      <c r="G51" s="17"/>
      <c r="H51" s="17"/>
      <c r="I51" s="123"/>
      <c r="J51" s="123"/>
    </row>
    <row r="52" spans="1:10" x14ac:dyDescent="0.25">
      <c r="A52" s="2"/>
      <c r="B52" s="343"/>
      <c r="C52" s="17"/>
      <c r="D52" s="123"/>
      <c r="E52" s="17"/>
      <c r="F52" s="17"/>
      <c r="G52" s="17"/>
      <c r="H52" s="17"/>
      <c r="I52" s="123"/>
      <c r="J52" s="123"/>
    </row>
    <row r="53" spans="1:10" x14ac:dyDescent="0.25">
      <c r="A53" s="2"/>
      <c r="B53" s="343"/>
      <c r="C53" s="17"/>
      <c r="D53" s="123"/>
      <c r="E53" s="17"/>
      <c r="F53" s="17"/>
      <c r="G53" s="17"/>
      <c r="H53" s="17"/>
      <c r="I53" s="123"/>
      <c r="J53" s="123"/>
    </row>
    <row r="54" spans="1:10" x14ac:dyDescent="0.25">
      <c r="A54" s="2"/>
      <c r="B54" s="343"/>
      <c r="C54" s="17"/>
      <c r="D54" s="123"/>
      <c r="E54" s="17"/>
      <c r="F54" s="17"/>
      <c r="G54" s="17"/>
      <c r="H54" s="17"/>
      <c r="I54" s="123"/>
      <c r="J54" s="123"/>
    </row>
    <row r="55" spans="1:10" x14ac:dyDescent="0.25">
      <c r="A55" s="2"/>
      <c r="B55" s="343"/>
      <c r="C55" s="17"/>
      <c r="D55" s="123"/>
      <c r="E55" s="17"/>
      <c r="F55" s="17"/>
      <c r="G55" s="17"/>
      <c r="H55" s="17"/>
      <c r="I55" s="123"/>
      <c r="J55" s="123"/>
    </row>
    <row r="56" spans="1:10" x14ac:dyDescent="0.25">
      <c r="A56" s="2"/>
      <c r="B56" s="343"/>
      <c r="C56" s="17"/>
      <c r="D56" s="123"/>
      <c r="E56" s="17"/>
      <c r="F56" s="17"/>
      <c r="G56" s="17"/>
      <c r="H56" s="17"/>
      <c r="I56" s="123"/>
      <c r="J56" s="123"/>
    </row>
    <row r="57" spans="1:10" x14ac:dyDescent="0.25">
      <c r="A57" s="2"/>
      <c r="B57" s="343"/>
      <c r="C57" s="17"/>
      <c r="D57" s="123"/>
      <c r="E57" s="17"/>
      <c r="F57" s="17"/>
      <c r="G57" s="17"/>
      <c r="H57" s="17"/>
      <c r="I57" s="123"/>
      <c r="J57" s="123"/>
    </row>
    <row r="58" spans="1:10" x14ac:dyDescent="0.25">
      <c r="A58" s="2"/>
      <c r="B58" s="343"/>
      <c r="C58" s="17"/>
      <c r="D58" s="123"/>
      <c r="E58" s="17"/>
      <c r="F58" s="17"/>
      <c r="G58" s="17"/>
      <c r="H58" s="17"/>
      <c r="I58" s="123"/>
      <c r="J58" s="123"/>
    </row>
    <row r="59" spans="1:10" x14ac:dyDescent="0.25">
      <c r="A59" s="2"/>
      <c r="B59" s="343"/>
      <c r="C59" s="17"/>
      <c r="D59" s="123"/>
      <c r="E59" s="17"/>
      <c r="F59" s="17"/>
      <c r="G59" s="17"/>
      <c r="H59" s="17"/>
      <c r="I59" s="123"/>
      <c r="J59" s="123"/>
    </row>
    <row r="60" spans="1:10" x14ac:dyDescent="0.25">
      <c r="A60" s="2"/>
      <c r="B60" s="343"/>
      <c r="C60" s="17"/>
      <c r="D60" s="123"/>
      <c r="E60" s="17"/>
      <c r="F60" s="17"/>
      <c r="G60" s="17"/>
      <c r="H60" s="17"/>
      <c r="I60" s="123"/>
      <c r="J60" s="123"/>
    </row>
    <row r="61" spans="1:10" x14ac:dyDescent="0.25">
      <c r="A61" s="2"/>
      <c r="B61" s="343"/>
      <c r="C61" s="17"/>
      <c r="D61" s="123"/>
      <c r="E61" s="17"/>
      <c r="F61" s="17"/>
      <c r="G61" s="17"/>
      <c r="H61" s="17"/>
      <c r="I61" s="123"/>
      <c r="J61" s="123"/>
    </row>
    <row r="62" spans="1:10" x14ac:dyDescent="0.25">
      <c r="A62" s="2"/>
      <c r="B62" s="343"/>
      <c r="C62" s="17"/>
      <c r="D62" s="123"/>
      <c r="E62" s="17"/>
      <c r="F62" s="17"/>
      <c r="G62" s="17"/>
      <c r="H62" s="17"/>
      <c r="I62" s="123"/>
      <c r="J62" s="123"/>
    </row>
  </sheetData>
  <printOptions horizontalCentered="1"/>
  <pageMargins left="0.19685039370078741" right="0.27559055118110237" top="0.98425196850393704" bottom="0.43307086614173229" header="0.23622047244094491" footer="0.23622047244094491"/>
  <pageSetup paperSize="9" scale="83" orientation="landscape" r:id="rId1"/>
  <headerFooter alignWithMargins="0">
    <oddHeader xml:space="preserve">&amp;C&amp;"Times New Roman,Félkövér"2020. évi költségvetés 
JGK Zrt.  üzleti vagyonnal kapcsolatos feladatai
11602 cím kiadási előirányzat 
&amp;R&amp;"Times New Roman,Félkövér dőlt"9. melléklet a /2020. () 
önkormányzati rendelethez
ezer forintban
</oddHeader>
    <oddFooter>&amp;R
&amp;P</oddFooter>
  </headerFooter>
  <rowBreaks count="1" manualBreakCount="1">
    <brk id="24"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I36"/>
  <sheetViews>
    <sheetView zoomScaleNormal="100" workbookViewId="0">
      <pane xSplit="1" ySplit="2" topLeftCell="B3" activePane="bottomRight" state="frozen"/>
      <selection pane="topRight" activeCell="B1" sqref="B1"/>
      <selection pane="bottomLeft" activeCell="A3" sqref="A3"/>
      <selection pane="bottomRight" activeCell="E19" sqref="E19"/>
    </sheetView>
  </sheetViews>
  <sheetFormatPr defaultColWidth="9.109375" defaultRowHeight="13.2" x14ac:dyDescent="0.25"/>
  <cols>
    <col min="1" max="1" width="34.6640625" style="92" customWidth="1"/>
    <col min="2" max="2" width="15.6640625" style="103" customWidth="1"/>
    <col min="3" max="3" width="15.6640625" style="107" customWidth="1"/>
    <col min="4" max="7" width="15.6640625" style="103" customWidth="1"/>
    <col min="8" max="9" width="15.6640625" style="107" customWidth="1"/>
    <col min="10" max="16384" width="9.109375" style="127"/>
  </cols>
  <sheetData>
    <row r="1" spans="1:9" ht="13.8" thickBot="1" x14ac:dyDescent="0.3"/>
    <row r="2" spans="1:9" s="128" customFormat="1" ht="64.95" customHeight="1" thickBot="1" x14ac:dyDescent="0.3">
      <c r="A2" s="192" t="s">
        <v>608</v>
      </c>
      <c r="B2" s="191" t="s">
        <v>91</v>
      </c>
      <c r="C2" s="191" t="s">
        <v>621</v>
      </c>
      <c r="D2" s="191" t="s">
        <v>106</v>
      </c>
      <c r="E2" s="191" t="s">
        <v>108</v>
      </c>
      <c r="F2" s="191" t="s">
        <v>113</v>
      </c>
      <c r="G2" s="191" t="s">
        <v>114</v>
      </c>
      <c r="H2" s="191" t="s">
        <v>622</v>
      </c>
      <c r="I2" s="391" t="s">
        <v>623</v>
      </c>
    </row>
    <row r="3" spans="1:9" ht="20.100000000000001" customHeight="1" x14ac:dyDescent="0.25">
      <c r="A3" s="515" t="s">
        <v>167</v>
      </c>
      <c r="B3" s="324"/>
      <c r="C3" s="323">
        <f>SUM(B3:B3)</f>
        <v>0</v>
      </c>
      <c r="D3" s="324"/>
      <c r="E3" s="324"/>
      <c r="F3" s="324"/>
      <c r="G3" s="324"/>
      <c r="H3" s="323"/>
      <c r="I3" s="519"/>
    </row>
    <row r="4" spans="1:9" ht="20.100000000000001" customHeight="1" thickBot="1" x14ac:dyDescent="0.3">
      <c r="A4" s="528"/>
      <c r="B4" s="29"/>
      <c r="C4" s="323">
        <f>SUM(B4:B4)</f>
        <v>0</v>
      </c>
      <c r="D4" s="29"/>
      <c r="E4" s="29"/>
      <c r="F4" s="29"/>
      <c r="G4" s="29"/>
      <c r="H4" s="190">
        <f t="shared" ref="H4:H14" si="0">SUM(D4:G4)</f>
        <v>0</v>
      </c>
      <c r="I4" s="520">
        <f>H4+C4</f>
        <v>0</v>
      </c>
    </row>
    <row r="5" spans="1:9" s="128" customFormat="1" ht="20.100000000000001" customHeight="1" thickBot="1" x14ac:dyDescent="0.3">
      <c r="A5" s="529" t="s">
        <v>627</v>
      </c>
      <c r="B5" s="326">
        <f t="shared" ref="B5:G5" si="1">SUM(B3:B4)</f>
        <v>0</v>
      </c>
      <c r="C5" s="326">
        <f t="shared" si="1"/>
        <v>0</v>
      </c>
      <c r="D5" s="326">
        <f t="shared" si="1"/>
        <v>0</v>
      </c>
      <c r="E5" s="326">
        <f t="shared" si="1"/>
        <v>0</v>
      </c>
      <c r="F5" s="326">
        <f t="shared" si="1"/>
        <v>0</v>
      </c>
      <c r="G5" s="326">
        <f t="shared" si="1"/>
        <v>0</v>
      </c>
      <c r="H5" s="326">
        <f t="shared" si="0"/>
        <v>0</v>
      </c>
      <c r="I5" s="521">
        <f>SUM(I3:I4)</f>
        <v>0</v>
      </c>
    </row>
    <row r="6" spans="1:9" ht="20.100000000000001" customHeight="1" x14ac:dyDescent="0.25">
      <c r="A6" s="515" t="s">
        <v>618</v>
      </c>
      <c r="B6" s="324"/>
      <c r="C6" s="323">
        <f>SUM(B6:B6)</f>
        <v>0</v>
      </c>
      <c r="D6" s="324"/>
      <c r="E6" s="324"/>
      <c r="F6" s="324"/>
      <c r="G6" s="324"/>
      <c r="H6" s="439">
        <f t="shared" si="0"/>
        <v>0</v>
      </c>
      <c r="I6" s="519">
        <f t="shared" ref="I6:I12" si="2">H6+C6</f>
        <v>0</v>
      </c>
    </row>
    <row r="7" spans="1:9" ht="20.100000000000001" customHeight="1" x14ac:dyDescent="0.25">
      <c r="A7" s="836" t="s">
        <v>701</v>
      </c>
      <c r="B7" s="330"/>
      <c r="C7" s="323">
        <f t="shared" ref="C7:C12" si="3">SUM(B7:B7)</f>
        <v>0</v>
      </c>
      <c r="D7" s="330"/>
      <c r="E7" s="29">
        <f>456824+161658</f>
        <v>618482</v>
      </c>
      <c r="F7" s="29"/>
      <c r="G7" s="29"/>
      <c r="H7" s="323">
        <f t="shared" si="0"/>
        <v>618482</v>
      </c>
      <c r="I7" s="520">
        <f t="shared" si="2"/>
        <v>618482</v>
      </c>
    </row>
    <row r="8" spans="1:9" ht="20.100000000000001" customHeight="1" x14ac:dyDescent="0.25">
      <c r="A8" s="836" t="s">
        <v>702</v>
      </c>
      <c r="B8" s="330"/>
      <c r="C8" s="323">
        <f t="shared" si="3"/>
        <v>0</v>
      </c>
      <c r="D8" s="330"/>
      <c r="E8" s="29">
        <v>306834</v>
      </c>
      <c r="F8" s="29"/>
      <c r="G8" s="29"/>
      <c r="H8" s="190">
        <f t="shared" si="0"/>
        <v>306834</v>
      </c>
      <c r="I8" s="520">
        <f t="shared" si="2"/>
        <v>306834</v>
      </c>
    </row>
    <row r="9" spans="1:9" ht="20.100000000000001" customHeight="1" x14ac:dyDescent="0.25">
      <c r="A9" s="836" t="s">
        <v>703</v>
      </c>
      <c r="B9" s="330"/>
      <c r="C9" s="323">
        <f t="shared" si="3"/>
        <v>0</v>
      </c>
      <c r="D9" s="330"/>
      <c r="E9" s="29">
        <f>269250+88501</f>
        <v>357751</v>
      </c>
      <c r="F9" s="29"/>
      <c r="G9" s="29"/>
      <c r="H9" s="190">
        <f t="shared" si="0"/>
        <v>357751</v>
      </c>
      <c r="I9" s="520">
        <f t="shared" si="2"/>
        <v>357751</v>
      </c>
    </row>
    <row r="10" spans="1:9" ht="20.100000000000001" customHeight="1" x14ac:dyDescent="0.25">
      <c r="A10" s="836" t="s">
        <v>2199</v>
      </c>
      <c r="B10" s="330">
        <v>1455</v>
      </c>
      <c r="C10" s="323">
        <f t="shared" si="3"/>
        <v>1455</v>
      </c>
      <c r="D10" s="330"/>
      <c r="E10" s="330"/>
      <c r="F10" s="330"/>
      <c r="G10" s="330"/>
      <c r="H10" s="190">
        <f t="shared" si="0"/>
        <v>0</v>
      </c>
      <c r="I10" s="520">
        <f t="shared" si="2"/>
        <v>1455</v>
      </c>
    </row>
    <row r="11" spans="1:9" ht="20.100000000000001" customHeight="1" x14ac:dyDescent="0.25">
      <c r="A11" s="836" t="s">
        <v>708</v>
      </c>
      <c r="B11" s="330"/>
      <c r="C11" s="323">
        <f t="shared" si="3"/>
        <v>0</v>
      </c>
      <c r="D11" s="330"/>
      <c r="E11" s="330">
        <v>10000</v>
      </c>
      <c r="F11" s="330"/>
      <c r="G11" s="330"/>
      <c r="H11" s="190">
        <f t="shared" si="0"/>
        <v>10000</v>
      </c>
      <c r="I11" s="520">
        <f t="shared" si="2"/>
        <v>10000</v>
      </c>
    </row>
    <row r="12" spans="1:9" ht="20.100000000000001" customHeight="1" x14ac:dyDescent="0.25">
      <c r="A12" s="836" t="s">
        <v>2200</v>
      </c>
      <c r="B12" s="330"/>
      <c r="C12" s="323">
        <f t="shared" si="3"/>
        <v>0</v>
      </c>
      <c r="D12" s="330"/>
      <c r="E12" s="330">
        <v>3673</v>
      </c>
      <c r="F12" s="330"/>
      <c r="G12" s="330"/>
      <c r="H12" s="190">
        <f t="shared" si="0"/>
        <v>3673</v>
      </c>
      <c r="I12" s="520">
        <f t="shared" si="2"/>
        <v>3673</v>
      </c>
    </row>
    <row r="13" spans="1:9" s="128" customFormat="1" ht="20.100000000000001" customHeight="1" thickBot="1" x14ac:dyDescent="0.3">
      <c r="A13" s="834" t="s">
        <v>619</v>
      </c>
      <c r="B13" s="344">
        <f>SUM(B6:B12)</f>
        <v>1455</v>
      </c>
      <c r="C13" s="344">
        <f t="shared" ref="C13:I13" si="4">SUM(C6:C12)</f>
        <v>1455</v>
      </c>
      <c r="D13" s="344">
        <f t="shared" si="4"/>
        <v>0</v>
      </c>
      <c r="E13" s="344">
        <f t="shared" si="4"/>
        <v>1296740</v>
      </c>
      <c r="F13" s="344">
        <f t="shared" si="4"/>
        <v>0</v>
      </c>
      <c r="G13" s="344">
        <f t="shared" si="4"/>
        <v>0</v>
      </c>
      <c r="H13" s="344">
        <f t="shared" si="4"/>
        <v>1296740</v>
      </c>
      <c r="I13" s="429">
        <f t="shared" si="4"/>
        <v>1298195</v>
      </c>
    </row>
    <row r="14" spans="1:9" s="128" customFormat="1" ht="20.100000000000001" customHeight="1" thickBot="1" x14ac:dyDescent="0.3">
      <c r="A14" s="835" t="s">
        <v>634</v>
      </c>
      <c r="B14" s="345">
        <f t="shared" ref="B14:G14" si="5">B5+B13</f>
        <v>1455</v>
      </c>
      <c r="C14" s="345">
        <f t="shared" si="5"/>
        <v>1455</v>
      </c>
      <c r="D14" s="345">
        <f t="shared" si="5"/>
        <v>0</v>
      </c>
      <c r="E14" s="345">
        <f t="shared" si="5"/>
        <v>1296740</v>
      </c>
      <c r="F14" s="345">
        <f t="shared" si="5"/>
        <v>0</v>
      </c>
      <c r="G14" s="345">
        <f t="shared" si="5"/>
        <v>0</v>
      </c>
      <c r="H14" s="345">
        <f t="shared" si="0"/>
        <v>1296740</v>
      </c>
      <c r="I14" s="513">
        <f>I5+I13</f>
        <v>1298195</v>
      </c>
    </row>
    <row r="15" spans="1:9" x14ac:dyDescent="0.25">
      <c r="A15" s="2"/>
      <c r="B15" s="17"/>
      <c r="C15" s="123"/>
      <c r="D15" s="17"/>
      <c r="E15" s="17"/>
      <c r="F15" s="17"/>
      <c r="G15" s="17"/>
      <c r="H15" s="123"/>
      <c r="I15" s="123"/>
    </row>
    <row r="16" spans="1:9" x14ac:dyDescent="0.25">
      <c r="A16" s="2"/>
      <c r="B16" s="17"/>
      <c r="C16" s="123"/>
      <c r="D16" s="17"/>
      <c r="E16" s="17"/>
      <c r="F16" s="17"/>
      <c r="G16" s="17"/>
      <c r="H16" s="123"/>
      <c r="I16" s="123"/>
    </row>
    <row r="17" spans="1:9" x14ac:dyDescent="0.25">
      <c r="A17" s="2"/>
      <c r="B17" s="17"/>
      <c r="C17" s="123"/>
      <c r="D17" s="17"/>
      <c r="E17" s="17"/>
      <c r="F17" s="17"/>
      <c r="G17" s="17"/>
      <c r="H17" s="123"/>
      <c r="I17" s="123"/>
    </row>
    <row r="18" spans="1:9" x14ac:dyDescent="0.25">
      <c r="A18" s="2"/>
      <c r="B18" s="17"/>
      <c r="C18" s="123"/>
      <c r="D18" s="17"/>
      <c r="E18" s="17"/>
      <c r="F18" s="17"/>
      <c r="G18" s="17"/>
      <c r="H18" s="123"/>
      <c r="I18" s="123"/>
    </row>
    <row r="19" spans="1:9" x14ac:dyDescent="0.25">
      <c r="A19" s="2"/>
      <c r="B19" s="17"/>
      <c r="C19" s="123"/>
      <c r="D19" s="17"/>
      <c r="E19" s="17"/>
      <c r="F19" s="17"/>
      <c r="G19" s="17"/>
      <c r="H19" s="123"/>
      <c r="I19" s="123"/>
    </row>
    <row r="20" spans="1:9" x14ac:dyDescent="0.25">
      <c r="A20" s="2"/>
      <c r="B20" s="17"/>
      <c r="C20" s="123"/>
      <c r="D20" s="17"/>
      <c r="E20" s="17"/>
      <c r="F20" s="17"/>
      <c r="G20" s="17"/>
      <c r="H20" s="123"/>
      <c r="I20" s="123"/>
    </row>
    <row r="21" spans="1:9" x14ac:dyDescent="0.25">
      <c r="A21" s="2"/>
      <c r="B21" s="17"/>
      <c r="C21" s="123"/>
      <c r="D21" s="17"/>
      <c r="E21" s="17"/>
      <c r="F21" s="17"/>
      <c r="G21" s="17"/>
      <c r="H21" s="123"/>
      <c r="I21" s="123"/>
    </row>
    <row r="22" spans="1:9" x14ac:dyDescent="0.25">
      <c r="A22" s="2"/>
      <c r="B22" s="17"/>
      <c r="C22" s="123"/>
      <c r="D22" s="17"/>
      <c r="E22" s="17"/>
      <c r="F22" s="17"/>
      <c r="G22" s="17"/>
      <c r="H22" s="123"/>
      <c r="I22" s="123"/>
    </row>
    <row r="23" spans="1:9" x14ac:dyDescent="0.25">
      <c r="A23" s="2"/>
      <c r="B23" s="17"/>
      <c r="C23" s="123"/>
      <c r="D23" s="17"/>
      <c r="E23" s="17"/>
      <c r="F23" s="17"/>
      <c r="G23" s="17"/>
      <c r="H23" s="123"/>
      <c r="I23" s="123"/>
    </row>
    <row r="24" spans="1:9" x14ac:dyDescent="0.25">
      <c r="A24" s="2"/>
      <c r="B24" s="17"/>
      <c r="C24" s="123"/>
      <c r="D24" s="17"/>
      <c r="E24" s="17"/>
      <c r="F24" s="17"/>
      <c r="G24" s="17"/>
      <c r="H24" s="123"/>
      <c r="I24" s="123"/>
    </row>
    <row r="25" spans="1:9" x14ac:dyDescent="0.25">
      <c r="A25" s="2"/>
      <c r="B25" s="17"/>
      <c r="C25" s="123"/>
      <c r="D25" s="17"/>
      <c r="E25" s="17"/>
      <c r="F25" s="17"/>
      <c r="G25" s="17"/>
      <c r="H25" s="123"/>
      <c r="I25" s="123"/>
    </row>
    <row r="26" spans="1:9" x14ac:dyDescent="0.25">
      <c r="A26" s="2"/>
      <c r="B26" s="17"/>
      <c r="C26" s="123"/>
      <c r="D26" s="17"/>
      <c r="E26" s="17"/>
      <c r="F26" s="17"/>
      <c r="G26" s="17"/>
      <c r="H26" s="123"/>
      <c r="I26" s="123"/>
    </row>
    <row r="27" spans="1:9" x14ac:dyDescent="0.25">
      <c r="A27" s="2"/>
      <c r="B27" s="17"/>
      <c r="C27" s="123"/>
      <c r="D27" s="17"/>
      <c r="E27" s="17"/>
      <c r="F27" s="17"/>
      <c r="G27" s="17"/>
      <c r="H27" s="123"/>
      <c r="I27" s="123"/>
    </row>
    <row r="28" spans="1:9" x14ac:dyDescent="0.25">
      <c r="A28" s="2"/>
      <c r="B28" s="17"/>
      <c r="C28" s="123"/>
      <c r="D28" s="17"/>
      <c r="E28" s="17"/>
      <c r="F28" s="17"/>
      <c r="G28" s="17"/>
      <c r="H28" s="123"/>
      <c r="I28" s="123"/>
    </row>
    <row r="29" spans="1:9" x14ac:dyDescent="0.25">
      <c r="A29" s="2"/>
      <c r="B29" s="17"/>
      <c r="C29" s="123"/>
      <c r="D29" s="17"/>
      <c r="E29" s="17"/>
      <c r="F29" s="17"/>
      <c r="G29" s="17"/>
      <c r="H29" s="123"/>
      <c r="I29" s="123"/>
    </row>
    <row r="30" spans="1:9" x14ac:dyDescent="0.25">
      <c r="A30" s="2"/>
      <c r="B30" s="17"/>
      <c r="C30" s="123"/>
      <c r="D30" s="17"/>
      <c r="E30" s="17"/>
      <c r="F30" s="17"/>
      <c r="G30" s="17"/>
      <c r="H30" s="123"/>
      <c r="I30" s="123"/>
    </row>
    <row r="31" spans="1:9" x14ac:dyDescent="0.25">
      <c r="A31" s="2"/>
      <c r="B31" s="17"/>
      <c r="C31" s="123"/>
      <c r="D31" s="17"/>
      <c r="E31" s="17"/>
      <c r="F31" s="17"/>
      <c r="G31" s="17"/>
      <c r="H31" s="123"/>
      <c r="I31" s="123"/>
    </row>
    <row r="32" spans="1:9" x14ac:dyDescent="0.25">
      <c r="A32" s="2"/>
      <c r="B32" s="17"/>
      <c r="C32" s="123"/>
      <c r="D32" s="17"/>
      <c r="E32" s="17"/>
      <c r="F32" s="17"/>
      <c r="G32" s="17"/>
      <c r="H32" s="123"/>
      <c r="I32" s="123"/>
    </row>
    <row r="33" spans="1:9" x14ac:dyDescent="0.25">
      <c r="A33" s="2"/>
      <c r="B33" s="17"/>
      <c r="C33" s="123"/>
      <c r="D33" s="17"/>
      <c r="E33" s="17"/>
      <c r="F33" s="17"/>
      <c r="G33" s="17"/>
      <c r="H33" s="123"/>
      <c r="I33" s="123"/>
    </row>
    <row r="34" spans="1:9" x14ac:dyDescent="0.25">
      <c r="A34" s="2"/>
      <c r="B34" s="17"/>
      <c r="C34" s="123"/>
      <c r="D34" s="17"/>
      <c r="E34" s="17"/>
      <c r="F34" s="17"/>
      <c r="G34" s="17"/>
      <c r="H34" s="123"/>
      <c r="I34" s="123"/>
    </row>
    <row r="35" spans="1:9" x14ac:dyDescent="0.25">
      <c r="A35" s="2"/>
      <c r="B35" s="17"/>
      <c r="C35" s="123"/>
      <c r="D35" s="17"/>
      <c r="E35" s="17"/>
      <c r="F35" s="17"/>
      <c r="G35" s="17"/>
      <c r="H35" s="123"/>
      <c r="I35" s="123"/>
    </row>
    <row r="36" spans="1:9" x14ac:dyDescent="0.25">
      <c r="A36" s="2"/>
      <c r="B36" s="17"/>
      <c r="C36" s="123"/>
      <c r="D36" s="17"/>
      <c r="E36" s="17"/>
      <c r="F36" s="17"/>
      <c r="G36" s="17"/>
      <c r="H36" s="123"/>
      <c r="I36" s="123"/>
    </row>
  </sheetData>
  <printOptions horizontalCentered="1"/>
  <pageMargins left="0.39370078740157483" right="0.19685039370078741" top="0.82677165354330717" bottom="0.51181102362204722" header="0.15748031496062992" footer="0.15748031496062992"/>
  <pageSetup paperSize="9" scale="80" orientation="landscape" r:id="rId1"/>
  <headerFooter alignWithMargins="0">
    <oddHeader xml:space="preserve">&amp;C&amp;"Times New Roman,Félkövér" 2020. évi költségvetés
 Corvin Sétány Projekt
11603 cím kiadási előirányzat&amp;R&amp;"Times New Roman,Félkövér dőlt"10. melléklet a /2020. () 
önkormányzati rendelethez
ezer forintban
</oddHeader>
    <oddFooter xml:space="preserve">&amp;C
&amp;R
&amp;P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G154"/>
  <sheetViews>
    <sheetView zoomScaleNormal="100" workbookViewId="0">
      <selection activeCell="G8" sqref="G8"/>
    </sheetView>
  </sheetViews>
  <sheetFormatPr defaultRowHeight="12.6" x14ac:dyDescent="0.25"/>
  <cols>
    <col min="1" max="1" width="33.109375" customWidth="1"/>
    <col min="2" max="2" width="15.6640625" style="321" customWidth="1"/>
    <col min="3" max="7" width="15.6640625" style="316" customWidth="1"/>
  </cols>
  <sheetData>
    <row r="1" spans="1:7" s="110" customFormat="1" ht="63" customHeight="1" thickBot="1" x14ac:dyDescent="0.3">
      <c r="A1" s="192" t="s">
        <v>608</v>
      </c>
      <c r="B1" s="271" t="s">
        <v>711</v>
      </c>
      <c r="C1" s="191" t="s">
        <v>609</v>
      </c>
      <c r="D1" s="191" t="s">
        <v>610</v>
      </c>
      <c r="E1" s="271" t="s">
        <v>144</v>
      </c>
      <c r="F1" s="191" t="s">
        <v>611</v>
      </c>
      <c r="G1" s="391" t="s">
        <v>612</v>
      </c>
    </row>
    <row r="2" spans="1:7" s="110" customFormat="1" ht="20.100000000000001" customHeight="1" x14ac:dyDescent="0.25">
      <c r="A2" s="515" t="s">
        <v>613</v>
      </c>
      <c r="B2" s="538"/>
      <c r="C2" s="538"/>
      <c r="D2" s="538"/>
      <c r="E2" s="538"/>
      <c r="F2" s="538"/>
      <c r="G2" s="392"/>
    </row>
    <row r="3" spans="1:7" ht="20.100000000000001" customHeight="1" thickBot="1" x14ac:dyDescent="0.3">
      <c r="A3" s="530"/>
      <c r="B3" s="302"/>
      <c r="C3" s="301">
        <f t="shared" ref="C3" si="0">SUM(B3:B3)</f>
        <v>0</v>
      </c>
      <c r="D3" s="302">
        <v>0</v>
      </c>
      <c r="E3" s="302">
        <v>0</v>
      </c>
      <c r="F3" s="301">
        <f>SUM(D3:E3)</f>
        <v>0</v>
      </c>
      <c r="G3" s="393">
        <f t="shared" ref="G3" si="1">F3+C3</f>
        <v>0</v>
      </c>
    </row>
    <row r="4" spans="1:7" s="110" customFormat="1" ht="24.9" customHeight="1" thickBot="1" x14ac:dyDescent="0.3">
      <c r="A4" s="529" t="s">
        <v>617</v>
      </c>
      <c r="B4" s="307">
        <f t="shared" ref="B4:G4" si="2">SUM(B3:B3)</f>
        <v>0</v>
      </c>
      <c r="C4" s="307">
        <f t="shared" si="2"/>
        <v>0</v>
      </c>
      <c r="D4" s="307">
        <f t="shared" si="2"/>
        <v>0</v>
      </c>
      <c r="E4" s="307">
        <f t="shared" si="2"/>
        <v>0</v>
      </c>
      <c r="F4" s="307">
        <f t="shared" si="2"/>
        <v>0</v>
      </c>
      <c r="G4" s="395">
        <f t="shared" si="2"/>
        <v>0</v>
      </c>
    </row>
    <row r="5" spans="1:7" ht="20.100000000000001" customHeight="1" x14ac:dyDescent="0.25">
      <c r="A5" s="537" t="s">
        <v>618</v>
      </c>
      <c r="B5" s="309"/>
      <c r="C5" s="308"/>
      <c r="D5" s="309"/>
      <c r="E5" s="309"/>
      <c r="F5" s="398"/>
      <c r="G5" s="396"/>
    </row>
    <row r="6" spans="1:7" ht="20.100000000000001" customHeight="1" x14ac:dyDescent="0.25">
      <c r="A6" s="2478" t="s">
        <v>752</v>
      </c>
      <c r="B6" s="302"/>
      <c r="C6" s="301">
        <f t="shared" ref="C6" si="3">SUM(B6:B6)</f>
        <v>0</v>
      </c>
      <c r="D6" s="302"/>
      <c r="E6" s="302"/>
      <c r="F6" s="301">
        <f>SUM(D6:E6)</f>
        <v>0</v>
      </c>
      <c r="G6" s="393">
        <f>F6+C6</f>
        <v>0</v>
      </c>
    </row>
    <row r="7" spans="1:7" ht="20.100000000000001" customHeight="1" x14ac:dyDescent="0.25">
      <c r="A7" s="2478" t="s">
        <v>2353</v>
      </c>
      <c r="B7" s="302"/>
      <c r="C7" s="2479"/>
      <c r="D7" s="311"/>
      <c r="E7" s="311"/>
      <c r="F7" s="2479"/>
      <c r="G7" s="393">
        <v>34251</v>
      </c>
    </row>
    <row r="8" spans="1:7" ht="20.100000000000001" customHeight="1" thickBot="1" x14ac:dyDescent="0.3">
      <c r="A8" s="537" t="s">
        <v>2352</v>
      </c>
      <c r="B8" s="309"/>
      <c r="C8" s="2475"/>
      <c r="D8" s="2476"/>
      <c r="E8" s="2476"/>
      <c r="F8" s="2475"/>
      <c r="G8" s="2477">
        <v>258715</v>
      </c>
    </row>
    <row r="9" spans="1:7" s="110" customFormat="1" ht="20.100000000000001" customHeight="1" thickBot="1" x14ac:dyDescent="0.3">
      <c r="A9" s="529" t="s">
        <v>619</v>
      </c>
      <c r="B9" s="307">
        <f>B6</f>
        <v>0</v>
      </c>
      <c r="C9" s="306">
        <f t="shared" ref="C9:F9" si="4">C6</f>
        <v>0</v>
      </c>
      <c r="D9" s="306">
        <f t="shared" si="4"/>
        <v>0</v>
      </c>
      <c r="E9" s="306">
        <f t="shared" si="4"/>
        <v>0</v>
      </c>
      <c r="F9" s="306">
        <f t="shared" si="4"/>
        <v>0</v>
      </c>
      <c r="G9" s="395">
        <f>SUM(G6:G8)</f>
        <v>292966</v>
      </c>
    </row>
    <row r="10" spans="1:7" s="110" customFormat="1" ht="20.100000000000001" customHeight="1" thickBot="1" x14ac:dyDescent="0.3">
      <c r="A10" s="529" t="s">
        <v>620</v>
      </c>
      <c r="B10" s="307">
        <f t="shared" ref="B10:G10" si="5">B9+B4</f>
        <v>0</v>
      </c>
      <c r="C10" s="307">
        <f t="shared" si="5"/>
        <v>0</v>
      </c>
      <c r="D10" s="307">
        <f t="shared" si="5"/>
        <v>0</v>
      </c>
      <c r="E10" s="307">
        <f t="shared" si="5"/>
        <v>0</v>
      </c>
      <c r="F10" s="307">
        <f t="shared" si="5"/>
        <v>0</v>
      </c>
      <c r="G10" s="395">
        <f t="shared" si="5"/>
        <v>292966</v>
      </c>
    </row>
    <row r="11" spans="1:7" ht="13.2" x14ac:dyDescent="0.25">
      <c r="A11" s="2"/>
      <c r="B11" s="315"/>
    </row>
    <row r="12" spans="1:7" ht="13.2" x14ac:dyDescent="0.25">
      <c r="A12" s="20"/>
      <c r="B12" s="315"/>
    </row>
    <row r="13" spans="1:7" ht="13.2" x14ac:dyDescent="0.25">
      <c r="A13" s="20"/>
      <c r="B13" s="315"/>
    </row>
    <row r="14" spans="1:7" ht="13.2" x14ac:dyDescent="0.25">
      <c r="A14" s="20"/>
      <c r="B14" s="315"/>
    </row>
    <row r="15" spans="1:7" ht="13.2" x14ac:dyDescent="0.25">
      <c r="A15" s="20"/>
      <c r="B15" s="315"/>
    </row>
    <row r="16" spans="1:7" s="316" customFormat="1" ht="13.2" x14ac:dyDescent="0.25">
      <c r="A16" s="20"/>
      <c r="B16" s="315"/>
    </row>
    <row r="17" spans="1:2" s="316" customFormat="1" ht="13.2" x14ac:dyDescent="0.25">
      <c r="A17" s="317"/>
      <c r="B17" s="315"/>
    </row>
    <row r="18" spans="1:2" s="316" customFormat="1" ht="13.2" x14ac:dyDescent="0.25">
      <c r="A18" s="317"/>
      <c r="B18" s="315"/>
    </row>
    <row r="19" spans="1:2" s="316" customFormat="1" ht="13.2" x14ac:dyDescent="0.25">
      <c r="A19" s="317"/>
      <c r="B19" s="315"/>
    </row>
    <row r="20" spans="1:2" s="316" customFormat="1" ht="13.2" x14ac:dyDescent="0.25">
      <c r="A20" s="317"/>
      <c r="B20" s="315"/>
    </row>
    <row r="21" spans="1:2" s="316" customFormat="1" ht="13.2" x14ac:dyDescent="0.25">
      <c r="A21" s="318"/>
      <c r="B21" s="201"/>
    </row>
    <row r="22" spans="1:2" s="316" customFormat="1" ht="13.2" x14ac:dyDescent="0.25">
      <c r="A22" s="318"/>
      <c r="B22" s="201"/>
    </row>
    <row r="23" spans="1:2" s="316" customFormat="1" ht="13.2" x14ac:dyDescent="0.25">
      <c r="A23" s="318"/>
      <c r="B23" s="201"/>
    </row>
    <row r="24" spans="1:2" s="316" customFormat="1" ht="13.2" x14ac:dyDescent="0.25">
      <c r="A24" s="318"/>
      <c r="B24" s="201"/>
    </row>
    <row r="25" spans="1:2" s="316" customFormat="1" ht="13.2" x14ac:dyDescent="0.25">
      <c r="A25" s="318"/>
      <c r="B25" s="201"/>
    </row>
    <row r="26" spans="1:2" s="316" customFormat="1" ht="13.2" x14ac:dyDescent="0.25">
      <c r="A26" s="318"/>
      <c r="B26" s="201"/>
    </row>
    <row r="27" spans="1:2" s="316" customFormat="1" ht="13.2" x14ac:dyDescent="0.25">
      <c r="A27" s="318"/>
      <c r="B27" s="201"/>
    </row>
    <row r="28" spans="1:2" s="316" customFormat="1" ht="13.2" x14ac:dyDescent="0.25">
      <c r="A28" s="318"/>
      <c r="B28" s="201"/>
    </row>
    <row r="29" spans="1:2" s="316" customFormat="1" ht="13.2" x14ac:dyDescent="0.25">
      <c r="A29" s="318"/>
      <c r="B29" s="201"/>
    </row>
    <row r="30" spans="1:2" s="316" customFormat="1" ht="13.2" x14ac:dyDescent="0.25">
      <c r="A30" s="318"/>
      <c r="B30" s="201"/>
    </row>
    <row r="31" spans="1:2" s="316" customFormat="1" ht="13.2" x14ac:dyDescent="0.25">
      <c r="A31" s="318"/>
      <c r="B31" s="201"/>
    </row>
    <row r="32" spans="1:2" s="316" customFormat="1" ht="13.2" x14ac:dyDescent="0.25">
      <c r="A32" s="318"/>
      <c r="B32" s="201"/>
    </row>
    <row r="33" spans="1:2" s="316" customFormat="1" ht="13.2" x14ac:dyDescent="0.25">
      <c r="A33" s="318"/>
      <c r="B33" s="201"/>
    </row>
    <row r="34" spans="1:2" s="316" customFormat="1" ht="13.2" x14ac:dyDescent="0.25">
      <c r="A34" s="318"/>
      <c r="B34" s="201"/>
    </row>
    <row r="35" spans="1:2" s="316" customFormat="1" ht="13.2" x14ac:dyDescent="0.25">
      <c r="A35" s="318"/>
      <c r="B35" s="201"/>
    </row>
    <row r="36" spans="1:2" s="316" customFormat="1" ht="13.2" x14ac:dyDescent="0.25">
      <c r="A36" s="318"/>
      <c r="B36" s="201"/>
    </row>
    <row r="37" spans="1:2" s="316" customFormat="1" ht="13.2" x14ac:dyDescent="0.25">
      <c r="A37" s="318"/>
      <c r="B37" s="201"/>
    </row>
    <row r="38" spans="1:2" s="316" customFormat="1" ht="13.2" x14ac:dyDescent="0.25">
      <c r="A38" s="318"/>
      <c r="B38" s="201"/>
    </row>
    <row r="39" spans="1:2" s="316" customFormat="1" ht="13.2" x14ac:dyDescent="0.25">
      <c r="A39" s="318"/>
      <c r="B39" s="201"/>
    </row>
    <row r="40" spans="1:2" s="316" customFormat="1" ht="13.2" x14ac:dyDescent="0.25">
      <c r="A40" s="318"/>
      <c r="B40" s="201"/>
    </row>
    <row r="41" spans="1:2" s="316" customFormat="1" ht="13.2" x14ac:dyDescent="0.25">
      <c r="A41" s="318"/>
      <c r="B41" s="201"/>
    </row>
    <row r="42" spans="1:2" s="316" customFormat="1" ht="13.2" x14ac:dyDescent="0.25">
      <c r="A42" s="318"/>
      <c r="B42" s="201"/>
    </row>
    <row r="43" spans="1:2" s="316" customFormat="1" ht="13.2" x14ac:dyDescent="0.25">
      <c r="A43" s="318"/>
      <c r="B43" s="201"/>
    </row>
    <row r="44" spans="1:2" s="316" customFormat="1" ht="13.2" x14ac:dyDescent="0.25">
      <c r="A44" s="318"/>
      <c r="B44" s="201"/>
    </row>
    <row r="45" spans="1:2" s="316" customFormat="1" ht="13.2" x14ac:dyDescent="0.25">
      <c r="A45" s="318"/>
      <c r="B45" s="201"/>
    </row>
    <row r="46" spans="1:2" s="316" customFormat="1" ht="13.2" x14ac:dyDescent="0.25">
      <c r="A46" s="318"/>
      <c r="B46" s="201"/>
    </row>
    <row r="47" spans="1:2" s="316" customFormat="1" ht="13.2" x14ac:dyDescent="0.25">
      <c r="A47" s="318"/>
      <c r="B47" s="201"/>
    </row>
    <row r="48" spans="1:2" s="316" customFormat="1" ht="13.2" x14ac:dyDescent="0.25">
      <c r="A48" s="2663"/>
      <c r="B48" s="2663"/>
    </row>
    <row r="49" spans="1:2" s="316" customFormat="1" ht="13.2" x14ac:dyDescent="0.25">
      <c r="A49" s="3"/>
      <c r="B49" s="201"/>
    </row>
    <row r="50" spans="1:2" s="316" customFormat="1" ht="13.2" x14ac:dyDescent="0.25">
      <c r="A50" s="20"/>
      <c r="B50" s="315"/>
    </row>
    <row r="51" spans="1:2" s="316" customFormat="1" ht="13.2" x14ac:dyDescent="0.25">
      <c r="A51" s="20"/>
      <c r="B51" s="315"/>
    </row>
    <row r="52" spans="1:2" s="316" customFormat="1" ht="13.2" x14ac:dyDescent="0.25">
      <c r="A52" s="20"/>
      <c r="B52" s="315"/>
    </row>
    <row r="53" spans="1:2" s="316" customFormat="1" ht="13.2" x14ac:dyDescent="0.25">
      <c r="A53" s="20"/>
      <c r="B53" s="315"/>
    </row>
    <row r="54" spans="1:2" s="316" customFormat="1" ht="13.2" x14ac:dyDescent="0.25">
      <c r="A54" s="24"/>
      <c r="B54" s="315"/>
    </row>
    <row r="55" spans="1:2" s="316" customFormat="1" ht="56.25" customHeight="1" x14ac:dyDescent="0.25">
      <c r="A55" s="20"/>
      <c r="B55" s="315"/>
    </row>
    <row r="56" spans="1:2" s="316" customFormat="1" ht="13.2" x14ac:dyDescent="0.25">
      <c r="A56" s="20"/>
      <c r="B56" s="315"/>
    </row>
    <row r="57" spans="1:2" s="316" customFormat="1" ht="13.2" x14ac:dyDescent="0.25">
      <c r="A57" s="20"/>
      <c r="B57" s="315"/>
    </row>
    <row r="58" spans="1:2" s="316" customFormat="1" ht="13.2" x14ac:dyDescent="0.25">
      <c r="A58" s="20"/>
      <c r="B58" s="315"/>
    </row>
    <row r="59" spans="1:2" s="316" customFormat="1" ht="13.2" x14ac:dyDescent="0.25">
      <c r="A59" s="20"/>
      <c r="B59" s="315"/>
    </row>
    <row r="60" spans="1:2" s="316" customFormat="1" ht="13.2" x14ac:dyDescent="0.25">
      <c r="A60" s="20"/>
      <c r="B60" s="315"/>
    </row>
    <row r="61" spans="1:2" s="316" customFormat="1" ht="13.2" x14ac:dyDescent="0.25">
      <c r="A61" s="20"/>
      <c r="B61" s="315"/>
    </row>
    <row r="62" spans="1:2" s="316" customFormat="1" ht="13.2" x14ac:dyDescent="0.25">
      <c r="A62" s="20"/>
      <c r="B62" s="315"/>
    </row>
    <row r="63" spans="1:2" s="316" customFormat="1" ht="13.2" x14ac:dyDescent="0.25">
      <c r="A63" s="24"/>
      <c r="B63" s="315"/>
    </row>
    <row r="64" spans="1:2" s="316" customFormat="1" ht="13.2" x14ac:dyDescent="0.25">
      <c r="A64" s="20"/>
      <c r="B64" s="315"/>
    </row>
    <row r="65" spans="1:2" s="316" customFormat="1" ht="13.2" x14ac:dyDescent="0.25">
      <c r="A65" s="20"/>
      <c r="B65" s="315"/>
    </row>
    <row r="66" spans="1:2" s="316" customFormat="1" ht="13.2" x14ac:dyDescent="0.25">
      <c r="A66" s="20"/>
      <c r="B66" s="315"/>
    </row>
    <row r="67" spans="1:2" s="316" customFormat="1" ht="13.2" x14ac:dyDescent="0.25">
      <c r="A67" s="20"/>
      <c r="B67" s="315"/>
    </row>
    <row r="68" spans="1:2" s="316" customFormat="1" ht="13.2" x14ac:dyDescent="0.25">
      <c r="A68" s="20"/>
      <c r="B68" s="315"/>
    </row>
    <row r="69" spans="1:2" s="316" customFormat="1" ht="13.2" x14ac:dyDescent="0.25">
      <c r="A69" s="20"/>
      <c r="B69" s="315"/>
    </row>
    <row r="70" spans="1:2" s="316" customFormat="1" ht="13.2" x14ac:dyDescent="0.25">
      <c r="A70" s="20"/>
      <c r="B70" s="315"/>
    </row>
    <row r="71" spans="1:2" s="316" customFormat="1" ht="13.2" x14ac:dyDescent="0.25">
      <c r="A71" s="20"/>
      <c r="B71" s="315"/>
    </row>
    <row r="72" spans="1:2" s="316" customFormat="1" ht="13.2" x14ac:dyDescent="0.25">
      <c r="A72" s="2"/>
      <c r="B72" s="315"/>
    </row>
    <row r="73" spans="1:2" s="316" customFormat="1" ht="13.2" x14ac:dyDescent="0.25">
      <c r="A73" s="2"/>
      <c r="B73" s="315"/>
    </row>
    <row r="74" spans="1:2" s="316" customFormat="1" ht="13.2" x14ac:dyDescent="0.25">
      <c r="A74" s="2"/>
      <c r="B74" s="315"/>
    </row>
    <row r="75" spans="1:2" s="316" customFormat="1" ht="13.2" x14ac:dyDescent="0.25">
      <c r="A75" s="2"/>
      <c r="B75" s="315"/>
    </row>
    <row r="76" spans="1:2" s="316" customFormat="1" ht="13.2" x14ac:dyDescent="0.25">
      <c r="A76" s="2"/>
      <c r="B76" s="315"/>
    </row>
    <row r="77" spans="1:2" s="316" customFormat="1" ht="13.2" x14ac:dyDescent="0.25">
      <c r="A77" s="2"/>
      <c r="B77" s="315"/>
    </row>
    <row r="78" spans="1:2" s="316" customFormat="1" ht="13.2" x14ac:dyDescent="0.25">
      <c r="A78" s="2"/>
      <c r="B78" s="315"/>
    </row>
    <row r="79" spans="1:2" s="316" customFormat="1" ht="13.2" x14ac:dyDescent="0.25">
      <c r="A79" s="2"/>
      <c r="B79" s="315"/>
    </row>
    <row r="80" spans="1:2" s="316" customFormat="1" ht="13.2" x14ac:dyDescent="0.25">
      <c r="A80" s="2"/>
      <c r="B80" s="315"/>
    </row>
    <row r="81" spans="1:2" s="316" customFormat="1" ht="13.2" x14ac:dyDescent="0.25">
      <c r="A81" s="2"/>
      <c r="B81" s="315"/>
    </row>
    <row r="82" spans="1:2" s="316" customFormat="1" ht="13.2" x14ac:dyDescent="0.25">
      <c r="A82" s="2"/>
      <c r="B82" s="315"/>
    </row>
    <row r="83" spans="1:2" s="316" customFormat="1" ht="13.2" x14ac:dyDescent="0.25">
      <c r="A83" s="2"/>
      <c r="B83" s="315"/>
    </row>
    <row r="84" spans="1:2" s="316" customFormat="1" ht="13.2" x14ac:dyDescent="0.25">
      <c r="A84" s="2"/>
      <c r="B84" s="315"/>
    </row>
    <row r="85" spans="1:2" s="316" customFormat="1" ht="13.2" x14ac:dyDescent="0.25">
      <c r="A85" s="2"/>
      <c r="B85" s="315"/>
    </row>
    <row r="86" spans="1:2" s="316" customFormat="1" ht="13.2" x14ac:dyDescent="0.25">
      <c r="A86" s="2"/>
      <c r="B86" s="315"/>
    </row>
    <row r="87" spans="1:2" s="316" customFormat="1" ht="13.2" x14ac:dyDescent="0.25">
      <c r="A87" s="2"/>
      <c r="B87" s="315"/>
    </row>
    <row r="88" spans="1:2" s="316" customFormat="1" ht="13.2" x14ac:dyDescent="0.25">
      <c r="A88" s="2"/>
      <c r="B88" s="315"/>
    </row>
    <row r="89" spans="1:2" s="316" customFormat="1" ht="13.2" x14ac:dyDescent="0.25">
      <c r="A89" s="2"/>
      <c r="B89" s="315"/>
    </row>
    <row r="90" spans="1:2" s="316" customFormat="1" ht="13.2" x14ac:dyDescent="0.25">
      <c r="A90" s="2"/>
      <c r="B90" s="315"/>
    </row>
    <row r="91" spans="1:2" s="316" customFormat="1" ht="13.2" x14ac:dyDescent="0.25">
      <c r="A91" s="2"/>
      <c r="B91" s="315"/>
    </row>
    <row r="92" spans="1:2" s="316" customFormat="1" ht="13.2" x14ac:dyDescent="0.25">
      <c r="A92" s="2"/>
      <c r="B92" s="315"/>
    </row>
    <row r="93" spans="1:2" s="316" customFormat="1" ht="13.2" x14ac:dyDescent="0.25">
      <c r="A93" s="2"/>
      <c r="B93" s="315"/>
    </row>
    <row r="94" spans="1:2" s="316" customFormat="1" ht="13.2" x14ac:dyDescent="0.25">
      <c r="A94" s="2"/>
      <c r="B94" s="315"/>
    </row>
    <row r="95" spans="1:2" s="316" customFormat="1" ht="13.2" x14ac:dyDescent="0.25">
      <c r="A95" s="2"/>
      <c r="B95" s="315"/>
    </row>
    <row r="96" spans="1:2" s="316" customFormat="1" ht="13.2" x14ac:dyDescent="0.25">
      <c r="A96" s="2"/>
      <c r="B96" s="315"/>
    </row>
    <row r="97" spans="1:2" s="316" customFormat="1" ht="13.2" x14ac:dyDescent="0.25">
      <c r="A97" s="2"/>
      <c r="B97" s="315"/>
    </row>
    <row r="98" spans="1:2" s="316" customFormat="1" ht="13.2" x14ac:dyDescent="0.25">
      <c r="A98" s="2"/>
      <c r="B98" s="315"/>
    </row>
    <row r="99" spans="1:2" s="316" customFormat="1" ht="13.2" x14ac:dyDescent="0.25">
      <c r="A99" s="2"/>
      <c r="B99" s="315"/>
    </row>
    <row r="100" spans="1:2" s="316" customFormat="1" ht="13.2" x14ac:dyDescent="0.25">
      <c r="A100" s="2"/>
      <c r="B100" s="315"/>
    </row>
    <row r="101" spans="1:2" s="316" customFormat="1" ht="13.2" x14ac:dyDescent="0.25">
      <c r="A101" s="2"/>
      <c r="B101" s="315"/>
    </row>
    <row r="102" spans="1:2" s="316" customFormat="1" ht="13.2" x14ac:dyDescent="0.25">
      <c r="A102" s="2"/>
      <c r="B102" s="315"/>
    </row>
    <row r="103" spans="1:2" s="316" customFormat="1" ht="13.2" x14ac:dyDescent="0.25">
      <c r="A103" s="20"/>
      <c r="B103" s="315"/>
    </row>
    <row r="104" spans="1:2" s="316" customFormat="1" ht="13.2" x14ac:dyDescent="0.25">
      <c r="A104" s="20"/>
      <c r="B104" s="315"/>
    </row>
    <row r="105" spans="1:2" s="316" customFormat="1" ht="13.2" x14ac:dyDescent="0.25">
      <c r="A105" s="20"/>
      <c r="B105" s="315"/>
    </row>
    <row r="106" spans="1:2" s="316" customFormat="1" ht="13.2" x14ac:dyDescent="0.25">
      <c r="A106" s="20"/>
      <c r="B106" s="315"/>
    </row>
    <row r="107" spans="1:2" s="316" customFormat="1" ht="13.2" x14ac:dyDescent="0.25">
      <c r="A107" s="20"/>
      <c r="B107" s="315"/>
    </row>
    <row r="108" spans="1:2" s="316" customFormat="1" ht="13.2" x14ac:dyDescent="0.25">
      <c r="A108" s="20"/>
      <c r="B108" s="315"/>
    </row>
    <row r="109" spans="1:2" s="316" customFormat="1" ht="13.2" x14ac:dyDescent="0.25">
      <c r="A109" s="20"/>
      <c r="B109" s="315"/>
    </row>
    <row r="110" spans="1:2" s="316" customFormat="1" ht="13.2" x14ac:dyDescent="0.25">
      <c r="A110" s="20"/>
      <c r="B110" s="315"/>
    </row>
    <row r="111" spans="1:2" s="316" customFormat="1" ht="13.2" x14ac:dyDescent="0.25">
      <c r="A111" s="20"/>
      <c r="B111" s="315"/>
    </row>
    <row r="112" spans="1:2" s="316" customFormat="1" ht="13.2" x14ac:dyDescent="0.25">
      <c r="A112" s="20"/>
      <c r="B112" s="315"/>
    </row>
    <row r="113" spans="1:2" s="316" customFormat="1" ht="13.2" x14ac:dyDescent="0.25">
      <c r="A113" s="20"/>
      <c r="B113" s="315"/>
    </row>
    <row r="114" spans="1:2" s="316" customFormat="1" ht="13.2" x14ac:dyDescent="0.25">
      <c r="A114" s="20"/>
      <c r="B114" s="315"/>
    </row>
    <row r="115" spans="1:2" s="316" customFormat="1" ht="13.2" x14ac:dyDescent="0.25">
      <c r="A115" s="20"/>
      <c r="B115" s="315"/>
    </row>
    <row r="116" spans="1:2" s="316" customFormat="1" ht="13.2" x14ac:dyDescent="0.25">
      <c r="A116" s="20"/>
      <c r="B116" s="315"/>
    </row>
    <row r="117" spans="1:2" s="316" customFormat="1" ht="13.2" x14ac:dyDescent="0.25">
      <c r="A117" s="20"/>
      <c r="B117" s="315"/>
    </row>
    <row r="118" spans="1:2" s="316" customFormat="1" ht="13.2" x14ac:dyDescent="0.25">
      <c r="A118" s="20"/>
      <c r="B118" s="315"/>
    </row>
    <row r="119" spans="1:2" s="316" customFormat="1" ht="13.2" x14ac:dyDescent="0.25">
      <c r="A119" s="20"/>
      <c r="B119" s="315"/>
    </row>
    <row r="120" spans="1:2" s="316" customFormat="1" ht="13.2" x14ac:dyDescent="0.25">
      <c r="A120" s="20"/>
      <c r="B120" s="315"/>
    </row>
    <row r="121" spans="1:2" s="316" customFormat="1" ht="13.2" x14ac:dyDescent="0.25">
      <c r="A121" s="20"/>
      <c r="B121" s="315"/>
    </row>
    <row r="122" spans="1:2" s="316" customFormat="1" ht="13.2" x14ac:dyDescent="0.25">
      <c r="A122" s="20"/>
      <c r="B122" s="315"/>
    </row>
    <row r="123" spans="1:2" s="316" customFormat="1" ht="13.2" x14ac:dyDescent="0.25">
      <c r="A123" s="20"/>
      <c r="B123" s="315"/>
    </row>
    <row r="124" spans="1:2" s="316" customFormat="1" ht="13.2" x14ac:dyDescent="0.25">
      <c r="A124" s="20"/>
      <c r="B124" s="315"/>
    </row>
    <row r="125" spans="1:2" s="316" customFormat="1" ht="13.2" x14ac:dyDescent="0.25">
      <c r="A125" s="20"/>
      <c r="B125" s="315"/>
    </row>
    <row r="126" spans="1:2" s="316" customFormat="1" ht="13.2" x14ac:dyDescent="0.25">
      <c r="A126" s="20"/>
      <c r="B126" s="315"/>
    </row>
    <row r="127" spans="1:2" s="316" customFormat="1" ht="13.2" x14ac:dyDescent="0.25">
      <c r="A127" s="20"/>
      <c r="B127" s="315"/>
    </row>
    <row r="128" spans="1:2" s="316" customFormat="1" ht="13.2" x14ac:dyDescent="0.25">
      <c r="A128" s="20"/>
      <c r="B128" s="315"/>
    </row>
    <row r="129" spans="1:2" s="316" customFormat="1" ht="13.2" x14ac:dyDescent="0.25">
      <c r="A129" s="20"/>
      <c r="B129" s="315"/>
    </row>
    <row r="130" spans="1:2" s="316" customFormat="1" ht="13.2" x14ac:dyDescent="0.25">
      <c r="A130" s="20"/>
      <c r="B130" s="315"/>
    </row>
    <row r="131" spans="1:2" s="316" customFormat="1" ht="13.2" x14ac:dyDescent="0.25">
      <c r="A131" s="20"/>
      <c r="B131" s="315"/>
    </row>
    <row r="132" spans="1:2" s="316" customFormat="1" ht="13.2" x14ac:dyDescent="0.25">
      <c r="A132" s="20"/>
      <c r="B132" s="315"/>
    </row>
    <row r="133" spans="1:2" s="316" customFormat="1" ht="13.2" x14ac:dyDescent="0.25">
      <c r="A133" s="20"/>
      <c r="B133" s="315"/>
    </row>
    <row r="134" spans="1:2" s="316" customFormat="1" ht="13.2" x14ac:dyDescent="0.25">
      <c r="A134" s="20"/>
      <c r="B134" s="315"/>
    </row>
    <row r="135" spans="1:2" s="316" customFormat="1" ht="13.2" x14ac:dyDescent="0.25">
      <c r="A135" s="20"/>
      <c r="B135" s="315"/>
    </row>
    <row r="136" spans="1:2" s="316" customFormat="1" ht="13.2" x14ac:dyDescent="0.25">
      <c r="A136" s="20"/>
      <c r="B136" s="315"/>
    </row>
    <row r="137" spans="1:2" s="316" customFormat="1" ht="13.2" x14ac:dyDescent="0.25">
      <c r="A137" s="20"/>
      <c r="B137" s="315"/>
    </row>
    <row r="138" spans="1:2" s="316" customFormat="1" ht="13.2" x14ac:dyDescent="0.25">
      <c r="A138" s="317"/>
      <c r="B138" s="201"/>
    </row>
    <row r="139" spans="1:2" s="316" customFormat="1" ht="13.2" x14ac:dyDescent="0.25">
      <c r="A139" s="317"/>
      <c r="B139" s="319"/>
    </row>
    <row r="140" spans="1:2" s="316" customFormat="1" ht="13.2" x14ac:dyDescent="0.25">
      <c r="A140" s="317"/>
      <c r="B140" s="319"/>
    </row>
    <row r="141" spans="1:2" s="316" customFormat="1" ht="13.2" x14ac:dyDescent="0.25">
      <c r="A141" s="317"/>
      <c r="B141" s="319"/>
    </row>
    <row r="142" spans="1:2" s="316" customFormat="1" x14ac:dyDescent="0.25">
      <c r="A142" s="320"/>
      <c r="B142" s="319"/>
    </row>
    <row r="143" spans="1:2" s="316" customFormat="1" x14ac:dyDescent="0.25">
      <c r="A143" s="320"/>
      <c r="B143" s="319"/>
    </row>
    <row r="144" spans="1:2" s="316" customFormat="1" x14ac:dyDescent="0.25">
      <c r="A144" s="320"/>
      <c r="B144" s="319"/>
    </row>
    <row r="145" spans="1:2" s="316" customFormat="1" x14ac:dyDescent="0.25">
      <c r="A145" s="320"/>
      <c r="B145" s="319"/>
    </row>
    <row r="146" spans="1:2" s="316" customFormat="1" x14ac:dyDescent="0.25">
      <c r="A146" s="320"/>
      <c r="B146" s="319"/>
    </row>
    <row r="147" spans="1:2" s="316" customFormat="1" x14ac:dyDescent="0.25">
      <c r="A147" s="320"/>
      <c r="B147" s="319"/>
    </row>
    <row r="148" spans="1:2" s="316" customFormat="1" x14ac:dyDescent="0.25">
      <c r="A148" s="320"/>
      <c r="B148" s="319"/>
    </row>
    <row r="149" spans="1:2" s="316" customFormat="1" x14ac:dyDescent="0.25">
      <c r="A149" s="320"/>
      <c r="B149" s="319"/>
    </row>
    <row r="150" spans="1:2" s="316" customFormat="1" x14ac:dyDescent="0.25">
      <c r="A150" s="320"/>
      <c r="B150" s="319"/>
    </row>
    <row r="151" spans="1:2" s="316" customFormat="1" x14ac:dyDescent="0.25">
      <c r="A151" s="320"/>
      <c r="B151" s="319"/>
    </row>
    <row r="152" spans="1:2" s="316" customFormat="1" x14ac:dyDescent="0.25">
      <c r="A152" s="320"/>
      <c r="B152" s="319"/>
    </row>
    <row r="153" spans="1:2" s="316" customFormat="1" x14ac:dyDescent="0.25">
      <c r="A153" s="320"/>
      <c r="B153" s="319"/>
    </row>
    <row r="154" spans="1:2" s="316" customFormat="1" x14ac:dyDescent="0.25">
      <c r="A154" s="320"/>
      <c r="B154" s="319"/>
    </row>
  </sheetData>
  <mergeCells count="1">
    <mergeCell ref="A48:B48"/>
  </mergeCells>
  <printOptions horizontalCentered="1"/>
  <pageMargins left="0.19685039370078741" right="0.19685039370078741" top="0.98425196850393704" bottom="0.35433070866141736" header="0.19685039370078741" footer="0.19685039370078741"/>
  <pageSetup paperSize="9" orientation="landscape" r:id="rId1"/>
  <headerFooter alignWithMargins="0">
    <oddHeader xml:space="preserve">&amp;C&amp;"Times New Roman,Félkövér"2020. évi költségvetés 
Magdolna-Orczy Negyed Projekt
11604 cím bevételi előiányzat&amp;R&amp;"Times New Roman,Félkövér dőlt"11. melléklet a /2020. () 
önkormányzati rendelethez
ezer forintban&amp;"Times New Roman,Normál"
</oddHeader>
    <oddFooter>&amp;R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L91"/>
  <sheetViews>
    <sheetView zoomScaleNormal="100" workbookViewId="0">
      <pane xSplit="1" ySplit="2" topLeftCell="C3" activePane="bottomRight" state="frozen"/>
      <selection pane="topRight" activeCell="B1" sqref="B1"/>
      <selection pane="bottomLeft" activeCell="A3" sqref="A3"/>
      <selection pane="bottomRight" activeCell="G75" sqref="G75:G76"/>
    </sheetView>
  </sheetViews>
  <sheetFormatPr defaultColWidth="9.109375" defaultRowHeight="13.2" x14ac:dyDescent="0.25"/>
  <cols>
    <col min="1" max="1" width="40" style="92" customWidth="1"/>
    <col min="2" max="3" width="15.6640625" style="92" customWidth="1"/>
    <col min="4" max="5" width="15.6640625" style="103" customWidth="1"/>
    <col min="6" max="6" width="15.6640625" style="107" customWidth="1"/>
    <col min="7" max="10" width="15.6640625" style="103" customWidth="1"/>
    <col min="11" max="12" width="15.6640625" style="107" customWidth="1"/>
    <col min="13" max="16384" width="9.109375" style="127"/>
  </cols>
  <sheetData>
    <row r="1" spans="1:12" ht="13.8" thickBot="1" x14ac:dyDescent="0.3"/>
    <row r="2" spans="1:12" s="128" customFormat="1" ht="64.95" customHeight="1" thickBot="1" x14ac:dyDescent="0.3">
      <c r="A2" s="270" t="s">
        <v>608</v>
      </c>
      <c r="B2" s="2293" t="s">
        <v>87</v>
      </c>
      <c r="C2" s="271" t="s">
        <v>89</v>
      </c>
      <c r="D2" s="477" t="s">
        <v>91</v>
      </c>
      <c r="E2" s="477" t="s">
        <v>983</v>
      </c>
      <c r="F2" s="191" t="s">
        <v>621</v>
      </c>
      <c r="G2" s="191" t="s">
        <v>106</v>
      </c>
      <c r="H2" s="191" t="s">
        <v>108</v>
      </c>
      <c r="I2" s="191" t="s">
        <v>113</v>
      </c>
      <c r="J2" s="191" t="s">
        <v>114</v>
      </c>
      <c r="K2" s="191" t="s">
        <v>622</v>
      </c>
      <c r="L2" s="391" t="s">
        <v>623</v>
      </c>
    </row>
    <row r="3" spans="1:12" ht="15" customHeight="1" x14ac:dyDescent="0.25">
      <c r="A3" s="410" t="s">
        <v>167</v>
      </c>
      <c r="B3" s="539"/>
      <c r="C3" s="461"/>
      <c r="D3" s="322"/>
      <c r="E3" s="322"/>
      <c r="F3" s="323"/>
      <c r="G3" s="324"/>
      <c r="H3" s="324"/>
      <c r="I3" s="324"/>
      <c r="J3" s="324"/>
      <c r="K3" s="323"/>
      <c r="L3" s="519"/>
    </row>
    <row r="4" spans="1:12" ht="15" customHeight="1" x14ac:dyDescent="0.25">
      <c r="A4" s="769"/>
      <c r="B4" s="540"/>
      <c r="C4" s="462"/>
      <c r="D4" s="328"/>
      <c r="E4" s="322">
        <v>0</v>
      </c>
      <c r="F4" s="29">
        <f>B4+C4+D4+E4</f>
        <v>0</v>
      </c>
      <c r="G4" s="29">
        <v>0</v>
      </c>
      <c r="H4" s="29">
        <v>0</v>
      </c>
      <c r="I4" s="29">
        <v>0</v>
      </c>
      <c r="J4" s="29">
        <v>0</v>
      </c>
      <c r="K4" s="190">
        <f>SUM(G4:J4)</f>
        <v>0</v>
      </c>
      <c r="L4" s="520">
        <f>K4+F4</f>
        <v>0</v>
      </c>
    </row>
    <row r="5" spans="1:12" ht="15" customHeight="1" thickBot="1" x14ac:dyDescent="0.3">
      <c r="A5" s="769"/>
      <c r="B5" s="540"/>
      <c r="C5" s="462"/>
      <c r="D5" s="328"/>
      <c r="E5" s="322">
        <v>0</v>
      </c>
      <c r="F5" s="29">
        <f>B5+C5+D5+E5</f>
        <v>0</v>
      </c>
      <c r="G5" s="29">
        <v>0</v>
      </c>
      <c r="H5" s="29">
        <v>0</v>
      </c>
      <c r="I5" s="29">
        <v>0</v>
      </c>
      <c r="J5" s="29">
        <v>0</v>
      </c>
      <c r="K5" s="190">
        <f>SUM(G5:J5)</f>
        <v>0</v>
      </c>
      <c r="L5" s="520">
        <f>K5+F5</f>
        <v>0</v>
      </c>
    </row>
    <row r="6" spans="1:12" s="128" customFormat="1" ht="15" customHeight="1" thickBot="1" x14ac:dyDescent="0.3">
      <c r="A6" s="413" t="s">
        <v>627</v>
      </c>
      <c r="B6" s="325">
        <f t="shared" ref="B6:C6" si="0">SUM(B3:B5)</f>
        <v>0</v>
      </c>
      <c r="C6" s="325">
        <f t="shared" si="0"/>
        <v>0</v>
      </c>
      <c r="D6" s="325">
        <f t="shared" ref="D6:J6" si="1">SUM(D3:D5)</f>
        <v>0</v>
      </c>
      <c r="E6" s="325">
        <f t="shared" si="1"/>
        <v>0</v>
      </c>
      <c r="F6" s="326">
        <f t="shared" si="1"/>
        <v>0</v>
      </c>
      <c r="G6" s="326">
        <f t="shared" si="1"/>
        <v>0</v>
      </c>
      <c r="H6" s="326">
        <f t="shared" si="1"/>
        <v>0</v>
      </c>
      <c r="I6" s="326">
        <f t="shared" si="1"/>
        <v>0</v>
      </c>
      <c r="J6" s="326">
        <f t="shared" si="1"/>
        <v>0</v>
      </c>
      <c r="K6" s="326">
        <f>SUM(G6:J6)</f>
        <v>0</v>
      </c>
      <c r="L6" s="521">
        <f>SUM(L3:L5)</f>
        <v>0</v>
      </c>
    </row>
    <row r="7" spans="1:12" ht="15" customHeight="1" x14ac:dyDescent="0.25">
      <c r="A7" s="770" t="s">
        <v>618</v>
      </c>
      <c r="B7" s="541"/>
      <c r="C7" s="463"/>
      <c r="D7" s="322"/>
      <c r="E7" s="322"/>
      <c r="F7" s="323"/>
      <c r="G7" s="324"/>
      <c r="H7" s="324"/>
      <c r="I7" s="324"/>
      <c r="J7" s="324"/>
      <c r="K7" s="323"/>
      <c r="L7" s="519"/>
    </row>
    <row r="8" spans="1:12" ht="15" customHeight="1" x14ac:dyDescent="0.25">
      <c r="A8" s="771" t="s">
        <v>985</v>
      </c>
      <c r="B8" s="762"/>
      <c r="C8" s="763"/>
      <c r="D8" s="716"/>
      <c r="E8" s="716"/>
      <c r="F8" s="323"/>
      <c r="G8" s="717"/>
      <c r="H8" s="324"/>
      <c r="I8" s="324"/>
      <c r="J8" s="324"/>
      <c r="K8" s="323"/>
      <c r="L8" s="519"/>
    </row>
    <row r="9" spans="1:12" ht="15" customHeight="1" x14ac:dyDescent="0.25">
      <c r="A9" s="759" t="s">
        <v>935</v>
      </c>
      <c r="B9" s="542"/>
      <c r="C9" s="443"/>
      <c r="D9" s="329"/>
      <c r="E9" s="329"/>
      <c r="F9" s="29">
        <f t="shared" ref="F9:F67" si="2">B9+C9+D9+E9</f>
        <v>0</v>
      </c>
      <c r="G9" s="330"/>
      <c r="H9" s="29"/>
      <c r="I9" s="29"/>
      <c r="J9" s="29"/>
      <c r="K9" s="190">
        <f t="shared" ref="K9:K67" si="3">SUM(G9:J9)</f>
        <v>0</v>
      </c>
      <c r="L9" s="520">
        <f t="shared" ref="L9:L55" si="4">K9+F9</f>
        <v>0</v>
      </c>
    </row>
    <row r="10" spans="1:12" ht="30" customHeight="1" x14ac:dyDescent="0.25">
      <c r="A10" s="759" t="s">
        <v>936</v>
      </c>
      <c r="B10" s="542"/>
      <c r="C10" s="443"/>
      <c r="D10" s="329"/>
      <c r="E10" s="329"/>
      <c r="F10" s="29">
        <f t="shared" si="2"/>
        <v>0</v>
      </c>
      <c r="G10" s="330"/>
      <c r="H10" s="29"/>
      <c r="I10" s="29"/>
      <c r="J10" s="29"/>
      <c r="K10" s="190">
        <f t="shared" si="3"/>
        <v>0</v>
      </c>
      <c r="L10" s="520">
        <f t="shared" si="4"/>
        <v>0</v>
      </c>
    </row>
    <row r="11" spans="1:12" ht="15" customHeight="1" x14ac:dyDescent="0.25">
      <c r="A11" s="759" t="s">
        <v>939</v>
      </c>
      <c r="B11" s="542"/>
      <c r="C11" s="443"/>
      <c r="D11" s="329"/>
      <c r="E11" s="329"/>
      <c r="F11" s="29">
        <f t="shared" si="2"/>
        <v>0</v>
      </c>
      <c r="G11" s="330"/>
      <c r="H11" s="29"/>
      <c r="I11" s="29"/>
      <c r="J11" s="29"/>
      <c r="K11" s="190">
        <f t="shared" si="3"/>
        <v>0</v>
      </c>
      <c r="L11" s="520">
        <f t="shared" si="4"/>
        <v>0</v>
      </c>
    </row>
    <row r="12" spans="1:12" ht="30" customHeight="1" x14ac:dyDescent="0.25">
      <c r="A12" s="759" t="s">
        <v>937</v>
      </c>
      <c r="B12" s="542"/>
      <c r="C12" s="443"/>
      <c r="D12" s="329"/>
      <c r="E12" s="329"/>
      <c r="F12" s="29">
        <f t="shared" si="2"/>
        <v>0</v>
      </c>
      <c r="G12" s="330"/>
      <c r="H12" s="29"/>
      <c r="I12" s="29"/>
      <c r="J12" s="29"/>
      <c r="K12" s="190">
        <f t="shared" si="3"/>
        <v>0</v>
      </c>
      <c r="L12" s="520">
        <f t="shared" si="4"/>
        <v>0</v>
      </c>
    </row>
    <row r="13" spans="1:12" ht="15" customHeight="1" x14ac:dyDescent="0.25">
      <c r="A13" s="757" t="s">
        <v>938</v>
      </c>
      <c r="B13" s="755"/>
      <c r="C13" s="756"/>
      <c r="D13" s="328"/>
      <c r="E13" s="328"/>
      <c r="F13" s="29">
        <f t="shared" si="2"/>
        <v>0</v>
      </c>
      <c r="G13" s="29"/>
      <c r="H13" s="29"/>
      <c r="I13" s="29"/>
      <c r="J13" s="29"/>
      <c r="K13" s="190">
        <f t="shared" si="3"/>
        <v>0</v>
      </c>
      <c r="L13" s="520">
        <f t="shared" si="4"/>
        <v>0</v>
      </c>
    </row>
    <row r="14" spans="1:12" ht="30" customHeight="1" x14ac:dyDescent="0.25">
      <c r="A14" s="760" t="s">
        <v>940</v>
      </c>
      <c r="B14" s="753"/>
      <c r="C14" s="754"/>
      <c r="D14" s="716"/>
      <c r="E14" s="716"/>
      <c r="F14" s="29">
        <f t="shared" si="2"/>
        <v>0</v>
      </c>
      <c r="G14" s="717"/>
      <c r="H14" s="324"/>
      <c r="I14" s="324"/>
      <c r="J14" s="324"/>
      <c r="K14" s="190">
        <f t="shared" si="3"/>
        <v>0</v>
      </c>
      <c r="L14" s="519">
        <f t="shared" si="4"/>
        <v>0</v>
      </c>
    </row>
    <row r="15" spans="1:12" ht="15" customHeight="1" x14ac:dyDescent="0.25">
      <c r="A15" s="759" t="s">
        <v>941</v>
      </c>
      <c r="B15" s="542"/>
      <c r="C15" s="443"/>
      <c r="D15" s="329"/>
      <c r="E15" s="329"/>
      <c r="F15" s="29">
        <f t="shared" si="2"/>
        <v>0</v>
      </c>
      <c r="G15" s="330"/>
      <c r="H15" s="29"/>
      <c r="I15" s="29"/>
      <c r="J15" s="29"/>
      <c r="K15" s="190">
        <f t="shared" si="3"/>
        <v>0</v>
      </c>
      <c r="L15" s="520">
        <f t="shared" si="4"/>
        <v>0</v>
      </c>
    </row>
    <row r="16" spans="1:12" ht="30" customHeight="1" x14ac:dyDescent="0.25">
      <c r="A16" s="759" t="s">
        <v>942</v>
      </c>
      <c r="B16" s="542"/>
      <c r="C16" s="443"/>
      <c r="D16" s="329"/>
      <c r="E16" s="329"/>
      <c r="F16" s="29">
        <f t="shared" si="2"/>
        <v>0</v>
      </c>
      <c r="G16" s="330"/>
      <c r="H16" s="29"/>
      <c r="I16" s="29"/>
      <c r="J16" s="29"/>
      <c r="K16" s="190">
        <f t="shared" si="3"/>
        <v>0</v>
      </c>
      <c r="L16" s="520">
        <f t="shared" si="4"/>
        <v>0</v>
      </c>
    </row>
    <row r="17" spans="1:12" ht="15" customHeight="1" x14ac:dyDescent="0.25">
      <c r="A17" s="759" t="s">
        <v>943</v>
      </c>
      <c r="B17" s="542"/>
      <c r="C17" s="443"/>
      <c r="D17" s="329"/>
      <c r="E17" s="329"/>
      <c r="F17" s="29">
        <f t="shared" si="2"/>
        <v>0</v>
      </c>
      <c r="G17" s="330"/>
      <c r="H17" s="29"/>
      <c r="I17" s="29"/>
      <c r="J17" s="29"/>
      <c r="K17" s="190">
        <f t="shared" si="3"/>
        <v>0</v>
      </c>
      <c r="L17" s="520">
        <f t="shared" si="4"/>
        <v>0</v>
      </c>
    </row>
    <row r="18" spans="1:12" ht="15" customHeight="1" x14ac:dyDescent="0.25">
      <c r="A18" s="757" t="s">
        <v>944</v>
      </c>
      <c r="B18" s="755"/>
      <c r="C18" s="756"/>
      <c r="D18" s="328"/>
      <c r="E18" s="328"/>
      <c r="F18" s="29">
        <f t="shared" si="2"/>
        <v>0</v>
      </c>
      <c r="G18" s="29"/>
      <c r="H18" s="29"/>
      <c r="I18" s="29"/>
      <c r="J18" s="29"/>
      <c r="K18" s="190">
        <f t="shared" si="3"/>
        <v>0</v>
      </c>
      <c r="L18" s="520">
        <f t="shared" si="4"/>
        <v>0</v>
      </c>
    </row>
    <row r="19" spans="1:12" ht="15" customHeight="1" x14ac:dyDescent="0.25">
      <c r="A19" s="760" t="s">
        <v>945</v>
      </c>
      <c r="B19" s="753"/>
      <c r="C19" s="754"/>
      <c r="D19" s="716"/>
      <c r="E19" s="716"/>
      <c r="F19" s="29">
        <f t="shared" si="2"/>
        <v>0</v>
      </c>
      <c r="G19" s="717"/>
      <c r="H19" s="324"/>
      <c r="I19" s="324"/>
      <c r="J19" s="324"/>
      <c r="K19" s="190">
        <f t="shared" si="3"/>
        <v>0</v>
      </c>
      <c r="L19" s="519">
        <f t="shared" si="4"/>
        <v>0</v>
      </c>
    </row>
    <row r="20" spans="1:12" ht="30" customHeight="1" x14ac:dyDescent="0.25">
      <c r="A20" s="759" t="s">
        <v>946</v>
      </c>
      <c r="B20" s="542"/>
      <c r="C20" s="443"/>
      <c r="D20" s="329"/>
      <c r="E20" s="329"/>
      <c r="F20" s="29">
        <f t="shared" si="2"/>
        <v>0</v>
      </c>
      <c r="G20" s="330"/>
      <c r="H20" s="29"/>
      <c r="I20" s="29"/>
      <c r="J20" s="29"/>
      <c r="K20" s="190">
        <f t="shared" si="3"/>
        <v>0</v>
      </c>
      <c r="L20" s="520">
        <f t="shared" si="4"/>
        <v>0</v>
      </c>
    </row>
    <row r="21" spans="1:12" ht="15" customHeight="1" x14ac:dyDescent="0.25">
      <c r="A21" s="759" t="s">
        <v>959</v>
      </c>
      <c r="B21" s="542"/>
      <c r="C21" s="443"/>
      <c r="D21" s="329"/>
      <c r="E21" s="329"/>
      <c r="F21" s="29">
        <f t="shared" si="2"/>
        <v>0</v>
      </c>
      <c r="G21" s="330"/>
      <c r="H21" s="29"/>
      <c r="I21" s="29"/>
      <c r="J21" s="29"/>
      <c r="K21" s="190">
        <f t="shared" si="3"/>
        <v>0</v>
      </c>
      <c r="L21" s="520">
        <f t="shared" si="4"/>
        <v>0</v>
      </c>
    </row>
    <row r="22" spans="1:12" ht="15" customHeight="1" x14ac:dyDescent="0.25">
      <c r="A22" s="759" t="s">
        <v>947</v>
      </c>
      <c r="B22" s="542"/>
      <c r="C22" s="443"/>
      <c r="D22" s="329"/>
      <c r="E22" s="329"/>
      <c r="F22" s="29">
        <f t="shared" si="2"/>
        <v>0</v>
      </c>
      <c r="G22" s="330"/>
      <c r="H22" s="29"/>
      <c r="I22" s="29"/>
      <c r="J22" s="29"/>
      <c r="K22" s="190">
        <f t="shared" si="3"/>
        <v>0</v>
      </c>
      <c r="L22" s="520">
        <f t="shared" si="4"/>
        <v>0</v>
      </c>
    </row>
    <row r="23" spans="1:12" ht="35.1" customHeight="1" x14ac:dyDescent="0.25">
      <c r="A23" s="757" t="s">
        <v>948</v>
      </c>
      <c r="B23" s="755"/>
      <c r="C23" s="756"/>
      <c r="D23" s="328"/>
      <c r="E23" s="328"/>
      <c r="F23" s="29">
        <f t="shared" si="2"/>
        <v>0</v>
      </c>
      <c r="G23" s="29"/>
      <c r="H23" s="29"/>
      <c r="I23" s="29"/>
      <c r="J23" s="29"/>
      <c r="K23" s="190">
        <f t="shared" si="3"/>
        <v>0</v>
      </c>
      <c r="L23" s="520">
        <f t="shared" si="4"/>
        <v>0</v>
      </c>
    </row>
    <row r="24" spans="1:12" ht="15" customHeight="1" x14ac:dyDescent="0.25">
      <c r="A24" s="760" t="s">
        <v>949</v>
      </c>
      <c r="B24" s="714"/>
      <c r="C24" s="715"/>
      <c r="D24" s="716"/>
      <c r="E24" s="716"/>
      <c r="F24" s="29">
        <f t="shared" si="2"/>
        <v>0</v>
      </c>
      <c r="G24" s="717"/>
      <c r="H24" s="324">
        <v>46646</v>
      </c>
      <c r="I24" s="324"/>
      <c r="J24" s="324"/>
      <c r="K24" s="190">
        <f t="shared" si="3"/>
        <v>46646</v>
      </c>
      <c r="L24" s="519">
        <f t="shared" si="4"/>
        <v>46646</v>
      </c>
    </row>
    <row r="25" spans="1:12" ht="30" customHeight="1" x14ac:dyDescent="0.25">
      <c r="A25" s="759" t="s">
        <v>950</v>
      </c>
      <c r="B25" s="542"/>
      <c r="C25" s="443"/>
      <c r="D25" s="329"/>
      <c r="E25" s="329"/>
      <c r="F25" s="29">
        <f t="shared" si="2"/>
        <v>0</v>
      </c>
      <c r="G25" s="330"/>
      <c r="H25" s="29"/>
      <c r="I25" s="29"/>
      <c r="J25" s="29"/>
      <c r="K25" s="190">
        <f t="shared" si="3"/>
        <v>0</v>
      </c>
      <c r="L25" s="520">
        <f t="shared" si="4"/>
        <v>0</v>
      </c>
    </row>
    <row r="26" spans="1:12" ht="15" customHeight="1" x14ac:dyDescent="0.25">
      <c r="A26" s="759" t="s">
        <v>951</v>
      </c>
      <c r="B26" s="542"/>
      <c r="C26" s="443"/>
      <c r="D26" s="329"/>
      <c r="E26" s="329"/>
      <c r="F26" s="29">
        <f t="shared" si="2"/>
        <v>0</v>
      </c>
      <c r="G26" s="330"/>
      <c r="H26" s="29">
        <v>1380</v>
      </c>
      <c r="I26" s="29"/>
      <c r="J26" s="29"/>
      <c r="K26" s="190">
        <f t="shared" si="3"/>
        <v>1380</v>
      </c>
      <c r="L26" s="520">
        <f t="shared" si="4"/>
        <v>1380</v>
      </c>
    </row>
    <row r="27" spans="1:12" ht="15" customHeight="1" x14ac:dyDescent="0.25">
      <c r="A27" s="757" t="s">
        <v>952</v>
      </c>
      <c r="B27" s="838"/>
      <c r="C27" s="839"/>
      <c r="D27" s="328"/>
      <c r="E27" s="328"/>
      <c r="F27" s="29">
        <f t="shared" si="2"/>
        <v>0</v>
      </c>
      <c r="G27" s="29"/>
      <c r="H27" s="29">
        <v>215</v>
      </c>
      <c r="I27" s="29"/>
      <c r="J27" s="29"/>
      <c r="K27" s="190">
        <f t="shared" si="3"/>
        <v>215</v>
      </c>
      <c r="L27" s="520">
        <f t="shared" si="4"/>
        <v>215</v>
      </c>
    </row>
    <row r="28" spans="1:12" ht="30" customHeight="1" x14ac:dyDescent="0.25">
      <c r="A28" s="757" t="s">
        <v>953</v>
      </c>
      <c r="B28" s="755"/>
      <c r="C28" s="756"/>
      <c r="D28" s="328"/>
      <c r="E28" s="328"/>
      <c r="F28" s="29">
        <f t="shared" si="2"/>
        <v>0</v>
      </c>
      <c r="G28" s="29"/>
      <c r="H28" s="29"/>
      <c r="I28" s="29"/>
      <c r="J28" s="29"/>
      <c r="K28" s="190">
        <f t="shared" si="3"/>
        <v>0</v>
      </c>
      <c r="L28" s="520">
        <f t="shared" si="4"/>
        <v>0</v>
      </c>
    </row>
    <row r="29" spans="1:12" ht="15" customHeight="1" x14ac:dyDescent="0.25">
      <c r="A29" s="760" t="s">
        <v>954</v>
      </c>
      <c r="B29" s="714"/>
      <c r="C29" s="715"/>
      <c r="D29" s="716"/>
      <c r="E29" s="716"/>
      <c r="F29" s="29">
        <f t="shared" si="2"/>
        <v>0</v>
      </c>
      <c r="G29" s="717"/>
      <c r="H29" s="324"/>
      <c r="I29" s="324"/>
      <c r="J29" s="324"/>
      <c r="K29" s="190">
        <f t="shared" si="3"/>
        <v>0</v>
      </c>
      <c r="L29" s="519">
        <f t="shared" si="4"/>
        <v>0</v>
      </c>
    </row>
    <row r="30" spans="1:12" ht="15" customHeight="1" x14ac:dyDescent="0.25">
      <c r="A30" s="759" t="s">
        <v>955</v>
      </c>
      <c r="B30" s="542"/>
      <c r="C30" s="443"/>
      <c r="D30" s="329"/>
      <c r="E30" s="329"/>
      <c r="F30" s="29">
        <f t="shared" si="2"/>
        <v>0</v>
      </c>
      <c r="G30" s="330"/>
      <c r="H30" s="29"/>
      <c r="I30" s="29"/>
      <c r="J30" s="29"/>
      <c r="K30" s="190">
        <f t="shared" si="3"/>
        <v>0</v>
      </c>
      <c r="L30" s="520">
        <f t="shared" si="4"/>
        <v>0</v>
      </c>
    </row>
    <row r="31" spans="1:12" ht="30" customHeight="1" x14ac:dyDescent="0.25">
      <c r="A31" s="757" t="s">
        <v>956</v>
      </c>
      <c r="B31" s="755"/>
      <c r="C31" s="756"/>
      <c r="D31" s="328"/>
      <c r="E31" s="328"/>
      <c r="F31" s="29">
        <f t="shared" si="2"/>
        <v>0</v>
      </c>
      <c r="G31" s="29"/>
      <c r="H31" s="29"/>
      <c r="I31" s="29"/>
      <c r="J31" s="29"/>
      <c r="K31" s="190">
        <f t="shared" si="3"/>
        <v>0</v>
      </c>
      <c r="L31" s="520">
        <f t="shared" si="4"/>
        <v>0</v>
      </c>
    </row>
    <row r="32" spans="1:12" ht="30" customHeight="1" x14ac:dyDescent="0.25">
      <c r="A32" s="759" t="s">
        <v>957</v>
      </c>
      <c r="B32" s="753"/>
      <c r="C32" s="754"/>
      <c r="D32" s="716"/>
      <c r="E32" s="716"/>
      <c r="F32" s="29">
        <f t="shared" si="2"/>
        <v>0</v>
      </c>
      <c r="G32" s="717"/>
      <c r="H32" s="324"/>
      <c r="I32" s="324"/>
      <c r="J32" s="324"/>
      <c r="K32" s="190">
        <f t="shared" si="3"/>
        <v>0</v>
      </c>
      <c r="L32" s="519">
        <f t="shared" si="4"/>
        <v>0</v>
      </c>
    </row>
    <row r="33" spans="1:12" ht="15" customHeight="1" x14ac:dyDescent="0.25">
      <c r="A33" s="757" t="s">
        <v>958</v>
      </c>
      <c r="B33" s="755"/>
      <c r="C33" s="756"/>
      <c r="D33" s="328"/>
      <c r="E33" s="328"/>
      <c r="F33" s="29">
        <f t="shared" si="2"/>
        <v>0</v>
      </c>
      <c r="G33" s="29"/>
      <c r="H33" s="29"/>
      <c r="I33" s="29"/>
      <c r="J33" s="29"/>
      <c r="K33" s="190">
        <f t="shared" si="3"/>
        <v>0</v>
      </c>
      <c r="L33" s="520">
        <f t="shared" si="4"/>
        <v>0</v>
      </c>
    </row>
    <row r="34" spans="1:12" ht="15" customHeight="1" x14ac:dyDescent="0.25">
      <c r="A34" s="760" t="s">
        <v>960</v>
      </c>
      <c r="B34" s="753"/>
      <c r="C34" s="754"/>
      <c r="D34" s="716"/>
      <c r="E34" s="716"/>
      <c r="F34" s="29">
        <f t="shared" si="2"/>
        <v>0</v>
      </c>
      <c r="G34" s="717"/>
      <c r="H34" s="324"/>
      <c r="I34" s="324"/>
      <c r="J34" s="324"/>
      <c r="K34" s="190">
        <f t="shared" si="3"/>
        <v>0</v>
      </c>
      <c r="L34" s="519">
        <f t="shared" si="4"/>
        <v>0</v>
      </c>
    </row>
    <row r="35" spans="1:12" ht="15" customHeight="1" x14ac:dyDescent="0.25">
      <c r="A35" s="759" t="s">
        <v>961</v>
      </c>
      <c r="B35" s="542"/>
      <c r="C35" s="443"/>
      <c r="D35" s="329"/>
      <c r="E35" s="329"/>
      <c r="F35" s="29">
        <f t="shared" si="2"/>
        <v>0</v>
      </c>
      <c r="G35" s="330"/>
      <c r="H35" s="29"/>
      <c r="I35" s="29"/>
      <c r="J35" s="29"/>
      <c r="K35" s="190">
        <f t="shared" si="3"/>
        <v>0</v>
      </c>
      <c r="L35" s="520">
        <f t="shared" si="4"/>
        <v>0</v>
      </c>
    </row>
    <row r="36" spans="1:12" ht="15" customHeight="1" x14ac:dyDescent="0.25">
      <c r="A36" s="759" t="s">
        <v>962</v>
      </c>
      <c r="B36" s="542"/>
      <c r="C36" s="443"/>
      <c r="D36" s="329"/>
      <c r="E36" s="329"/>
      <c r="F36" s="29">
        <f t="shared" si="2"/>
        <v>0</v>
      </c>
      <c r="G36" s="330"/>
      <c r="H36" s="29"/>
      <c r="I36" s="29"/>
      <c r="J36" s="29"/>
      <c r="K36" s="190">
        <f t="shared" si="3"/>
        <v>0</v>
      </c>
      <c r="L36" s="520">
        <f t="shared" si="4"/>
        <v>0</v>
      </c>
    </row>
    <row r="37" spans="1:12" ht="15" customHeight="1" x14ac:dyDescent="0.25">
      <c r="A37" s="757" t="s">
        <v>963</v>
      </c>
      <c r="B37" s="840"/>
      <c r="C37" s="756"/>
      <c r="D37" s="328"/>
      <c r="E37" s="328"/>
      <c r="F37" s="29">
        <f t="shared" si="2"/>
        <v>0</v>
      </c>
      <c r="G37" s="29"/>
      <c r="H37" s="29"/>
      <c r="I37" s="29"/>
      <c r="J37" s="29"/>
      <c r="K37" s="190">
        <f t="shared" si="3"/>
        <v>0</v>
      </c>
      <c r="L37" s="520">
        <f t="shared" si="4"/>
        <v>0</v>
      </c>
    </row>
    <row r="38" spans="1:12" ht="15" customHeight="1" x14ac:dyDescent="0.25">
      <c r="A38" s="757" t="s">
        <v>964</v>
      </c>
      <c r="B38" s="755"/>
      <c r="C38" s="756"/>
      <c r="D38" s="328"/>
      <c r="E38" s="328"/>
      <c r="F38" s="29">
        <f t="shared" si="2"/>
        <v>0</v>
      </c>
      <c r="G38" s="29"/>
      <c r="H38" s="29"/>
      <c r="I38" s="29"/>
      <c r="J38" s="29"/>
      <c r="K38" s="190">
        <f t="shared" si="3"/>
        <v>0</v>
      </c>
      <c r="L38" s="520">
        <f t="shared" si="4"/>
        <v>0</v>
      </c>
    </row>
    <row r="39" spans="1:12" ht="15" customHeight="1" x14ac:dyDescent="0.25">
      <c r="A39" s="757" t="s">
        <v>965</v>
      </c>
      <c r="B39" s="755"/>
      <c r="C39" s="756"/>
      <c r="D39" s="328"/>
      <c r="E39" s="328"/>
      <c r="F39" s="29">
        <f t="shared" si="2"/>
        <v>0</v>
      </c>
      <c r="G39" s="29"/>
      <c r="H39" s="29"/>
      <c r="I39" s="29"/>
      <c r="J39" s="29"/>
      <c r="K39" s="190">
        <f t="shared" si="3"/>
        <v>0</v>
      </c>
      <c r="L39" s="520">
        <f t="shared" si="4"/>
        <v>0</v>
      </c>
    </row>
    <row r="40" spans="1:12" ht="15" customHeight="1" x14ac:dyDescent="0.25">
      <c r="A40" s="760" t="s">
        <v>966</v>
      </c>
      <c r="B40" s="542"/>
      <c r="C40" s="443"/>
      <c r="D40" s="329"/>
      <c r="E40" s="329"/>
      <c r="F40" s="29">
        <f t="shared" si="2"/>
        <v>0</v>
      </c>
      <c r="G40" s="330"/>
      <c r="H40" s="29"/>
      <c r="I40" s="29"/>
      <c r="J40" s="29"/>
      <c r="K40" s="190">
        <f t="shared" si="3"/>
        <v>0</v>
      </c>
      <c r="L40" s="520">
        <f t="shared" si="4"/>
        <v>0</v>
      </c>
    </row>
    <row r="41" spans="1:12" ht="15" customHeight="1" x14ac:dyDescent="0.25">
      <c r="A41" s="759" t="s">
        <v>967</v>
      </c>
      <c r="B41" s="542"/>
      <c r="C41" s="761">
        <v>2988</v>
      </c>
      <c r="D41" s="329"/>
      <c r="E41" s="329"/>
      <c r="F41" s="29">
        <f t="shared" si="2"/>
        <v>2988</v>
      </c>
      <c r="G41" s="330"/>
      <c r="H41" s="29"/>
      <c r="I41" s="29"/>
      <c r="J41" s="29"/>
      <c r="K41" s="190">
        <f t="shared" si="3"/>
        <v>0</v>
      </c>
      <c r="L41" s="520">
        <f t="shared" si="4"/>
        <v>2988</v>
      </c>
    </row>
    <row r="42" spans="1:12" ht="15" customHeight="1" x14ac:dyDescent="0.25">
      <c r="A42" s="757" t="s">
        <v>968</v>
      </c>
      <c r="B42" s="841"/>
      <c r="C42" s="2326">
        <v>18757</v>
      </c>
      <c r="D42" s="328"/>
      <c r="E42" s="328"/>
      <c r="F42" s="29">
        <f t="shared" si="2"/>
        <v>18757</v>
      </c>
      <c r="G42" s="29"/>
      <c r="H42" s="29"/>
      <c r="I42" s="29"/>
      <c r="J42" s="29"/>
      <c r="K42" s="190">
        <f t="shared" si="3"/>
        <v>0</v>
      </c>
      <c r="L42" s="520">
        <f t="shared" si="4"/>
        <v>18757</v>
      </c>
    </row>
    <row r="43" spans="1:12" ht="30" customHeight="1" x14ac:dyDescent="0.25">
      <c r="A43" s="757" t="s">
        <v>2068</v>
      </c>
      <c r="B43" s="841"/>
      <c r="C43" s="756"/>
      <c r="D43" s="328">
        <v>1996</v>
      </c>
      <c r="E43" s="328"/>
      <c r="F43" s="29">
        <f t="shared" si="2"/>
        <v>1996</v>
      </c>
      <c r="G43" s="29"/>
      <c r="H43" s="29"/>
      <c r="I43" s="29"/>
      <c r="J43" s="29"/>
      <c r="K43" s="190">
        <f t="shared" si="3"/>
        <v>0</v>
      </c>
      <c r="L43" s="520">
        <f t="shared" si="4"/>
        <v>1996</v>
      </c>
    </row>
    <row r="44" spans="1:12" ht="30" customHeight="1" x14ac:dyDescent="0.25">
      <c r="A44" s="757" t="s">
        <v>2069</v>
      </c>
      <c r="B44" s="841"/>
      <c r="C44" s="756"/>
      <c r="D44" s="328">
        <v>4466</v>
      </c>
      <c r="E44" s="328"/>
      <c r="F44" s="29">
        <f t="shared" si="2"/>
        <v>4466</v>
      </c>
      <c r="G44" s="29"/>
      <c r="H44" s="29"/>
      <c r="I44" s="29"/>
      <c r="J44" s="29"/>
      <c r="K44" s="190">
        <f t="shared" si="3"/>
        <v>0</v>
      </c>
      <c r="L44" s="520">
        <f t="shared" si="4"/>
        <v>4466</v>
      </c>
    </row>
    <row r="45" spans="1:12" ht="15" customHeight="1" x14ac:dyDescent="0.25">
      <c r="A45" s="757" t="s">
        <v>969</v>
      </c>
      <c r="B45" s="755"/>
      <c r="C45" s="756"/>
      <c r="D45" s="328">
        <v>4252</v>
      </c>
      <c r="E45" s="328"/>
      <c r="F45" s="29">
        <f t="shared" si="2"/>
        <v>4252</v>
      </c>
      <c r="G45" s="29"/>
      <c r="H45" s="29"/>
      <c r="I45" s="29"/>
      <c r="J45" s="29"/>
      <c r="K45" s="190">
        <f t="shared" si="3"/>
        <v>0</v>
      </c>
      <c r="L45" s="520">
        <f t="shared" si="4"/>
        <v>4252</v>
      </c>
    </row>
    <row r="46" spans="1:12" ht="15" customHeight="1" x14ac:dyDescent="0.25">
      <c r="A46" s="757" t="s">
        <v>1054</v>
      </c>
      <c r="B46" s="755"/>
      <c r="C46" s="756"/>
      <c r="D46" s="328"/>
      <c r="E46" s="328"/>
      <c r="F46" s="29">
        <f t="shared" si="2"/>
        <v>0</v>
      </c>
      <c r="G46" s="29"/>
      <c r="H46" s="29"/>
      <c r="I46" s="29"/>
      <c r="J46" s="29"/>
      <c r="K46" s="190">
        <f t="shared" si="3"/>
        <v>0</v>
      </c>
      <c r="L46" s="520">
        <f t="shared" si="4"/>
        <v>0</v>
      </c>
    </row>
    <row r="47" spans="1:12" ht="15" customHeight="1" x14ac:dyDescent="0.25">
      <c r="A47" s="757" t="s">
        <v>970</v>
      </c>
      <c r="B47" s="755"/>
      <c r="C47" s="756"/>
      <c r="D47" s="328"/>
      <c r="E47" s="328"/>
      <c r="F47" s="29">
        <f t="shared" si="2"/>
        <v>0</v>
      </c>
      <c r="G47" s="29"/>
      <c r="H47" s="29"/>
      <c r="I47" s="29"/>
      <c r="J47" s="29"/>
      <c r="K47" s="190">
        <f t="shared" si="3"/>
        <v>0</v>
      </c>
      <c r="L47" s="520">
        <f t="shared" si="4"/>
        <v>0</v>
      </c>
    </row>
    <row r="48" spans="1:12" ht="39.9" customHeight="1" x14ac:dyDescent="0.25">
      <c r="A48" s="760" t="s">
        <v>984</v>
      </c>
      <c r="B48" s="753"/>
      <c r="C48" s="754"/>
      <c r="D48" s="716"/>
      <c r="E48" s="716"/>
      <c r="F48" s="29">
        <f t="shared" si="2"/>
        <v>0</v>
      </c>
      <c r="G48" s="717"/>
      <c r="H48" s="324"/>
      <c r="I48" s="324"/>
      <c r="J48" s="324"/>
      <c r="K48" s="190">
        <f t="shared" si="3"/>
        <v>0</v>
      </c>
      <c r="L48" s="519">
        <f t="shared" si="4"/>
        <v>0</v>
      </c>
    </row>
    <row r="49" spans="1:12" ht="15" customHeight="1" x14ac:dyDescent="0.25">
      <c r="A49" s="759" t="s">
        <v>971</v>
      </c>
      <c r="B49" s="542"/>
      <c r="C49" s="443"/>
      <c r="D49" s="329"/>
      <c r="E49" s="329"/>
      <c r="F49" s="29">
        <f t="shared" si="2"/>
        <v>0</v>
      </c>
      <c r="G49" s="330"/>
      <c r="H49" s="29"/>
      <c r="I49" s="29"/>
      <c r="J49" s="29"/>
      <c r="K49" s="190">
        <f t="shared" si="3"/>
        <v>0</v>
      </c>
      <c r="L49" s="520">
        <f t="shared" si="4"/>
        <v>0</v>
      </c>
    </row>
    <row r="50" spans="1:12" ht="15" customHeight="1" x14ac:dyDescent="0.25">
      <c r="A50" s="757" t="s">
        <v>972</v>
      </c>
      <c r="B50" s="755"/>
      <c r="C50" s="756"/>
      <c r="D50" s="328"/>
      <c r="E50" s="328"/>
      <c r="F50" s="29">
        <f t="shared" si="2"/>
        <v>0</v>
      </c>
      <c r="G50" s="29"/>
      <c r="H50" s="29"/>
      <c r="I50" s="29"/>
      <c r="J50" s="29"/>
      <c r="K50" s="190">
        <f t="shared" si="3"/>
        <v>0</v>
      </c>
      <c r="L50" s="520">
        <f t="shared" si="4"/>
        <v>0</v>
      </c>
    </row>
    <row r="51" spans="1:12" ht="15" customHeight="1" x14ac:dyDescent="0.25">
      <c r="A51" s="760" t="s">
        <v>973</v>
      </c>
      <c r="B51" s="753"/>
      <c r="C51" s="754"/>
      <c r="D51" s="716">
        <v>23792</v>
      </c>
      <c r="E51" s="716"/>
      <c r="F51" s="29">
        <f t="shared" si="2"/>
        <v>23792</v>
      </c>
      <c r="G51" s="717"/>
      <c r="H51" s="324"/>
      <c r="I51" s="324"/>
      <c r="J51" s="324"/>
      <c r="K51" s="190">
        <f t="shared" si="3"/>
        <v>0</v>
      </c>
      <c r="L51" s="519">
        <f t="shared" si="4"/>
        <v>23792</v>
      </c>
    </row>
    <row r="52" spans="1:12" ht="15" customHeight="1" x14ac:dyDescent="0.25">
      <c r="A52" s="759" t="s">
        <v>974</v>
      </c>
      <c r="B52" s="542"/>
      <c r="C52" s="443"/>
      <c r="D52" s="329">
        <f>2324-26</f>
        <v>2298</v>
      </c>
      <c r="E52" s="329"/>
      <c r="F52" s="29">
        <f t="shared" si="2"/>
        <v>2298</v>
      </c>
      <c r="G52" s="330"/>
      <c r="H52" s="29"/>
      <c r="I52" s="29"/>
      <c r="J52" s="29"/>
      <c r="K52" s="190">
        <f t="shared" si="3"/>
        <v>0</v>
      </c>
      <c r="L52" s="520">
        <f t="shared" si="4"/>
        <v>2298</v>
      </c>
    </row>
    <row r="53" spans="1:12" ht="15" customHeight="1" x14ac:dyDescent="0.25">
      <c r="A53" s="759" t="s">
        <v>975</v>
      </c>
      <c r="B53" s="542"/>
      <c r="C53" s="443"/>
      <c r="D53" s="329">
        <v>9237</v>
      </c>
      <c r="E53" s="329"/>
      <c r="F53" s="29">
        <f t="shared" si="2"/>
        <v>9237</v>
      </c>
      <c r="G53" s="330"/>
      <c r="H53" s="29"/>
      <c r="I53" s="29"/>
      <c r="J53" s="29"/>
      <c r="K53" s="190">
        <f t="shared" si="3"/>
        <v>0</v>
      </c>
      <c r="L53" s="520">
        <f t="shared" si="4"/>
        <v>9237</v>
      </c>
    </row>
    <row r="54" spans="1:12" ht="15" customHeight="1" x14ac:dyDescent="0.25">
      <c r="A54" s="757" t="s">
        <v>976</v>
      </c>
      <c r="B54" s="542"/>
      <c r="C54" s="443"/>
      <c r="D54" s="329">
        <v>500</v>
      </c>
      <c r="E54" s="329"/>
      <c r="F54" s="29">
        <f t="shared" si="2"/>
        <v>500</v>
      </c>
      <c r="G54" s="330"/>
      <c r="H54" s="29"/>
      <c r="I54" s="29"/>
      <c r="J54" s="29"/>
      <c r="K54" s="190">
        <f t="shared" si="3"/>
        <v>0</v>
      </c>
      <c r="L54" s="520">
        <f t="shared" si="4"/>
        <v>500</v>
      </c>
    </row>
    <row r="55" spans="1:12" ht="30" customHeight="1" x14ac:dyDescent="0.25">
      <c r="A55" s="757" t="s">
        <v>986</v>
      </c>
      <c r="B55" s="755"/>
      <c r="C55" s="756"/>
      <c r="D55" s="328"/>
      <c r="E55" s="328"/>
      <c r="F55" s="29">
        <f t="shared" si="2"/>
        <v>0</v>
      </c>
      <c r="G55" s="29"/>
      <c r="H55" s="29"/>
      <c r="I55" s="29"/>
      <c r="J55" s="29"/>
      <c r="K55" s="190">
        <f t="shared" si="3"/>
        <v>0</v>
      </c>
      <c r="L55" s="520">
        <f t="shared" si="4"/>
        <v>0</v>
      </c>
    </row>
    <row r="56" spans="1:12" ht="15" customHeight="1" x14ac:dyDescent="0.25">
      <c r="A56" s="772" t="s">
        <v>678</v>
      </c>
      <c r="B56" s="767"/>
      <c r="C56" s="768"/>
      <c r="D56" s="322"/>
      <c r="E56" s="322"/>
      <c r="F56" s="29">
        <f t="shared" si="2"/>
        <v>0</v>
      </c>
      <c r="G56" s="324"/>
      <c r="H56" s="324"/>
      <c r="I56" s="324"/>
      <c r="J56" s="324"/>
      <c r="K56" s="190">
        <f t="shared" si="3"/>
        <v>0</v>
      </c>
      <c r="L56" s="519"/>
    </row>
    <row r="57" spans="1:12" ht="15" customHeight="1" x14ac:dyDescent="0.25">
      <c r="A57" s="773" t="s">
        <v>930</v>
      </c>
      <c r="B57" s="2302">
        <v>20000</v>
      </c>
      <c r="C57" s="758"/>
      <c r="D57" s="716"/>
      <c r="E57" s="716"/>
      <c r="F57" s="29">
        <f t="shared" si="2"/>
        <v>20000</v>
      </c>
      <c r="G57" s="717"/>
      <c r="H57" s="717"/>
      <c r="I57" s="324"/>
      <c r="J57" s="324"/>
      <c r="K57" s="190">
        <f t="shared" si="3"/>
        <v>0</v>
      </c>
      <c r="L57" s="519">
        <f t="shared" ref="L57:L67" si="5">K57+F57</f>
        <v>20000</v>
      </c>
    </row>
    <row r="58" spans="1:12" ht="30" customHeight="1" x14ac:dyDescent="0.25">
      <c r="A58" s="751" t="s">
        <v>931</v>
      </c>
      <c r="B58" s="543"/>
      <c r="C58" s="442"/>
      <c r="D58" s="329"/>
      <c r="E58" s="329"/>
      <c r="F58" s="29">
        <f t="shared" si="2"/>
        <v>0</v>
      </c>
      <c r="G58" s="330"/>
      <c r="H58" s="330"/>
      <c r="I58" s="29"/>
      <c r="J58" s="29"/>
      <c r="K58" s="190">
        <f t="shared" si="3"/>
        <v>0</v>
      </c>
      <c r="L58" s="520">
        <f t="shared" si="5"/>
        <v>0</v>
      </c>
    </row>
    <row r="59" spans="1:12" ht="15" customHeight="1" x14ac:dyDescent="0.25">
      <c r="A59" s="751" t="s">
        <v>932</v>
      </c>
      <c r="B59" s="543"/>
      <c r="C59" s="442"/>
      <c r="D59" s="329"/>
      <c r="E59" s="329"/>
      <c r="F59" s="29">
        <f t="shared" si="2"/>
        <v>0</v>
      </c>
      <c r="G59" s="330"/>
      <c r="H59" s="330"/>
      <c r="I59" s="29"/>
      <c r="J59" s="29"/>
      <c r="K59" s="190">
        <f t="shared" si="3"/>
        <v>0</v>
      </c>
      <c r="L59" s="520">
        <f t="shared" si="5"/>
        <v>0</v>
      </c>
    </row>
    <row r="60" spans="1:12" ht="15" customHeight="1" x14ac:dyDescent="0.25">
      <c r="A60" s="751" t="s">
        <v>974</v>
      </c>
      <c r="B60" s="543"/>
      <c r="C60" s="442"/>
      <c r="D60" s="329">
        <v>26</v>
      </c>
      <c r="E60" s="329"/>
      <c r="F60" s="29">
        <f t="shared" si="2"/>
        <v>26</v>
      </c>
      <c r="G60" s="330"/>
      <c r="H60" s="330"/>
      <c r="I60" s="29"/>
      <c r="J60" s="29"/>
      <c r="K60" s="190">
        <f t="shared" si="3"/>
        <v>0</v>
      </c>
      <c r="L60" s="520">
        <f t="shared" si="5"/>
        <v>26</v>
      </c>
    </row>
    <row r="61" spans="1:12" ht="45" customHeight="1" x14ac:dyDescent="0.25">
      <c r="A61" s="367" t="s">
        <v>2138</v>
      </c>
      <c r="B61" s="543"/>
      <c r="C61" s="442"/>
      <c r="D61" s="329">
        <v>25124</v>
      </c>
      <c r="E61" s="329"/>
      <c r="F61" s="29">
        <f t="shared" si="2"/>
        <v>25124</v>
      </c>
      <c r="G61" s="330"/>
      <c r="H61" s="330"/>
      <c r="I61" s="29"/>
      <c r="J61" s="29"/>
      <c r="K61" s="190">
        <f t="shared" si="3"/>
        <v>0</v>
      </c>
      <c r="L61" s="520">
        <f t="shared" si="5"/>
        <v>25124</v>
      </c>
    </row>
    <row r="62" spans="1:12" ht="15" customHeight="1" x14ac:dyDescent="0.25">
      <c r="A62" s="774" t="s">
        <v>929</v>
      </c>
      <c r="B62" s="543"/>
      <c r="C62" s="442"/>
      <c r="D62" s="329">
        <v>20000</v>
      </c>
      <c r="E62" s="329"/>
      <c r="F62" s="29">
        <f t="shared" si="2"/>
        <v>20000</v>
      </c>
      <c r="G62" s="330"/>
      <c r="H62" s="330"/>
      <c r="I62" s="29"/>
      <c r="J62" s="29"/>
      <c r="K62" s="190">
        <f t="shared" si="3"/>
        <v>0</v>
      </c>
      <c r="L62" s="520">
        <f t="shared" si="5"/>
        <v>20000</v>
      </c>
    </row>
    <row r="63" spans="1:12" ht="15" customHeight="1" x14ac:dyDescent="0.25">
      <c r="A63" s="775" t="s">
        <v>978</v>
      </c>
      <c r="B63" s="543"/>
      <c r="C63" s="442"/>
      <c r="D63" s="329">
        <v>12000</v>
      </c>
      <c r="E63" s="329"/>
      <c r="F63" s="29">
        <f t="shared" si="2"/>
        <v>12000</v>
      </c>
      <c r="G63" s="330"/>
      <c r="H63" s="330"/>
      <c r="I63" s="29"/>
      <c r="J63" s="29"/>
      <c r="K63" s="190">
        <f t="shared" si="3"/>
        <v>0</v>
      </c>
      <c r="L63" s="520">
        <f t="shared" si="5"/>
        <v>12000</v>
      </c>
    </row>
    <row r="64" spans="1:12" ht="15" customHeight="1" x14ac:dyDescent="0.25">
      <c r="A64" s="774" t="s">
        <v>980</v>
      </c>
      <c r="B64" s="543"/>
      <c r="C64" s="442"/>
      <c r="D64" s="329"/>
      <c r="E64" s="329"/>
      <c r="F64" s="29">
        <f t="shared" si="2"/>
        <v>0</v>
      </c>
      <c r="G64" s="330"/>
      <c r="H64" s="330"/>
      <c r="I64" s="29"/>
      <c r="J64" s="29"/>
      <c r="K64" s="190">
        <f t="shared" si="3"/>
        <v>0</v>
      </c>
      <c r="L64" s="520">
        <f t="shared" si="5"/>
        <v>0</v>
      </c>
    </row>
    <row r="65" spans="1:12" ht="15" customHeight="1" x14ac:dyDescent="0.25">
      <c r="A65" s="346" t="s">
        <v>981</v>
      </c>
      <c r="B65" s="543"/>
      <c r="C65" s="442"/>
      <c r="D65" s="329"/>
      <c r="E65" s="329"/>
      <c r="F65" s="29">
        <f t="shared" si="2"/>
        <v>0</v>
      </c>
      <c r="G65" s="330"/>
      <c r="H65" s="330"/>
      <c r="I65" s="29"/>
      <c r="J65" s="29"/>
      <c r="K65" s="190">
        <f t="shared" si="3"/>
        <v>0</v>
      </c>
      <c r="L65" s="520">
        <f t="shared" si="5"/>
        <v>0</v>
      </c>
    </row>
    <row r="66" spans="1:12" ht="15" customHeight="1" x14ac:dyDescent="0.25">
      <c r="A66" s="346" t="s">
        <v>2139</v>
      </c>
      <c r="B66" s="543"/>
      <c r="C66" s="442"/>
      <c r="D66" s="329"/>
      <c r="E66" s="329"/>
      <c r="F66" s="29">
        <f t="shared" si="2"/>
        <v>0</v>
      </c>
      <c r="G66" s="330"/>
      <c r="H66" s="330"/>
      <c r="I66" s="29"/>
      <c r="J66" s="29"/>
      <c r="K66" s="190">
        <f t="shared" si="3"/>
        <v>0</v>
      </c>
      <c r="L66" s="520">
        <f t="shared" si="5"/>
        <v>0</v>
      </c>
    </row>
    <row r="67" spans="1:12" ht="15" customHeight="1" x14ac:dyDescent="0.25">
      <c r="A67" s="346" t="s">
        <v>982</v>
      </c>
      <c r="B67" s="543"/>
      <c r="C67" s="442"/>
      <c r="D67" s="329"/>
      <c r="E67" s="329"/>
      <c r="F67" s="29">
        <f t="shared" si="2"/>
        <v>0</v>
      </c>
      <c r="G67" s="330"/>
      <c r="H67" s="330"/>
      <c r="I67" s="330"/>
      <c r="J67" s="330"/>
      <c r="K67" s="190">
        <f t="shared" si="3"/>
        <v>0</v>
      </c>
      <c r="L67" s="520">
        <f t="shared" si="5"/>
        <v>0</v>
      </c>
    </row>
    <row r="68" spans="1:12" s="128" customFormat="1" ht="15" customHeight="1" thickBot="1" x14ac:dyDescent="0.3">
      <c r="A68" s="776" t="s">
        <v>619</v>
      </c>
      <c r="B68" s="764">
        <f>SUM(B7:B67)</f>
        <v>20000</v>
      </c>
      <c r="C68" s="764">
        <f t="shared" ref="C68:L68" si="6">SUM(C7:C67)</f>
        <v>21745</v>
      </c>
      <c r="D68" s="764">
        <f t="shared" si="6"/>
        <v>103691</v>
      </c>
      <c r="E68" s="764">
        <f t="shared" si="6"/>
        <v>0</v>
      </c>
      <c r="F68" s="764">
        <f t="shared" si="6"/>
        <v>145436</v>
      </c>
      <c r="G68" s="764">
        <f t="shared" si="6"/>
        <v>0</v>
      </c>
      <c r="H68" s="764">
        <f t="shared" si="6"/>
        <v>48241</v>
      </c>
      <c r="I68" s="764">
        <f t="shared" si="6"/>
        <v>0</v>
      </c>
      <c r="J68" s="764">
        <f t="shared" si="6"/>
        <v>0</v>
      </c>
      <c r="K68" s="764">
        <f t="shared" si="6"/>
        <v>48241</v>
      </c>
      <c r="L68" s="777">
        <f t="shared" si="6"/>
        <v>193677</v>
      </c>
    </row>
    <row r="69" spans="1:12" s="128" customFormat="1" ht="15" customHeight="1" thickBot="1" x14ac:dyDescent="0.3">
      <c r="A69" s="413" t="s">
        <v>634</v>
      </c>
      <c r="B69" s="2351">
        <f>B6+B68</f>
        <v>20000</v>
      </c>
      <c r="C69" s="2470">
        <f t="shared" ref="C69:K69" si="7">C6+C68</f>
        <v>21745</v>
      </c>
      <c r="D69" s="325">
        <f t="shared" si="7"/>
        <v>103691</v>
      </c>
      <c r="E69" s="325">
        <f t="shared" si="7"/>
        <v>0</v>
      </c>
      <c r="F69" s="326">
        <f t="shared" si="7"/>
        <v>145436</v>
      </c>
      <c r="G69" s="326">
        <f t="shared" si="7"/>
        <v>0</v>
      </c>
      <c r="H69" s="326">
        <f t="shared" si="7"/>
        <v>48241</v>
      </c>
      <c r="I69" s="326">
        <f t="shared" si="7"/>
        <v>0</v>
      </c>
      <c r="J69" s="326">
        <f t="shared" si="7"/>
        <v>0</v>
      </c>
      <c r="K69" s="326">
        <f t="shared" si="7"/>
        <v>48241</v>
      </c>
      <c r="L69" s="521">
        <f>K69+F69</f>
        <v>193677</v>
      </c>
    </row>
    <row r="70" spans="1:12" x14ac:dyDescent="0.25">
      <c r="A70" s="2"/>
      <c r="B70" s="2"/>
      <c r="C70" s="2"/>
      <c r="D70" s="17"/>
      <c r="E70" s="17"/>
      <c r="F70" s="123"/>
      <c r="G70" s="17"/>
      <c r="H70" s="17"/>
      <c r="I70" s="17"/>
      <c r="J70" s="17"/>
      <c r="K70" s="123"/>
      <c r="L70" s="123"/>
    </row>
    <row r="71" spans="1:12" x14ac:dyDescent="0.25">
      <c r="A71" s="2"/>
      <c r="B71" s="2"/>
      <c r="C71" s="2"/>
      <c r="D71" s="17"/>
      <c r="E71" s="17"/>
      <c r="F71" s="123"/>
      <c r="G71" s="17"/>
      <c r="H71" s="17"/>
      <c r="I71" s="17"/>
      <c r="J71" s="17"/>
      <c r="K71" s="123"/>
      <c r="L71" s="123"/>
    </row>
    <row r="72" spans="1:12" x14ac:dyDescent="0.25">
      <c r="A72" s="2"/>
      <c r="B72" s="2"/>
      <c r="C72" s="2"/>
      <c r="D72" s="17"/>
      <c r="E72" s="17"/>
      <c r="F72" s="123"/>
      <c r="G72" s="17"/>
      <c r="H72" s="17"/>
      <c r="I72" s="17"/>
      <c r="J72" s="17"/>
      <c r="K72" s="123"/>
      <c r="L72" s="123"/>
    </row>
    <row r="73" spans="1:12" x14ac:dyDescent="0.25">
      <c r="A73" s="2"/>
      <c r="B73" s="2"/>
      <c r="C73" s="2"/>
      <c r="D73" s="17"/>
      <c r="E73" s="17"/>
      <c r="F73" s="123"/>
      <c r="G73" s="17"/>
      <c r="H73" s="17"/>
      <c r="I73" s="17"/>
      <c r="J73" s="17"/>
      <c r="K73" s="123"/>
      <c r="L73" s="123"/>
    </row>
    <row r="74" spans="1:12" x14ac:dyDescent="0.25">
      <c r="A74" s="2"/>
      <c r="B74" s="2"/>
      <c r="C74" s="2"/>
      <c r="D74" s="17"/>
      <c r="E74" s="17"/>
      <c r="F74" s="123"/>
      <c r="G74" s="17"/>
      <c r="H74" s="17"/>
      <c r="I74" s="17"/>
      <c r="J74" s="17"/>
      <c r="K74" s="123"/>
      <c r="L74" s="123"/>
    </row>
    <row r="75" spans="1:12" x14ac:dyDescent="0.25">
      <c r="A75" s="2"/>
      <c r="B75" s="2"/>
      <c r="C75" s="2"/>
      <c r="D75" s="17"/>
      <c r="E75" s="17"/>
      <c r="F75" s="123"/>
      <c r="G75" s="17"/>
      <c r="H75" s="17"/>
      <c r="I75" s="17"/>
      <c r="J75" s="17"/>
      <c r="K75" s="123"/>
      <c r="L75" s="123"/>
    </row>
    <row r="76" spans="1:12" x14ac:dyDescent="0.25">
      <c r="A76" s="2"/>
      <c r="B76" s="2"/>
      <c r="C76" s="2"/>
      <c r="D76" s="17"/>
      <c r="E76" s="17"/>
      <c r="F76" s="123"/>
      <c r="G76" s="17"/>
      <c r="H76" s="17"/>
      <c r="I76" s="17"/>
      <c r="J76" s="17"/>
      <c r="K76" s="123"/>
      <c r="L76" s="123"/>
    </row>
    <row r="77" spans="1:12" x14ac:dyDescent="0.25">
      <c r="A77" s="2"/>
      <c r="B77" s="2"/>
      <c r="C77" s="2"/>
      <c r="D77" s="17"/>
      <c r="E77" s="17"/>
      <c r="F77" s="123"/>
      <c r="G77" s="17"/>
      <c r="H77" s="17"/>
      <c r="I77" s="17"/>
      <c r="J77" s="17"/>
      <c r="K77" s="123"/>
      <c r="L77" s="123"/>
    </row>
    <row r="78" spans="1:12" x14ac:dyDescent="0.25">
      <c r="A78" s="2"/>
      <c r="B78" s="2"/>
      <c r="C78" s="2"/>
      <c r="D78" s="17"/>
      <c r="E78" s="17"/>
      <c r="F78" s="123"/>
      <c r="G78" s="17"/>
      <c r="H78" s="17"/>
      <c r="I78" s="17"/>
      <c r="J78" s="17"/>
      <c r="K78" s="123"/>
      <c r="L78" s="123"/>
    </row>
    <row r="79" spans="1:12" x14ac:dyDescent="0.25">
      <c r="A79" s="2"/>
      <c r="B79" s="2"/>
      <c r="C79" s="2"/>
      <c r="D79" s="17"/>
      <c r="E79" s="17"/>
      <c r="F79" s="123"/>
      <c r="G79" s="17"/>
      <c r="H79" s="17"/>
      <c r="I79" s="17"/>
      <c r="J79" s="17"/>
      <c r="K79" s="123"/>
      <c r="L79" s="123"/>
    </row>
    <row r="80" spans="1:12" x14ac:dyDescent="0.25">
      <c r="A80" s="2"/>
      <c r="B80" s="2"/>
      <c r="C80" s="2"/>
      <c r="D80" s="17"/>
      <c r="E80" s="17"/>
      <c r="F80" s="123"/>
      <c r="G80" s="17"/>
      <c r="H80" s="17"/>
      <c r="I80" s="17"/>
      <c r="J80" s="17"/>
      <c r="K80" s="123"/>
      <c r="L80" s="123"/>
    </row>
    <row r="81" spans="1:12" x14ac:dyDescent="0.25">
      <c r="A81" s="2"/>
      <c r="B81" s="2"/>
      <c r="C81" s="2"/>
      <c r="D81" s="17"/>
      <c r="E81" s="17"/>
      <c r="F81" s="123"/>
      <c r="G81" s="17"/>
      <c r="H81" s="17"/>
      <c r="I81" s="17"/>
      <c r="J81" s="17"/>
      <c r="K81" s="123"/>
      <c r="L81" s="123"/>
    </row>
    <row r="82" spans="1:12" x14ac:dyDescent="0.25">
      <c r="A82" s="2"/>
      <c r="B82" s="2"/>
      <c r="C82" s="2"/>
      <c r="D82" s="17"/>
      <c r="E82" s="17"/>
      <c r="F82" s="123"/>
      <c r="G82" s="17"/>
      <c r="H82" s="17"/>
      <c r="I82" s="17"/>
      <c r="J82" s="17"/>
      <c r="K82" s="123"/>
      <c r="L82" s="123"/>
    </row>
    <row r="83" spans="1:12" x14ac:dyDescent="0.25">
      <c r="A83" s="2"/>
      <c r="B83" s="2"/>
      <c r="C83" s="2"/>
      <c r="D83" s="17"/>
      <c r="E83" s="17"/>
      <c r="F83" s="123"/>
      <c r="G83" s="17"/>
      <c r="H83" s="17"/>
      <c r="I83" s="17"/>
      <c r="J83" s="17"/>
      <c r="K83" s="123"/>
      <c r="L83" s="123"/>
    </row>
    <row r="84" spans="1:12" x14ac:dyDescent="0.25">
      <c r="A84" s="2"/>
      <c r="B84" s="2"/>
      <c r="C84" s="2"/>
      <c r="D84" s="17"/>
      <c r="E84" s="17"/>
      <c r="F84" s="123"/>
      <c r="G84" s="17"/>
      <c r="H84" s="17"/>
      <c r="I84" s="17"/>
      <c r="J84" s="17"/>
      <c r="K84" s="123"/>
      <c r="L84" s="123"/>
    </row>
    <row r="85" spans="1:12" x14ac:dyDescent="0.25">
      <c r="A85" s="2"/>
      <c r="B85" s="2"/>
      <c r="C85" s="2"/>
      <c r="D85" s="17"/>
      <c r="E85" s="17"/>
      <c r="F85" s="123"/>
      <c r="G85" s="17"/>
      <c r="H85" s="17"/>
      <c r="I85" s="17"/>
      <c r="J85" s="17"/>
      <c r="K85" s="123"/>
      <c r="L85" s="123"/>
    </row>
    <row r="86" spans="1:12" x14ac:dyDescent="0.25">
      <c r="A86" s="2"/>
      <c r="B86" s="2"/>
      <c r="C86" s="2"/>
      <c r="D86" s="17"/>
      <c r="E86" s="17"/>
      <c r="F86" s="123"/>
      <c r="G86" s="17"/>
      <c r="H86" s="17"/>
      <c r="I86" s="17"/>
      <c r="J86" s="17"/>
      <c r="K86" s="123"/>
      <c r="L86" s="123"/>
    </row>
    <row r="87" spans="1:12" x14ac:dyDescent="0.25">
      <c r="A87" s="2"/>
      <c r="B87" s="2"/>
      <c r="C87" s="2"/>
      <c r="D87" s="17"/>
      <c r="E87" s="17"/>
      <c r="F87" s="123"/>
      <c r="G87" s="17"/>
      <c r="H87" s="17"/>
      <c r="I87" s="17"/>
      <c r="J87" s="17"/>
      <c r="K87" s="123"/>
      <c r="L87" s="123"/>
    </row>
    <row r="88" spans="1:12" x14ac:dyDescent="0.25">
      <c r="A88" s="2"/>
      <c r="B88" s="2"/>
      <c r="C88" s="2"/>
      <c r="D88" s="17"/>
      <c r="E88" s="17"/>
      <c r="F88" s="123"/>
      <c r="G88" s="17"/>
      <c r="H88" s="17"/>
      <c r="I88" s="17"/>
      <c r="J88" s="17"/>
      <c r="K88" s="123"/>
      <c r="L88" s="123"/>
    </row>
    <row r="89" spans="1:12" x14ac:dyDescent="0.25">
      <c r="A89" s="2"/>
      <c r="B89" s="2"/>
      <c r="C89" s="2"/>
      <c r="D89" s="17"/>
      <c r="E89" s="17"/>
      <c r="F89" s="123"/>
      <c r="G89" s="17"/>
      <c r="H89" s="17"/>
      <c r="I89" s="17"/>
      <c r="J89" s="17"/>
      <c r="K89" s="123"/>
      <c r="L89" s="123"/>
    </row>
    <row r="90" spans="1:12" x14ac:dyDescent="0.25">
      <c r="A90" s="2"/>
      <c r="B90" s="2"/>
      <c r="C90" s="2"/>
      <c r="D90" s="17"/>
      <c r="E90" s="17"/>
      <c r="F90" s="123"/>
      <c r="G90" s="17"/>
      <c r="H90" s="17"/>
      <c r="I90" s="17"/>
      <c r="J90" s="17"/>
      <c r="K90" s="123"/>
      <c r="L90" s="123"/>
    </row>
    <row r="91" spans="1:12" x14ac:dyDescent="0.25">
      <c r="A91" s="2"/>
      <c r="B91" s="2"/>
      <c r="C91" s="2"/>
      <c r="D91" s="17"/>
      <c r="E91" s="17"/>
      <c r="F91" s="123"/>
      <c r="G91" s="17"/>
      <c r="H91" s="17"/>
      <c r="I91" s="17"/>
      <c r="J91" s="17"/>
      <c r="K91" s="123"/>
      <c r="L91" s="123"/>
    </row>
  </sheetData>
  <printOptions horizontalCentered="1"/>
  <pageMargins left="0.39370078740157483" right="0.19685039370078741" top="0.62992125984251968" bottom="0.51181102362204722" header="0.15748031496062992" footer="0.15748031496062992"/>
  <pageSetup paperSize="9" scale="65" orientation="landscape" r:id="rId1"/>
  <headerFooter alignWithMargins="0">
    <oddHeader xml:space="preserve">&amp;C&amp;"Times New Roman,Félkövér" 2020. évi költségvetés
 Magdolna-Orczy Negyed Projekt
11604 cím kiadási előirányzat&amp;R&amp;"Times New Roman,Félkövér dőlt"11. melléklet a /2020. () 
önkormányzati rendelethez
ezer forintban
</oddHeader>
    <oddFooter xml:space="preserve">&amp;C
&amp;R
&amp;P
</oddFooter>
  </headerFooter>
  <rowBreaks count="1" manualBreakCount="1">
    <brk id="38"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G154"/>
  <sheetViews>
    <sheetView tabSelected="1" zoomScaleNormal="100" workbookViewId="0">
      <selection activeCell="G7" sqref="G7"/>
    </sheetView>
  </sheetViews>
  <sheetFormatPr defaultRowHeight="12.6" x14ac:dyDescent="0.25"/>
  <cols>
    <col min="1" max="1" width="38.6640625" customWidth="1"/>
    <col min="2" max="2" width="15.6640625" style="321" customWidth="1"/>
    <col min="3" max="7" width="15.6640625" style="316" customWidth="1"/>
  </cols>
  <sheetData>
    <row r="1" spans="1:7" s="110" customFormat="1" ht="64.95" customHeight="1" thickBot="1" x14ac:dyDescent="0.3">
      <c r="A1" s="409" t="s">
        <v>608</v>
      </c>
      <c r="B1" s="271" t="s">
        <v>711</v>
      </c>
      <c r="C1" s="191" t="s">
        <v>609</v>
      </c>
      <c r="D1" s="191" t="s">
        <v>610</v>
      </c>
      <c r="E1" s="271" t="s">
        <v>144</v>
      </c>
      <c r="F1" s="191" t="s">
        <v>611</v>
      </c>
      <c r="G1" s="391" t="s">
        <v>612</v>
      </c>
    </row>
    <row r="2" spans="1:7" s="110" customFormat="1" ht="19.95" customHeight="1" x14ac:dyDescent="0.25">
      <c r="A2" s="410" t="s">
        <v>613</v>
      </c>
      <c r="B2" s="300"/>
      <c r="C2" s="300"/>
      <c r="D2" s="300"/>
      <c r="E2" s="300"/>
      <c r="F2" s="300"/>
      <c r="G2" s="392">
        <f t="shared" ref="G2:G6" si="0">F2+C2</f>
        <v>0</v>
      </c>
    </row>
    <row r="3" spans="1:7" ht="19.95" customHeight="1" x14ac:dyDescent="0.25">
      <c r="A3" s="346"/>
      <c r="B3" s="302"/>
      <c r="C3" s="301">
        <f t="shared" ref="C3:C7" si="1">SUM(B3:B3)</f>
        <v>0</v>
      </c>
      <c r="D3" s="302">
        <v>0</v>
      </c>
      <c r="E3" s="302">
        <v>0</v>
      </c>
      <c r="F3" s="301">
        <f>SUM(D3:E3)</f>
        <v>0</v>
      </c>
      <c r="G3" s="393">
        <f t="shared" si="0"/>
        <v>0</v>
      </c>
    </row>
    <row r="4" spans="1:7" ht="19.95" customHeight="1" x14ac:dyDescent="0.25">
      <c r="A4" s="411" t="s">
        <v>618</v>
      </c>
      <c r="B4" s="302"/>
      <c r="C4" s="301"/>
      <c r="D4" s="302"/>
      <c r="E4" s="302"/>
      <c r="F4" s="301"/>
      <c r="G4" s="393">
        <f>F4+C4</f>
        <v>0</v>
      </c>
    </row>
    <row r="5" spans="1:7" ht="19.95" customHeight="1" x14ac:dyDescent="0.25">
      <c r="A5" s="346" t="s">
        <v>922</v>
      </c>
      <c r="B5" s="302"/>
      <c r="C5" s="301">
        <f t="shared" si="1"/>
        <v>0</v>
      </c>
      <c r="D5" s="302"/>
      <c r="E5" s="302"/>
      <c r="F5" s="301">
        <f>SUM(D5:E5)</f>
        <v>0</v>
      </c>
      <c r="G5" s="393">
        <f>F5+C5</f>
        <v>0</v>
      </c>
    </row>
    <row r="6" spans="1:7" ht="19.95" customHeight="1" x14ac:dyDescent="0.25">
      <c r="A6" s="346" t="s">
        <v>920</v>
      </c>
      <c r="B6" s="302"/>
      <c r="C6" s="301">
        <f t="shared" si="1"/>
        <v>0</v>
      </c>
      <c r="D6" s="302"/>
      <c r="E6" s="302">
        <v>0</v>
      </c>
      <c r="F6" s="301">
        <f>SUM(D6:E6)</f>
        <v>0</v>
      </c>
      <c r="G6" s="393">
        <f t="shared" si="0"/>
        <v>0</v>
      </c>
    </row>
    <row r="7" spans="1:7" ht="19.95" customHeight="1" x14ac:dyDescent="0.25">
      <c r="A7" s="751" t="s">
        <v>921</v>
      </c>
      <c r="B7" s="305"/>
      <c r="C7" s="301">
        <f t="shared" si="1"/>
        <v>0</v>
      </c>
      <c r="D7" s="305"/>
      <c r="E7" s="305"/>
      <c r="F7" s="301">
        <f>SUM(D7:E7)</f>
        <v>0</v>
      </c>
      <c r="G7" s="393">
        <f>F7+C7</f>
        <v>0</v>
      </c>
    </row>
    <row r="8" spans="1:7" ht="19.95" customHeight="1" x14ac:dyDescent="0.25">
      <c r="A8" s="751" t="s">
        <v>2357</v>
      </c>
      <c r="B8" s="305"/>
      <c r="C8" s="301">
        <f>SUM(B7:B7)</f>
        <v>0</v>
      </c>
      <c r="D8" s="305"/>
      <c r="E8" s="305"/>
      <c r="F8" s="301">
        <f>SUM(D8:E8)</f>
        <v>0</v>
      </c>
      <c r="G8" s="394">
        <v>189493</v>
      </c>
    </row>
    <row r="9" spans="1:7" s="110" customFormat="1" ht="19.95" customHeight="1" thickBot="1" x14ac:dyDescent="0.3">
      <c r="A9" s="412" t="s">
        <v>619</v>
      </c>
      <c r="B9" s="304">
        <f>SUM(B5:B7)</f>
        <v>0</v>
      </c>
      <c r="C9" s="304">
        <f>SUM(C5:C8)</f>
        <v>0</v>
      </c>
      <c r="D9" s="304">
        <f t="shared" ref="D9:F9" si="2">SUM(D5:D7)</f>
        <v>0</v>
      </c>
      <c r="E9" s="304">
        <f t="shared" si="2"/>
        <v>0</v>
      </c>
      <c r="F9" s="304">
        <f t="shared" si="2"/>
        <v>0</v>
      </c>
      <c r="G9" s="394">
        <v>189493</v>
      </c>
    </row>
    <row r="10" spans="1:7" s="110" customFormat="1" ht="19.95" customHeight="1" thickBot="1" x14ac:dyDescent="0.3">
      <c r="A10" s="413" t="s">
        <v>620</v>
      </c>
      <c r="B10" s="307">
        <f>B9</f>
        <v>0</v>
      </c>
      <c r="C10" s="307">
        <f t="shared" ref="C10:F10" si="3">C9</f>
        <v>0</v>
      </c>
      <c r="D10" s="307">
        <f t="shared" si="3"/>
        <v>0</v>
      </c>
      <c r="E10" s="307">
        <f t="shared" si="3"/>
        <v>0</v>
      </c>
      <c r="F10" s="307">
        <f t="shared" si="3"/>
        <v>0</v>
      </c>
      <c r="G10" s="395">
        <v>189493</v>
      </c>
    </row>
    <row r="11" spans="1:7" ht="13.2" x14ac:dyDescent="0.25">
      <c r="A11" s="2"/>
      <c r="B11" s="315"/>
    </row>
    <row r="12" spans="1:7" ht="13.2" x14ac:dyDescent="0.25">
      <c r="A12" s="20"/>
      <c r="B12" s="315"/>
    </row>
    <row r="13" spans="1:7" ht="13.2" x14ac:dyDescent="0.25">
      <c r="A13" s="20"/>
      <c r="B13" s="315"/>
    </row>
    <row r="14" spans="1:7" ht="13.2" x14ac:dyDescent="0.25">
      <c r="A14" s="20"/>
      <c r="B14" s="315"/>
    </row>
    <row r="15" spans="1:7" ht="13.2" x14ac:dyDescent="0.25">
      <c r="A15" s="20"/>
      <c r="B15" s="315"/>
    </row>
    <row r="16" spans="1:7" ht="13.2" x14ac:dyDescent="0.25">
      <c r="A16" s="20"/>
      <c r="B16" s="315"/>
    </row>
    <row r="17" spans="1:7" ht="13.2" x14ac:dyDescent="0.25">
      <c r="A17" s="317"/>
      <c r="B17" s="315"/>
    </row>
    <row r="18" spans="1:7" ht="13.2" x14ac:dyDescent="0.25">
      <c r="A18" s="317"/>
      <c r="B18" s="315"/>
      <c r="C18"/>
      <c r="D18"/>
      <c r="E18"/>
      <c r="F18"/>
      <c r="G18"/>
    </row>
    <row r="19" spans="1:7" ht="13.2" x14ac:dyDescent="0.25">
      <c r="A19" s="317"/>
      <c r="B19" s="315"/>
      <c r="C19"/>
      <c r="D19"/>
      <c r="E19"/>
      <c r="F19"/>
      <c r="G19"/>
    </row>
    <row r="20" spans="1:7" ht="13.2" x14ac:dyDescent="0.25">
      <c r="A20" s="317"/>
      <c r="B20" s="315"/>
      <c r="C20"/>
      <c r="D20"/>
      <c r="E20"/>
      <c r="F20"/>
      <c r="G20"/>
    </row>
    <row r="21" spans="1:7" ht="13.2" x14ac:dyDescent="0.25">
      <c r="A21" s="2295"/>
      <c r="B21" s="2292"/>
      <c r="C21"/>
      <c r="D21"/>
      <c r="E21"/>
      <c r="F21"/>
      <c r="G21"/>
    </row>
    <row r="22" spans="1:7" ht="13.2" x14ac:dyDescent="0.25">
      <c r="A22" s="2295"/>
      <c r="B22" s="2292"/>
      <c r="C22"/>
      <c r="D22"/>
      <c r="E22"/>
      <c r="F22"/>
      <c r="G22"/>
    </row>
    <row r="23" spans="1:7" ht="13.2" x14ac:dyDescent="0.25">
      <c r="A23" s="2295"/>
      <c r="B23" s="2292"/>
      <c r="C23"/>
      <c r="D23"/>
      <c r="E23"/>
      <c r="F23"/>
      <c r="G23"/>
    </row>
    <row r="24" spans="1:7" ht="13.2" x14ac:dyDescent="0.25">
      <c r="A24" s="2295"/>
      <c r="B24" s="2292"/>
      <c r="C24"/>
      <c r="D24"/>
      <c r="E24"/>
      <c r="F24"/>
      <c r="G24"/>
    </row>
    <row r="25" spans="1:7" ht="13.2" x14ac:dyDescent="0.25">
      <c r="A25" s="2295"/>
      <c r="B25" s="2292"/>
      <c r="C25"/>
      <c r="D25"/>
      <c r="E25"/>
      <c r="F25"/>
      <c r="G25"/>
    </row>
    <row r="26" spans="1:7" ht="13.2" x14ac:dyDescent="0.25">
      <c r="A26" s="2295"/>
      <c r="B26" s="2292"/>
      <c r="C26"/>
      <c r="D26"/>
      <c r="E26"/>
      <c r="F26"/>
      <c r="G26"/>
    </row>
    <row r="27" spans="1:7" ht="13.2" x14ac:dyDescent="0.25">
      <c r="A27" s="2295"/>
      <c r="B27" s="2292"/>
      <c r="C27"/>
      <c r="D27"/>
      <c r="E27"/>
      <c r="F27"/>
      <c r="G27"/>
    </row>
    <row r="28" spans="1:7" ht="13.2" x14ac:dyDescent="0.25">
      <c r="A28" s="2295"/>
      <c r="B28" s="2292"/>
      <c r="C28"/>
      <c r="D28"/>
      <c r="E28"/>
      <c r="F28"/>
      <c r="G28"/>
    </row>
    <row r="29" spans="1:7" ht="13.2" x14ac:dyDescent="0.25">
      <c r="A29" s="2295"/>
      <c r="B29" s="2292"/>
      <c r="C29"/>
      <c r="D29"/>
      <c r="E29"/>
      <c r="F29"/>
      <c r="G29"/>
    </row>
    <row r="30" spans="1:7" ht="13.2" x14ac:dyDescent="0.25">
      <c r="A30" s="2295"/>
      <c r="B30" s="2292"/>
      <c r="C30"/>
      <c r="D30"/>
      <c r="E30"/>
      <c r="F30"/>
      <c r="G30"/>
    </row>
    <row r="31" spans="1:7" ht="13.2" x14ac:dyDescent="0.25">
      <c r="A31" s="2295"/>
      <c r="B31" s="2292"/>
      <c r="C31"/>
      <c r="D31"/>
      <c r="E31"/>
      <c r="F31"/>
      <c r="G31"/>
    </row>
    <row r="32" spans="1:7" ht="13.2" x14ac:dyDescent="0.25">
      <c r="A32" s="2295"/>
      <c r="B32" s="2292"/>
      <c r="C32"/>
      <c r="D32"/>
      <c r="E32"/>
      <c r="F32"/>
      <c r="G32"/>
    </row>
    <row r="33" spans="1:7" ht="13.2" x14ac:dyDescent="0.25">
      <c r="A33" s="2295"/>
      <c r="B33" s="2292"/>
      <c r="C33"/>
      <c r="D33"/>
      <c r="E33"/>
      <c r="F33"/>
      <c r="G33"/>
    </row>
    <row r="34" spans="1:7" ht="13.2" x14ac:dyDescent="0.25">
      <c r="A34" s="2295"/>
      <c r="B34" s="2292"/>
      <c r="C34"/>
      <c r="D34"/>
      <c r="E34"/>
      <c r="F34"/>
      <c r="G34"/>
    </row>
    <row r="35" spans="1:7" ht="13.2" x14ac:dyDescent="0.25">
      <c r="A35" s="2295"/>
      <c r="B35" s="2292"/>
      <c r="C35"/>
      <c r="D35"/>
      <c r="E35"/>
      <c r="F35"/>
      <c r="G35"/>
    </row>
    <row r="36" spans="1:7" ht="13.2" x14ac:dyDescent="0.25">
      <c r="A36" s="2295"/>
      <c r="B36" s="2292"/>
      <c r="C36"/>
      <c r="D36"/>
      <c r="E36"/>
      <c r="F36"/>
      <c r="G36"/>
    </row>
    <row r="37" spans="1:7" ht="13.2" x14ac:dyDescent="0.25">
      <c r="A37" s="2295"/>
      <c r="B37" s="2292"/>
      <c r="C37"/>
      <c r="D37"/>
      <c r="E37"/>
      <c r="F37"/>
      <c r="G37"/>
    </row>
    <row r="38" spans="1:7" ht="13.2" x14ac:dyDescent="0.25">
      <c r="A38" s="2295"/>
      <c r="B38" s="2292"/>
      <c r="C38"/>
      <c r="D38"/>
      <c r="E38"/>
      <c r="F38"/>
      <c r="G38"/>
    </row>
    <row r="39" spans="1:7" ht="13.2" x14ac:dyDescent="0.25">
      <c r="A39" s="2295"/>
      <c r="B39" s="2292"/>
      <c r="C39"/>
      <c r="D39"/>
      <c r="E39"/>
      <c r="F39"/>
      <c r="G39"/>
    </row>
    <row r="40" spans="1:7" ht="13.2" x14ac:dyDescent="0.25">
      <c r="A40" s="2295"/>
      <c r="B40" s="2292"/>
      <c r="C40"/>
      <c r="D40"/>
      <c r="E40"/>
      <c r="F40"/>
      <c r="G40"/>
    </row>
    <row r="41" spans="1:7" ht="13.2" x14ac:dyDescent="0.25">
      <c r="A41" s="2295"/>
      <c r="B41" s="2292"/>
      <c r="C41"/>
      <c r="D41"/>
      <c r="E41"/>
      <c r="F41"/>
      <c r="G41"/>
    </row>
    <row r="42" spans="1:7" ht="13.2" x14ac:dyDescent="0.25">
      <c r="A42" s="2295"/>
      <c r="B42" s="2292"/>
      <c r="C42"/>
      <c r="D42"/>
      <c r="E42"/>
      <c r="F42"/>
      <c r="G42"/>
    </row>
    <row r="43" spans="1:7" ht="13.2" x14ac:dyDescent="0.25">
      <c r="A43" s="2295"/>
      <c r="B43" s="2292"/>
      <c r="C43"/>
      <c r="D43"/>
      <c r="E43"/>
      <c r="F43"/>
      <c r="G43"/>
    </row>
    <row r="44" spans="1:7" ht="13.2" x14ac:dyDescent="0.25">
      <c r="A44" s="2295"/>
      <c r="B44" s="2292"/>
      <c r="C44"/>
      <c r="D44"/>
      <c r="E44"/>
      <c r="F44"/>
      <c r="G44"/>
    </row>
    <row r="45" spans="1:7" ht="13.2" x14ac:dyDescent="0.25">
      <c r="A45" s="2295"/>
      <c r="B45" s="2292"/>
      <c r="C45"/>
      <c r="D45"/>
      <c r="E45"/>
      <c r="F45"/>
      <c r="G45"/>
    </row>
    <row r="46" spans="1:7" ht="13.2" x14ac:dyDescent="0.25">
      <c r="A46" s="2295"/>
      <c r="B46" s="2292"/>
      <c r="C46"/>
      <c r="D46"/>
      <c r="E46"/>
      <c r="F46"/>
      <c r="G46"/>
    </row>
    <row r="47" spans="1:7" ht="13.2" x14ac:dyDescent="0.25">
      <c r="A47" s="2295"/>
      <c r="B47" s="2292"/>
      <c r="C47"/>
      <c r="D47"/>
      <c r="E47"/>
      <c r="F47"/>
      <c r="G47"/>
    </row>
    <row r="48" spans="1:7" ht="13.2" x14ac:dyDescent="0.25">
      <c r="A48" s="2663"/>
      <c r="B48" s="2663"/>
      <c r="C48"/>
      <c r="D48"/>
      <c r="E48"/>
      <c r="F48"/>
      <c r="G48"/>
    </row>
    <row r="49" spans="1:7" ht="13.2" x14ac:dyDescent="0.25">
      <c r="A49" s="3"/>
      <c r="B49" s="2292"/>
      <c r="C49"/>
      <c r="D49"/>
      <c r="E49"/>
      <c r="F49"/>
      <c r="G49"/>
    </row>
    <row r="50" spans="1:7" ht="13.2" x14ac:dyDescent="0.25">
      <c r="A50" s="20"/>
      <c r="B50" s="315"/>
      <c r="C50"/>
      <c r="D50"/>
      <c r="E50"/>
      <c r="F50"/>
      <c r="G50"/>
    </row>
    <row r="51" spans="1:7" ht="13.2" x14ac:dyDescent="0.25">
      <c r="A51" s="20"/>
      <c r="B51" s="315"/>
      <c r="C51"/>
      <c r="D51"/>
      <c r="E51"/>
      <c r="F51"/>
      <c r="G51"/>
    </row>
    <row r="52" spans="1:7" ht="13.2" x14ac:dyDescent="0.25">
      <c r="A52" s="20"/>
      <c r="B52" s="315"/>
      <c r="C52"/>
      <c r="D52"/>
      <c r="E52"/>
      <c r="F52"/>
      <c r="G52"/>
    </row>
    <row r="53" spans="1:7" ht="13.2" x14ac:dyDescent="0.25">
      <c r="A53" s="20"/>
      <c r="B53" s="315"/>
      <c r="C53"/>
      <c r="D53"/>
      <c r="E53"/>
      <c r="F53"/>
      <c r="G53"/>
    </row>
    <row r="54" spans="1:7" ht="13.2" x14ac:dyDescent="0.25">
      <c r="A54" s="24"/>
      <c r="B54" s="315"/>
      <c r="C54"/>
      <c r="D54"/>
      <c r="E54"/>
      <c r="F54"/>
      <c r="G54"/>
    </row>
    <row r="55" spans="1:7" ht="56.25" customHeight="1" x14ac:dyDescent="0.25">
      <c r="A55" s="20"/>
      <c r="B55" s="315"/>
      <c r="C55"/>
      <c r="D55"/>
      <c r="E55"/>
      <c r="F55"/>
      <c r="G55"/>
    </row>
    <row r="56" spans="1:7" ht="13.2" x14ac:dyDescent="0.25">
      <c r="A56" s="20"/>
      <c r="B56" s="315"/>
      <c r="C56"/>
      <c r="D56"/>
      <c r="E56"/>
      <c r="F56"/>
      <c r="G56"/>
    </row>
    <row r="57" spans="1:7" ht="13.2" x14ac:dyDescent="0.25">
      <c r="A57" s="20"/>
      <c r="B57" s="315"/>
      <c r="C57"/>
      <c r="D57"/>
      <c r="E57"/>
      <c r="F57"/>
      <c r="G57"/>
    </row>
    <row r="58" spans="1:7" ht="13.2" x14ac:dyDescent="0.25">
      <c r="A58" s="20"/>
      <c r="B58" s="315"/>
      <c r="C58"/>
      <c r="D58"/>
      <c r="E58"/>
      <c r="F58"/>
      <c r="G58"/>
    </row>
    <row r="59" spans="1:7" ht="13.2" x14ac:dyDescent="0.25">
      <c r="A59" s="20"/>
      <c r="B59" s="315"/>
      <c r="C59"/>
      <c r="D59"/>
      <c r="E59"/>
      <c r="F59"/>
      <c r="G59"/>
    </row>
    <row r="60" spans="1:7" ht="13.2" x14ac:dyDescent="0.25">
      <c r="A60" s="20"/>
      <c r="B60" s="315"/>
      <c r="C60"/>
      <c r="D60"/>
      <c r="E60"/>
      <c r="F60"/>
      <c r="G60"/>
    </row>
    <row r="61" spans="1:7" ht="13.2" x14ac:dyDescent="0.25">
      <c r="A61" s="20"/>
      <c r="B61" s="315"/>
      <c r="C61"/>
      <c r="D61"/>
      <c r="E61"/>
      <c r="F61"/>
      <c r="G61"/>
    </row>
    <row r="62" spans="1:7" ht="13.2" x14ac:dyDescent="0.25">
      <c r="A62" s="20"/>
      <c r="B62" s="315"/>
      <c r="C62"/>
      <c r="D62"/>
      <c r="E62"/>
      <c r="F62"/>
      <c r="G62"/>
    </row>
    <row r="63" spans="1:7" ht="13.2" x14ac:dyDescent="0.25">
      <c r="A63" s="24"/>
      <c r="B63" s="315"/>
      <c r="C63"/>
      <c r="D63"/>
      <c r="E63"/>
      <c r="F63"/>
      <c r="G63"/>
    </row>
    <row r="64" spans="1:7" ht="13.2" x14ac:dyDescent="0.25">
      <c r="A64" s="20"/>
      <c r="B64" s="315"/>
      <c r="C64"/>
      <c r="D64"/>
      <c r="E64"/>
      <c r="F64"/>
      <c r="G64"/>
    </row>
    <row r="65" spans="1:7" ht="13.2" x14ac:dyDescent="0.25">
      <c r="A65" s="20"/>
      <c r="B65" s="315"/>
      <c r="C65"/>
      <c r="D65"/>
      <c r="E65"/>
      <c r="F65"/>
      <c r="G65"/>
    </row>
    <row r="66" spans="1:7" ht="13.2" x14ac:dyDescent="0.25">
      <c r="A66" s="20"/>
      <c r="B66" s="315"/>
      <c r="C66"/>
      <c r="D66"/>
      <c r="E66"/>
      <c r="F66"/>
      <c r="G66"/>
    </row>
    <row r="67" spans="1:7" ht="13.2" x14ac:dyDescent="0.25">
      <c r="A67" s="20"/>
      <c r="B67" s="315"/>
      <c r="C67"/>
      <c r="D67"/>
      <c r="E67"/>
      <c r="F67"/>
      <c r="G67"/>
    </row>
    <row r="68" spans="1:7" ht="13.2" x14ac:dyDescent="0.25">
      <c r="A68" s="20"/>
      <c r="B68" s="315"/>
      <c r="C68"/>
      <c r="D68"/>
      <c r="E68"/>
      <c r="F68"/>
      <c r="G68"/>
    </row>
    <row r="69" spans="1:7" ht="13.2" x14ac:dyDescent="0.25">
      <c r="A69" s="20"/>
      <c r="B69" s="315"/>
      <c r="C69"/>
      <c r="D69"/>
      <c r="E69"/>
      <c r="F69"/>
      <c r="G69"/>
    </row>
    <row r="70" spans="1:7" ht="13.2" x14ac:dyDescent="0.25">
      <c r="A70" s="20"/>
      <c r="B70" s="315"/>
      <c r="C70"/>
      <c r="D70"/>
      <c r="E70"/>
      <c r="F70"/>
      <c r="G70"/>
    </row>
    <row r="71" spans="1:7" ht="13.2" x14ac:dyDescent="0.25">
      <c r="A71" s="20"/>
      <c r="B71" s="315"/>
      <c r="C71"/>
      <c r="D71"/>
      <c r="E71"/>
      <c r="F71"/>
      <c r="G71"/>
    </row>
    <row r="72" spans="1:7" ht="13.2" x14ac:dyDescent="0.25">
      <c r="A72" s="2"/>
      <c r="B72" s="315"/>
      <c r="C72"/>
      <c r="D72"/>
      <c r="E72"/>
      <c r="F72"/>
      <c r="G72"/>
    </row>
    <row r="73" spans="1:7" ht="13.2" x14ac:dyDescent="0.25">
      <c r="A73" s="2"/>
      <c r="B73" s="315"/>
      <c r="C73"/>
      <c r="D73"/>
      <c r="E73"/>
      <c r="F73"/>
      <c r="G73"/>
    </row>
    <row r="74" spans="1:7" ht="13.2" x14ac:dyDescent="0.25">
      <c r="A74" s="2"/>
      <c r="B74" s="315"/>
      <c r="C74"/>
      <c r="D74"/>
      <c r="E74"/>
      <c r="F74"/>
      <c r="G74"/>
    </row>
    <row r="75" spans="1:7" ht="13.2" x14ac:dyDescent="0.25">
      <c r="A75" s="2"/>
      <c r="B75" s="315"/>
      <c r="C75"/>
      <c r="D75"/>
      <c r="E75"/>
      <c r="F75"/>
      <c r="G75"/>
    </row>
    <row r="76" spans="1:7" ht="13.2" x14ac:dyDescent="0.25">
      <c r="A76" s="2"/>
      <c r="B76" s="315"/>
      <c r="C76"/>
      <c r="D76"/>
      <c r="E76"/>
      <c r="F76"/>
      <c r="G76"/>
    </row>
    <row r="77" spans="1:7" ht="13.2" x14ac:dyDescent="0.25">
      <c r="A77" s="2"/>
      <c r="B77" s="315"/>
      <c r="C77"/>
      <c r="D77"/>
      <c r="E77"/>
      <c r="F77"/>
      <c r="G77"/>
    </row>
    <row r="78" spans="1:7" ht="13.2" x14ac:dyDescent="0.25">
      <c r="A78" s="2"/>
      <c r="B78" s="315"/>
      <c r="C78"/>
      <c r="D78"/>
      <c r="E78"/>
      <c r="F78"/>
      <c r="G78"/>
    </row>
    <row r="79" spans="1:7" ht="13.2" x14ac:dyDescent="0.25">
      <c r="A79" s="2"/>
      <c r="B79" s="315"/>
      <c r="C79"/>
      <c r="D79"/>
      <c r="E79"/>
      <c r="F79"/>
      <c r="G79"/>
    </row>
    <row r="80" spans="1:7" ht="13.2" x14ac:dyDescent="0.25">
      <c r="A80" s="2"/>
      <c r="B80" s="315"/>
      <c r="C80"/>
      <c r="D80"/>
      <c r="E80"/>
      <c r="F80"/>
      <c r="G80"/>
    </row>
    <row r="81" spans="1:7" ht="13.2" x14ac:dyDescent="0.25">
      <c r="A81" s="2"/>
      <c r="B81" s="315"/>
      <c r="C81"/>
      <c r="D81"/>
      <c r="E81"/>
      <c r="F81"/>
      <c r="G81"/>
    </row>
    <row r="82" spans="1:7" ht="13.2" x14ac:dyDescent="0.25">
      <c r="A82" s="2"/>
      <c r="B82" s="315"/>
      <c r="C82"/>
      <c r="D82"/>
      <c r="E82"/>
      <c r="F82"/>
      <c r="G82"/>
    </row>
    <row r="83" spans="1:7" ht="13.2" x14ac:dyDescent="0.25">
      <c r="A83" s="2"/>
      <c r="B83" s="315"/>
      <c r="C83"/>
      <c r="D83"/>
      <c r="E83"/>
      <c r="F83"/>
      <c r="G83"/>
    </row>
    <row r="84" spans="1:7" ht="13.2" x14ac:dyDescent="0.25">
      <c r="A84" s="2"/>
      <c r="B84" s="315"/>
      <c r="C84"/>
      <c r="D84"/>
      <c r="E84"/>
      <c r="F84"/>
      <c r="G84"/>
    </row>
    <row r="85" spans="1:7" ht="13.2" x14ac:dyDescent="0.25">
      <c r="A85" s="2"/>
      <c r="B85" s="315"/>
      <c r="C85"/>
      <c r="D85"/>
      <c r="E85"/>
      <c r="F85"/>
      <c r="G85"/>
    </row>
    <row r="86" spans="1:7" ht="13.2" x14ac:dyDescent="0.25">
      <c r="A86" s="2"/>
      <c r="B86" s="315"/>
      <c r="C86"/>
      <c r="D86"/>
      <c r="E86"/>
      <c r="F86"/>
      <c r="G86"/>
    </row>
    <row r="87" spans="1:7" ht="13.2" x14ac:dyDescent="0.25">
      <c r="A87" s="2"/>
      <c r="B87" s="315"/>
      <c r="C87"/>
      <c r="D87"/>
      <c r="E87"/>
      <c r="F87"/>
      <c r="G87"/>
    </row>
    <row r="88" spans="1:7" ht="13.2" x14ac:dyDescent="0.25">
      <c r="A88" s="2"/>
      <c r="B88" s="315"/>
      <c r="C88"/>
      <c r="D88"/>
      <c r="E88"/>
      <c r="F88"/>
      <c r="G88"/>
    </row>
    <row r="89" spans="1:7" ht="13.2" x14ac:dyDescent="0.25">
      <c r="A89" s="2"/>
      <c r="B89" s="315"/>
      <c r="C89"/>
      <c r="D89"/>
      <c r="E89"/>
      <c r="F89"/>
      <c r="G89"/>
    </row>
    <row r="90" spans="1:7" ht="13.2" x14ac:dyDescent="0.25">
      <c r="A90" s="2"/>
      <c r="B90" s="315"/>
      <c r="C90"/>
      <c r="D90"/>
      <c r="E90"/>
      <c r="F90"/>
      <c r="G90"/>
    </row>
    <row r="91" spans="1:7" ht="13.2" x14ac:dyDescent="0.25">
      <c r="A91" s="2"/>
      <c r="B91" s="315"/>
      <c r="C91"/>
      <c r="D91"/>
      <c r="E91"/>
      <c r="F91"/>
      <c r="G91"/>
    </row>
    <row r="92" spans="1:7" ht="13.2" x14ac:dyDescent="0.25">
      <c r="A92" s="2"/>
      <c r="B92" s="315"/>
      <c r="C92"/>
      <c r="D92"/>
      <c r="E92"/>
      <c r="F92"/>
      <c r="G92"/>
    </row>
    <row r="93" spans="1:7" ht="13.2" x14ac:dyDescent="0.25">
      <c r="A93" s="2"/>
      <c r="B93" s="315"/>
      <c r="C93"/>
      <c r="D93"/>
      <c r="E93"/>
      <c r="F93"/>
      <c r="G93"/>
    </row>
    <row r="94" spans="1:7" ht="13.2" x14ac:dyDescent="0.25">
      <c r="A94" s="2"/>
      <c r="B94" s="315"/>
      <c r="C94"/>
      <c r="D94"/>
      <c r="E94"/>
      <c r="F94"/>
      <c r="G94"/>
    </row>
    <row r="95" spans="1:7" ht="13.2" x14ac:dyDescent="0.25">
      <c r="A95" s="2"/>
      <c r="B95" s="315"/>
      <c r="C95"/>
      <c r="D95"/>
      <c r="E95"/>
      <c r="F95"/>
      <c r="G95"/>
    </row>
    <row r="96" spans="1:7" ht="13.2" x14ac:dyDescent="0.25">
      <c r="A96" s="2"/>
      <c r="B96" s="315"/>
      <c r="C96"/>
      <c r="D96"/>
      <c r="E96"/>
      <c r="F96"/>
      <c r="G96"/>
    </row>
    <row r="97" spans="1:7" ht="13.2" x14ac:dyDescent="0.25">
      <c r="A97" s="2"/>
      <c r="B97" s="315"/>
      <c r="C97"/>
      <c r="D97"/>
      <c r="E97"/>
      <c r="F97"/>
      <c r="G97"/>
    </row>
    <row r="98" spans="1:7" ht="13.2" x14ac:dyDescent="0.25">
      <c r="A98" s="2"/>
      <c r="B98" s="315"/>
      <c r="C98"/>
      <c r="D98"/>
      <c r="E98"/>
      <c r="F98"/>
      <c r="G98"/>
    </row>
    <row r="99" spans="1:7" ht="13.2" x14ac:dyDescent="0.25">
      <c r="A99" s="2"/>
      <c r="B99" s="315"/>
      <c r="C99"/>
      <c r="D99"/>
      <c r="E99"/>
      <c r="F99"/>
      <c r="G99"/>
    </row>
    <row r="100" spans="1:7" ht="13.2" x14ac:dyDescent="0.25">
      <c r="A100" s="2"/>
      <c r="B100" s="315"/>
      <c r="C100"/>
      <c r="D100"/>
      <c r="E100"/>
      <c r="F100"/>
      <c r="G100"/>
    </row>
    <row r="101" spans="1:7" ht="13.2" x14ac:dyDescent="0.25">
      <c r="A101" s="2"/>
      <c r="B101" s="315"/>
      <c r="C101"/>
      <c r="D101"/>
      <c r="E101"/>
      <c r="F101"/>
      <c r="G101"/>
    </row>
    <row r="102" spans="1:7" ht="13.2" x14ac:dyDescent="0.25">
      <c r="A102" s="2"/>
      <c r="B102" s="315"/>
      <c r="C102"/>
      <c r="D102"/>
      <c r="E102"/>
      <c r="F102"/>
      <c r="G102"/>
    </row>
    <row r="103" spans="1:7" ht="13.2" x14ac:dyDescent="0.25">
      <c r="A103" s="20"/>
      <c r="B103" s="315"/>
      <c r="C103"/>
      <c r="D103"/>
      <c r="E103"/>
      <c r="F103"/>
      <c r="G103"/>
    </row>
    <row r="104" spans="1:7" ht="13.2" x14ac:dyDescent="0.25">
      <c r="A104" s="20"/>
      <c r="B104" s="315"/>
      <c r="C104"/>
      <c r="D104"/>
      <c r="E104"/>
      <c r="F104"/>
      <c r="G104"/>
    </row>
    <row r="105" spans="1:7" ht="13.2" x14ac:dyDescent="0.25">
      <c r="A105" s="20"/>
      <c r="B105" s="315"/>
      <c r="C105"/>
      <c r="D105"/>
      <c r="E105"/>
      <c r="F105"/>
      <c r="G105"/>
    </row>
    <row r="106" spans="1:7" ht="13.2" x14ac:dyDescent="0.25">
      <c r="A106" s="20"/>
      <c r="B106" s="315"/>
      <c r="C106"/>
      <c r="D106"/>
      <c r="E106"/>
      <c r="F106"/>
      <c r="G106"/>
    </row>
    <row r="107" spans="1:7" ht="13.2" x14ac:dyDescent="0.25">
      <c r="A107" s="20"/>
      <c r="B107" s="315"/>
      <c r="C107"/>
      <c r="D107"/>
      <c r="E107"/>
      <c r="F107"/>
      <c r="G107"/>
    </row>
    <row r="108" spans="1:7" ht="13.2" x14ac:dyDescent="0.25">
      <c r="A108" s="20"/>
      <c r="B108" s="315"/>
      <c r="C108"/>
      <c r="D108"/>
      <c r="E108"/>
      <c r="F108"/>
      <c r="G108"/>
    </row>
    <row r="109" spans="1:7" ht="13.2" x14ac:dyDescent="0.25">
      <c r="A109" s="20"/>
      <c r="B109" s="315"/>
      <c r="C109"/>
      <c r="D109"/>
      <c r="E109"/>
      <c r="F109"/>
      <c r="G109"/>
    </row>
    <row r="110" spans="1:7" ht="13.2" x14ac:dyDescent="0.25">
      <c r="A110" s="20"/>
      <c r="B110" s="315"/>
      <c r="C110"/>
      <c r="D110"/>
      <c r="E110"/>
      <c r="F110"/>
      <c r="G110"/>
    </row>
    <row r="111" spans="1:7" ht="13.2" x14ac:dyDescent="0.25">
      <c r="A111" s="20"/>
      <c r="B111" s="315"/>
      <c r="C111"/>
      <c r="D111"/>
      <c r="E111"/>
      <c r="F111"/>
      <c r="G111"/>
    </row>
    <row r="112" spans="1:7" ht="13.2" x14ac:dyDescent="0.25">
      <c r="A112" s="20"/>
      <c r="B112" s="315"/>
      <c r="C112"/>
      <c r="D112"/>
      <c r="E112"/>
      <c r="F112"/>
      <c r="G112"/>
    </row>
    <row r="113" spans="1:7" ht="13.2" x14ac:dyDescent="0.25">
      <c r="A113" s="20"/>
      <c r="B113" s="315"/>
      <c r="C113"/>
      <c r="D113"/>
      <c r="E113"/>
      <c r="F113"/>
      <c r="G113"/>
    </row>
    <row r="114" spans="1:7" ht="13.2" x14ac:dyDescent="0.25">
      <c r="A114" s="20"/>
      <c r="B114" s="315"/>
      <c r="C114"/>
      <c r="D114"/>
      <c r="E114"/>
      <c r="F114"/>
      <c r="G114"/>
    </row>
    <row r="115" spans="1:7" ht="13.2" x14ac:dyDescent="0.25">
      <c r="A115" s="20"/>
      <c r="B115" s="315"/>
      <c r="C115"/>
      <c r="D115"/>
      <c r="E115"/>
      <c r="F115"/>
      <c r="G115"/>
    </row>
    <row r="116" spans="1:7" ht="13.2" x14ac:dyDescent="0.25">
      <c r="A116" s="20"/>
      <c r="B116" s="315"/>
      <c r="C116"/>
      <c r="D116"/>
      <c r="E116"/>
      <c r="F116"/>
      <c r="G116"/>
    </row>
    <row r="117" spans="1:7" ht="13.2" x14ac:dyDescent="0.25">
      <c r="A117" s="20"/>
      <c r="B117" s="315"/>
      <c r="C117"/>
      <c r="D117"/>
      <c r="E117"/>
      <c r="F117"/>
      <c r="G117"/>
    </row>
    <row r="118" spans="1:7" ht="13.2" x14ac:dyDescent="0.25">
      <c r="A118" s="20"/>
      <c r="B118" s="315"/>
      <c r="C118"/>
      <c r="D118"/>
      <c r="E118"/>
      <c r="F118"/>
      <c r="G118"/>
    </row>
    <row r="119" spans="1:7" ht="13.2" x14ac:dyDescent="0.25">
      <c r="A119" s="20"/>
      <c r="B119" s="315"/>
      <c r="C119"/>
      <c r="D119"/>
      <c r="E119"/>
      <c r="F119"/>
      <c r="G119"/>
    </row>
    <row r="120" spans="1:7" ht="13.2" x14ac:dyDescent="0.25">
      <c r="A120" s="20"/>
      <c r="B120" s="315"/>
      <c r="C120"/>
      <c r="D120"/>
      <c r="E120"/>
      <c r="F120"/>
      <c r="G120"/>
    </row>
    <row r="121" spans="1:7" ht="13.2" x14ac:dyDescent="0.25">
      <c r="A121" s="20"/>
      <c r="B121" s="315"/>
      <c r="C121"/>
      <c r="D121"/>
      <c r="E121"/>
      <c r="F121"/>
      <c r="G121"/>
    </row>
    <row r="122" spans="1:7" ht="13.2" x14ac:dyDescent="0.25">
      <c r="A122" s="20"/>
      <c r="B122" s="315"/>
      <c r="C122"/>
      <c r="D122"/>
      <c r="E122"/>
      <c r="F122"/>
      <c r="G122"/>
    </row>
    <row r="123" spans="1:7" ht="13.2" x14ac:dyDescent="0.25">
      <c r="A123" s="20"/>
      <c r="B123" s="315"/>
      <c r="C123"/>
      <c r="D123"/>
      <c r="E123"/>
      <c r="F123"/>
      <c r="G123"/>
    </row>
    <row r="124" spans="1:7" ht="13.2" x14ac:dyDescent="0.25">
      <c r="A124" s="20"/>
      <c r="B124" s="315"/>
      <c r="C124"/>
      <c r="D124"/>
      <c r="E124"/>
      <c r="F124"/>
      <c r="G124"/>
    </row>
    <row r="125" spans="1:7" ht="13.2" x14ac:dyDescent="0.25">
      <c r="A125" s="20"/>
      <c r="B125" s="315"/>
      <c r="C125"/>
      <c r="D125"/>
      <c r="E125"/>
      <c r="F125"/>
      <c r="G125"/>
    </row>
    <row r="126" spans="1:7" ht="13.2" x14ac:dyDescent="0.25">
      <c r="A126" s="20"/>
      <c r="B126" s="315"/>
      <c r="C126"/>
      <c r="D126"/>
      <c r="E126"/>
      <c r="F126"/>
      <c r="G126"/>
    </row>
    <row r="127" spans="1:7" ht="13.2" x14ac:dyDescent="0.25">
      <c r="A127" s="20"/>
      <c r="B127" s="315"/>
      <c r="C127"/>
      <c r="D127"/>
      <c r="E127"/>
      <c r="F127"/>
      <c r="G127"/>
    </row>
    <row r="128" spans="1:7" ht="13.2" x14ac:dyDescent="0.25">
      <c r="A128" s="20"/>
      <c r="B128" s="315"/>
      <c r="C128"/>
      <c r="D128"/>
      <c r="E128"/>
      <c r="F128"/>
      <c r="G128"/>
    </row>
    <row r="129" spans="1:7" ht="13.2" x14ac:dyDescent="0.25">
      <c r="A129" s="20"/>
      <c r="B129" s="315"/>
      <c r="C129"/>
      <c r="D129"/>
      <c r="E129"/>
      <c r="F129"/>
      <c r="G129"/>
    </row>
    <row r="130" spans="1:7" ht="13.2" x14ac:dyDescent="0.25">
      <c r="A130" s="20"/>
      <c r="B130" s="315"/>
      <c r="C130"/>
      <c r="D130"/>
      <c r="E130"/>
      <c r="F130"/>
      <c r="G130"/>
    </row>
    <row r="131" spans="1:7" ht="13.2" x14ac:dyDescent="0.25">
      <c r="A131" s="20"/>
      <c r="B131" s="315"/>
      <c r="C131"/>
      <c r="D131"/>
      <c r="E131"/>
      <c r="F131"/>
      <c r="G131"/>
    </row>
    <row r="132" spans="1:7" ht="13.2" x14ac:dyDescent="0.25">
      <c r="A132" s="20"/>
      <c r="B132" s="315"/>
      <c r="C132"/>
      <c r="D132"/>
      <c r="E132"/>
      <c r="F132"/>
      <c r="G132"/>
    </row>
    <row r="133" spans="1:7" ht="13.2" x14ac:dyDescent="0.25">
      <c r="A133" s="20"/>
      <c r="B133" s="315"/>
      <c r="C133"/>
      <c r="D133"/>
      <c r="E133"/>
      <c r="F133"/>
      <c r="G133"/>
    </row>
    <row r="134" spans="1:7" ht="13.2" x14ac:dyDescent="0.25">
      <c r="A134" s="20"/>
      <c r="B134" s="315"/>
      <c r="C134"/>
      <c r="D134"/>
      <c r="E134"/>
      <c r="F134"/>
      <c r="G134"/>
    </row>
    <row r="135" spans="1:7" ht="13.2" x14ac:dyDescent="0.25">
      <c r="A135" s="20"/>
      <c r="B135" s="315"/>
      <c r="C135"/>
      <c r="D135"/>
      <c r="E135"/>
      <c r="F135"/>
      <c r="G135"/>
    </row>
    <row r="136" spans="1:7" ht="13.2" x14ac:dyDescent="0.25">
      <c r="A136" s="20"/>
      <c r="B136" s="315"/>
      <c r="C136"/>
      <c r="D136"/>
      <c r="E136"/>
      <c r="F136"/>
      <c r="G136"/>
    </row>
    <row r="137" spans="1:7" ht="13.2" x14ac:dyDescent="0.25">
      <c r="A137" s="20"/>
      <c r="B137" s="315"/>
      <c r="C137"/>
      <c r="D137"/>
      <c r="E137"/>
      <c r="F137"/>
      <c r="G137"/>
    </row>
    <row r="138" spans="1:7" ht="13.2" x14ac:dyDescent="0.25">
      <c r="A138" s="317"/>
      <c r="B138" s="2292"/>
      <c r="C138"/>
      <c r="D138"/>
      <c r="E138"/>
      <c r="F138"/>
      <c r="G138"/>
    </row>
    <row r="139" spans="1:7" ht="13.2" x14ac:dyDescent="0.25">
      <c r="A139" s="317"/>
      <c r="B139" s="319"/>
      <c r="C139"/>
      <c r="D139"/>
      <c r="E139"/>
      <c r="F139"/>
      <c r="G139"/>
    </row>
    <row r="140" spans="1:7" ht="13.2" x14ac:dyDescent="0.25">
      <c r="A140" s="317"/>
      <c r="B140" s="319"/>
      <c r="C140"/>
      <c r="D140"/>
      <c r="E140"/>
      <c r="F140"/>
      <c r="G140"/>
    </row>
    <row r="141" spans="1:7" ht="13.2" x14ac:dyDescent="0.25">
      <c r="A141" s="317"/>
      <c r="B141" s="319"/>
      <c r="C141"/>
      <c r="D141"/>
      <c r="E141"/>
      <c r="F141"/>
      <c r="G141"/>
    </row>
    <row r="142" spans="1:7" x14ac:dyDescent="0.25">
      <c r="A142" s="320"/>
      <c r="B142" s="319"/>
      <c r="C142"/>
      <c r="D142"/>
      <c r="E142"/>
      <c r="F142"/>
      <c r="G142"/>
    </row>
    <row r="143" spans="1:7" x14ac:dyDescent="0.25">
      <c r="A143" s="320"/>
      <c r="B143" s="319"/>
      <c r="C143"/>
      <c r="D143"/>
      <c r="E143"/>
      <c r="F143"/>
      <c r="G143"/>
    </row>
    <row r="144" spans="1:7" x14ac:dyDescent="0.25">
      <c r="A144" s="320"/>
      <c r="B144" s="319"/>
      <c r="C144"/>
      <c r="D144"/>
      <c r="E144"/>
      <c r="F144"/>
      <c r="G144"/>
    </row>
    <row r="145" spans="1:7" x14ac:dyDescent="0.25">
      <c r="A145" s="320"/>
      <c r="B145" s="319"/>
      <c r="C145"/>
      <c r="D145"/>
      <c r="E145"/>
      <c r="F145"/>
      <c r="G145"/>
    </row>
    <row r="146" spans="1:7" x14ac:dyDescent="0.25">
      <c r="A146" s="320"/>
      <c r="B146" s="319"/>
      <c r="C146"/>
      <c r="D146"/>
      <c r="E146"/>
      <c r="F146"/>
      <c r="G146"/>
    </row>
    <row r="147" spans="1:7" x14ac:dyDescent="0.25">
      <c r="A147" s="320"/>
      <c r="B147" s="319"/>
      <c r="C147"/>
      <c r="D147"/>
      <c r="E147"/>
      <c r="F147"/>
      <c r="G147"/>
    </row>
    <row r="148" spans="1:7" x14ac:dyDescent="0.25">
      <c r="A148" s="320"/>
      <c r="B148" s="319"/>
      <c r="C148"/>
      <c r="D148"/>
      <c r="E148"/>
      <c r="F148"/>
      <c r="G148"/>
    </row>
    <row r="149" spans="1:7" x14ac:dyDescent="0.25">
      <c r="A149" s="320"/>
      <c r="B149" s="319"/>
      <c r="C149"/>
      <c r="D149"/>
      <c r="E149"/>
      <c r="F149"/>
      <c r="G149"/>
    </row>
    <row r="150" spans="1:7" x14ac:dyDescent="0.25">
      <c r="A150" s="320"/>
      <c r="B150" s="319"/>
      <c r="C150"/>
      <c r="D150"/>
      <c r="E150"/>
      <c r="F150"/>
      <c r="G150"/>
    </row>
    <row r="151" spans="1:7" x14ac:dyDescent="0.25">
      <c r="A151" s="320"/>
      <c r="B151" s="319"/>
      <c r="C151"/>
      <c r="D151"/>
      <c r="E151"/>
      <c r="F151"/>
      <c r="G151"/>
    </row>
    <row r="152" spans="1:7" x14ac:dyDescent="0.25">
      <c r="A152" s="320"/>
      <c r="B152" s="319"/>
      <c r="C152"/>
      <c r="D152"/>
      <c r="E152"/>
      <c r="F152"/>
      <c r="G152"/>
    </row>
    <row r="153" spans="1:7" x14ac:dyDescent="0.25">
      <c r="A153" s="320"/>
      <c r="B153" s="319"/>
      <c r="C153"/>
      <c r="D153"/>
      <c r="E153"/>
      <c r="F153"/>
      <c r="G153"/>
    </row>
    <row r="154" spans="1:7" x14ac:dyDescent="0.25">
      <c r="A154" s="320"/>
      <c r="B154" s="319"/>
      <c r="C154"/>
      <c r="D154"/>
      <c r="E154"/>
      <c r="F154"/>
      <c r="G154"/>
    </row>
  </sheetData>
  <mergeCells count="1">
    <mergeCell ref="A48:B48"/>
  </mergeCells>
  <printOptions horizontalCentered="1"/>
  <pageMargins left="0.19685039370078741" right="0.19685039370078741" top="0.98425196850393704" bottom="0.35433070866141736" header="0.19685039370078741" footer="0.19685039370078741"/>
  <pageSetup paperSize="9" orientation="landscape" r:id="rId1"/>
  <headerFooter alignWithMargins="0">
    <oddHeader xml:space="preserve">&amp;C&amp;"Times New Roman,Félkövér"2020. évi költségvetés 
TÉR_KÖZ pályázat és egyéb fejlesztési projektek
11605 cím bevételi előiányzat&amp;R&amp;"Times New Roman,Félkövér dőlt"12. melléklet a /2020. () 
önk.rendelethez
ezer forintban&amp;"Times New Roman,Normál"
</oddHeader>
    <oddFooter>&amp;R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61"/>
  <sheetViews>
    <sheetView zoomScaleNormal="100" workbookViewId="0">
      <pane xSplit="1" ySplit="1" topLeftCell="B44" activePane="bottomRight" state="frozen"/>
      <selection pane="topRight" activeCell="B1" sqref="B1"/>
      <selection pane="bottomLeft" activeCell="A3" sqref="A3"/>
      <selection pane="bottomRight" activeCell="A58" sqref="A58"/>
    </sheetView>
  </sheetViews>
  <sheetFormatPr defaultColWidth="9.109375" defaultRowHeight="13.2" x14ac:dyDescent="0.25"/>
  <cols>
    <col min="1" max="1" width="38.6640625" style="92" customWidth="1"/>
    <col min="2" max="5" width="15.6640625" style="103" customWidth="1"/>
    <col min="6" max="6" width="15.6640625" style="107" customWidth="1"/>
    <col min="7" max="9" width="15.6640625" style="103" customWidth="1"/>
    <col min="10" max="11" width="15.6640625" style="107" customWidth="1"/>
    <col min="12" max="16384" width="9.109375" style="127"/>
  </cols>
  <sheetData>
    <row r="1" spans="1:11" s="128" customFormat="1" ht="64.95" customHeight="1" thickBot="1" x14ac:dyDescent="0.3">
      <c r="A1" s="299" t="s">
        <v>608</v>
      </c>
      <c r="B1" s="477" t="s">
        <v>87</v>
      </c>
      <c r="C1" s="191" t="s">
        <v>89</v>
      </c>
      <c r="D1" s="191" t="s">
        <v>91</v>
      </c>
      <c r="E1" s="191" t="s">
        <v>102</v>
      </c>
      <c r="F1" s="191" t="s">
        <v>621</v>
      </c>
      <c r="G1" s="191" t="s">
        <v>106</v>
      </c>
      <c r="H1" s="191" t="s">
        <v>108</v>
      </c>
      <c r="I1" s="191" t="s">
        <v>114</v>
      </c>
      <c r="J1" s="191" t="s">
        <v>622</v>
      </c>
      <c r="K1" s="749" t="s">
        <v>623</v>
      </c>
    </row>
    <row r="2" spans="1:11" s="369" customFormat="1" ht="30" customHeight="1" thickBot="1" x14ac:dyDescent="0.3">
      <c r="A2" s="408" t="s">
        <v>680</v>
      </c>
      <c r="B2" s="404">
        <v>0</v>
      </c>
      <c r="C2" s="405"/>
      <c r="D2" s="405"/>
      <c r="E2" s="405"/>
      <c r="F2" s="405">
        <f>SUM(B2:E2)</f>
        <v>0</v>
      </c>
      <c r="G2" s="405"/>
      <c r="H2" s="405"/>
      <c r="I2" s="405"/>
      <c r="J2" s="405">
        <f>SUM(G2:I2)</f>
        <v>0</v>
      </c>
      <c r="K2" s="750">
        <f>J2+F2</f>
        <v>0</v>
      </c>
    </row>
    <row r="3" spans="1:11" s="369" customFormat="1" ht="19.95" customHeight="1" thickBot="1" x14ac:dyDescent="0.3">
      <c r="A3" s="406" t="s">
        <v>2070</v>
      </c>
      <c r="B3" s="404">
        <f>SUM(B5:B25)</f>
        <v>0</v>
      </c>
      <c r="C3" s="404">
        <f t="shared" ref="C3:K3" si="0">SUM(C5:C25)</f>
        <v>0</v>
      </c>
      <c r="D3" s="404">
        <f t="shared" si="0"/>
        <v>0</v>
      </c>
      <c r="E3" s="404">
        <f t="shared" si="0"/>
        <v>0</v>
      </c>
      <c r="F3" s="404">
        <f t="shared" si="0"/>
        <v>0</v>
      </c>
      <c r="G3" s="404">
        <f t="shared" si="0"/>
        <v>0</v>
      </c>
      <c r="H3" s="404">
        <f t="shared" si="0"/>
        <v>0</v>
      </c>
      <c r="I3" s="404">
        <f t="shared" si="0"/>
        <v>0</v>
      </c>
      <c r="J3" s="404">
        <f t="shared" si="0"/>
        <v>0</v>
      </c>
      <c r="K3" s="2453">
        <f t="shared" si="0"/>
        <v>0</v>
      </c>
    </row>
    <row r="4" spans="1:11" s="128" customFormat="1" ht="15" customHeight="1" x14ac:dyDescent="0.25">
      <c r="A4" s="327" t="s">
        <v>678</v>
      </c>
      <c r="B4" s="2303"/>
      <c r="C4" s="2304"/>
      <c r="D4" s="2304"/>
      <c r="E4" s="2304"/>
      <c r="F4" s="2304"/>
      <c r="G4" s="2304"/>
      <c r="H4" s="2304"/>
      <c r="I4" s="2304"/>
      <c r="J4" s="2304"/>
      <c r="K4" s="2305"/>
    </row>
    <row r="5" spans="1:11" ht="15" customHeight="1" x14ac:dyDescent="0.25">
      <c r="A5" s="310" t="s">
        <v>2071</v>
      </c>
      <c r="B5" s="2306"/>
      <c r="C5" s="331"/>
      <c r="D5" s="331"/>
      <c r="E5" s="331"/>
      <c r="F5" s="2307">
        <f>SUM(B5:E5)</f>
        <v>0</v>
      </c>
      <c r="G5" s="331"/>
      <c r="H5" s="331"/>
      <c r="I5" s="331"/>
      <c r="J5" s="2307">
        <f t="shared" ref="J5:J25" si="1">SUM(G5:I5)</f>
        <v>0</v>
      </c>
      <c r="K5" s="2308">
        <f t="shared" ref="K5:K25" si="2">J5+F5</f>
        <v>0</v>
      </c>
    </row>
    <row r="6" spans="1:11" ht="15" customHeight="1" x14ac:dyDescent="0.25">
      <c r="A6" s="310" t="s">
        <v>2072</v>
      </c>
      <c r="B6" s="2306"/>
      <c r="C6" s="331"/>
      <c r="D6" s="331"/>
      <c r="E6" s="331"/>
      <c r="F6" s="2307">
        <f>SUM(B6:E6)</f>
        <v>0</v>
      </c>
      <c r="G6" s="331"/>
      <c r="H6" s="331"/>
      <c r="I6" s="331"/>
      <c r="J6" s="2307">
        <f t="shared" si="1"/>
        <v>0</v>
      </c>
      <c r="K6" s="2308">
        <f t="shared" si="2"/>
        <v>0</v>
      </c>
    </row>
    <row r="7" spans="1:11" ht="15" customHeight="1" x14ac:dyDescent="0.25">
      <c r="A7" s="310" t="s">
        <v>2073</v>
      </c>
      <c r="B7" s="2306"/>
      <c r="C7" s="331"/>
      <c r="D7" s="331"/>
      <c r="E7" s="331"/>
      <c r="F7" s="2307">
        <f t="shared" ref="F7:F25" si="3">SUM(B7:E7)</f>
        <v>0</v>
      </c>
      <c r="G7" s="331"/>
      <c r="H7" s="331"/>
      <c r="I7" s="331"/>
      <c r="J7" s="2307">
        <f t="shared" si="1"/>
        <v>0</v>
      </c>
      <c r="K7" s="2308">
        <f t="shared" si="2"/>
        <v>0</v>
      </c>
    </row>
    <row r="8" spans="1:11" ht="15" customHeight="1" x14ac:dyDescent="0.25">
      <c r="A8" s="310" t="s">
        <v>2074</v>
      </c>
      <c r="B8" s="2306"/>
      <c r="C8" s="331"/>
      <c r="D8" s="331"/>
      <c r="E8" s="331"/>
      <c r="F8" s="2307">
        <f t="shared" si="3"/>
        <v>0</v>
      </c>
      <c r="G8" s="331"/>
      <c r="H8" s="331"/>
      <c r="I8" s="331"/>
      <c r="J8" s="2307">
        <f t="shared" si="1"/>
        <v>0</v>
      </c>
      <c r="K8" s="2308">
        <f t="shared" si="2"/>
        <v>0</v>
      </c>
    </row>
    <row r="9" spans="1:11" ht="15" customHeight="1" x14ac:dyDescent="0.25">
      <c r="A9" s="310" t="s">
        <v>2075</v>
      </c>
      <c r="B9" s="2306"/>
      <c r="C9" s="331"/>
      <c r="D9" s="331"/>
      <c r="E9" s="331"/>
      <c r="F9" s="2307">
        <f t="shared" si="3"/>
        <v>0</v>
      </c>
      <c r="G9" s="331"/>
      <c r="H9" s="331"/>
      <c r="I9" s="331"/>
      <c r="J9" s="2307">
        <f t="shared" si="1"/>
        <v>0</v>
      </c>
      <c r="K9" s="2308">
        <f t="shared" si="2"/>
        <v>0</v>
      </c>
    </row>
    <row r="10" spans="1:11" ht="15" customHeight="1" x14ac:dyDescent="0.25">
      <c r="A10" s="310" t="s">
        <v>704</v>
      </c>
      <c r="B10" s="2306"/>
      <c r="C10" s="331"/>
      <c r="D10" s="331"/>
      <c r="E10" s="331"/>
      <c r="F10" s="2307">
        <f t="shared" si="3"/>
        <v>0</v>
      </c>
      <c r="G10" s="331"/>
      <c r="H10" s="331"/>
      <c r="I10" s="331"/>
      <c r="J10" s="2307">
        <f t="shared" si="1"/>
        <v>0</v>
      </c>
      <c r="K10" s="2308">
        <f t="shared" si="2"/>
        <v>0</v>
      </c>
    </row>
    <row r="11" spans="1:11" ht="15" customHeight="1" x14ac:dyDescent="0.25">
      <c r="A11" s="310" t="s">
        <v>2076</v>
      </c>
      <c r="B11" s="2306"/>
      <c r="C11" s="331"/>
      <c r="D11" s="331"/>
      <c r="E11" s="331"/>
      <c r="F11" s="2307">
        <f t="shared" si="3"/>
        <v>0</v>
      </c>
      <c r="G11" s="331"/>
      <c r="H11" s="331"/>
      <c r="I11" s="331"/>
      <c r="J11" s="2307">
        <f t="shared" si="1"/>
        <v>0</v>
      </c>
      <c r="K11" s="2308">
        <f t="shared" si="2"/>
        <v>0</v>
      </c>
    </row>
    <row r="12" spans="1:11" ht="15" customHeight="1" x14ac:dyDescent="0.25">
      <c r="A12" s="310" t="s">
        <v>2077</v>
      </c>
      <c r="B12" s="2306"/>
      <c r="C12" s="331"/>
      <c r="D12" s="331"/>
      <c r="E12" s="331"/>
      <c r="F12" s="2307">
        <f t="shared" si="3"/>
        <v>0</v>
      </c>
      <c r="G12" s="331"/>
      <c r="H12" s="331"/>
      <c r="I12" s="331"/>
      <c r="J12" s="2307">
        <f t="shared" si="1"/>
        <v>0</v>
      </c>
      <c r="K12" s="2308">
        <f t="shared" si="2"/>
        <v>0</v>
      </c>
    </row>
    <row r="13" spans="1:11" ht="15" customHeight="1" x14ac:dyDescent="0.25">
      <c r="A13" s="310" t="s">
        <v>2078</v>
      </c>
      <c r="B13" s="2306"/>
      <c r="C13" s="331"/>
      <c r="D13" s="331"/>
      <c r="E13" s="331"/>
      <c r="F13" s="2307">
        <f t="shared" si="3"/>
        <v>0</v>
      </c>
      <c r="G13" s="331"/>
      <c r="H13" s="331"/>
      <c r="I13" s="331"/>
      <c r="J13" s="2307">
        <f t="shared" si="1"/>
        <v>0</v>
      </c>
      <c r="K13" s="2308">
        <f t="shared" si="2"/>
        <v>0</v>
      </c>
    </row>
    <row r="14" spans="1:11" ht="15" customHeight="1" x14ac:dyDescent="0.25">
      <c r="A14" s="310" t="s">
        <v>705</v>
      </c>
      <c r="B14" s="2306"/>
      <c r="C14" s="331"/>
      <c r="D14" s="331"/>
      <c r="E14" s="331"/>
      <c r="F14" s="2307">
        <f t="shared" si="3"/>
        <v>0</v>
      </c>
      <c r="G14" s="331"/>
      <c r="H14" s="331"/>
      <c r="I14" s="331"/>
      <c r="J14" s="2307">
        <f t="shared" si="1"/>
        <v>0</v>
      </c>
      <c r="K14" s="2308">
        <f t="shared" si="2"/>
        <v>0</v>
      </c>
    </row>
    <row r="15" spans="1:11" ht="15" customHeight="1" x14ac:dyDescent="0.25">
      <c r="A15" s="402" t="s">
        <v>706</v>
      </c>
      <c r="B15" s="2306"/>
      <c r="C15" s="331"/>
      <c r="D15" s="331"/>
      <c r="E15" s="331"/>
      <c r="F15" s="2307">
        <f t="shared" si="3"/>
        <v>0</v>
      </c>
      <c r="G15" s="331"/>
      <c r="H15" s="331"/>
      <c r="I15" s="331"/>
      <c r="J15" s="2307">
        <f t="shared" si="1"/>
        <v>0</v>
      </c>
      <c r="K15" s="2308">
        <f t="shared" si="2"/>
        <v>0</v>
      </c>
    </row>
    <row r="16" spans="1:11" ht="15" customHeight="1" x14ac:dyDescent="0.25">
      <c r="A16" s="310" t="s">
        <v>2071</v>
      </c>
      <c r="B16" s="2306"/>
      <c r="C16" s="331"/>
      <c r="D16" s="331"/>
      <c r="E16" s="331"/>
      <c r="F16" s="2307">
        <f t="shared" si="3"/>
        <v>0</v>
      </c>
      <c r="G16" s="331"/>
      <c r="H16" s="331"/>
      <c r="I16" s="331"/>
      <c r="J16" s="2307">
        <f t="shared" si="1"/>
        <v>0</v>
      </c>
      <c r="K16" s="2308">
        <f t="shared" si="2"/>
        <v>0</v>
      </c>
    </row>
    <row r="17" spans="1:11" ht="15" customHeight="1" x14ac:dyDescent="0.25">
      <c r="A17" s="310" t="s">
        <v>2072</v>
      </c>
      <c r="B17" s="2306"/>
      <c r="C17" s="331"/>
      <c r="D17" s="331"/>
      <c r="E17" s="331"/>
      <c r="F17" s="2307">
        <f t="shared" si="3"/>
        <v>0</v>
      </c>
      <c r="G17" s="331"/>
      <c r="H17" s="331"/>
      <c r="I17" s="331"/>
      <c r="J17" s="2307">
        <f t="shared" si="1"/>
        <v>0</v>
      </c>
      <c r="K17" s="2308">
        <f t="shared" si="2"/>
        <v>0</v>
      </c>
    </row>
    <row r="18" spans="1:11" ht="15" customHeight="1" x14ac:dyDescent="0.25">
      <c r="A18" s="310" t="s">
        <v>2073</v>
      </c>
      <c r="B18" s="2306"/>
      <c r="C18" s="331"/>
      <c r="D18" s="331"/>
      <c r="E18" s="331"/>
      <c r="F18" s="2307">
        <f t="shared" si="3"/>
        <v>0</v>
      </c>
      <c r="G18" s="331"/>
      <c r="H18" s="331"/>
      <c r="I18" s="331"/>
      <c r="J18" s="2307">
        <f t="shared" si="1"/>
        <v>0</v>
      </c>
      <c r="K18" s="2308">
        <f t="shared" si="2"/>
        <v>0</v>
      </c>
    </row>
    <row r="19" spans="1:11" ht="15" customHeight="1" x14ac:dyDescent="0.25">
      <c r="A19" s="310" t="s">
        <v>2074</v>
      </c>
      <c r="B19" s="2306"/>
      <c r="C19" s="331"/>
      <c r="D19" s="331"/>
      <c r="E19" s="331"/>
      <c r="F19" s="2307">
        <f t="shared" si="3"/>
        <v>0</v>
      </c>
      <c r="G19" s="331"/>
      <c r="H19" s="331"/>
      <c r="I19" s="331"/>
      <c r="J19" s="2307">
        <f t="shared" si="1"/>
        <v>0</v>
      </c>
      <c r="K19" s="2308">
        <f t="shared" si="2"/>
        <v>0</v>
      </c>
    </row>
    <row r="20" spans="1:11" ht="15" customHeight="1" x14ac:dyDescent="0.25">
      <c r="A20" s="310" t="s">
        <v>2075</v>
      </c>
      <c r="B20" s="2306"/>
      <c r="C20" s="331"/>
      <c r="D20" s="331"/>
      <c r="E20" s="331"/>
      <c r="F20" s="2307">
        <f t="shared" si="3"/>
        <v>0</v>
      </c>
      <c r="G20" s="331"/>
      <c r="H20" s="331"/>
      <c r="I20" s="331"/>
      <c r="J20" s="2307">
        <f t="shared" si="1"/>
        <v>0</v>
      </c>
      <c r="K20" s="2308">
        <f t="shared" si="2"/>
        <v>0</v>
      </c>
    </row>
    <row r="21" spans="1:11" ht="15" customHeight="1" x14ac:dyDescent="0.25">
      <c r="A21" s="310" t="s">
        <v>704</v>
      </c>
      <c r="B21" s="2306"/>
      <c r="C21" s="331"/>
      <c r="D21" s="331"/>
      <c r="E21" s="331"/>
      <c r="F21" s="2307">
        <f t="shared" si="3"/>
        <v>0</v>
      </c>
      <c r="G21" s="331"/>
      <c r="H21" s="331"/>
      <c r="I21" s="331"/>
      <c r="J21" s="2307">
        <f t="shared" si="1"/>
        <v>0</v>
      </c>
      <c r="K21" s="2308">
        <f t="shared" si="2"/>
        <v>0</v>
      </c>
    </row>
    <row r="22" spans="1:11" ht="15" customHeight="1" x14ac:dyDescent="0.25">
      <c r="A22" s="310" t="s">
        <v>2076</v>
      </c>
      <c r="B22" s="2306"/>
      <c r="C22" s="331"/>
      <c r="D22" s="331"/>
      <c r="E22" s="331"/>
      <c r="F22" s="2307">
        <f t="shared" si="3"/>
        <v>0</v>
      </c>
      <c r="G22" s="331"/>
      <c r="H22" s="331"/>
      <c r="I22" s="331"/>
      <c r="J22" s="2307">
        <f t="shared" si="1"/>
        <v>0</v>
      </c>
      <c r="K22" s="2308">
        <f t="shared" si="2"/>
        <v>0</v>
      </c>
    </row>
    <row r="23" spans="1:11" ht="15" customHeight="1" x14ac:dyDescent="0.25">
      <c r="A23" s="310" t="s">
        <v>2077</v>
      </c>
      <c r="B23" s="2306"/>
      <c r="C23" s="331"/>
      <c r="D23" s="331"/>
      <c r="E23" s="331"/>
      <c r="F23" s="2307">
        <f t="shared" si="3"/>
        <v>0</v>
      </c>
      <c r="G23" s="331"/>
      <c r="H23" s="331"/>
      <c r="I23" s="331"/>
      <c r="J23" s="2307">
        <f t="shared" si="1"/>
        <v>0</v>
      </c>
      <c r="K23" s="2308">
        <f t="shared" si="2"/>
        <v>0</v>
      </c>
    </row>
    <row r="24" spans="1:11" ht="15" customHeight="1" x14ac:dyDescent="0.25">
      <c r="A24" s="310" t="s">
        <v>2078</v>
      </c>
      <c r="B24" s="2306"/>
      <c r="C24" s="331"/>
      <c r="D24" s="331"/>
      <c r="E24" s="331"/>
      <c r="F24" s="2307">
        <f t="shared" si="3"/>
        <v>0</v>
      </c>
      <c r="G24" s="331"/>
      <c r="H24" s="331"/>
      <c r="I24" s="331"/>
      <c r="J24" s="2307">
        <f t="shared" si="1"/>
        <v>0</v>
      </c>
      <c r="K24" s="2308">
        <f t="shared" si="2"/>
        <v>0</v>
      </c>
    </row>
    <row r="25" spans="1:11" ht="15" customHeight="1" thickBot="1" x14ac:dyDescent="0.3">
      <c r="A25" s="403" t="s">
        <v>705</v>
      </c>
      <c r="B25" s="2309"/>
      <c r="C25" s="2310"/>
      <c r="D25" s="2310"/>
      <c r="E25" s="2310"/>
      <c r="F25" s="2311">
        <f t="shared" si="3"/>
        <v>0</v>
      </c>
      <c r="G25" s="2310"/>
      <c r="H25" s="2310"/>
      <c r="I25" s="2310"/>
      <c r="J25" s="2311">
        <f t="shared" si="1"/>
        <v>0</v>
      </c>
      <c r="K25" s="2312">
        <f t="shared" si="2"/>
        <v>0</v>
      </c>
    </row>
    <row r="26" spans="1:11" s="369" customFormat="1" ht="20.100000000000001" customHeight="1" thickBot="1" x14ac:dyDescent="0.3">
      <c r="A26" s="406" t="s">
        <v>920</v>
      </c>
      <c r="B26" s="404">
        <f>SUM(B28:B43)</f>
        <v>0</v>
      </c>
      <c r="C26" s="404">
        <f t="shared" ref="C26:K26" si="4">SUM(C28:C43)</f>
        <v>0</v>
      </c>
      <c r="D26" s="404">
        <f t="shared" si="4"/>
        <v>0</v>
      </c>
      <c r="E26" s="404">
        <f t="shared" si="4"/>
        <v>0</v>
      </c>
      <c r="F26" s="404">
        <f t="shared" si="4"/>
        <v>0</v>
      </c>
      <c r="G26" s="404">
        <f t="shared" si="4"/>
        <v>0</v>
      </c>
      <c r="H26" s="404">
        <f t="shared" si="4"/>
        <v>0</v>
      </c>
      <c r="I26" s="404">
        <f t="shared" si="4"/>
        <v>0</v>
      </c>
      <c r="J26" s="404">
        <f t="shared" si="4"/>
        <v>0</v>
      </c>
      <c r="K26" s="2453">
        <f t="shared" si="4"/>
        <v>0</v>
      </c>
    </row>
    <row r="27" spans="1:11" s="128" customFormat="1" ht="15" customHeight="1" x14ac:dyDescent="0.25">
      <c r="A27" s="327" t="s">
        <v>678</v>
      </c>
      <c r="B27" s="407"/>
      <c r="C27" s="323"/>
      <c r="D27" s="323"/>
      <c r="E27" s="323"/>
      <c r="F27" s="323"/>
      <c r="G27" s="323"/>
      <c r="H27" s="323"/>
      <c r="I27" s="323"/>
      <c r="J27" s="323"/>
      <c r="K27" s="468"/>
    </row>
    <row r="28" spans="1:11" s="128" customFormat="1" ht="30" customHeight="1" x14ac:dyDescent="0.25">
      <c r="A28" s="310" t="s">
        <v>707</v>
      </c>
      <c r="B28" s="328"/>
      <c r="C28" s="29"/>
      <c r="D28" s="29"/>
      <c r="E28" s="29"/>
      <c r="F28" s="2340">
        <f t="shared" ref="F28:F60" si="5">SUM(B28:E28)</f>
        <v>0</v>
      </c>
      <c r="G28" s="29"/>
      <c r="H28" s="29"/>
      <c r="I28" s="29"/>
      <c r="J28" s="2340">
        <f t="shared" ref="J28:J60" si="6">SUM(G28:I28)</f>
        <v>0</v>
      </c>
      <c r="K28" s="748">
        <f t="shared" ref="K28:K60" si="7">J28+F28</f>
        <v>0</v>
      </c>
    </row>
    <row r="29" spans="1:11" s="128" customFormat="1" ht="15" customHeight="1" x14ac:dyDescent="0.25">
      <c r="A29" s="310" t="s">
        <v>923</v>
      </c>
      <c r="B29" s="328"/>
      <c r="C29" s="29"/>
      <c r="D29" s="29"/>
      <c r="E29" s="29"/>
      <c r="F29" s="2340">
        <f t="shared" si="5"/>
        <v>0</v>
      </c>
      <c r="G29" s="29"/>
      <c r="H29" s="29"/>
      <c r="I29" s="29"/>
      <c r="J29" s="2340">
        <f t="shared" si="6"/>
        <v>0</v>
      </c>
      <c r="K29" s="748">
        <f t="shared" si="7"/>
        <v>0</v>
      </c>
    </row>
    <row r="30" spans="1:11" s="128" customFormat="1" ht="15" customHeight="1" x14ac:dyDescent="0.25">
      <c r="A30" s="310" t="s">
        <v>708</v>
      </c>
      <c r="B30" s="328"/>
      <c r="C30" s="29"/>
      <c r="D30" s="29"/>
      <c r="E30" s="29"/>
      <c r="F30" s="2340">
        <f t="shared" si="5"/>
        <v>0</v>
      </c>
      <c r="G30" s="29"/>
      <c r="H30" s="29"/>
      <c r="I30" s="29"/>
      <c r="J30" s="2340">
        <f t="shared" si="6"/>
        <v>0</v>
      </c>
      <c r="K30" s="748">
        <f t="shared" si="7"/>
        <v>0</v>
      </c>
    </row>
    <row r="31" spans="1:11" s="128" customFormat="1" ht="15" customHeight="1" x14ac:dyDescent="0.25">
      <c r="A31" s="310" t="s">
        <v>709</v>
      </c>
      <c r="B31" s="328"/>
      <c r="C31" s="29"/>
      <c r="D31" s="29"/>
      <c r="E31" s="29"/>
      <c r="F31" s="2340">
        <f t="shared" si="5"/>
        <v>0</v>
      </c>
      <c r="G31" s="29"/>
      <c r="H31" s="29"/>
      <c r="I31" s="29"/>
      <c r="J31" s="2340">
        <f t="shared" si="6"/>
        <v>0</v>
      </c>
      <c r="K31" s="748">
        <f t="shared" si="7"/>
        <v>0</v>
      </c>
    </row>
    <row r="32" spans="1:11" s="128" customFormat="1" ht="15" customHeight="1" x14ac:dyDescent="0.25">
      <c r="A32" s="310" t="s">
        <v>704</v>
      </c>
      <c r="B32" s="328"/>
      <c r="C32" s="29"/>
      <c r="D32" s="29"/>
      <c r="E32" s="29"/>
      <c r="F32" s="2340">
        <f t="shared" si="5"/>
        <v>0</v>
      </c>
      <c r="G32" s="29"/>
      <c r="H32" s="29"/>
      <c r="I32" s="29"/>
      <c r="J32" s="2340">
        <f t="shared" si="6"/>
        <v>0</v>
      </c>
      <c r="K32" s="748">
        <f t="shared" si="7"/>
        <v>0</v>
      </c>
    </row>
    <row r="33" spans="1:11" s="128" customFormat="1" ht="15" customHeight="1" x14ac:dyDescent="0.25">
      <c r="A33" s="310" t="s">
        <v>924</v>
      </c>
      <c r="B33" s="328"/>
      <c r="C33" s="29"/>
      <c r="D33" s="29"/>
      <c r="E33" s="29"/>
      <c r="F33" s="2340">
        <f t="shared" si="5"/>
        <v>0</v>
      </c>
      <c r="G33" s="29"/>
      <c r="H33" s="29"/>
      <c r="I33" s="29"/>
      <c r="J33" s="2340">
        <f t="shared" si="6"/>
        <v>0</v>
      </c>
      <c r="K33" s="748">
        <f t="shared" si="7"/>
        <v>0</v>
      </c>
    </row>
    <row r="34" spans="1:11" s="128" customFormat="1" ht="15" customHeight="1" x14ac:dyDescent="0.25">
      <c r="A34" s="310" t="s">
        <v>705</v>
      </c>
      <c r="B34" s="328"/>
      <c r="C34" s="29"/>
      <c r="D34" s="29"/>
      <c r="E34" s="29"/>
      <c r="F34" s="2340">
        <f t="shared" si="5"/>
        <v>0</v>
      </c>
      <c r="G34" s="29"/>
      <c r="H34" s="29"/>
      <c r="I34" s="29"/>
      <c r="J34" s="2340">
        <f t="shared" si="6"/>
        <v>0</v>
      </c>
      <c r="K34" s="748">
        <f t="shared" si="7"/>
        <v>0</v>
      </c>
    </row>
    <row r="35" spans="1:11" s="128" customFormat="1" ht="15" customHeight="1" x14ac:dyDescent="0.25">
      <c r="A35" s="310" t="s">
        <v>710</v>
      </c>
      <c r="B35" s="328"/>
      <c r="C35" s="29"/>
      <c r="D35" s="29"/>
      <c r="E35" s="29"/>
      <c r="F35" s="2340">
        <f t="shared" si="5"/>
        <v>0</v>
      </c>
      <c r="G35" s="29"/>
      <c r="H35" s="29"/>
      <c r="I35" s="29"/>
      <c r="J35" s="2340">
        <f t="shared" si="6"/>
        <v>0</v>
      </c>
      <c r="K35" s="748">
        <f t="shared" si="7"/>
        <v>0</v>
      </c>
    </row>
    <row r="36" spans="1:11" s="128" customFormat="1" ht="15" customHeight="1" x14ac:dyDescent="0.25">
      <c r="A36" s="310" t="s">
        <v>925</v>
      </c>
      <c r="B36" s="328"/>
      <c r="C36" s="29"/>
      <c r="D36" s="29"/>
      <c r="E36" s="29"/>
      <c r="F36" s="2340">
        <f t="shared" si="5"/>
        <v>0</v>
      </c>
      <c r="G36" s="29"/>
      <c r="H36" s="29"/>
      <c r="I36" s="29"/>
      <c r="J36" s="2340">
        <f t="shared" si="6"/>
        <v>0</v>
      </c>
      <c r="K36" s="748">
        <f t="shared" si="7"/>
        <v>0</v>
      </c>
    </row>
    <row r="37" spans="1:11" s="128" customFormat="1" ht="15" customHeight="1" x14ac:dyDescent="0.25">
      <c r="A37" s="402" t="s">
        <v>706</v>
      </c>
      <c r="B37" s="328"/>
      <c r="C37" s="29"/>
      <c r="D37" s="29"/>
      <c r="E37" s="29"/>
      <c r="F37" s="2340">
        <f t="shared" si="5"/>
        <v>0</v>
      </c>
      <c r="G37" s="29"/>
      <c r="H37" s="29"/>
      <c r="I37" s="29"/>
      <c r="J37" s="2340">
        <f t="shared" si="6"/>
        <v>0</v>
      </c>
      <c r="K37" s="748">
        <f t="shared" si="7"/>
        <v>0</v>
      </c>
    </row>
    <row r="38" spans="1:11" s="128" customFormat="1" ht="30" customHeight="1" x14ac:dyDescent="0.25">
      <c r="A38" s="310" t="s">
        <v>707</v>
      </c>
      <c r="B38" s="328"/>
      <c r="C38" s="29"/>
      <c r="D38" s="29"/>
      <c r="E38" s="29"/>
      <c r="F38" s="2340">
        <f t="shared" si="5"/>
        <v>0</v>
      </c>
      <c r="G38" s="29"/>
      <c r="H38" s="29"/>
      <c r="I38" s="29"/>
      <c r="J38" s="2340">
        <f t="shared" si="6"/>
        <v>0</v>
      </c>
      <c r="K38" s="748">
        <f t="shared" si="7"/>
        <v>0</v>
      </c>
    </row>
    <row r="39" spans="1:11" s="128" customFormat="1" ht="15" customHeight="1" x14ac:dyDescent="0.25">
      <c r="A39" s="310" t="s">
        <v>923</v>
      </c>
      <c r="B39" s="328"/>
      <c r="C39" s="29"/>
      <c r="D39" s="29"/>
      <c r="E39" s="29"/>
      <c r="F39" s="2340">
        <f t="shared" si="5"/>
        <v>0</v>
      </c>
      <c r="G39" s="29"/>
      <c r="H39" s="29"/>
      <c r="I39" s="29"/>
      <c r="J39" s="2340">
        <f t="shared" si="6"/>
        <v>0</v>
      </c>
      <c r="K39" s="748">
        <f t="shared" si="7"/>
        <v>0</v>
      </c>
    </row>
    <row r="40" spans="1:11" s="128" customFormat="1" ht="15" customHeight="1" x14ac:dyDescent="0.25">
      <c r="A40" s="310" t="s">
        <v>709</v>
      </c>
      <c r="B40" s="328"/>
      <c r="C40" s="29"/>
      <c r="D40" s="29"/>
      <c r="E40" s="29"/>
      <c r="F40" s="2340">
        <f t="shared" si="5"/>
        <v>0</v>
      </c>
      <c r="G40" s="29"/>
      <c r="H40" s="29"/>
      <c r="I40" s="29"/>
      <c r="J40" s="2340">
        <f t="shared" si="6"/>
        <v>0</v>
      </c>
      <c r="K40" s="748">
        <f t="shared" si="7"/>
        <v>0</v>
      </c>
    </row>
    <row r="41" spans="1:11" s="128" customFormat="1" ht="15" customHeight="1" x14ac:dyDescent="0.25">
      <c r="A41" s="310" t="s">
        <v>705</v>
      </c>
      <c r="B41" s="328"/>
      <c r="C41" s="29"/>
      <c r="D41" s="29"/>
      <c r="E41" s="29"/>
      <c r="F41" s="2340">
        <f t="shared" si="5"/>
        <v>0</v>
      </c>
      <c r="G41" s="29"/>
      <c r="H41" s="29"/>
      <c r="I41" s="29"/>
      <c r="J41" s="2340">
        <f t="shared" si="6"/>
        <v>0</v>
      </c>
      <c r="K41" s="748">
        <f t="shared" si="7"/>
        <v>0</v>
      </c>
    </row>
    <row r="42" spans="1:11" s="128" customFormat="1" ht="15" customHeight="1" x14ac:dyDescent="0.25">
      <c r="A42" s="310" t="s">
        <v>924</v>
      </c>
      <c r="B42" s="328"/>
      <c r="C42" s="29"/>
      <c r="D42" s="29"/>
      <c r="E42" s="29"/>
      <c r="F42" s="2340">
        <f t="shared" si="5"/>
        <v>0</v>
      </c>
      <c r="G42" s="29"/>
      <c r="H42" s="29"/>
      <c r="I42" s="29"/>
      <c r="J42" s="2340">
        <f t="shared" si="6"/>
        <v>0</v>
      </c>
      <c r="K42" s="748">
        <f t="shared" si="7"/>
        <v>0</v>
      </c>
    </row>
    <row r="43" spans="1:11" s="128" customFormat="1" ht="15" customHeight="1" thickBot="1" x14ac:dyDescent="0.3">
      <c r="A43" s="403" t="s">
        <v>710</v>
      </c>
      <c r="B43" s="329"/>
      <c r="C43" s="330"/>
      <c r="D43" s="330"/>
      <c r="E43" s="330"/>
      <c r="F43" s="340">
        <f t="shared" si="5"/>
        <v>0</v>
      </c>
      <c r="G43" s="330"/>
      <c r="H43" s="330"/>
      <c r="I43" s="330"/>
      <c r="J43" s="340">
        <f t="shared" si="6"/>
        <v>0</v>
      </c>
      <c r="K43" s="752">
        <f t="shared" si="7"/>
        <v>0</v>
      </c>
    </row>
    <row r="44" spans="1:11" s="128" customFormat="1" ht="20.100000000000001" customHeight="1" thickBot="1" x14ac:dyDescent="0.3">
      <c r="A44" s="406" t="s">
        <v>921</v>
      </c>
      <c r="B44" s="325">
        <f>SUM(B45:B56)</f>
        <v>0</v>
      </c>
      <c r="C44" s="326">
        <f>SUM(C45:C56)</f>
        <v>0</v>
      </c>
      <c r="D44" s="326">
        <f t="shared" ref="D44:K44" si="8">SUM(D45:D56)</f>
        <v>1530</v>
      </c>
      <c r="E44" s="326">
        <f t="shared" si="8"/>
        <v>0</v>
      </c>
      <c r="F44" s="326">
        <f t="shared" si="8"/>
        <v>1530</v>
      </c>
      <c r="G44" s="326">
        <f t="shared" si="8"/>
        <v>0</v>
      </c>
      <c r="H44" s="326">
        <f t="shared" si="8"/>
        <v>134239</v>
      </c>
      <c r="I44" s="326">
        <f t="shared" si="8"/>
        <v>53724</v>
      </c>
      <c r="J44" s="326">
        <f t="shared" si="8"/>
        <v>187963</v>
      </c>
      <c r="K44" s="467">
        <f t="shared" si="8"/>
        <v>189493</v>
      </c>
    </row>
    <row r="45" spans="1:11" s="128" customFormat="1" ht="15" customHeight="1" x14ac:dyDescent="0.25">
      <c r="A45" s="327" t="s">
        <v>678</v>
      </c>
      <c r="B45" s="322"/>
      <c r="C45" s="324"/>
      <c r="D45" s="324"/>
      <c r="E45" s="324"/>
      <c r="F45" s="323">
        <f t="shared" si="5"/>
        <v>0</v>
      </c>
      <c r="G45" s="324"/>
      <c r="H45" s="324"/>
      <c r="I45" s="324"/>
      <c r="J45" s="323">
        <f t="shared" si="6"/>
        <v>0</v>
      </c>
      <c r="K45" s="468">
        <f t="shared" si="7"/>
        <v>0</v>
      </c>
    </row>
    <row r="46" spans="1:11" s="128" customFormat="1" ht="15" customHeight="1" x14ac:dyDescent="0.25">
      <c r="A46" s="2313" t="s">
        <v>2079</v>
      </c>
      <c r="B46" s="328"/>
      <c r="C46" s="29"/>
      <c r="D46" s="29"/>
      <c r="E46" s="29"/>
      <c r="F46" s="2340">
        <f t="shared" si="5"/>
        <v>0</v>
      </c>
      <c r="G46" s="29"/>
      <c r="H46" s="29">
        <v>134239</v>
      </c>
      <c r="I46" s="29"/>
      <c r="J46" s="2340">
        <f t="shared" si="6"/>
        <v>134239</v>
      </c>
      <c r="K46" s="748">
        <f t="shared" si="7"/>
        <v>134239</v>
      </c>
    </row>
    <row r="47" spans="1:11" s="128" customFormat="1" ht="15" customHeight="1" x14ac:dyDescent="0.25">
      <c r="A47" s="2313" t="s">
        <v>2080</v>
      </c>
      <c r="B47" s="328"/>
      <c r="C47" s="29"/>
      <c r="D47" s="29"/>
      <c r="E47" s="29"/>
      <c r="F47" s="2340">
        <f t="shared" si="5"/>
        <v>0</v>
      </c>
      <c r="G47" s="29"/>
      <c r="H47" s="29"/>
      <c r="I47" s="29">
        <v>52724</v>
      </c>
      <c r="J47" s="2340">
        <f t="shared" si="6"/>
        <v>52724</v>
      </c>
      <c r="K47" s="748">
        <f t="shared" si="7"/>
        <v>52724</v>
      </c>
    </row>
    <row r="48" spans="1:11" s="128" customFormat="1" ht="30" customHeight="1" x14ac:dyDescent="0.25">
      <c r="A48" s="2313" t="s">
        <v>2081</v>
      </c>
      <c r="B48" s="328"/>
      <c r="C48" s="29"/>
      <c r="D48" s="29"/>
      <c r="E48" s="29"/>
      <c r="F48" s="2340">
        <f t="shared" si="5"/>
        <v>0</v>
      </c>
      <c r="G48" s="29"/>
      <c r="H48" s="29"/>
      <c r="I48" s="29"/>
      <c r="J48" s="2340">
        <f t="shared" si="6"/>
        <v>0</v>
      </c>
      <c r="K48" s="748">
        <f t="shared" si="7"/>
        <v>0</v>
      </c>
    </row>
    <row r="49" spans="1:11" s="128" customFormat="1" ht="15" customHeight="1" x14ac:dyDescent="0.25">
      <c r="A49" s="2313" t="s">
        <v>2082</v>
      </c>
      <c r="B49" s="328"/>
      <c r="C49" s="29"/>
      <c r="D49" s="29">
        <v>1530</v>
      </c>
      <c r="E49" s="29"/>
      <c r="F49" s="2340">
        <f t="shared" si="5"/>
        <v>1530</v>
      </c>
      <c r="G49" s="29"/>
      <c r="H49" s="29"/>
      <c r="I49" s="29"/>
      <c r="J49" s="2340">
        <f t="shared" si="6"/>
        <v>0</v>
      </c>
      <c r="K49" s="748">
        <f t="shared" si="7"/>
        <v>1530</v>
      </c>
    </row>
    <row r="50" spans="1:11" s="128" customFormat="1" ht="15" customHeight="1" x14ac:dyDescent="0.25">
      <c r="A50" s="2313" t="s">
        <v>2083</v>
      </c>
      <c r="B50" s="328"/>
      <c r="C50" s="29"/>
      <c r="D50" s="29"/>
      <c r="E50" s="29"/>
      <c r="F50" s="2340">
        <f t="shared" si="5"/>
        <v>0</v>
      </c>
      <c r="G50" s="29"/>
      <c r="H50" s="29"/>
      <c r="I50" s="29"/>
      <c r="J50" s="2340">
        <f t="shared" si="6"/>
        <v>0</v>
      </c>
      <c r="K50" s="748">
        <f t="shared" si="7"/>
        <v>0</v>
      </c>
    </row>
    <row r="51" spans="1:11" s="128" customFormat="1" ht="15" customHeight="1" x14ac:dyDescent="0.25">
      <c r="A51" s="2313" t="s">
        <v>2084</v>
      </c>
      <c r="B51" s="328"/>
      <c r="C51" s="29"/>
      <c r="D51" s="29"/>
      <c r="E51" s="29"/>
      <c r="F51" s="2340">
        <f t="shared" si="5"/>
        <v>0</v>
      </c>
      <c r="G51" s="29"/>
      <c r="H51" s="330"/>
      <c r="I51" s="29">
        <v>1000</v>
      </c>
      <c r="J51" s="2340">
        <f t="shared" si="6"/>
        <v>1000</v>
      </c>
      <c r="K51" s="748">
        <f t="shared" si="7"/>
        <v>1000</v>
      </c>
    </row>
    <row r="52" spans="1:11" s="128" customFormat="1" ht="15" customHeight="1" x14ac:dyDescent="0.25">
      <c r="A52" s="402" t="s">
        <v>706</v>
      </c>
      <c r="B52" s="328"/>
      <c r="C52" s="29"/>
      <c r="D52" s="29"/>
      <c r="E52" s="29"/>
      <c r="F52" s="2340">
        <f t="shared" si="5"/>
        <v>0</v>
      </c>
      <c r="G52" s="2452"/>
      <c r="H52" s="29"/>
      <c r="I52" s="328"/>
      <c r="J52" s="2340">
        <f t="shared" si="6"/>
        <v>0</v>
      </c>
      <c r="K52" s="748">
        <f t="shared" si="7"/>
        <v>0</v>
      </c>
    </row>
    <row r="53" spans="1:11" s="128" customFormat="1" ht="15" customHeight="1" x14ac:dyDescent="0.25">
      <c r="A53" s="310" t="s">
        <v>2079</v>
      </c>
      <c r="B53" s="328"/>
      <c r="C53" s="29"/>
      <c r="D53" s="29"/>
      <c r="E53" s="29"/>
      <c r="F53" s="2340">
        <f t="shared" si="5"/>
        <v>0</v>
      </c>
      <c r="G53" s="29"/>
      <c r="H53" s="324"/>
      <c r="I53" s="29"/>
      <c r="J53" s="2340">
        <f t="shared" si="6"/>
        <v>0</v>
      </c>
      <c r="K53" s="748">
        <f t="shared" si="7"/>
        <v>0</v>
      </c>
    </row>
    <row r="54" spans="1:11" s="128" customFormat="1" ht="30" customHeight="1" x14ac:dyDescent="0.25">
      <c r="A54" s="310" t="s">
        <v>2081</v>
      </c>
      <c r="B54" s="328"/>
      <c r="C54" s="29"/>
      <c r="D54" s="29"/>
      <c r="E54" s="29"/>
      <c r="F54" s="2340">
        <f t="shared" si="5"/>
        <v>0</v>
      </c>
      <c r="G54" s="29"/>
      <c r="H54" s="29"/>
      <c r="I54" s="29"/>
      <c r="J54" s="2340">
        <f t="shared" si="6"/>
        <v>0</v>
      </c>
      <c r="K54" s="748">
        <f t="shared" si="7"/>
        <v>0</v>
      </c>
    </row>
    <row r="55" spans="1:11" s="128" customFormat="1" ht="15" customHeight="1" x14ac:dyDescent="0.25">
      <c r="A55" s="310" t="s">
        <v>2082</v>
      </c>
      <c r="B55" s="328"/>
      <c r="C55" s="29"/>
      <c r="D55" s="29"/>
      <c r="E55" s="29"/>
      <c r="F55" s="2340">
        <f t="shared" si="5"/>
        <v>0</v>
      </c>
      <c r="G55" s="29"/>
      <c r="H55" s="29"/>
      <c r="I55" s="29"/>
      <c r="J55" s="2340">
        <f t="shared" si="6"/>
        <v>0</v>
      </c>
      <c r="K55" s="748">
        <f t="shared" si="7"/>
        <v>0</v>
      </c>
    </row>
    <row r="56" spans="1:11" s="128" customFormat="1" ht="15" customHeight="1" x14ac:dyDescent="0.25">
      <c r="A56" s="310" t="s">
        <v>2083</v>
      </c>
      <c r="B56" s="328"/>
      <c r="C56" s="29"/>
      <c r="D56" s="29"/>
      <c r="E56" s="29"/>
      <c r="F56" s="2340">
        <f t="shared" si="5"/>
        <v>0</v>
      </c>
      <c r="G56" s="29"/>
      <c r="H56" s="29"/>
      <c r="I56" s="29"/>
      <c r="J56" s="2340">
        <f t="shared" si="6"/>
        <v>0</v>
      </c>
      <c r="K56" s="748">
        <f t="shared" si="7"/>
        <v>0</v>
      </c>
    </row>
    <row r="57" spans="1:11" s="128" customFormat="1" ht="15" customHeight="1" x14ac:dyDescent="0.25">
      <c r="A57" s="798" t="s">
        <v>1045</v>
      </c>
      <c r="B57" s="2314">
        <f>SUM(B58:B60)</f>
        <v>1172</v>
      </c>
      <c r="C57" s="2314">
        <f t="shared" ref="C57:K57" si="9">SUM(C58:C60)</f>
        <v>228</v>
      </c>
      <c r="D57" s="2314">
        <f t="shared" si="9"/>
        <v>18600</v>
      </c>
      <c r="E57" s="2314">
        <f t="shared" si="9"/>
        <v>0</v>
      </c>
      <c r="F57" s="2314">
        <f t="shared" si="9"/>
        <v>20000</v>
      </c>
      <c r="G57" s="2314">
        <f t="shared" si="9"/>
        <v>0</v>
      </c>
      <c r="H57" s="2314">
        <f t="shared" si="9"/>
        <v>21000</v>
      </c>
      <c r="I57" s="2314">
        <f t="shared" si="9"/>
        <v>300000</v>
      </c>
      <c r="J57" s="2314">
        <f t="shared" si="9"/>
        <v>321000</v>
      </c>
      <c r="K57" s="531">
        <f t="shared" si="9"/>
        <v>341000</v>
      </c>
    </row>
    <row r="58" spans="1:11" s="128" customFormat="1" ht="45" customHeight="1" x14ac:dyDescent="0.25">
      <c r="A58" s="403" t="s">
        <v>2197</v>
      </c>
      <c r="B58" s="329">
        <v>1172</v>
      </c>
      <c r="C58" s="329">
        <v>228</v>
      </c>
      <c r="D58" s="329">
        <v>18600</v>
      </c>
      <c r="E58" s="329"/>
      <c r="F58" s="329">
        <f t="shared" si="5"/>
        <v>20000</v>
      </c>
      <c r="G58" s="329"/>
      <c r="H58" s="329"/>
      <c r="I58" s="329"/>
      <c r="J58" s="2340">
        <f t="shared" si="6"/>
        <v>0</v>
      </c>
      <c r="K58" s="748">
        <f t="shared" si="7"/>
        <v>20000</v>
      </c>
    </row>
    <row r="59" spans="1:11" s="128" customFormat="1" ht="15" customHeight="1" x14ac:dyDescent="0.25">
      <c r="A59" s="403" t="s">
        <v>2198</v>
      </c>
      <c r="B59" s="329"/>
      <c r="C59" s="329"/>
      <c r="D59" s="329"/>
      <c r="E59" s="329"/>
      <c r="F59" s="329">
        <f t="shared" si="5"/>
        <v>0</v>
      </c>
      <c r="G59" s="329"/>
      <c r="H59" s="329"/>
      <c r="I59" s="329">
        <v>300000</v>
      </c>
      <c r="J59" s="2340">
        <f t="shared" si="6"/>
        <v>300000</v>
      </c>
      <c r="K59" s="748">
        <f t="shared" si="7"/>
        <v>300000</v>
      </c>
    </row>
    <row r="60" spans="1:11" s="128" customFormat="1" ht="40.5" customHeight="1" thickBot="1" x14ac:dyDescent="0.3">
      <c r="A60" s="799" t="s">
        <v>2085</v>
      </c>
      <c r="B60" s="718"/>
      <c r="C60" s="573"/>
      <c r="D60" s="573"/>
      <c r="E60" s="573"/>
      <c r="F60" s="329">
        <f t="shared" si="5"/>
        <v>0</v>
      </c>
      <c r="G60" s="573"/>
      <c r="H60" s="573">
        <v>21000</v>
      </c>
      <c r="I60" s="573"/>
      <c r="J60" s="2340">
        <f t="shared" si="6"/>
        <v>21000</v>
      </c>
      <c r="K60" s="748">
        <f t="shared" si="7"/>
        <v>21000</v>
      </c>
    </row>
    <row r="61" spans="1:11" s="332" customFormat="1" ht="19.95" customHeight="1" thickBot="1" x14ac:dyDescent="0.3">
      <c r="A61" s="408" t="s">
        <v>681</v>
      </c>
      <c r="B61" s="404">
        <f>B2+B3+B26+B44+B57</f>
        <v>1172</v>
      </c>
      <c r="C61" s="404">
        <f t="shared" ref="C61:K61" si="10">C2+C3+C26+C44+C57</f>
        <v>228</v>
      </c>
      <c r="D61" s="404">
        <f t="shared" si="10"/>
        <v>20130</v>
      </c>
      <c r="E61" s="404">
        <f t="shared" si="10"/>
        <v>0</v>
      </c>
      <c r="F61" s="404">
        <f t="shared" si="10"/>
        <v>21530</v>
      </c>
      <c r="G61" s="404">
        <f t="shared" si="10"/>
        <v>0</v>
      </c>
      <c r="H61" s="404">
        <f>H2+H3+H26+H44+H57</f>
        <v>155239</v>
      </c>
      <c r="I61" s="404">
        <f t="shared" si="10"/>
        <v>353724</v>
      </c>
      <c r="J61" s="404">
        <f t="shared" si="10"/>
        <v>508963</v>
      </c>
      <c r="K61" s="750">
        <f t="shared" si="10"/>
        <v>530493</v>
      </c>
    </row>
  </sheetData>
  <printOptions horizontalCentered="1"/>
  <pageMargins left="0.27559055118110237" right="0.27559055118110237" top="0.6692913385826772" bottom="0.86614173228346458" header="0.15748031496062992" footer="0.15748031496062992"/>
  <pageSetup paperSize="9" scale="63" orientation="landscape" r:id="rId1"/>
  <headerFooter alignWithMargins="0">
    <oddHeader xml:space="preserve">&amp;C&amp;"Times New Roman,Félkövér" 2020. évi költségvetés
TÉR_KÖZ pályázat és egyéb fejlesztési projektek
11605 cím kiadási előirányzat
&amp;R&amp;"Times New Roman,Félkövér dőlt"12. melléklet a /2020. () 
önk.rendelethez
ezer forintban
&amp;"Times New Roman,Félkövér"&amp;8
</oddHeader>
    <oddFooter xml:space="preserve">&amp;C
&amp;R
&amp;P
</oddFooter>
  </headerFooter>
  <rowBreaks count="1" manualBreakCount="1">
    <brk id="43"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L52"/>
  <sheetViews>
    <sheetView zoomScaleNormal="100" workbookViewId="0">
      <pane xSplit="1" ySplit="2" topLeftCell="B3" activePane="bottomRight" state="frozen"/>
      <selection pane="topRight" activeCell="B1" sqref="B1"/>
      <selection pane="bottomLeft" activeCell="A3" sqref="A3"/>
      <selection pane="bottomRight" activeCell="B7" sqref="B7"/>
    </sheetView>
  </sheetViews>
  <sheetFormatPr defaultColWidth="9.109375" defaultRowHeight="13.2" x14ac:dyDescent="0.25"/>
  <cols>
    <col min="1" max="1" width="40" style="92" customWidth="1"/>
    <col min="2" max="3" width="15.6640625" style="92" customWidth="1"/>
    <col min="4" max="5" width="15.6640625" style="103" customWidth="1"/>
    <col min="6" max="6" width="15.6640625" style="107" customWidth="1"/>
    <col min="7" max="8" width="15.6640625" style="103" customWidth="1"/>
    <col min="9" max="10" width="15.6640625" style="107" customWidth="1"/>
    <col min="11" max="12" width="15.6640625" style="127" customWidth="1"/>
    <col min="13" max="16384" width="9.109375" style="127"/>
  </cols>
  <sheetData>
    <row r="1" spans="1:12" ht="13.8" thickBot="1" x14ac:dyDescent="0.3"/>
    <row r="2" spans="1:12" s="128" customFormat="1" ht="64.95" customHeight="1" thickBot="1" x14ac:dyDescent="0.3">
      <c r="A2" s="270" t="s">
        <v>608</v>
      </c>
      <c r="B2" s="2339" t="s">
        <v>87</v>
      </c>
      <c r="C2" s="271" t="s">
        <v>89</v>
      </c>
      <c r="D2" s="477" t="s">
        <v>91</v>
      </c>
      <c r="E2" s="477" t="s">
        <v>2219</v>
      </c>
      <c r="F2" s="191" t="s">
        <v>621</v>
      </c>
      <c r="G2" s="191" t="s">
        <v>106</v>
      </c>
      <c r="H2" s="191" t="s">
        <v>108</v>
      </c>
      <c r="I2" s="191" t="s">
        <v>622</v>
      </c>
      <c r="J2" s="2345" t="s">
        <v>623</v>
      </c>
      <c r="K2" s="2349" t="s">
        <v>879</v>
      </c>
      <c r="L2" s="2350" t="s">
        <v>2218</v>
      </c>
    </row>
    <row r="3" spans="1:12" ht="15" customHeight="1" x14ac:dyDescent="0.25">
      <c r="A3" s="410" t="s">
        <v>167</v>
      </c>
      <c r="B3" s="2341"/>
      <c r="C3" s="533"/>
      <c r="D3" s="322"/>
      <c r="E3" s="322"/>
      <c r="F3" s="323"/>
      <c r="G3" s="324"/>
      <c r="H3" s="324"/>
      <c r="I3" s="323"/>
      <c r="J3" s="2346"/>
      <c r="K3" s="2348"/>
      <c r="L3" s="432">
        <f>J3-K3</f>
        <v>0</v>
      </c>
    </row>
    <row r="4" spans="1:12" ht="45" customHeight="1" x14ac:dyDescent="0.25">
      <c r="A4" s="2342" t="s">
        <v>2220</v>
      </c>
      <c r="B4" s="2369">
        <v>7725</v>
      </c>
      <c r="C4" s="2370">
        <v>1216</v>
      </c>
      <c r="D4" s="2343">
        <v>8000</v>
      </c>
      <c r="E4" s="2343">
        <v>3418</v>
      </c>
      <c r="F4" s="2344">
        <f>B4+C4+D4+E4</f>
        <v>20359</v>
      </c>
      <c r="G4" s="2344"/>
      <c r="H4" s="2344"/>
      <c r="I4" s="2344">
        <f>SUM(G4:H4)</f>
        <v>0</v>
      </c>
      <c r="J4" s="2347">
        <f>I4+F4</f>
        <v>20359</v>
      </c>
      <c r="K4" s="2354">
        <v>1200</v>
      </c>
      <c r="L4" s="213">
        <f t="shared" ref="L4:L28" si="0">J4-K4</f>
        <v>19159</v>
      </c>
    </row>
    <row r="5" spans="1:12" ht="15" customHeight="1" x14ac:dyDescent="0.25">
      <c r="A5" s="2342" t="s">
        <v>2235</v>
      </c>
      <c r="B5" s="2369">
        <v>11740</v>
      </c>
      <c r="C5" s="2370">
        <v>1028</v>
      </c>
      <c r="D5" s="2343"/>
      <c r="E5" s="2343">
        <v>831</v>
      </c>
      <c r="F5" s="2344">
        <f t="shared" ref="F5:F9" si="1">B5+C5+D5+E5</f>
        <v>13599</v>
      </c>
      <c r="G5" s="2344"/>
      <c r="H5" s="2344"/>
      <c r="I5" s="2344">
        <f t="shared" ref="I5:I9" si="2">SUM(G5:H5)</f>
        <v>0</v>
      </c>
      <c r="J5" s="2347">
        <f t="shared" ref="J5:J9" si="3">I5+F5</f>
        <v>13599</v>
      </c>
      <c r="K5" s="2354">
        <v>8937</v>
      </c>
      <c r="L5" s="213">
        <f t="shared" si="0"/>
        <v>4662</v>
      </c>
    </row>
    <row r="6" spans="1:12" ht="30" customHeight="1" x14ac:dyDescent="0.25">
      <c r="A6" s="2342" t="s">
        <v>2222</v>
      </c>
      <c r="B6" s="2369">
        <v>35669</v>
      </c>
      <c r="C6" s="2370">
        <v>5887</v>
      </c>
      <c r="D6" s="2343">
        <v>40325</v>
      </c>
      <c r="E6" s="2343">
        <v>17346</v>
      </c>
      <c r="F6" s="2344">
        <f t="shared" si="1"/>
        <v>99227</v>
      </c>
      <c r="G6" s="2344"/>
      <c r="H6" s="2344"/>
      <c r="I6" s="2344">
        <f t="shared" si="2"/>
        <v>0</v>
      </c>
      <c r="J6" s="2347">
        <f t="shared" si="3"/>
        <v>99227</v>
      </c>
      <c r="K6" s="2354">
        <v>2000</v>
      </c>
      <c r="L6" s="213">
        <f t="shared" si="0"/>
        <v>97227</v>
      </c>
    </row>
    <row r="7" spans="1:12" ht="30" customHeight="1" x14ac:dyDescent="0.25">
      <c r="A7" s="2342" t="s">
        <v>2223</v>
      </c>
      <c r="B7" s="2369"/>
      <c r="C7" s="2370"/>
      <c r="D7" s="2343"/>
      <c r="E7" s="2343"/>
      <c r="F7" s="2344">
        <f t="shared" si="1"/>
        <v>0</v>
      </c>
      <c r="G7" s="2344"/>
      <c r="H7" s="2344"/>
      <c r="I7" s="2344">
        <f t="shared" si="2"/>
        <v>0</v>
      </c>
      <c r="J7" s="2347">
        <f t="shared" si="3"/>
        <v>0</v>
      </c>
      <c r="K7" s="2354"/>
      <c r="L7" s="213">
        <f t="shared" si="0"/>
        <v>0</v>
      </c>
    </row>
    <row r="8" spans="1:12" ht="15" customHeight="1" x14ac:dyDescent="0.25">
      <c r="A8" s="2342" t="s">
        <v>2226</v>
      </c>
      <c r="B8" s="2369">
        <v>10562</v>
      </c>
      <c r="C8" s="2370">
        <v>1785</v>
      </c>
      <c r="D8" s="2343">
        <v>20502</v>
      </c>
      <c r="E8" s="2343">
        <v>7133</v>
      </c>
      <c r="F8" s="2344">
        <f t="shared" si="1"/>
        <v>39982</v>
      </c>
      <c r="G8" s="2344"/>
      <c r="H8" s="2344"/>
      <c r="I8" s="2344">
        <f t="shared" si="2"/>
        <v>0</v>
      </c>
      <c r="J8" s="2347">
        <f t="shared" si="3"/>
        <v>39982</v>
      </c>
      <c r="K8" s="2354"/>
      <c r="L8" s="213">
        <f t="shared" si="0"/>
        <v>39982</v>
      </c>
    </row>
    <row r="9" spans="1:12" ht="15" customHeight="1" x14ac:dyDescent="0.25">
      <c r="A9" s="2342" t="s">
        <v>2225</v>
      </c>
      <c r="B9" s="2369"/>
      <c r="C9" s="2370"/>
      <c r="D9" s="2343">
        <v>540</v>
      </c>
      <c r="E9" s="2343">
        <v>117</v>
      </c>
      <c r="F9" s="2344">
        <f t="shared" si="1"/>
        <v>657</v>
      </c>
      <c r="G9" s="2344"/>
      <c r="H9" s="2344"/>
      <c r="I9" s="2344">
        <f t="shared" si="2"/>
        <v>0</v>
      </c>
      <c r="J9" s="2347">
        <f t="shared" si="3"/>
        <v>657</v>
      </c>
      <c r="K9" s="2354"/>
      <c r="L9" s="213">
        <f t="shared" si="0"/>
        <v>657</v>
      </c>
    </row>
    <row r="10" spans="1:12" ht="15" customHeight="1" x14ac:dyDescent="0.25">
      <c r="A10" s="769"/>
      <c r="B10" s="2371"/>
      <c r="C10" s="2372"/>
      <c r="D10" s="2355"/>
      <c r="E10" s="2343"/>
      <c r="F10" s="7">
        <f>B10+C10+D10+E10</f>
        <v>0</v>
      </c>
      <c r="G10" s="7"/>
      <c r="H10" s="7"/>
      <c r="I10" s="7">
        <f>SUM(G10:H10)</f>
        <v>0</v>
      </c>
      <c r="J10" s="2356">
        <f>I10+F10</f>
        <v>0</v>
      </c>
      <c r="K10" s="2354"/>
      <c r="L10" s="213">
        <f t="shared" si="0"/>
        <v>0</v>
      </c>
    </row>
    <row r="11" spans="1:12" ht="15" customHeight="1" thickBot="1" x14ac:dyDescent="0.3">
      <c r="A11" s="769"/>
      <c r="B11" s="2371"/>
      <c r="C11" s="2372"/>
      <c r="D11" s="2355"/>
      <c r="E11" s="2343"/>
      <c r="F11" s="7">
        <f>B11+C11+D11+E11</f>
        <v>0</v>
      </c>
      <c r="G11" s="7"/>
      <c r="H11" s="7"/>
      <c r="I11" s="7">
        <f>SUM(G11:H11)</f>
        <v>0</v>
      </c>
      <c r="J11" s="2356">
        <f>I11+F11</f>
        <v>0</v>
      </c>
      <c r="K11" s="2357"/>
      <c r="L11" s="215">
        <f t="shared" si="0"/>
        <v>0</v>
      </c>
    </row>
    <row r="12" spans="1:12" s="128" customFormat="1" ht="15" customHeight="1" thickBot="1" x14ac:dyDescent="0.3">
      <c r="A12" s="413" t="s">
        <v>627</v>
      </c>
      <c r="B12" s="2358">
        <f t="shared" ref="B12:H12" si="4">SUM(B3:B11)</f>
        <v>65696</v>
      </c>
      <c r="C12" s="2358">
        <f t="shared" si="4"/>
        <v>9916</v>
      </c>
      <c r="D12" s="2358">
        <f t="shared" si="4"/>
        <v>69367</v>
      </c>
      <c r="E12" s="2358">
        <f t="shared" si="4"/>
        <v>28845</v>
      </c>
      <c r="F12" s="37">
        <f t="shared" si="4"/>
        <v>173824</v>
      </c>
      <c r="G12" s="37">
        <f t="shared" si="4"/>
        <v>0</v>
      </c>
      <c r="H12" s="37">
        <f t="shared" si="4"/>
        <v>0</v>
      </c>
      <c r="I12" s="37">
        <f>SUM(G12:H12)</f>
        <v>0</v>
      </c>
      <c r="J12" s="2359">
        <f>SUM(J3:J11)</f>
        <v>173824</v>
      </c>
      <c r="K12" s="2360">
        <f t="shared" ref="K12" si="5">SUM(K3:K11)</f>
        <v>12137</v>
      </c>
      <c r="L12" s="216">
        <f t="shared" si="0"/>
        <v>161687</v>
      </c>
    </row>
    <row r="13" spans="1:12" ht="15" customHeight="1" x14ac:dyDescent="0.25">
      <c r="A13" s="770" t="s">
        <v>618</v>
      </c>
      <c r="B13" s="2373"/>
      <c r="C13" s="2374"/>
      <c r="D13" s="2343"/>
      <c r="E13" s="2343"/>
      <c r="F13" s="35"/>
      <c r="G13" s="2344"/>
      <c r="H13" s="2344"/>
      <c r="I13" s="35"/>
      <c r="J13" s="2347"/>
      <c r="K13" s="2361"/>
      <c r="L13" s="209">
        <f t="shared" si="0"/>
        <v>0</v>
      </c>
    </row>
    <row r="14" spans="1:12" ht="15" customHeight="1" x14ac:dyDescent="0.25">
      <c r="A14" s="757" t="s">
        <v>2217</v>
      </c>
      <c r="B14" s="2375">
        <v>36158</v>
      </c>
      <c r="C14" s="2376">
        <v>5864</v>
      </c>
      <c r="D14" s="2355">
        <v>50761</v>
      </c>
      <c r="E14" s="2355">
        <v>18106</v>
      </c>
      <c r="F14" s="7">
        <f t="shared" ref="F14:F28" si="6">B14+C14+D14+E14</f>
        <v>110889</v>
      </c>
      <c r="G14" s="7"/>
      <c r="H14" s="7"/>
      <c r="I14" s="6">
        <f t="shared" ref="I14:I28" si="7">SUM(G14:H14)</f>
        <v>0</v>
      </c>
      <c r="J14" s="2356">
        <f t="shared" ref="J14:J28" si="8">I14+F14</f>
        <v>110889</v>
      </c>
      <c r="K14" s="2354">
        <v>9400</v>
      </c>
      <c r="L14" s="213">
        <f t="shared" si="0"/>
        <v>101489</v>
      </c>
    </row>
    <row r="15" spans="1:12" ht="15" customHeight="1" x14ac:dyDescent="0.25">
      <c r="A15" s="760" t="s">
        <v>2221</v>
      </c>
      <c r="B15" s="2377">
        <v>49079</v>
      </c>
      <c r="C15" s="2378">
        <v>7714</v>
      </c>
      <c r="D15" s="2362">
        <v>5604</v>
      </c>
      <c r="E15" s="2362">
        <v>13550</v>
      </c>
      <c r="F15" s="7">
        <f t="shared" si="6"/>
        <v>75947</v>
      </c>
      <c r="G15" s="2363"/>
      <c r="H15" s="2344"/>
      <c r="I15" s="6">
        <f t="shared" si="7"/>
        <v>0</v>
      </c>
      <c r="J15" s="2347">
        <f t="shared" si="8"/>
        <v>75947</v>
      </c>
      <c r="K15" s="2354"/>
      <c r="L15" s="213">
        <f t="shared" si="0"/>
        <v>75947</v>
      </c>
    </row>
    <row r="16" spans="1:12" ht="30" customHeight="1" x14ac:dyDescent="0.25">
      <c r="A16" s="759" t="s">
        <v>2222</v>
      </c>
      <c r="B16" s="2379">
        <v>71254</v>
      </c>
      <c r="C16" s="2380">
        <v>11914</v>
      </c>
      <c r="D16" s="2364">
        <v>100138</v>
      </c>
      <c r="E16" s="2364">
        <v>39694</v>
      </c>
      <c r="F16" s="7">
        <f t="shared" si="6"/>
        <v>223000</v>
      </c>
      <c r="G16" s="878"/>
      <c r="H16" s="7"/>
      <c r="I16" s="6">
        <f t="shared" si="7"/>
        <v>0</v>
      </c>
      <c r="J16" s="2356">
        <f t="shared" si="8"/>
        <v>223000</v>
      </c>
      <c r="K16" s="2354">
        <v>500</v>
      </c>
      <c r="L16" s="213">
        <f t="shared" si="0"/>
        <v>222500</v>
      </c>
    </row>
    <row r="17" spans="1:12" ht="30" customHeight="1" x14ac:dyDescent="0.25">
      <c r="A17" s="759" t="s">
        <v>2223</v>
      </c>
      <c r="B17" s="2379"/>
      <c r="C17" s="2380"/>
      <c r="D17" s="2364"/>
      <c r="E17" s="2364"/>
      <c r="F17" s="7">
        <f t="shared" si="6"/>
        <v>0</v>
      </c>
      <c r="G17" s="878"/>
      <c r="H17" s="7"/>
      <c r="I17" s="6">
        <f t="shared" si="7"/>
        <v>0</v>
      </c>
      <c r="J17" s="2356">
        <f t="shared" si="8"/>
        <v>0</v>
      </c>
      <c r="K17" s="2354"/>
      <c r="L17" s="213">
        <f t="shared" si="0"/>
        <v>0</v>
      </c>
    </row>
    <row r="18" spans="1:12" ht="15" customHeight="1" x14ac:dyDescent="0.25">
      <c r="A18" s="757" t="s">
        <v>2227</v>
      </c>
      <c r="B18" s="2375">
        <v>39844</v>
      </c>
      <c r="C18" s="2376">
        <v>6570</v>
      </c>
      <c r="D18" s="2355">
        <v>67206</v>
      </c>
      <c r="E18" s="2355">
        <v>23586</v>
      </c>
      <c r="F18" s="7">
        <f t="shared" si="6"/>
        <v>137206</v>
      </c>
      <c r="G18" s="7"/>
      <c r="H18" s="7"/>
      <c r="I18" s="6">
        <f t="shared" si="7"/>
        <v>0</v>
      </c>
      <c r="J18" s="2356">
        <f t="shared" si="8"/>
        <v>137206</v>
      </c>
      <c r="K18" s="2354">
        <v>4998</v>
      </c>
      <c r="L18" s="213">
        <f t="shared" si="0"/>
        <v>132208</v>
      </c>
    </row>
    <row r="19" spans="1:12" ht="15" customHeight="1" x14ac:dyDescent="0.25">
      <c r="A19" s="757" t="s">
        <v>2228</v>
      </c>
      <c r="B19" s="2375">
        <v>4741</v>
      </c>
      <c r="C19" s="2376">
        <v>798</v>
      </c>
      <c r="D19" s="2355">
        <v>42385</v>
      </c>
      <c r="E19" s="2355">
        <v>10406</v>
      </c>
      <c r="F19" s="7">
        <f t="shared" si="6"/>
        <v>58330</v>
      </c>
      <c r="G19" s="7"/>
      <c r="H19" s="7"/>
      <c r="I19" s="6">
        <f t="shared" si="7"/>
        <v>0</v>
      </c>
      <c r="J19" s="2356">
        <f t="shared" si="8"/>
        <v>58330</v>
      </c>
      <c r="K19" s="2354"/>
      <c r="L19" s="213">
        <f t="shared" si="0"/>
        <v>58330</v>
      </c>
    </row>
    <row r="20" spans="1:12" ht="30" customHeight="1" x14ac:dyDescent="0.25">
      <c r="A20" s="760" t="s">
        <v>2224</v>
      </c>
      <c r="B20" s="2377">
        <v>27833</v>
      </c>
      <c r="C20" s="2378">
        <v>4584</v>
      </c>
      <c r="D20" s="2362">
        <v>52573</v>
      </c>
      <c r="E20" s="2362">
        <v>15198</v>
      </c>
      <c r="F20" s="7">
        <f t="shared" si="6"/>
        <v>100188</v>
      </c>
      <c r="G20" s="2363"/>
      <c r="H20" s="2344"/>
      <c r="I20" s="6">
        <f t="shared" si="7"/>
        <v>0</v>
      </c>
      <c r="J20" s="2347">
        <f t="shared" si="8"/>
        <v>100188</v>
      </c>
      <c r="K20" s="2354">
        <v>15000</v>
      </c>
      <c r="L20" s="213">
        <f t="shared" si="0"/>
        <v>85188</v>
      </c>
    </row>
    <row r="21" spans="1:12" ht="30" customHeight="1" x14ac:dyDescent="0.25">
      <c r="A21" s="759" t="s">
        <v>2229</v>
      </c>
      <c r="B21" s="2379">
        <v>40130</v>
      </c>
      <c r="C21" s="2380">
        <v>6859</v>
      </c>
      <c r="D21" s="2364">
        <v>94636</v>
      </c>
      <c r="E21" s="2364"/>
      <c r="F21" s="7">
        <f t="shared" si="6"/>
        <v>141625</v>
      </c>
      <c r="G21" s="878"/>
      <c r="H21" s="7"/>
      <c r="I21" s="6">
        <f t="shared" si="7"/>
        <v>0</v>
      </c>
      <c r="J21" s="2356">
        <f t="shared" si="8"/>
        <v>141625</v>
      </c>
      <c r="K21" s="2354">
        <v>141625</v>
      </c>
      <c r="L21" s="213">
        <f t="shared" si="0"/>
        <v>0</v>
      </c>
    </row>
    <row r="22" spans="1:12" ht="15" customHeight="1" x14ac:dyDescent="0.25">
      <c r="A22" s="757" t="s">
        <v>2230</v>
      </c>
      <c r="B22" s="2375">
        <v>3599</v>
      </c>
      <c r="C22" s="2376">
        <v>566</v>
      </c>
      <c r="D22" s="2355">
        <v>4980</v>
      </c>
      <c r="E22" s="2355">
        <v>253</v>
      </c>
      <c r="F22" s="7">
        <f t="shared" si="6"/>
        <v>9398</v>
      </c>
      <c r="G22" s="7"/>
      <c r="H22" s="7"/>
      <c r="I22" s="6">
        <f t="shared" si="7"/>
        <v>0</v>
      </c>
      <c r="J22" s="2356">
        <f t="shared" si="8"/>
        <v>9398</v>
      </c>
      <c r="K22" s="2354">
        <v>7978</v>
      </c>
      <c r="L22" s="213">
        <f t="shared" si="0"/>
        <v>1420</v>
      </c>
    </row>
    <row r="23" spans="1:12" ht="15" customHeight="1" x14ac:dyDescent="0.25">
      <c r="A23" s="759"/>
      <c r="B23" s="2377"/>
      <c r="C23" s="2378"/>
      <c r="D23" s="2362"/>
      <c r="E23" s="2362"/>
      <c r="F23" s="7">
        <f t="shared" si="6"/>
        <v>0</v>
      </c>
      <c r="G23" s="2363"/>
      <c r="H23" s="2344"/>
      <c r="I23" s="6">
        <f t="shared" si="7"/>
        <v>0</v>
      </c>
      <c r="J23" s="2347">
        <f t="shared" si="8"/>
        <v>0</v>
      </c>
      <c r="K23" s="2354"/>
      <c r="L23" s="213">
        <f t="shared" si="0"/>
        <v>0</v>
      </c>
    </row>
    <row r="24" spans="1:12" ht="15" customHeight="1" x14ac:dyDescent="0.25">
      <c r="A24" s="757"/>
      <c r="B24" s="2375"/>
      <c r="C24" s="2376"/>
      <c r="D24" s="2355"/>
      <c r="E24" s="2355"/>
      <c r="F24" s="7">
        <f t="shared" si="6"/>
        <v>0</v>
      </c>
      <c r="G24" s="7"/>
      <c r="H24" s="7"/>
      <c r="I24" s="6">
        <f t="shared" si="7"/>
        <v>0</v>
      </c>
      <c r="J24" s="2356">
        <f t="shared" si="8"/>
        <v>0</v>
      </c>
      <c r="K24" s="2354"/>
      <c r="L24" s="213">
        <f t="shared" si="0"/>
        <v>0</v>
      </c>
    </row>
    <row r="25" spans="1:12" ht="15" customHeight="1" x14ac:dyDescent="0.25">
      <c r="A25" s="760"/>
      <c r="B25" s="2377"/>
      <c r="C25" s="2378"/>
      <c r="D25" s="2362"/>
      <c r="E25" s="2362"/>
      <c r="F25" s="7">
        <f t="shared" si="6"/>
        <v>0</v>
      </c>
      <c r="G25" s="2363"/>
      <c r="H25" s="2344"/>
      <c r="I25" s="6">
        <f t="shared" si="7"/>
        <v>0</v>
      </c>
      <c r="J25" s="2347">
        <f t="shared" si="8"/>
        <v>0</v>
      </c>
      <c r="K25" s="2354"/>
      <c r="L25" s="213">
        <f t="shared" si="0"/>
        <v>0</v>
      </c>
    </row>
    <row r="26" spans="1:12" ht="15" customHeight="1" x14ac:dyDescent="0.25">
      <c r="A26" s="759"/>
      <c r="B26" s="2379"/>
      <c r="C26" s="2380"/>
      <c r="D26" s="2364"/>
      <c r="E26" s="2364"/>
      <c r="F26" s="7">
        <f t="shared" si="6"/>
        <v>0</v>
      </c>
      <c r="G26" s="878"/>
      <c r="H26" s="7"/>
      <c r="I26" s="6">
        <f t="shared" si="7"/>
        <v>0</v>
      </c>
      <c r="J26" s="2356">
        <f t="shared" si="8"/>
        <v>0</v>
      </c>
      <c r="K26" s="2354"/>
      <c r="L26" s="213">
        <f t="shared" si="0"/>
        <v>0</v>
      </c>
    </row>
    <row r="27" spans="1:12" ht="15" customHeight="1" x14ac:dyDescent="0.25">
      <c r="A27" s="759"/>
      <c r="B27" s="2379"/>
      <c r="C27" s="2380"/>
      <c r="D27" s="2364"/>
      <c r="E27" s="2364"/>
      <c r="F27" s="7">
        <f t="shared" si="6"/>
        <v>0</v>
      </c>
      <c r="G27" s="878"/>
      <c r="H27" s="7"/>
      <c r="I27" s="6">
        <f t="shared" si="7"/>
        <v>0</v>
      </c>
      <c r="J27" s="2356">
        <f t="shared" si="8"/>
        <v>0</v>
      </c>
      <c r="K27" s="2354"/>
      <c r="L27" s="213">
        <f t="shared" si="0"/>
        <v>0</v>
      </c>
    </row>
    <row r="28" spans="1:12" ht="15" customHeight="1" thickBot="1" x14ac:dyDescent="0.3">
      <c r="A28" s="759"/>
      <c r="B28" s="2379"/>
      <c r="C28" s="2380"/>
      <c r="D28" s="2364"/>
      <c r="E28" s="2364"/>
      <c r="F28" s="878">
        <f t="shared" si="6"/>
        <v>0</v>
      </c>
      <c r="G28" s="878"/>
      <c r="H28" s="878"/>
      <c r="I28" s="36">
        <f t="shared" si="7"/>
        <v>0</v>
      </c>
      <c r="J28" s="2365">
        <f t="shared" si="8"/>
        <v>0</v>
      </c>
      <c r="K28" s="2357"/>
      <c r="L28" s="215">
        <f t="shared" si="0"/>
        <v>0</v>
      </c>
    </row>
    <row r="29" spans="1:12" s="128" customFormat="1" ht="15" customHeight="1" thickBot="1" x14ac:dyDescent="0.3">
      <c r="A29" s="413" t="s">
        <v>619</v>
      </c>
      <c r="B29" s="2351">
        <f t="shared" ref="B29:J29" si="9">SUM(B13:B28)</f>
        <v>272638</v>
      </c>
      <c r="C29" s="2351">
        <f t="shared" si="9"/>
        <v>44869</v>
      </c>
      <c r="D29" s="2351">
        <f t="shared" si="9"/>
        <v>418283</v>
      </c>
      <c r="E29" s="2351">
        <f t="shared" si="9"/>
        <v>120793</v>
      </c>
      <c r="F29" s="2351">
        <f t="shared" si="9"/>
        <v>856583</v>
      </c>
      <c r="G29" s="2351">
        <f t="shared" si="9"/>
        <v>0</v>
      </c>
      <c r="H29" s="2351">
        <f t="shared" si="9"/>
        <v>0</v>
      </c>
      <c r="I29" s="2351">
        <f t="shared" si="9"/>
        <v>0</v>
      </c>
      <c r="J29" s="2351">
        <f t="shared" si="9"/>
        <v>856583</v>
      </c>
      <c r="K29" s="2352">
        <f t="shared" ref="K29:L29" si="10">SUM(K13:K28)</f>
        <v>179501</v>
      </c>
      <c r="L29" s="2353">
        <f t="shared" si="10"/>
        <v>677082</v>
      </c>
    </row>
    <row r="30" spans="1:12" s="128" customFormat="1" ht="15" customHeight="1" thickBot="1" x14ac:dyDescent="0.3">
      <c r="A30" s="776" t="s">
        <v>634</v>
      </c>
      <c r="B30" s="765">
        <f t="shared" ref="B30:I30" si="11">B12+B29</f>
        <v>338334</v>
      </c>
      <c r="C30" s="766">
        <f t="shared" si="11"/>
        <v>54785</v>
      </c>
      <c r="D30" s="2366">
        <f t="shared" si="11"/>
        <v>487650</v>
      </c>
      <c r="E30" s="2366">
        <f t="shared" si="11"/>
        <v>149638</v>
      </c>
      <c r="F30" s="2367">
        <f t="shared" si="11"/>
        <v>1030407</v>
      </c>
      <c r="G30" s="2367">
        <f t="shared" si="11"/>
        <v>0</v>
      </c>
      <c r="H30" s="2367">
        <f t="shared" si="11"/>
        <v>0</v>
      </c>
      <c r="I30" s="2367">
        <f t="shared" si="11"/>
        <v>0</v>
      </c>
      <c r="J30" s="2368">
        <f>I30+F30</f>
        <v>1030407</v>
      </c>
      <c r="K30" s="2360">
        <f t="shared" ref="K30:L30" si="12">K12+K29</f>
        <v>191638</v>
      </c>
      <c r="L30" s="216">
        <f t="shared" si="12"/>
        <v>838769</v>
      </c>
    </row>
    <row r="31" spans="1:12" x14ac:dyDescent="0.25">
      <c r="A31" s="2"/>
      <c r="B31" s="2"/>
      <c r="C31" s="2"/>
      <c r="D31" s="17"/>
      <c r="E31" s="17"/>
      <c r="F31" s="123"/>
      <c r="G31" s="17"/>
      <c r="H31" s="17"/>
      <c r="I31" s="123"/>
      <c r="J31" s="123"/>
    </row>
    <row r="32" spans="1:12" x14ac:dyDescent="0.25">
      <c r="A32" s="2"/>
      <c r="B32" s="2"/>
      <c r="C32" s="2"/>
      <c r="D32" s="17"/>
      <c r="E32" s="17"/>
      <c r="F32" s="123"/>
      <c r="G32" s="17"/>
      <c r="H32" s="17"/>
      <c r="I32" s="123"/>
      <c r="J32" s="123"/>
    </row>
    <row r="33" spans="1:10" x14ac:dyDescent="0.25">
      <c r="A33" s="2"/>
      <c r="B33" s="2"/>
      <c r="C33" s="2"/>
      <c r="D33" s="17"/>
      <c r="E33" s="17"/>
      <c r="F33" s="123"/>
      <c r="G33" s="17"/>
      <c r="H33" s="17"/>
      <c r="I33" s="123"/>
      <c r="J33" s="123"/>
    </row>
    <row r="34" spans="1:10" x14ac:dyDescent="0.25">
      <c r="A34" s="2"/>
      <c r="B34" s="2"/>
      <c r="C34" s="2"/>
      <c r="D34" s="17"/>
      <c r="E34" s="17"/>
      <c r="F34" s="123"/>
      <c r="G34" s="17"/>
      <c r="H34" s="17"/>
      <c r="I34" s="123"/>
      <c r="J34" s="123"/>
    </row>
    <row r="35" spans="1:10" x14ac:dyDescent="0.25">
      <c r="A35" s="2"/>
      <c r="B35" s="2"/>
      <c r="C35" s="2"/>
      <c r="D35" s="17"/>
      <c r="E35" s="17"/>
      <c r="F35" s="123"/>
      <c r="G35" s="17"/>
      <c r="H35" s="17"/>
      <c r="I35" s="123"/>
      <c r="J35" s="123"/>
    </row>
    <row r="36" spans="1:10" x14ac:dyDescent="0.25">
      <c r="A36" s="2"/>
      <c r="B36" s="2"/>
      <c r="C36" s="2"/>
      <c r="D36" s="17"/>
      <c r="E36" s="17"/>
      <c r="F36" s="123"/>
      <c r="G36" s="17"/>
      <c r="H36" s="17"/>
      <c r="I36" s="123"/>
      <c r="J36" s="123"/>
    </row>
    <row r="37" spans="1:10" x14ac:dyDescent="0.25">
      <c r="A37" s="2"/>
      <c r="B37" s="2"/>
      <c r="C37" s="2"/>
      <c r="D37" s="17"/>
      <c r="E37" s="17"/>
      <c r="F37" s="123"/>
      <c r="G37" s="17"/>
      <c r="H37" s="17"/>
      <c r="I37" s="123"/>
      <c r="J37" s="123"/>
    </row>
    <row r="38" spans="1:10" x14ac:dyDescent="0.25">
      <c r="A38" s="2"/>
      <c r="B38" s="2"/>
      <c r="C38" s="2"/>
      <c r="D38" s="17"/>
      <c r="E38" s="17"/>
      <c r="F38" s="123"/>
      <c r="G38" s="17"/>
      <c r="H38" s="17"/>
      <c r="I38" s="123"/>
      <c r="J38" s="123"/>
    </row>
    <row r="39" spans="1:10" x14ac:dyDescent="0.25">
      <c r="A39" s="2"/>
      <c r="B39" s="2"/>
      <c r="C39" s="2"/>
      <c r="D39" s="17"/>
      <c r="E39" s="17"/>
      <c r="F39" s="123"/>
      <c r="G39" s="17"/>
      <c r="H39" s="17"/>
      <c r="I39" s="123"/>
      <c r="J39" s="123"/>
    </row>
    <row r="40" spans="1:10" x14ac:dyDescent="0.25">
      <c r="A40" s="2"/>
      <c r="B40" s="2"/>
      <c r="C40" s="2"/>
      <c r="D40" s="17"/>
      <c r="E40" s="17"/>
      <c r="F40" s="123"/>
      <c r="G40" s="17"/>
      <c r="H40" s="17"/>
      <c r="I40" s="123"/>
      <c r="J40" s="123"/>
    </row>
    <row r="41" spans="1:10" x14ac:dyDescent="0.25">
      <c r="A41" s="2"/>
      <c r="B41" s="2"/>
      <c r="C41" s="2"/>
      <c r="D41" s="17"/>
      <c r="E41" s="17"/>
      <c r="F41" s="123"/>
      <c r="G41" s="17"/>
      <c r="H41" s="17"/>
      <c r="I41" s="123"/>
      <c r="J41" s="123"/>
    </row>
    <row r="42" spans="1:10" x14ac:dyDescent="0.25">
      <c r="A42" s="2"/>
      <c r="B42" s="2"/>
      <c r="C42" s="2"/>
      <c r="D42" s="17"/>
      <c r="E42" s="17"/>
      <c r="F42" s="123"/>
      <c r="G42" s="17"/>
      <c r="H42" s="17"/>
      <c r="I42" s="123"/>
      <c r="J42" s="123"/>
    </row>
    <row r="43" spans="1:10" x14ac:dyDescent="0.25">
      <c r="A43" s="2"/>
      <c r="B43" s="2"/>
      <c r="C43" s="2"/>
      <c r="D43" s="17"/>
      <c r="E43" s="17"/>
      <c r="F43" s="123"/>
      <c r="G43" s="17"/>
      <c r="H43" s="17"/>
      <c r="I43" s="123"/>
      <c r="J43" s="123"/>
    </row>
    <row r="44" spans="1:10" x14ac:dyDescent="0.25">
      <c r="A44" s="2"/>
      <c r="B44" s="2"/>
      <c r="C44" s="2"/>
      <c r="D44" s="17"/>
      <c r="E44" s="17"/>
      <c r="F44" s="123"/>
      <c r="G44" s="17"/>
      <c r="H44" s="17"/>
      <c r="I44" s="123"/>
      <c r="J44" s="123"/>
    </row>
    <row r="45" spans="1:10" x14ac:dyDescent="0.25">
      <c r="A45" s="2"/>
      <c r="B45" s="2"/>
      <c r="C45" s="2"/>
      <c r="D45" s="17"/>
      <c r="E45" s="17"/>
      <c r="F45" s="123"/>
      <c r="G45" s="17"/>
      <c r="H45" s="17"/>
      <c r="I45" s="123"/>
      <c r="J45" s="123"/>
    </row>
    <row r="46" spans="1:10" x14ac:dyDescent="0.25">
      <c r="A46" s="2"/>
      <c r="B46" s="2"/>
      <c r="C46" s="2"/>
      <c r="D46" s="17"/>
      <c r="E46" s="17"/>
      <c r="F46" s="123"/>
      <c r="G46" s="17"/>
      <c r="H46" s="17"/>
      <c r="I46" s="123"/>
      <c r="J46" s="123"/>
    </row>
    <row r="47" spans="1:10" x14ac:dyDescent="0.25">
      <c r="A47" s="2"/>
      <c r="B47" s="2"/>
      <c r="C47" s="2"/>
      <c r="D47" s="17"/>
      <c r="E47" s="17"/>
      <c r="F47" s="123"/>
      <c r="G47" s="17"/>
      <c r="H47" s="17"/>
      <c r="I47" s="123"/>
      <c r="J47" s="123"/>
    </row>
    <row r="48" spans="1:10" x14ac:dyDescent="0.25">
      <c r="A48" s="2"/>
      <c r="B48" s="2"/>
      <c r="C48" s="2"/>
      <c r="D48" s="17"/>
      <c r="E48" s="17"/>
      <c r="F48" s="123"/>
      <c r="G48" s="17"/>
      <c r="H48" s="17"/>
      <c r="I48" s="123"/>
      <c r="J48" s="123"/>
    </row>
    <row r="49" spans="1:10" x14ac:dyDescent="0.25">
      <c r="A49" s="2"/>
      <c r="B49" s="2"/>
      <c r="C49" s="2"/>
      <c r="D49" s="17"/>
      <c r="E49" s="17"/>
      <c r="F49" s="123"/>
      <c r="G49" s="17"/>
      <c r="H49" s="17"/>
      <c r="I49" s="123"/>
      <c r="J49" s="123"/>
    </row>
    <row r="50" spans="1:10" x14ac:dyDescent="0.25">
      <c r="A50" s="2"/>
      <c r="B50" s="2"/>
      <c r="C50" s="2"/>
      <c r="D50" s="17"/>
      <c r="E50" s="17"/>
      <c r="F50" s="123"/>
      <c r="G50" s="17"/>
      <c r="H50" s="17"/>
      <c r="I50" s="123"/>
      <c r="J50" s="123"/>
    </row>
    <row r="51" spans="1:10" x14ac:dyDescent="0.25">
      <c r="A51" s="2"/>
      <c r="B51" s="2"/>
      <c r="C51" s="2"/>
      <c r="D51" s="17"/>
      <c r="E51" s="17"/>
      <c r="F51" s="123"/>
      <c r="G51" s="17"/>
      <c r="H51" s="17"/>
      <c r="I51" s="123"/>
      <c r="J51" s="123"/>
    </row>
    <row r="52" spans="1:10" x14ac:dyDescent="0.25">
      <c r="A52" s="2"/>
      <c r="B52" s="2"/>
      <c r="C52" s="2"/>
      <c r="D52" s="17"/>
      <c r="E52" s="17"/>
      <c r="F52" s="123"/>
      <c r="G52" s="17"/>
      <c r="H52" s="17"/>
      <c r="I52" s="123"/>
      <c r="J52" s="123"/>
    </row>
  </sheetData>
  <printOptions horizontalCentered="1"/>
  <pageMargins left="0.39370078740157483" right="0.19685039370078741" top="0.62992125984251968" bottom="0.51181102362204722" header="0.15748031496062992" footer="0.15748031496062992"/>
  <pageSetup paperSize="9" scale="65" orientation="landscape" r:id="rId1"/>
  <headerFooter alignWithMargins="0">
    <oddHeader xml:space="preserve">&amp;C&amp;"Times New Roman,Félkövér" 2020. évi költségvetés
 Józsefváros Közösségeiért Nonprofit Zrt.
11805 cím kiadási előirányzat&amp;R&amp;"Times New Roman,Félkövér dőlt"
</oddHeader>
    <oddFooter xml:space="preserve">&amp;C
&amp;R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ET943"/>
  <sheetViews>
    <sheetView topLeftCell="N1" workbookViewId="0">
      <selection activeCell="P126" sqref="P126"/>
    </sheetView>
  </sheetViews>
  <sheetFormatPr defaultRowHeight="13.2" x14ac:dyDescent="0.25"/>
  <cols>
    <col min="1" max="1" width="3" style="350" bestFit="1" customWidth="1"/>
    <col min="2" max="2" width="40.6640625" style="350" customWidth="1"/>
    <col min="3" max="12" width="10.6640625" style="1205" customWidth="1"/>
    <col min="13" max="13" width="3" style="350" customWidth="1"/>
    <col min="14" max="14" width="40.6640625" style="350" customWidth="1"/>
    <col min="15" max="28" width="10.6640625" style="1205" customWidth="1"/>
    <col min="29" max="29" width="2.6640625" style="350" customWidth="1"/>
    <col min="30" max="30" width="40.6640625" style="350" customWidth="1"/>
    <col min="31" max="50" width="10.6640625" style="1205" customWidth="1"/>
    <col min="51" max="51" width="3" style="350" customWidth="1"/>
    <col min="52" max="52" width="40.6640625" style="350" customWidth="1"/>
    <col min="53" max="56" width="9.6640625" style="1205" customWidth="1"/>
    <col min="57" max="57" width="3" style="350" customWidth="1"/>
    <col min="58" max="58" width="40.6640625" style="350" customWidth="1"/>
    <col min="59" max="82" width="9.6640625" style="1205" customWidth="1"/>
    <col min="83" max="83" width="3.6640625" style="350" customWidth="1"/>
    <col min="84" max="84" width="40.6640625" style="350" customWidth="1"/>
    <col min="85" max="88" width="9.6640625" style="1205" customWidth="1"/>
    <col min="89" max="89" width="3" style="350" customWidth="1"/>
    <col min="90" max="90" width="40.6640625" style="350" customWidth="1"/>
    <col min="91" max="106" width="10.6640625" style="1205" customWidth="1"/>
    <col min="107" max="112" width="9.6640625" style="1205" customWidth="1"/>
    <col min="113" max="113" width="3" style="1198" customWidth="1"/>
    <col min="114" max="114" width="40.6640625" style="1198" customWidth="1"/>
    <col min="115" max="116" width="9.6640625" style="1198" customWidth="1"/>
    <col min="117" max="120" width="9.6640625" style="1205" customWidth="1"/>
    <col min="121" max="121" width="3" style="350" customWidth="1"/>
    <col min="122" max="122" width="40.6640625" style="350" customWidth="1"/>
    <col min="123" max="126" width="9.6640625" style="1205" customWidth="1"/>
    <col min="127" max="127" width="3" style="350" customWidth="1"/>
    <col min="128" max="128" width="40.6640625" style="350" customWidth="1"/>
    <col min="129" max="134" width="9.6640625" style="1205" customWidth="1"/>
    <col min="135" max="135" width="2" style="350" customWidth="1"/>
    <col min="136" max="136" width="40.6640625" style="350" customWidth="1"/>
    <col min="137" max="142" width="9.6640625" style="1205" customWidth="1"/>
    <col min="143" max="146" width="12.6640625" style="350" customWidth="1"/>
    <col min="147" max="150" width="9.6640625" style="1205" customWidth="1"/>
    <col min="151" max="275" width="8.88671875" style="107"/>
    <col min="276" max="276" width="3.6640625" style="107" customWidth="1"/>
    <col min="277" max="277" width="42.5546875" style="107" customWidth="1"/>
    <col min="278" max="278" width="9.33203125" style="107" customWidth="1"/>
    <col min="279" max="290" width="11.6640625" style="107" customWidth="1"/>
    <col min="291" max="293" width="9.6640625" style="107" customWidth="1"/>
    <col min="294" max="531" width="8.88671875" style="107"/>
    <col min="532" max="532" width="3.6640625" style="107" customWidth="1"/>
    <col min="533" max="533" width="42.5546875" style="107" customWidth="1"/>
    <col min="534" max="534" width="9.33203125" style="107" customWidth="1"/>
    <col min="535" max="546" width="11.6640625" style="107" customWidth="1"/>
    <col min="547" max="549" width="9.6640625" style="107" customWidth="1"/>
    <col min="550" max="787" width="8.88671875" style="107"/>
    <col min="788" max="788" width="3.6640625" style="107" customWidth="1"/>
    <col min="789" max="789" width="42.5546875" style="107" customWidth="1"/>
    <col min="790" max="790" width="9.33203125" style="107" customWidth="1"/>
    <col min="791" max="802" width="11.6640625" style="107" customWidth="1"/>
    <col min="803" max="805" width="9.6640625" style="107" customWidth="1"/>
    <col min="806" max="1043" width="8.88671875" style="107"/>
    <col min="1044" max="1044" width="3.6640625" style="107" customWidth="1"/>
    <col min="1045" max="1045" width="42.5546875" style="107" customWidth="1"/>
    <col min="1046" max="1046" width="9.33203125" style="107" customWidth="1"/>
    <col min="1047" max="1058" width="11.6640625" style="107" customWidth="1"/>
    <col min="1059" max="1061" width="9.6640625" style="107" customWidth="1"/>
    <col min="1062" max="1299" width="8.88671875" style="107"/>
    <col min="1300" max="1300" width="3.6640625" style="107" customWidth="1"/>
    <col min="1301" max="1301" width="42.5546875" style="107" customWidth="1"/>
    <col min="1302" max="1302" width="9.33203125" style="107" customWidth="1"/>
    <col min="1303" max="1314" width="11.6640625" style="107" customWidth="1"/>
    <col min="1315" max="1317" width="9.6640625" style="107" customWidth="1"/>
    <col min="1318" max="1555" width="8.88671875" style="107"/>
    <col min="1556" max="1556" width="3.6640625" style="107" customWidth="1"/>
    <col min="1557" max="1557" width="42.5546875" style="107" customWidth="1"/>
    <col min="1558" max="1558" width="9.33203125" style="107" customWidth="1"/>
    <col min="1559" max="1570" width="11.6640625" style="107" customWidth="1"/>
    <col min="1571" max="1573" width="9.6640625" style="107" customWidth="1"/>
    <col min="1574" max="1811" width="8.88671875" style="107"/>
    <col min="1812" max="1812" width="3.6640625" style="107" customWidth="1"/>
    <col min="1813" max="1813" width="42.5546875" style="107" customWidth="1"/>
    <col min="1814" max="1814" width="9.33203125" style="107" customWidth="1"/>
    <col min="1815" max="1826" width="11.6640625" style="107" customWidth="1"/>
    <col min="1827" max="1829" width="9.6640625" style="107" customWidth="1"/>
    <col min="1830" max="2067" width="8.88671875" style="107"/>
    <col min="2068" max="2068" width="3.6640625" style="107" customWidth="1"/>
    <col min="2069" max="2069" width="42.5546875" style="107" customWidth="1"/>
    <col min="2070" max="2070" width="9.33203125" style="107" customWidth="1"/>
    <col min="2071" max="2082" width="11.6640625" style="107" customWidth="1"/>
    <col min="2083" max="2085" width="9.6640625" style="107" customWidth="1"/>
    <col min="2086" max="2323" width="8.88671875" style="107"/>
    <col min="2324" max="2324" width="3.6640625" style="107" customWidth="1"/>
    <col min="2325" max="2325" width="42.5546875" style="107" customWidth="1"/>
    <col min="2326" max="2326" width="9.33203125" style="107" customWidth="1"/>
    <col min="2327" max="2338" width="11.6640625" style="107" customWidth="1"/>
    <col min="2339" max="2341" width="9.6640625" style="107" customWidth="1"/>
    <col min="2342" max="2579" width="8.88671875" style="107"/>
    <col min="2580" max="2580" width="3.6640625" style="107" customWidth="1"/>
    <col min="2581" max="2581" width="42.5546875" style="107" customWidth="1"/>
    <col min="2582" max="2582" width="9.33203125" style="107" customWidth="1"/>
    <col min="2583" max="2594" width="11.6640625" style="107" customWidth="1"/>
    <col min="2595" max="2597" width="9.6640625" style="107" customWidth="1"/>
    <col min="2598" max="2835" width="8.88671875" style="107"/>
    <col min="2836" max="2836" width="3.6640625" style="107" customWidth="1"/>
    <col min="2837" max="2837" width="42.5546875" style="107" customWidth="1"/>
    <col min="2838" max="2838" width="9.33203125" style="107" customWidth="1"/>
    <col min="2839" max="2850" width="11.6640625" style="107" customWidth="1"/>
    <col min="2851" max="2853" width="9.6640625" style="107" customWidth="1"/>
    <col min="2854" max="3091" width="8.88671875" style="107"/>
    <col min="3092" max="3092" width="3.6640625" style="107" customWidth="1"/>
    <col min="3093" max="3093" width="42.5546875" style="107" customWidth="1"/>
    <col min="3094" max="3094" width="9.33203125" style="107" customWidth="1"/>
    <col min="3095" max="3106" width="11.6640625" style="107" customWidth="1"/>
    <col min="3107" max="3109" width="9.6640625" style="107" customWidth="1"/>
    <col min="3110" max="3347" width="8.88671875" style="107"/>
    <col min="3348" max="3348" width="3.6640625" style="107" customWidth="1"/>
    <col min="3349" max="3349" width="42.5546875" style="107" customWidth="1"/>
    <col min="3350" max="3350" width="9.33203125" style="107" customWidth="1"/>
    <col min="3351" max="3362" width="11.6640625" style="107" customWidth="1"/>
    <col min="3363" max="3365" width="9.6640625" style="107" customWidth="1"/>
    <col min="3366" max="3603" width="8.88671875" style="107"/>
    <col min="3604" max="3604" width="3.6640625" style="107" customWidth="1"/>
    <col min="3605" max="3605" width="42.5546875" style="107" customWidth="1"/>
    <col min="3606" max="3606" width="9.33203125" style="107" customWidth="1"/>
    <col min="3607" max="3618" width="11.6640625" style="107" customWidth="1"/>
    <col min="3619" max="3621" width="9.6640625" style="107" customWidth="1"/>
    <col min="3622" max="3859" width="8.88671875" style="107"/>
    <col min="3860" max="3860" width="3.6640625" style="107" customWidth="1"/>
    <col min="3861" max="3861" width="42.5546875" style="107" customWidth="1"/>
    <col min="3862" max="3862" width="9.33203125" style="107" customWidth="1"/>
    <col min="3863" max="3874" width="11.6640625" style="107" customWidth="1"/>
    <col min="3875" max="3877" width="9.6640625" style="107" customWidth="1"/>
    <col min="3878" max="4115" width="8.88671875" style="107"/>
    <col min="4116" max="4116" width="3.6640625" style="107" customWidth="1"/>
    <col min="4117" max="4117" width="42.5546875" style="107" customWidth="1"/>
    <col min="4118" max="4118" width="9.33203125" style="107" customWidth="1"/>
    <col min="4119" max="4130" width="11.6640625" style="107" customWidth="1"/>
    <col min="4131" max="4133" width="9.6640625" style="107" customWidth="1"/>
    <col min="4134" max="4371" width="8.88671875" style="107"/>
    <col min="4372" max="4372" width="3.6640625" style="107" customWidth="1"/>
    <col min="4373" max="4373" width="42.5546875" style="107" customWidth="1"/>
    <col min="4374" max="4374" width="9.33203125" style="107" customWidth="1"/>
    <col min="4375" max="4386" width="11.6640625" style="107" customWidth="1"/>
    <col min="4387" max="4389" width="9.6640625" style="107" customWidth="1"/>
    <col min="4390" max="4627" width="8.88671875" style="107"/>
    <col min="4628" max="4628" width="3.6640625" style="107" customWidth="1"/>
    <col min="4629" max="4629" width="42.5546875" style="107" customWidth="1"/>
    <col min="4630" max="4630" width="9.33203125" style="107" customWidth="1"/>
    <col min="4631" max="4642" width="11.6640625" style="107" customWidth="1"/>
    <col min="4643" max="4645" width="9.6640625" style="107" customWidth="1"/>
    <col min="4646" max="4883" width="8.88671875" style="107"/>
    <col min="4884" max="4884" width="3.6640625" style="107" customWidth="1"/>
    <col min="4885" max="4885" width="42.5546875" style="107" customWidth="1"/>
    <col min="4886" max="4886" width="9.33203125" style="107" customWidth="1"/>
    <col min="4887" max="4898" width="11.6640625" style="107" customWidth="1"/>
    <col min="4899" max="4901" width="9.6640625" style="107" customWidth="1"/>
    <col min="4902" max="5139" width="8.88671875" style="107"/>
    <col min="5140" max="5140" width="3.6640625" style="107" customWidth="1"/>
    <col min="5141" max="5141" width="42.5546875" style="107" customWidth="1"/>
    <col min="5142" max="5142" width="9.33203125" style="107" customWidth="1"/>
    <col min="5143" max="5154" width="11.6640625" style="107" customWidth="1"/>
    <col min="5155" max="5157" width="9.6640625" style="107" customWidth="1"/>
    <col min="5158" max="5395" width="8.88671875" style="107"/>
    <col min="5396" max="5396" width="3.6640625" style="107" customWidth="1"/>
    <col min="5397" max="5397" width="42.5546875" style="107" customWidth="1"/>
    <col min="5398" max="5398" width="9.33203125" style="107" customWidth="1"/>
    <col min="5399" max="5410" width="11.6640625" style="107" customWidth="1"/>
    <col min="5411" max="5413" width="9.6640625" style="107" customWidth="1"/>
    <col min="5414" max="5651" width="8.88671875" style="107"/>
    <col min="5652" max="5652" width="3.6640625" style="107" customWidth="1"/>
    <col min="5653" max="5653" width="42.5546875" style="107" customWidth="1"/>
    <col min="5654" max="5654" width="9.33203125" style="107" customWidth="1"/>
    <col min="5655" max="5666" width="11.6640625" style="107" customWidth="1"/>
    <col min="5667" max="5669" width="9.6640625" style="107" customWidth="1"/>
    <col min="5670" max="5907" width="8.88671875" style="107"/>
    <col min="5908" max="5908" width="3.6640625" style="107" customWidth="1"/>
    <col min="5909" max="5909" width="42.5546875" style="107" customWidth="1"/>
    <col min="5910" max="5910" width="9.33203125" style="107" customWidth="1"/>
    <col min="5911" max="5922" width="11.6640625" style="107" customWidth="1"/>
    <col min="5923" max="5925" width="9.6640625" style="107" customWidth="1"/>
    <col min="5926" max="6163" width="8.88671875" style="107"/>
    <col min="6164" max="6164" width="3.6640625" style="107" customWidth="1"/>
    <col min="6165" max="6165" width="42.5546875" style="107" customWidth="1"/>
    <col min="6166" max="6166" width="9.33203125" style="107" customWidth="1"/>
    <col min="6167" max="6178" width="11.6640625" style="107" customWidth="1"/>
    <col min="6179" max="6181" width="9.6640625" style="107" customWidth="1"/>
    <col min="6182" max="6419" width="8.88671875" style="107"/>
    <col min="6420" max="6420" width="3.6640625" style="107" customWidth="1"/>
    <col min="6421" max="6421" width="42.5546875" style="107" customWidth="1"/>
    <col min="6422" max="6422" width="9.33203125" style="107" customWidth="1"/>
    <col min="6423" max="6434" width="11.6640625" style="107" customWidth="1"/>
    <col min="6435" max="6437" width="9.6640625" style="107" customWidth="1"/>
    <col min="6438" max="6675" width="8.88671875" style="107"/>
    <col min="6676" max="6676" width="3.6640625" style="107" customWidth="1"/>
    <col min="6677" max="6677" width="42.5546875" style="107" customWidth="1"/>
    <col min="6678" max="6678" width="9.33203125" style="107" customWidth="1"/>
    <col min="6679" max="6690" width="11.6640625" style="107" customWidth="1"/>
    <col min="6691" max="6693" width="9.6640625" style="107" customWidth="1"/>
    <col min="6694" max="6931" width="8.88671875" style="107"/>
    <col min="6932" max="6932" width="3.6640625" style="107" customWidth="1"/>
    <col min="6933" max="6933" width="42.5546875" style="107" customWidth="1"/>
    <col min="6934" max="6934" width="9.33203125" style="107" customWidth="1"/>
    <col min="6935" max="6946" width="11.6640625" style="107" customWidth="1"/>
    <col min="6947" max="6949" width="9.6640625" style="107" customWidth="1"/>
    <col min="6950" max="7187" width="8.88671875" style="107"/>
    <col min="7188" max="7188" width="3.6640625" style="107" customWidth="1"/>
    <col min="7189" max="7189" width="42.5546875" style="107" customWidth="1"/>
    <col min="7190" max="7190" width="9.33203125" style="107" customWidth="1"/>
    <col min="7191" max="7202" width="11.6640625" style="107" customWidth="1"/>
    <col min="7203" max="7205" width="9.6640625" style="107" customWidth="1"/>
    <col min="7206" max="7443" width="8.88671875" style="107"/>
    <col min="7444" max="7444" width="3.6640625" style="107" customWidth="1"/>
    <col min="7445" max="7445" width="42.5546875" style="107" customWidth="1"/>
    <col min="7446" max="7446" width="9.33203125" style="107" customWidth="1"/>
    <col min="7447" max="7458" width="11.6640625" style="107" customWidth="1"/>
    <col min="7459" max="7461" width="9.6640625" style="107" customWidth="1"/>
    <col min="7462" max="7699" width="8.88671875" style="107"/>
    <col min="7700" max="7700" width="3.6640625" style="107" customWidth="1"/>
    <col min="7701" max="7701" width="42.5546875" style="107" customWidth="1"/>
    <col min="7702" max="7702" width="9.33203125" style="107" customWidth="1"/>
    <col min="7703" max="7714" width="11.6640625" style="107" customWidth="1"/>
    <col min="7715" max="7717" width="9.6640625" style="107" customWidth="1"/>
    <col min="7718" max="7955" width="8.88671875" style="107"/>
    <col min="7956" max="7956" width="3.6640625" style="107" customWidth="1"/>
    <col min="7957" max="7957" width="42.5546875" style="107" customWidth="1"/>
    <col min="7958" max="7958" width="9.33203125" style="107" customWidth="1"/>
    <col min="7959" max="7970" width="11.6640625" style="107" customWidth="1"/>
    <col min="7971" max="7973" width="9.6640625" style="107" customWidth="1"/>
    <col min="7974" max="8211" width="8.88671875" style="107"/>
    <col min="8212" max="8212" width="3.6640625" style="107" customWidth="1"/>
    <col min="8213" max="8213" width="42.5546875" style="107" customWidth="1"/>
    <col min="8214" max="8214" width="9.33203125" style="107" customWidth="1"/>
    <col min="8215" max="8226" width="11.6640625" style="107" customWidth="1"/>
    <col min="8227" max="8229" width="9.6640625" style="107" customWidth="1"/>
    <col min="8230" max="8467" width="8.88671875" style="107"/>
    <col min="8468" max="8468" width="3.6640625" style="107" customWidth="1"/>
    <col min="8469" max="8469" width="42.5546875" style="107" customWidth="1"/>
    <col min="8470" max="8470" width="9.33203125" style="107" customWidth="1"/>
    <col min="8471" max="8482" width="11.6640625" style="107" customWidth="1"/>
    <col min="8483" max="8485" width="9.6640625" style="107" customWidth="1"/>
    <col min="8486" max="8723" width="8.88671875" style="107"/>
    <col min="8724" max="8724" width="3.6640625" style="107" customWidth="1"/>
    <col min="8725" max="8725" width="42.5546875" style="107" customWidth="1"/>
    <col min="8726" max="8726" width="9.33203125" style="107" customWidth="1"/>
    <col min="8727" max="8738" width="11.6640625" style="107" customWidth="1"/>
    <col min="8739" max="8741" width="9.6640625" style="107" customWidth="1"/>
    <col min="8742" max="8979" width="8.88671875" style="107"/>
    <col min="8980" max="8980" width="3.6640625" style="107" customWidth="1"/>
    <col min="8981" max="8981" width="42.5546875" style="107" customWidth="1"/>
    <col min="8982" max="8982" width="9.33203125" style="107" customWidth="1"/>
    <col min="8983" max="8994" width="11.6640625" style="107" customWidth="1"/>
    <col min="8995" max="8997" width="9.6640625" style="107" customWidth="1"/>
    <col min="8998" max="9235" width="8.88671875" style="107"/>
    <col min="9236" max="9236" width="3.6640625" style="107" customWidth="1"/>
    <col min="9237" max="9237" width="42.5546875" style="107" customWidth="1"/>
    <col min="9238" max="9238" width="9.33203125" style="107" customWidth="1"/>
    <col min="9239" max="9250" width="11.6640625" style="107" customWidth="1"/>
    <col min="9251" max="9253" width="9.6640625" style="107" customWidth="1"/>
    <col min="9254" max="9491" width="8.88671875" style="107"/>
    <col min="9492" max="9492" width="3.6640625" style="107" customWidth="1"/>
    <col min="9493" max="9493" width="42.5546875" style="107" customWidth="1"/>
    <col min="9494" max="9494" width="9.33203125" style="107" customWidth="1"/>
    <col min="9495" max="9506" width="11.6640625" style="107" customWidth="1"/>
    <col min="9507" max="9509" width="9.6640625" style="107" customWidth="1"/>
    <col min="9510" max="9747" width="8.88671875" style="107"/>
    <col min="9748" max="9748" width="3.6640625" style="107" customWidth="1"/>
    <col min="9749" max="9749" width="42.5546875" style="107" customWidth="1"/>
    <col min="9750" max="9750" width="9.33203125" style="107" customWidth="1"/>
    <col min="9751" max="9762" width="11.6640625" style="107" customWidth="1"/>
    <col min="9763" max="9765" width="9.6640625" style="107" customWidth="1"/>
    <col min="9766" max="10003" width="8.88671875" style="107"/>
    <col min="10004" max="10004" width="3.6640625" style="107" customWidth="1"/>
    <col min="10005" max="10005" width="42.5546875" style="107" customWidth="1"/>
    <col min="10006" max="10006" width="9.33203125" style="107" customWidth="1"/>
    <col min="10007" max="10018" width="11.6640625" style="107" customWidth="1"/>
    <col min="10019" max="10021" width="9.6640625" style="107" customWidth="1"/>
    <col min="10022" max="10259" width="8.88671875" style="107"/>
    <col min="10260" max="10260" width="3.6640625" style="107" customWidth="1"/>
    <col min="10261" max="10261" width="42.5546875" style="107" customWidth="1"/>
    <col min="10262" max="10262" width="9.33203125" style="107" customWidth="1"/>
    <col min="10263" max="10274" width="11.6640625" style="107" customWidth="1"/>
    <col min="10275" max="10277" width="9.6640625" style="107" customWidth="1"/>
    <col min="10278" max="10515" width="8.88671875" style="107"/>
    <col min="10516" max="10516" width="3.6640625" style="107" customWidth="1"/>
    <col min="10517" max="10517" width="42.5546875" style="107" customWidth="1"/>
    <col min="10518" max="10518" width="9.33203125" style="107" customWidth="1"/>
    <col min="10519" max="10530" width="11.6640625" style="107" customWidth="1"/>
    <col min="10531" max="10533" width="9.6640625" style="107" customWidth="1"/>
    <col min="10534" max="10771" width="8.88671875" style="107"/>
    <col min="10772" max="10772" width="3.6640625" style="107" customWidth="1"/>
    <col min="10773" max="10773" width="42.5546875" style="107" customWidth="1"/>
    <col min="10774" max="10774" width="9.33203125" style="107" customWidth="1"/>
    <col min="10775" max="10786" width="11.6640625" style="107" customWidth="1"/>
    <col min="10787" max="10789" width="9.6640625" style="107" customWidth="1"/>
    <col min="10790" max="11027" width="8.88671875" style="107"/>
    <col min="11028" max="11028" width="3.6640625" style="107" customWidth="1"/>
    <col min="11029" max="11029" width="42.5546875" style="107" customWidth="1"/>
    <col min="11030" max="11030" width="9.33203125" style="107" customWidth="1"/>
    <col min="11031" max="11042" width="11.6640625" style="107" customWidth="1"/>
    <col min="11043" max="11045" width="9.6640625" style="107" customWidth="1"/>
    <col min="11046" max="11283" width="8.88671875" style="107"/>
    <col min="11284" max="11284" width="3.6640625" style="107" customWidth="1"/>
    <col min="11285" max="11285" width="42.5546875" style="107" customWidth="1"/>
    <col min="11286" max="11286" width="9.33203125" style="107" customWidth="1"/>
    <col min="11287" max="11298" width="11.6640625" style="107" customWidth="1"/>
    <col min="11299" max="11301" width="9.6640625" style="107" customWidth="1"/>
    <col min="11302" max="11539" width="8.88671875" style="107"/>
    <col min="11540" max="11540" width="3.6640625" style="107" customWidth="1"/>
    <col min="11541" max="11541" width="42.5546875" style="107" customWidth="1"/>
    <col min="11542" max="11542" width="9.33203125" style="107" customWidth="1"/>
    <col min="11543" max="11554" width="11.6640625" style="107" customWidth="1"/>
    <col min="11555" max="11557" width="9.6640625" style="107" customWidth="1"/>
    <col min="11558" max="11795" width="8.88671875" style="107"/>
    <col min="11796" max="11796" width="3.6640625" style="107" customWidth="1"/>
    <col min="11797" max="11797" width="42.5546875" style="107" customWidth="1"/>
    <col min="11798" max="11798" width="9.33203125" style="107" customWidth="1"/>
    <col min="11799" max="11810" width="11.6640625" style="107" customWidth="1"/>
    <col min="11811" max="11813" width="9.6640625" style="107" customWidth="1"/>
    <col min="11814" max="12051" width="8.88671875" style="107"/>
    <col min="12052" max="12052" width="3.6640625" style="107" customWidth="1"/>
    <col min="12053" max="12053" width="42.5546875" style="107" customWidth="1"/>
    <col min="12054" max="12054" width="9.33203125" style="107" customWidth="1"/>
    <col min="12055" max="12066" width="11.6640625" style="107" customWidth="1"/>
    <col min="12067" max="12069" width="9.6640625" style="107" customWidth="1"/>
    <col min="12070" max="12307" width="8.88671875" style="107"/>
    <col min="12308" max="12308" width="3.6640625" style="107" customWidth="1"/>
    <col min="12309" max="12309" width="42.5546875" style="107" customWidth="1"/>
    <col min="12310" max="12310" width="9.33203125" style="107" customWidth="1"/>
    <col min="12311" max="12322" width="11.6640625" style="107" customWidth="1"/>
    <col min="12323" max="12325" width="9.6640625" style="107" customWidth="1"/>
    <col min="12326" max="12563" width="8.88671875" style="107"/>
    <col min="12564" max="12564" width="3.6640625" style="107" customWidth="1"/>
    <col min="12565" max="12565" width="42.5546875" style="107" customWidth="1"/>
    <col min="12566" max="12566" width="9.33203125" style="107" customWidth="1"/>
    <col min="12567" max="12578" width="11.6640625" style="107" customWidth="1"/>
    <col min="12579" max="12581" width="9.6640625" style="107" customWidth="1"/>
    <col min="12582" max="12819" width="8.88671875" style="107"/>
    <col min="12820" max="12820" width="3.6640625" style="107" customWidth="1"/>
    <col min="12821" max="12821" width="42.5546875" style="107" customWidth="1"/>
    <col min="12822" max="12822" width="9.33203125" style="107" customWidth="1"/>
    <col min="12823" max="12834" width="11.6640625" style="107" customWidth="1"/>
    <col min="12835" max="12837" width="9.6640625" style="107" customWidth="1"/>
    <col min="12838" max="13075" width="8.88671875" style="107"/>
    <col min="13076" max="13076" width="3.6640625" style="107" customWidth="1"/>
    <col min="13077" max="13077" width="42.5546875" style="107" customWidth="1"/>
    <col min="13078" max="13078" width="9.33203125" style="107" customWidth="1"/>
    <col min="13079" max="13090" width="11.6640625" style="107" customWidth="1"/>
    <col min="13091" max="13093" width="9.6640625" style="107" customWidth="1"/>
    <col min="13094" max="13331" width="8.88671875" style="107"/>
    <col min="13332" max="13332" width="3.6640625" style="107" customWidth="1"/>
    <col min="13333" max="13333" width="42.5546875" style="107" customWidth="1"/>
    <col min="13334" max="13334" width="9.33203125" style="107" customWidth="1"/>
    <col min="13335" max="13346" width="11.6640625" style="107" customWidth="1"/>
    <col min="13347" max="13349" width="9.6640625" style="107" customWidth="1"/>
    <col min="13350" max="13587" width="8.88671875" style="107"/>
    <col min="13588" max="13588" width="3.6640625" style="107" customWidth="1"/>
    <col min="13589" max="13589" width="42.5546875" style="107" customWidth="1"/>
    <col min="13590" max="13590" width="9.33203125" style="107" customWidth="1"/>
    <col min="13591" max="13602" width="11.6640625" style="107" customWidth="1"/>
    <col min="13603" max="13605" width="9.6640625" style="107" customWidth="1"/>
    <col min="13606" max="13843" width="8.88671875" style="107"/>
    <col min="13844" max="13844" width="3.6640625" style="107" customWidth="1"/>
    <col min="13845" max="13845" width="42.5546875" style="107" customWidth="1"/>
    <col min="13846" max="13846" width="9.33203125" style="107" customWidth="1"/>
    <col min="13847" max="13858" width="11.6640625" style="107" customWidth="1"/>
    <col min="13859" max="13861" width="9.6640625" style="107" customWidth="1"/>
    <col min="13862" max="14099" width="8.88671875" style="107"/>
    <col min="14100" max="14100" width="3.6640625" style="107" customWidth="1"/>
    <col min="14101" max="14101" width="42.5546875" style="107" customWidth="1"/>
    <col min="14102" max="14102" width="9.33203125" style="107" customWidth="1"/>
    <col min="14103" max="14114" width="11.6640625" style="107" customWidth="1"/>
    <col min="14115" max="14117" width="9.6640625" style="107" customWidth="1"/>
    <col min="14118" max="14355" width="8.88671875" style="107"/>
    <col min="14356" max="14356" width="3.6640625" style="107" customWidth="1"/>
    <col min="14357" max="14357" width="42.5546875" style="107" customWidth="1"/>
    <col min="14358" max="14358" width="9.33203125" style="107" customWidth="1"/>
    <col min="14359" max="14370" width="11.6640625" style="107" customWidth="1"/>
    <col min="14371" max="14373" width="9.6640625" style="107" customWidth="1"/>
    <col min="14374" max="14611" width="8.88671875" style="107"/>
    <col min="14612" max="14612" width="3.6640625" style="107" customWidth="1"/>
    <col min="14613" max="14613" width="42.5546875" style="107" customWidth="1"/>
    <col min="14614" max="14614" width="9.33203125" style="107" customWidth="1"/>
    <col min="14615" max="14626" width="11.6640625" style="107" customWidth="1"/>
    <col min="14627" max="14629" width="9.6640625" style="107" customWidth="1"/>
    <col min="14630" max="14867" width="8.88671875" style="107"/>
    <col min="14868" max="14868" width="3.6640625" style="107" customWidth="1"/>
    <col min="14869" max="14869" width="42.5546875" style="107" customWidth="1"/>
    <col min="14870" max="14870" width="9.33203125" style="107" customWidth="1"/>
    <col min="14871" max="14882" width="11.6640625" style="107" customWidth="1"/>
    <col min="14883" max="14885" width="9.6640625" style="107" customWidth="1"/>
    <col min="14886" max="15123" width="8.88671875" style="107"/>
    <col min="15124" max="15124" width="3.6640625" style="107" customWidth="1"/>
    <col min="15125" max="15125" width="42.5546875" style="107" customWidth="1"/>
    <col min="15126" max="15126" width="9.33203125" style="107" customWidth="1"/>
    <col min="15127" max="15138" width="11.6640625" style="107" customWidth="1"/>
    <col min="15139" max="15141" width="9.6640625" style="107" customWidth="1"/>
    <col min="15142" max="15379" width="8.88671875" style="107"/>
    <col min="15380" max="15380" width="3.6640625" style="107" customWidth="1"/>
    <col min="15381" max="15381" width="42.5546875" style="107" customWidth="1"/>
    <col min="15382" max="15382" width="9.33203125" style="107" customWidth="1"/>
    <col min="15383" max="15394" width="11.6640625" style="107" customWidth="1"/>
    <col min="15395" max="15397" width="9.6640625" style="107" customWidth="1"/>
    <col min="15398" max="15635" width="8.88671875" style="107"/>
    <col min="15636" max="15636" width="3.6640625" style="107" customWidth="1"/>
    <col min="15637" max="15637" width="42.5546875" style="107" customWidth="1"/>
    <col min="15638" max="15638" width="9.33203125" style="107" customWidth="1"/>
    <col min="15639" max="15650" width="11.6640625" style="107" customWidth="1"/>
    <col min="15651" max="15653" width="9.6640625" style="107" customWidth="1"/>
    <col min="15654" max="15891" width="8.88671875" style="107"/>
    <col min="15892" max="15892" width="3.6640625" style="107" customWidth="1"/>
    <col min="15893" max="15893" width="42.5546875" style="107" customWidth="1"/>
    <col min="15894" max="15894" width="9.33203125" style="107" customWidth="1"/>
    <col min="15895" max="15906" width="11.6640625" style="107" customWidth="1"/>
    <col min="15907" max="15909" width="9.6640625" style="107" customWidth="1"/>
    <col min="15910" max="16147" width="8.88671875" style="107"/>
    <col min="16148" max="16148" width="3.6640625" style="107" customWidth="1"/>
    <col min="16149" max="16149" width="42.5546875" style="107" customWidth="1"/>
    <col min="16150" max="16150" width="9.33203125" style="107" customWidth="1"/>
    <col min="16151" max="16162" width="11.6640625" style="107" customWidth="1"/>
    <col min="16163" max="16165" width="9.6640625" style="107" customWidth="1"/>
    <col min="16166" max="16384" width="8.88671875" style="107"/>
  </cols>
  <sheetData>
    <row r="1" spans="1:150" s="272" customFormat="1" ht="141" customHeight="1" x14ac:dyDescent="0.25">
      <c r="A1" s="2567" t="s">
        <v>497</v>
      </c>
      <c r="B1" s="2568"/>
      <c r="C1" s="2565" t="s">
        <v>1228</v>
      </c>
      <c r="D1" s="2566"/>
      <c r="E1" s="2538" t="s">
        <v>1228</v>
      </c>
      <c r="F1" s="2539"/>
      <c r="G1" s="946" t="s">
        <v>1229</v>
      </c>
      <c r="H1" s="1981" t="s">
        <v>1229</v>
      </c>
      <c r="I1" s="946" t="s">
        <v>1230</v>
      </c>
      <c r="J1" s="1981" t="s">
        <v>1230</v>
      </c>
      <c r="K1" s="946" t="s">
        <v>1231</v>
      </c>
      <c r="L1" s="1981" t="s">
        <v>1231</v>
      </c>
      <c r="M1" s="2567" t="s">
        <v>497</v>
      </c>
      <c r="N1" s="2568"/>
      <c r="O1" s="946" t="s">
        <v>1232</v>
      </c>
      <c r="P1" s="1981" t="s">
        <v>1232</v>
      </c>
      <c r="Q1" s="2565" t="s">
        <v>1233</v>
      </c>
      <c r="R1" s="2566"/>
      <c r="S1" s="2538" t="s">
        <v>1233</v>
      </c>
      <c r="T1" s="2539"/>
      <c r="U1" s="2565" t="s">
        <v>1234</v>
      </c>
      <c r="V1" s="2566"/>
      <c r="W1" s="2538" t="s">
        <v>1234</v>
      </c>
      <c r="X1" s="2539"/>
      <c r="Y1" s="2565" t="s">
        <v>1235</v>
      </c>
      <c r="Z1" s="2566"/>
      <c r="AA1" s="2574" t="s">
        <v>1235</v>
      </c>
      <c r="AB1" s="2575"/>
      <c r="AC1" s="2571" t="s">
        <v>497</v>
      </c>
      <c r="AD1" s="2568"/>
      <c r="AE1" s="2565" t="s">
        <v>1236</v>
      </c>
      <c r="AF1" s="2566"/>
      <c r="AG1" s="2538" t="s">
        <v>1236</v>
      </c>
      <c r="AH1" s="2539"/>
      <c r="AI1" s="2565" t="s">
        <v>1237</v>
      </c>
      <c r="AJ1" s="2566"/>
      <c r="AK1" s="2538" t="s">
        <v>1237</v>
      </c>
      <c r="AL1" s="2539"/>
      <c r="AM1" s="946" t="s">
        <v>1238</v>
      </c>
      <c r="AN1" s="1981" t="s">
        <v>1238</v>
      </c>
      <c r="AO1" s="2576" t="s">
        <v>1239</v>
      </c>
      <c r="AP1" s="2576"/>
      <c r="AQ1" s="2576"/>
      <c r="AR1" s="2540" t="s">
        <v>1239</v>
      </c>
      <c r="AS1" s="2540"/>
      <c r="AT1" s="2540"/>
      <c r="AU1" s="2565" t="s">
        <v>1240</v>
      </c>
      <c r="AV1" s="2566"/>
      <c r="AW1" s="2538" t="s">
        <v>1240</v>
      </c>
      <c r="AX1" s="2539"/>
      <c r="AY1" s="2577" t="s">
        <v>497</v>
      </c>
      <c r="AZ1" s="2578"/>
      <c r="BA1" s="2565" t="s">
        <v>1241</v>
      </c>
      <c r="BB1" s="2566"/>
      <c r="BC1" s="2538" t="s">
        <v>2043</v>
      </c>
      <c r="BD1" s="2539"/>
      <c r="BE1" s="2567" t="s">
        <v>497</v>
      </c>
      <c r="BF1" s="2568"/>
      <c r="BG1" s="2565" t="s">
        <v>1242</v>
      </c>
      <c r="BH1" s="2566"/>
      <c r="BI1" s="2538" t="s">
        <v>2044</v>
      </c>
      <c r="BJ1" s="2539"/>
      <c r="BK1" s="2565" t="s">
        <v>1243</v>
      </c>
      <c r="BL1" s="2566"/>
      <c r="BM1" s="2538" t="s">
        <v>1243</v>
      </c>
      <c r="BN1" s="2539"/>
      <c r="BO1" s="946" t="s">
        <v>1244</v>
      </c>
      <c r="BP1" s="1981" t="s">
        <v>1244</v>
      </c>
      <c r="BQ1" s="946" t="s">
        <v>1245</v>
      </c>
      <c r="BR1" s="1981" t="s">
        <v>1245</v>
      </c>
      <c r="BS1" s="2565" t="s">
        <v>1246</v>
      </c>
      <c r="BT1" s="2566"/>
      <c r="BU1" s="2538" t="s">
        <v>1246</v>
      </c>
      <c r="BV1" s="2539"/>
      <c r="BW1" s="946" t="s">
        <v>1247</v>
      </c>
      <c r="BX1" s="1981" t="s">
        <v>2240</v>
      </c>
      <c r="BY1" s="2565" t="s">
        <v>1248</v>
      </c>
      <c r="BZ1" s="2566"/>
      <c r="CA1" s="2538" t="s">
        <v>2045</v>
      </c>
      <c r="CB1" s="2539"/>
      <c r="CC1" s="1740" t="s">
        <v>1249</v>
      </c>
      <c r="CD1" s="2147" t="s">
        <v>1249</v>
      </c>
      <c r="CE1" s="2577" t="s">
        <v>497</v>
      </c>
      <c r="CF1" s="2578"/>
      <c r="CG1" s="2565" t="s">
        <v>1250</v>
      </c>
      <c r="CH1" s="2566"/>
      <c r="CI1" s="2538" t="s">
        <v>1250</v>
      </c>
      <c r="CJ1" s="2539"/>
      <c r="CK1" s="2567" t="s">
        <v>497</v>
      </c>
      <c r="CL1" s="2568"/>
      <c r="CM1" s="2565" t="s">
        <v>1251</v>
      </c>
      <c r="CN1" s="2566"/>
      <c r="CO1" s="2538" t="s">
        <v>1251</v>
      </c>
      <c r="CP1" s="2539"/>
      <c r="CQ1" s="2565" t="s">
        <v>1252</v>
      </c>
      <c r="CR1" s="2566"/>
      <c r="CS1" s="2538" t="s">
        <v>1252</v>
      </c>
      <c r="CT1" s="2539"/>
      <c r="CU1" s="2565" t="s">
        <v>1253</v>
      </c>
      <c r="CV1" s="2566"/>
      <c r="CW1" s="2538" t="s">
        <v>1253</v>
      </c>
      <c r="CX1" s="2539"/>
      <c r="CY1" s="2565" t="s">
        <v>1254</v>
      </c>
      <c r="CZ1" s="2566"/>
      <c r="DA1" s="2538" t="s">
        <v>1254</v>
      </c>
      <c r="DB1" s="2539"/>
      <c r="DC1" s="946" t="s">
        <v>1255</v>
      </c>
      <c r="DD1" s="1981" t="s">
        <v>2046</v>
      </c>
      <c r="DE1" s="2565" t="s">
        <v>1256</v>
      </c>
      <c r="DF1" s="2566"/>
      <c r="DG1" s="2538" t="s">
        <v>1256</v>
      </c>
      <c r="DH1" s="2539"/>
      <c r="DI1" s="2567" t="s">
        <v>497</v>
      </c>
      <c r="DJ1" s="2571"/>
      <c r="DK1" s="946" t="s">
        <v>2120</v>
      </c>
      <c r="DL1" s="1981" t="s">
        <v>2121</v>
      </c>
      <c r="DM1" s="946" t="s">
        <v>1257</v>
      </c>
      <c r="DN1" s="1981" t="s">
        <v>1257</v>
      </c>
      <c r="DO1" s="946" t="s">
        <v>1258</v>
      </c>
      <c r="DP1" s="1981" t="s">
        <v>1258</v>
      </c>
      <c r="DQ1" s="2567" t="s">
        <v>497</v>
      </c>
      <c r="DR1" s="2571"/>
      <c r="DS1" s="2565" t="s">
        <v>1259</v>
      </c>
      <c r="DT1" s="2566"/>
      <c r="DU1" s="2538" t="s">
        <v>1259</v>
      </c>
      <c r="DV1" s="2539"/>
      <c r="DW1" s="2567" t="s">
        <v>497</v>
      </c>
      <c r="DX1" s="2568"/>
      <c r="DY1" s="2565" t="s">
        <v>1260</v>
      </c>
      <c r="DZ1" s="2566"/>
      <c r="EA1" s="2538" t="s">
        <v>1260</v>
      </c>
      <c r="EB1" s="2539"/>
      <c r="EC1" s="946" t="s">
        <v>1261</v>
      </c>
      <c r="ED1" s="1981" t="s">
        <v>1261</v>
      </c>
      <c r="EE1" s="2567" t="s">
        <v>497</v>
      </c>
      <c r="EF1" s="2568"/>
      <c r="EG1" s="946" t="s">
        <v>1262</v>
      </c>
      <c r="EH1" s="1981" t="s">
        <v>2047</v>
      </c>
      <c r="EI1" s="2565" t="s">
        <v>1263</v>
      </c>
      <c r="EJ1" s="2566"/>
      <c r="EK1" s="2538" t="s">
        <v>1263</v>
      </c>
      <c r="EL1" s="2539"/>
      <c r="EM1" s="2560" t="s">
        <v>1264</v>
      </c>
      <c r="EN1" s="2560"/>
      <c r="EO1" s="2560"/>
      <c r="EP1" s="2561"/>
      <c r="EQ1" s="2562" t="s">
        <v>1264</v>
      </c>
      <c r="ER1" s="2563"/>
      <c r="ES1" s="2563"/>
      <c r="ET1" s="2564"/>
    </row>
    <row r="2" spans="1:150" s="272" customFormat="1" ht="13.8" x14ac:dyDescent="0.25">
      <c r="A2" s="2569"/>
      <c r="B2" s="2570"/>
      <c r="C2" s="1638" t="s">
        <v>809</v>
      </c>
      <c r="D2" s="1625" t="s">
        <v>1265</v>
      </c>
      <c r="E2" s="1903" t="s">
        <v>809</v>
      </c>
      <c r="F2" s="1904" t="s">
        <v>1265</v>
      </c>
      <c r="G2" s="947" t="s">
        <v>1265</v>
      </c>
      <c r="H2" s="1982" t="s">
        <v>1265</v>
      </c>
      <c r="I2" s="947" t="s">
        <v>1265</v>
      </c>
      <c r="J2" s="1982" t="s">
        <v>1265</v>
      </c>
      <c r="K2" s="947" t="s">
        <v>1265</v>
      </c>
      <c r="L2" s="1982" t="s">
        <v>1265</v>
      </c>
      <c r="M2" s="2569"/>
      <c r="N2" s="2570"/>
      <c r="O2" s="947" t="s">
        <v>1265</v>
      </c>
      <c r="P2" s="1982" t="s">
        <v>1265</v>
      </c>
      <c r="Q2" s="1638" t="s">
        <v>809</v>
      </c>
      <c r="R2" s="1625" t="s">
        <v>1265</v>
      </c>
      <c r="S2" s="1903" t="s">
        <v>809</v>
      </c>
      <c r="T2" s="1904" t="s">
        <v>1265</v>
      </c>
      <c r="U2" s="1638" t="s">
        <v>809</v>
      </c>
      <c r="V2" s="1625" t="s">
        <v>1265</v>
      </c>
      <c r="W2" s="1903" t="s">
        <v>809</v>
      </c>
      <c r="X2" s="1904" t="s">
        <v>1265</v>
      </c>
      <c r="Y2" s="1638" t="s">
        <v>809</v>
      </c>
      <c r="Z2" s="1625" t="s">
        <v>1265</v>
      </c>
      <c r="AA2" s="2050" t="s">
        <v>809</v>
      </c>
      <c r="AB2" s="1904" t="s">
        <v>1265</v>
      </c>
      <c r="AC2" s="2572"/>
      <c r="AD2" s="2570"/>
      <c r="AE2" s="1638" t="s">
        <v>809</v>
      </c>
      <c r="AF2" s="1625" t="s">
        <v>1265</v>
      </c>
      <c r="AG2" s="1903" t="s">
        <v>809</v>
      </c>
      <c r="AH2" s="1904" t="s">
        <v>1265</v>
      </c>
      <c r="AI2" s="1638" t="s">
        <v>809</v>
      </c>
      <c r="AJ2" s="1625" t="s">
        <v>1265</v>
      </c>
      <c r="AK2" s="1903" t="s">
        <v>809</v>
      </c>
      <c r="AL2" s="1904" t="s">
        <v>1265</v>
      </c>
      <c r="AM2" s="947" t="s">
        <v>809</v>
      </c>
      <c r="AN2" s="1982" t="s">
        <v>809</v>
      </c>
      <c r="AO2" s="1638" t="s">
        <v>809</v>
      </c>
      <c r="AP2" s="1709" t="s">
        <v>1265</v>
      </c>
      <c r="AQ2" s="1853" t="s">
        <v>1266</v>
      </c>
      <c r="AR2" s="1903" t="s">
        <v>809</v>
      </c>
      <c r="AS2" s="2083" t="s">
        <v>1265</v>
      </c>
      <c r="AT2" s="2084" t="s">
        <v>1266</v>
      </c>
      <c r="AU2" s="1638" t="s">
        <v>809</v>
      </c>
      <c r="AV2" s="1625" t="s">
        <v>1265</v>
      </c>
      <c r="AW2" s="1903" t="s">
        <v>809</v>
      </c>
      <c r="AX2" s="1904" t="s">
        <v>1265</v>
      </c>
      <c r="AY2" s="2579"/>
      <c r="AZ2" s="2580"/>
      <c r="BA2" s="1638" t="s">
        <v>809</v>
      </c>
      <c r="BB2" s="1625" t="s">
        <v>1265</v>
      </c>
      <c r="BC2" s="1903" t="s">
        <v>809</v>
      </c>
      <c r="BD2" s="1904" t="s">
        <v>1265</v>
      </c>
      <c r="BE2" s="2569"/>
      <c r="BF2" s="2570"/>
      <c r="BG2" s="1638" t="s">
        <v>809</v>
      </c>
      <c r="BH2" s="1625" t="s">
        <v>1265</v>
      </c>
      <c r="BI2" s="1903" t="s">
        <v>809</v>
      </c>
      <c r="BJ2" s="1904" t="s">
        <v>1265</v>
      </c>
      <c r="BK2" s="1638" t="s">
        <v>809</v>
      </c>
      <c r="BL2" s="1625" t="s">
        <v>1265</v>
      </c>
      <c r="BM2" s="1903" t="s">
        <v>809</v>
      </c>
      <c r="BN2" s="1904" t="s">
        <v>1265</v>
      </c>
      <c r="BO2" s="947" t="s">
        <v>1265</v>
      </c>
      <c r="BP2" s="1982" t="s">
        <v>1265</v>
      </c>
      <c r="BQ2" s="947" t="s">
        <v>809</v>
      </c>
      <c r="BR2" s="1982" t="s">
        <v>809</v>
      </c>
      <c r="BS2" s="1638" t="s">
        <v>809</v>
      </c>
      <c r="BT2" s="1625" t="s">
        <v>1265</v>
      </c>
      <c r="BU2" s="1903" t="s">
        <v>809</v>
      </c>
      <c r="BV2" s="1904" t="s">
        <v>1265</v>
      </c>
      <c r="BW2" s="947" t="s">
        <v>1265</v>
      </c>
      <c r="BX2" s="1982" t="s">
        <v>1265</v>
      </c>
      <c r="BY2" s="1638" t="s">
        <v>809</v>
      </c>
      <c r="BZ2" s="1625" t="s">
        <v>1265</v>
      </c>
      <c r="CA2" s="1903" t="s">
        <v>809</v>
      </c>
      <c r="CB2" s="1904" t="s">
        <v>1265</v>
      </c>
      <c r="CC2" s="1741" t="s">
        <v>809</v>
      </c>
      <c r="CD2" s="2148" t="s">
        <v>809</v>
      </c>
      <c r="CE2" s="2579"/>
      <c r="CF2" s="2580"/>
      <c r="CG2" s="1638" t="s">
        <v>1267</v>
      </c>
      <c r="CH2" s="1625" t="s">
        <v>1268</v>
      </c>
      <c r="CI2" s="1903" t="s">
        <v>1267</v>
      </c>
      <c r="CJ2" s="1904" t="s">
        <v>1268</v>
      </c>
      <c r="CK2" s="2569"/>
      <c r="CL2" s="2570"/>
      <c r="CM2" s="1638" t="s">
        <v>809</v>
      </c>
      <c r="CN2" s="1625" t="s">
        <v>1265</v>
      </c>
      <c r="CO2" s="1903" t="s">
        <v>809</v>
      </c>
      <c r="CP2" s="1904" t="s">
        <v>1265</v>
      </c>
      <c r="CQ2" s="1638" t="s">
        <v>809</v>
      </c>
      <c r="CR2" s="1625" t="s">
        <v>1265</v>
      </c>
      <c r="CS2" s="1903" t="s">
        <v>809</v>
      </c>
      <c r="CT2" s="1904" t="s">
        <v>1265</v>
      </c>
      <c r="CU2" s="1638" t="s">
        <v>809</v>
      </c>
      <c r="CV2" s="1625" t="s">
        <v>1265</v>
      </c>
      <c r="CW2" s="1903" t="s">
        <v>809</v>
      </c>
      <c r="CX2" s="1904" t="s">
        <v>1265</v>
      </c>
      <c r="CY2" s="1638" t="s">
        <v>809</v>
      </c>
      <c r="CZ2" s="1625" t="s">
        <v>1265</v>
      </c>
      <c r="DA2" s="1903" t="s">
        <v>809</v>
      </c>
      <c r="DB2" s="1904" t="s">
        <v>1265</v>
      </c>
      <c r="DC2" s="947" t="s">
        <v>1265</v>
      </c>
      <c r="DD2" s="1982" t="s">
        <v>1265</v>
      </c>
      <c r="DE2" s="1638" t="s">
        <v>809</v>
      </c>
      <c r="DF2" s="1625" t="s">
        <v>1265</v>
      </c>
      <c r="DG2" s="2196" t="s">
        <v>809</v>
      </c>
      <c r="DH2" s="1904" t="s">
        <v>1265</v>
      </c>
      <c r="DI2" s="2573"/>
      <c r="DJ2" s="2573"/>
      <c r="DK2" s="947" t="s">
        <v>1265</v>
      </c>
      <c r="DL2" s="1982" t="s">
        <v>1265</v>
      </c>
      <c r="DM2" s="947" t="s">
        <v>1265</v>
      </c>
      <c r="DN2" s="1982" t="s">
        <v>1265</v>
      </c>
      <c r="DO2" s="947" t="s">
        <v>1265</v>
      </c>
      <c r="DP2" s="1982" t="s">
        <v>1265</v>
      </c>
      <c r="DQ2" s="2569"/>
      <c r="DR2" s="2572"/>
      <c r="DS2" s="1638" t="s">
        <v>809</v>
      </c>
      <c r="DT2" s="1625" t="s">
        <v>1268</v>
      </c>
      <c r="DU2" s="1903" t="s">
        <v>809</v>
      </c>
      <c r="DV2" s="1904" t="s">
        <v>1268</v>
      </c>
      <c r="DW2" s="2569"/>
      <c r="DX2" s="2570"/>
      <c r="DY2" s="1638" t="s">
        <v>809</v>
      </c>
      <c r="DZ2" s="1625" t="s">
        <v>1265</v>
      </c>
      <c r="EA2" s="1903" t="s">
        <v>809</v>
      </c>
      <c r="EB2" s="1904" t="s">
        <v>1265</v>
      </c>
      <c r="EC2" s="947" t="s">
        <v>1265</v>
      </c>
      <c r="ED2" s="1982" t="s">
        <v>1265</v>
      </c>
      <c r="EE2" s="2569"/>
      <c r="EF2" s="2570"/>
      <c r="EG2" s="947" t="s">
        <v>1265</v>
      </c>
      <c r="EH2" s="1982" t="s">
        <v>1265</v>
      </c>
      <c r="EI2" s="1638" t="s">
        <v>809</v>
      </c>
      <c r="EJ2" s="1625" t="s">
        <v>1265</v>
      </c>
      <c r="EK2" s="1903" t="s">
        <v>809</v>
      </c>
      <c r="EL2" s="1904" t="s">
        <v>1265</v>
      </c>
      <c r="EM2" s="2084" t="s">
        <v>809</v>
      </c>
      <c r="EN2" s="1904" t="s">
        <v>1265</v>
      </c>
      <c r="EO2" s="1904" t="s">
        <v>1266</v>
      </c>
      <c r="EP2" s="1904" t="s">
        <v>581</v>
      </c>
      <c r="EQ2" s="1620" t="s">
        <v>809</v>
      </c>
      <c r="ER2" s="1709" t="s">
        <v>1265</v>
      </c>
      <c r="ES2" s="1774" t="s">
        <v>1266</v>
      </c>
      <c r="ET2" s="1625" t="s">
        <v>581</v>
      </c>
    </row>
    <row r="3" spans="1:150" ht="14.4" thickBot="1" x14ac:dyDescent="0.3">
      <c r="A3" s="2552" t="s">
        <v>1269</v>
      </c>
      <c r="B3" s="2554"/>
      <c r="C3" s="2262">
        <f t="shared" ref="C3:L3" si="0">C243</f>
        <v>63908</v>
      </c>
      <c r="D3" s="2263">
        <f t="shared" si="0"/>
        <v>103107</v>
      </c>
      <c r="E3" s="1905">
        <f t="shared" si="0"/>
        <v>62256</v>
      </c>
      <c r="F3" s="1906">
        <f t="shared" si="0"/>
        <v>144607</v>
      </c>
      <c r="G3" s="2264">
        <f t="shared" si="0"/>
        <v>0</v>
      </c>
      <c r="H3" s="1983">
        <f t="shared" si="0"/>
        <v>0</v>
      </c>
      <c r="I3" s="2264">
        <f t="shared" si="0"/>
        <v>3353</v>
      </c>
      <c r="J3" s="1983">
        <f t="shared" si="0"/>
        <v>3353</v>
      </c>
      <c r="K3" s="2264">
        <f t="shared" si="0"/>
        <v>6832</v>
      </c>
      <c r="L3" s="1983">
        <f t="shared" si="0"/>
        <v>22185.599999999999</v>
      </c>
      <c r="M3" s="2552" t="s">
        <v>1269</v>
      </c>
      <c r="N3" s="2554"/>
      <c r="O3" s="2264">
        <f t="shared" ref="O3:AB3" si="1">O243</f>
        <v>160628</v>
      </c>
      <c r="P3" s="1983">
        <f t="shared" si="1"/>
        <v>29715</v>
      </c>
      <c r="Q3" s="2262">
        <f t="shared" si="1"/>
        <v>1200</v>
      </c>
      <c r="R3" s="2263">
        <f t="shared" si="1"/>
        <v>3850</v>
      </c>
      <c r="S3" s="1905">
        <f t="shared" si="1"/>
        <v>600</v>
      </c>
      <c r="T3" s="1906">
        <f t="shared" si="1"/>
        <v>14250</v>
      </c>
      <c r="U3" s="2262">
        <f t="shared" si="1"/>
        <v>12710</v>
      </c>
      <c r="V3" s="2263">
        <f t="shared" si="1"/>
        <v>500</v>
      </c>
      <c r="W3" s="1905">
        <f t="shared" si="1"/>
        <v>13300</v>
      </c>
      <c r="X3" s="1906">
        <f t="shared" si="1"/>
        <v>16890</v>
      </c>
      <c r="Y3" s="2262">
        <f t="shared" si="1"/>
        <v>22680</v>
      </c>
      <c r="Z3" s="2263">
        <f t="shared" si="1"/>
        <v>53062</v>
      </c>
      <c r="AA3" s="2051">
        <f t="shared" si="1"/>
        <v>22680</v>
      </c>
      <c r="AB3" s="1906">
        <f t="shared" si="1"/>
        <v>63416</v>
      </c>
      <c r="AC3" s="2553" t="s">
        <v>1269</v>
      </c>
      <c r="AD3" s="2554"/>
      <c r="AE3" s="2262">
        <f t="shared" ref="AE3:AX3" si="2">AE243</f>
        <v>0</v>
      </c>
      <c r="AF3" s="2263">
        <f t="shared" si="2"/>
        <v>0</v>
      </c>
      <c r="AG3" s="1905">
        <f t="shared" si="2"/>
        <v>196759</v>
      </c>
      <c r="AH3" s="1906">
        <f t="shared" si="2"/>
        <v>87707</v>
      </c>
      <c r="AI3" s="2262">
        <f t="shared" si="2"/>
        <v>1232768</v>
      </c>
      <c r="AJ3" s="2263">
        <f t="shared" si="2"/>
        <v>0</v>
      </c>
      <c r="AK3" s="1905">
        <f t="shared" si="2"/>
        <v>0</v>
      </c>
      <c r="AL3" s="1906">
        <f t="shared" si="2"/>
        <v>761036</v>
      </c>
      <c r="AM3" s="2264">
        <f t="shared" si="2"/>
        <v>7000</v>
      </c>
      <c r="AN3" s="1983">
        <f t="shared" si="2"/>
        <v>5504</v>
      </c>
      <c r="AO3" s="2262">
        <f t="shared" si="2"/>
        <v>0</v>
      </c>
      <c r="AP3" s="2282">
        <f t="shared" si="2"/>
        <v>0</v>
      </c>
      <c r="AQ3" s="2283">
        <f t="shared" si="2"/>
        <v>0</v>
      </c>
      <c r="AR3" s="1905">
        <f t="shared" si="2"/>
        <v>5968432</v>
      </c>
      <c r="AS3" s="2085">
        <f t="shared" si="2"/>
        <v>712623</v>
      </c>
      <c r="AT3" s="2086">
        <f t="shared" si="2"/>
        <v>266242</v>
      </c>
      <c r="AU3" s="2262">
        <f t="shared" si="2"/>
        <v>0</v>
      </c>
      <c r="AV3" s="2263">
        <f t="shared" si="2"/>
        <v>0</v>
      </c>
      <c r="AW3" s="1905">
        <f t="shared" si="2"/>
        <v>0</v>
      </c>
      <c r="AX3" s="1906">
        <f t="shared" si="2"/>
        <v>0</v>
      </c>
      <c r="AY3" s="2552" t="s">
        <v>1269</v>
      </c>
      <c r="AZ3" s="2554"/>
      <c r="BA3" s="2262">
        <f t="shared" ref="BA3:BD3" si="3">BA243</f>
        <v>68500</v>
      </c>
      <c r="BB3" s="2263">
        <f t="shared" si="3"/>
        <v>75401</v>
      </c>
      <c r="BC3" s="1905">
        <f t="shared" si="3"/>
        <v>67000</v>
      </c>
      <c r="BD3" s="1906">
        <f t="shared" si="3"/>
        <v>57200</v>
      </c>
      <c r="BE3" s="2552" t="s">
        <v>1269</v>
      </c>
      <c r="BF3" s="2554"/>
      <c r="BG3" s="2262">
        <f t="shared" ref="BG3:CD3" si="4">BG243</f>
        <v>1121188</v>
      </c>
      <c r="BH3" s="2263">
        <f t="shared" si="4"/>
        <v>0</v>
      </c>
      <c r="BI3" s="1905">
        <f t="shared" si="4"/>
        <v>752333</v>
      </c>
      <c r="BJ3" s="1906">
        <f t="shared" si="4"/>
        <v>355767</v>
      </c>
      <c r="BK3" s="2262">
        <f t="shared" si="4"/>
        <v>58189</v>
      </c>
      <c r="BL3" s="2263">
        <f t="shared" si="4"/>
        <v>1500</v>
      </c>
      <c r="BM3" s="1905">
        <f t="shared" si="4"/>
        <v>114780</v>
      </c>
      <c r="BN3" s="1906">
        <f t="shared" si="4"/>
        <v>2500</v>
      </c>
      <c r="BO3" s="2264">
        <f t="shared" si="4"/>
        <v>0</v>
      </c>
      <c r="BP3" s="1983">
        <f t="shared" si="4"/>
        <v>20000</v>
      </c>
      <c r="BQ3" s="2264">
        <f t="shared" si="4"/>
        <v>300</v>
      </c>
      <c r="BR3" s="1983">
        <f t="shared" si="4"/>
        <v>300</v>
      </c>
      <c r="BS3" s="2262">
        <f t="shared" si="4"/>
        <v>144246</v>
      </c>
      <c r="BT3" s="2263">
        <f t="shared" si="4"/>
        <v>2642</v>
      </c>
      <c r="BU3" s="1905">
        <f t="shared" si="4"/>
        <v>167734</v>
      </c>
      <c r="BV3" s="1906">
        <f t="shared" si="4"/>
        <v>2642</v>
      </c>
      <c r="BW3" s="2264">
        <f t="shared" si="4"/>
        <v>15000</v>
      </c>
      <c r="BX3" s="1983">
        <f t="shared" si="4"/>
        <v>10000</v>
      </c>
      <c r="BY3" s="2262">
        <f>BY233</f>
        <v>0</v>
      </c>
      <c r="BZ3" s="2263">
        <f>BZ233</f>
        <v>0</v>
      </c>
      <c r="CA3" s="1905">
        <f>CA233</f>
        <v>0</v>
      </c>
      <c r="CB3" s="1906">
        <f>CB233</f>
        <v>0</v>
      </c>
      <c r="CC3" s="2284">
        <f t="shared" si="4"/>
        <v>19500</v>
      </c>
      <c r="CD3" s="1983">
        <f t="shared" si="4"/>
        <v>3800</v>
      </c>
      <c r="CE3" s="2552" t="s">
        <v>1269</v>
      </c>
      <c r="CF3" s="2554"/>
      <c r="CG3" s="2262">
        <f t="shared" ref="CG3:CJ3" si="5">CG243</f>
        <v>135907</v>
      </c>
      <c r="CH3" s="2263">
        <f t="shared" si="5"/>
        <v>36200</v>
      </c>
      <c r="CI3" s="1905">
        <f t="shared" si="5"/>
        <v>185650</v>
      </c>
      <c r="CJ3" s="1906">
        <f t="shared" si="5"/>
        <v>1200</v>
      </c>
      <c r="CK3" s="2552" t="s">
        <v>1269</v>
      </c>
      <c r="CL3" s="2554"/>
      <c r="CM3" s="2262">
        <f t="shared" ref="CM3:DH3" si="6">CM243</f>
        <v>0</v>
      </c>
      <c r="CN3" s="2263">
        <f t="shared" si="6"/>
        <v>0</v>
      </c>
      <c r="CO3" s="1905">
        <f t="shared" si="6"/>
        <v>33900</v>
      </c>
      <c r="CP3" s="1906">
        <f t="shared" si="6"/>
        <v>2490597</v>
      </c>
      <c r="CQ3" s="2262">
        <f>CQ243</f>
        <v>0</v>
      </c>
      <c r="CR3" s="2263">
        <f>CR243</f>
        <v>137489</v>
      </c>
      <c r="CS3" s="1905">
        <f>CS243</f>
        <v>122060</v>
      </c>
      <c r="CT3" s="1906">
        <f>CT243</f>
        <v>6144</v>
      </c>
      <c r="CU3" s="2262">
        <f t="shared" si="6"/>
        <v>700570</v>
      </c>
      <c r="CV3" s="2263">
        <f t="shared" si="6"/>
        <v>242997</v>
      </c>
      <c r="CW3" s="1905">
        <f t="shared" si="6"/>
        <v>777184</v>
      </c>
      <c r="CX3" s="1906">
        <f t="shared" si="6"/>
        <v>404551</v>
      </c>
      <c r="CY3" s="2262">
        <f t="shared" si="6"/>
        <v>0</v>
      </c>
      <c r="CZ3" s="2263">
        <f t="shared" si="6"/>
        <v>0</v>
      </c>
      <c r="DA3" s="1905">
        <f t="shared" si="6"/>
        <v>3075091</v>
      </c>
      <c r="DB3" s="1906">
        <f t="shared" si="6"/>
        <v>958654</v>
      </c>
      <c r="DC3" s="2264">
        <f t="shared" si="6"/>
        <v>1000000</v>
      </c>
      <c r="DD3" s="1983">
        <f t="shared" si="6"/>
        <v>300000</v>
      </c>
      <c r="DE3" s="2262">
        <f t="shared" si="6"/>
        <v>42600</v>
      </c>
      <c r="DF3" s="2263">
        <f t="shared" si="6"/>
        <v>221182</v>
      </c>
      <c r="DG3" s="2197">
        <f t="shared" si="6"/>
        <v>33090</v>
      </c>
      <c r="DH3" s="1906">
        <f t="shared" si="6"/>
        <v>227375</v>
      </c>
      <c r="DI3" s="2553" t="s">
        <v>1269</v>
      </c>
      <c r="DJ3" s="2554"/>
      <c r="DK3" s="2264">
        <f t="shared" ref="DK3:DL3" si="7">DK243</f>
        <v>0</v>
      </c>
      <c r="DL3" s="1983">
        <f t="shared" si="7"/>
        <v>1298195</v>
      </c>
      <c r="DM3" s="2264">
        <f t="shared" ref="DM3:DP3" si="8">DM243</f>
        <v>0</v>
      </c>
      <c r="DN3" s="1983">
        <f t="shared" si="8"/>
        <v>193677</v>
      </c>
      <c r="DO3" s="2264">
        <f t="shared" si="8"/>
        <v>0</v>
      </c>
      <c r="DP3" s="1983">
        <f t="shared" si="8"/>
        <v>530493</v>
      </c>
      <c r="DQ3" s="2552" t="s">
        <v>1269</v>
      </c>
      <c r="DR3" s="2553"/>
      <c r="DS3" s="2262">
        <f t="shared" ref="DS3:DV3" si="9">DS243</f>
        <v>6000</v>
      </c>
      <c r="DT3" s="2263">
        <f t="shared" si="9"/>
        <v>2500</v>
      </c>
      <c r="DU3" s="1905">
        <f t="shared" si="9"/>
        <v>0</v>
      </c>
      <c r="DV3" s="1906">
        <f t="shared" si="9"/>
        <v>12200</v>
      </c>
      <c r="DW3" s="2552" t="s">
        <v>1269</v>
      </c>
      <c r="DX3" s="2554"/>
      <c r="DY3" s="2262">
        <f t="shared" ref="DY3:ED3" si="10">DY243</f>
        <v>73930</v>
      </c>
      <c r="DZ3" s="2263">
        <f t="shared" si="10"/>
        <v>28638</v>
      </c>
      <c r="EA3" s="1905">
        <f t="shared" si="10"/>
        <v>59930</v>
      </c>
      <c r="EB3" s="1906">
        <f t="shared" si="10"/>
        <v>64200</v>
      </c>
      <c r="EC3" s="2264">
        <f t="shared" si="10"/>
        <v>1000</v>
      </c>
      <c r="ED3" s="1983">
        <f t="shared" si="10"/>
        <v>1000</v>
      </c>
      <c r="EE3" s="2552" t="s">
        <v>1269</v>
      </c>
      <c r="EF3" s="2554"/>
      <c r="EG3" s="2264">
        <f t="shared" ref="EG3:EL3" si="11">EG243</f>
        <v>143716</v>
      </c>
      <c r="EH3" s="1983">
        <f t="shared" si="11"/>
        <v>132644</v>
      </c>
      <c r="EI3" s="2262">
        <f t="shared" si="11"/>
        <v>167997</v>
      </c>
      <c r="EJ3" s="2263">
        <f t="shared" si="11"/>
        <v>800961</v>
      </c>
      <c r="EK3" s="1905">
        <f t="shared" si="11"/>
        <v>161687</v>
      </c>
      <c r="EL3" s="1906">
        <f t="shared" si="11"/>
        <v>677082</v>
      </c>
      <c r="EM3" s="2332">
        <f>EM243</f>
        <v>11868970</v>
      </c>
      <c r="EN3" s="2332">
        <f t="shared" ref="EN3:EO3" si="12">EN243</f>
        <v>9557003.5999999996</v>
      </c>
      <c r="EO3" s="2332">
        <f t="shared" si="12"/>
        <v>266242</v>
      </c>
      <c r="EP3" s="2333">
        <f>SUM(EM3:EO3)</f>
        <v>21692215.600000001</v>
      </c>
      <c r="EQ3" s="1850"/>
      <c r="ER3" s="1851"/>
      <c r="ES3" s="1852"/>
      <c r="ET3" s="1849"/>
    </row>
    <row r="4" spans="1:150" s="2281" customFormat="1" ht="15.75" customHeight="1" thickBot="1" x14ac:dyDescent="0.35">
      <c r="A4" s="2265"/>
      <c r="B4" s="2266"/>
      <c r="C4" s="2265">
        <v>2019</v>
      </c>
      <c r="D4" s="2267">
        <v>2019</v>
      </c>
      <c r="E4" s="2268">
        <v>2020</v>
      </c>
      <c r="F4" s="2267">
        <v>2020</v>
      </c>
      <c r="G4" s="2269">
        <v>2019</v>
      </c>
      <c r="H4" s="2269">
        <v>2020</v>
      </c>
      <c r="I4" s="2269">
        <v>2019</v>
      </c>
      <c r="J4" s="2269">
        <v>2020</v>
      </c>
      <c r="K4" s="2269">
        <v>2019</v>
      </c>
      <c r="L4" s="2265">
        <v>2020</v>
      </c>
      <c r="M4" s="2265"/>
      <c r="N4" s="2266"/>
      <c r="O4" s="2269">
        <v>2019</v>
      </c>
      <c r="P4" s="2265">
        <v>2020</v>
      </c>
      <c r="Q4" s="2265">
        <v>2019</v>
      </c>
      <c r="R4" s="2267">
        <v>2019</v>
      </c>
      <c r="S4" s="2265">
        <v>2020</v>
      </c>
      <c r="T4" s="2267">
        <v>2020</v>
      </c>
      <c r="U4" s="2265">
        <v>2019</v>
      </c>
      <c r="V4" s="2267">
        <v>2019</v>
      </c>
      <c r="W4" s="2268">
        <v>2020</v>
      </c>
      <c r="X4" s="2267">
        <v>2020</v>
      </c>
      <c r="Y4" s="2265">
        <v>2019</v>
      </c>
      <c r="Z4" s="2267">
        <v>2019</v>
      </c>
      <c r="AA4" s="2270">
        <v>2020</v>
      </c>
      <c r="AB4" s="2267">
        <v>2020</v>
      </c>
      <c r="AC4" s="2268"/>
      <c r="AD4" s="2266"/>
      <c r="AE4" s="2271">
        <v>2019</v>
      </c>
      <c r="AF4" s="2272">
        <v>2019</v>
      </c>
      <c r="AG4" s="2271">
        <v>2020</v>
      </c>
      <c r="AH4" s="2272">
        <v>2020</v>
      </c>
      <c r="AI4" s="2271">
        <v>2019</v>
      </c>
      <c r="AJ4" s="2272">
        <v>2019</v>
      </c>
      <c r="AK4" s="2271">
        <v>2020</v>
      </c>
      <c r="AL4" s="2272">
        <v>2020</v>
      </c>
      <c r="AM4" s="2273">
        <v>2019</v>
      </c>
      <c r="AN4" s="2273">
        <v>2020</v>
      </c>
      <c r="AO4" s="2271">
        <v>2019</v>
      </c>
      <c r="AP4" s="2274">
        <v>2019</v>
      </c>
      <c r="AQ4" s="2275">
        <v>2019</v>
      </c>
      <c r="AR4" s="2276">
        <v>2020</v>
      </c>
      <c r="AS4" s="2274">
        <v>2020</v>
      </c>
      <c r="AT4" s="2276">
        <v>2020</v>
      </c>
      <c r="AU4" s="2265">
        <v>2019</v>
      </c>
      <c r="AV4" s="2267">
        <v>2019</v>
      </c>
      <c r="AW4" s="2268">
        <v>2020</v>
      </c>
      <c r="AX4" s="2267">
        <v>2020</v>
      </c>
      <c r="AY4" s="2265"/>
      <c r="AZ4" s="2266"/>
      <c r="BA4" s="2265">
        <v>2019</v>
      </c>
      <c r="BB4" s="2267">
        <v>2019</v>
      </c>
      <c r="BC4" s="2268">
        <v>2020</v>
      </c>
      <c r="BD4" s="2267">
        <v>2020</v>
      </c>
      <c r="BE4" s="2265"/>
      <c r="BF4" s="2266"/>
      <c r="BG4" s="2265">
        <v>2019</v>
      </c>
      <c r="BH4" s="2267">
        <v>2019</v>
      </c>
      <c r="BI4" s="2268">
        <v>2020</v>
      </c>
      <c r="BJ4" s="2267">
        <v>2020</v>
      </c>
      <c r="BK4" s="2265">
        <v>2019</v>
      </c>
      <c r="BL4" s="2267">
        <v>2019</v>
      </c>
      <c r="BM4" s="2268">
        <v>2020</v>
      </c>
      <c r="BN4" s="2267">
        <v>2020</v>
      </c>
      <c r="BO4" s="2269">
        <v>2019</v>
      </c>
      <c r="BP4" s="2269">
        <v>2020</v>
      </c>
      <c r="BQ4" s="2269">
        <v>2019</v>
      </c>
      <c r="BR4" s="2269">
        <v>2020</v>
      </c>
      <c r="BS4" s="2277">
        <v>2019</v>
      </c>
      <c r="BT4" s="2267">
        <v>2019</v>
      </c>
      <c r="BU4" s="2268">
        <v>2020</v>
      </c>
      <c r="BV4" s="2267">
        <v>2020</v>
      </c>
      <c r="BW4" s="2269">
        <v>2019</v>
      </c>
      <c r="BX4" s="2278">
        <v>2020</v>
      </c>
      <c r="BY4" s="2276">
        <v>2019</v>
      </c>
      <c r="BZ4" s="2279">
        <v>2019</v>
      </c>
      <c r="CA4" s="2276">
        <v>2020</v>
      </c>
      <c r="CB4" s="2272">
        <v>2020</v>
      </c>
      <c r="CC4" s="2275">
        <v>2019</v>
      </c>
      <c r="CD4" s="2276">
        <v>2020</v>
      </c>
      <c r="CE4" s="2265"/>
      <c r="CF4" s="2266"/>
      <c r="CG4" s="2265">
        <v>2019</v>
      </c>
      <c r="CH4" s="2267">
        <v>2019</v>
      </c>
      <c r="CI4" s="2265">
        <v>2020</v>
      </c>
      <c r="CJ4" s="2267">
        <v>2020</v>
      </c>
      <c r="CK4" s="2265"/>
      <c r="CL4" s="2266"/>
      <c r="CM4" s="2265">
        <v>2019</v>
      </c>
      <c r="CN4" s="2267">
        <v>2019</v>
      </c>
      <c r="CO4" s="2268">
        <v>2020</v>
      </c>
      <c r="CP4" s="2267">
        <v>2020</v>
      </c>
      <c r="CQ4" s="2265">
        <v>2019</v>
      </c>
      <c r="CR4" s="2267">
        <v>2019</v>
      </c>
      <c r="CS4" s="2268">
        <v>2020</v>
      </c>
      <c r="CT4" s="2267">
        <v>2020</v>
      </c>
      <c r="CU4" s="2265">
        <v>2019</v>
      </c>
      <c r="CV4" s="2267">
        <v>2019</v>
      </c>
      <c r="CW4" s="2268">
        <v>2020</v>
      </c>
      <c r="CX4" s="2267">
        <v>2020</v>
      </c>
      <c r="CY4" s="2265">
        <v>2019</v>
      </c>
      <c r="CZ4" s="2267">
        <v>2019</v>
      </c>
      <c r="DA4" s="2268">
        <v>2020</v>
      </c>
      <c r="DB4" s="2267">
        <v>2020</v>
      </c>
      <c r="DC4" s="2269">
        <v>2019</v>
      </c>
      <c r="DD4" s="2265">
        <v>2020</v>
      </c>
      <c r="DE4" s="2265">
        <v>2019</v>
      </c>
      <c r="DF4" s="2267">
        <v>2019</v>
      </c>
      <c r="DG4" s="2268">
        <v>2020</v>
      </c>
      <c r="DH4" s="2267">
        <v>2020</v>
      </c>
      <c r="DI4" s="2268"/>
      <c r="DJ4" s="2266"/>
      <c r="DK4" s="2270">
        <v>2019</v>
      </c>
      <c r="DL4" s="2270">
        <v>2020</v>
      </c>
      <c r="DM4" s="2270">
        <v>2019</v>
      </c>
      <c r="DN4" s="2270">
        <v>2020</v>
      </c>
      <c r="DO4" s="2270">
        <v>2019</v>
      </c>
      <c r="DP4" s="2265">
        <v>2020</v>
      </c>
      <c r="DQ4" s="2265"/>
      <c r="DR4" s="2268"/>
      <c r="DS4" s="2265">
        <v>2019</v>
      </c>
      <c r="DT4" s="2267">
        <v>2019</v>
      </c>
      <c r="DU4" s="2268">
        <v>2020</v>
      </c>
      <c r="DV4" s="2267">
        <v>2020</v>
      </c>
      <c r="DW4" s="2265"/>
      <c r="DX4" s="2266"/>
      <c r="DY4" s="2265">
        <v>2019</v>
      </c>
      <c r="DZ4" s="2267">
        <v>2019</v>
      </c>
      <c r="EA4" s="2268">
        <v>2020</v>
      </c>
      <c r="EB4" s="2267">
        <v>2020</v>
      </c>
      <c r="EC4" s="2269">
        <v>2019</v>
      </c>
      <c r="ED4" s="2265">
        <v>2020</v>
      </c>
      <c r="EE4" s="2265"/>
      <c r="EF4" s="2266"/>
      <c r="EG4" s="2269">
        <v>2019</v>
      </c>
      <c r="EH4" s="2269">
        <v>2020</v>
      </c>
      <c r="EI4" s="2265">
        <v>2019</v>
      </c>
      <c r="EJ4" s="2267">
        <v>2019</v>
      </c>
      <c r="EK4" s="2280">
        <v>2020</v>
      </c>
      <c r="EL4" s="1618">
        <v>2020</v>
      </c>
      <c r="EM4" s="2555">
        <v>2020</v>
      </c>
      <c r="EN4" s="2555"/>
      <c r="EO4" s="2555"/>
      <c r="EP4" s="2556"/>
      <c r="EQ4" s="2557">
        <v>2019</v>
      </c>
      <c r="ER4" s="2558"/>
      <c r="ES4" s="2558"/>
      <c r="ET4" s="2559"/>
    </row>
    <row r="5" spans="1:150" ht="19.95" customHeight="1" x14ac:dyDescent="0.25">
      <c r="A5" s="948"/>
      <c r="B5" s="949" t="s">
        <v>87</v>
      </c>
      <c r="C5" s="1649"/>
      <c r="D5" s="1626"/>
      <c r="E5" s="1908"/>
      <c r="F5" s="1909"/>
      <c r="G5" s="1679"/>
      <c r="H5" s="1984"/>
      <c r="I5" s="1679"/>
      <c r="J5" s="1984"/>
      <c r="K5" s="1679"/>
      <c r="L5" s="2021"/>
      <c r="M5" s="948"/>
      <c r="N5" s="949" t="s">
        <v>87</v>
      </c>
      <c r="O5" s="1679"/>
      <c r="P5" s="2021"/>
      <c r="Q5" s="1649"/>
      <c r="R5" s="1626"/>
      <c r="S5" s="1908"/>
      <c r="T5" s="1909"/>
      <c r="U5" s="1649"/>
      <c r="V5" s="1626"/>
      <c r="W5" s="1908"/>
      <c r="X5" s="1909"/>
      <c r="Y5" s="1649"/>
      <c r="Z5" s="1626"/>
      <c r="AA5" s="2052"/>
      <c r="AB5" s="1909"/>
      <c r="AC5" s="950"/>
      <c r="AD5" s="949" t="s">
        <v>87</v>
      </c>
      <c r="AE5" s="1649"/>
      <c r="AF5" s="1626"/>
      <c r="AG5" s="1908"/>
      <c r="AH5" s="1909"/>
      <c r="AI5" s="1649"/>
      <c r="AJ5" s="1626"/>
      <c r="AK5" s="1908"/>
      <c r="AL5" s="1909"/>
      <c r="AM5" s="1679"/>
      <c r="AN5" s="2021"/>
      <c r="AO5" s="1863"/>
      <c r="AP5" s="1711"/>
      <c r="AQ5" s="1712"/>
      <c r="AR5" s="2087"/>
      <c r="AS5" s="2088"/>
      <c r="AT5" s="2087"/>
      <c r="AU5" s="1649"/>
      <c r="AV5" s="1626"/>
      <c r="AW5" s="1908"/>
      <c r="AX5" s="1909"/>
      <c r="AY5" s="948"/>
      <c r="AZ5" s="949" t="s">
        <v>87</v>
      </c>
      <c r="BA5" s="1649"/>
      <c r="BB5" s="1626"/>
      <c r="BC5" s="1908"/>
      <c r="BD5" s="1909"/>
      <c r="BE5" s="948"/>
      <c r="BF5" s="949" t="s">
        <v>87</v>
      </c>
      <c r="BG5" s="1649"/>
      <c r="BH5" s="1626"/>
      <c r="BI5" s="1908"/>
      <c r="BJ5" s="1909"/>
      <c r="BK5" s="1649"/>
      <c r="BL5" s="1626"/>
      <c r="BM5" s="1908"/>
      <c r="BN5" s="1909"/>
      <c r="BO5" s="1679"/>
      <c r="BP5" s="1984"/>
      <c r="BQ5" s="1679"/>
      <c r="BR5" s="2021"/>
      <c r="BS5" s="1649"/>
      <c r="BT5" s="1626"/>
      <c r="BU5" s="1908"/>
      <c r="BV5" s="1909"/>
      <c r="BW5" s="1679"/>
      <c r="BX5" s="2021"/>
      <c r="BY5" s="1649"/>
      <c r="BZ5" s="1626"/>
      <c r="CA5" s="1908"/>
      <c r="CB5" s="1909"/>
      <c r="CC5" s="1742"/>
      <c r="CD5" s="2149"/>
      <c r="CE5" s="948"/>
      <c r="CF5" s="949" t="s">
        <v>87</v>
      </c>
      <c r="CG5" s="1649"/>
      <c r="CH5" s="1626"/>
      <c r="CI5" s="1908"/>
      <c r="CJ5" s="1909"/>
      <c r="CK5" s="948"/>
      <c r="CL5" s="949" t="s">
        <v>87</v>
      </c>
      <c r="CM5" s="1649"/>
      <c r="CN5" s="1626"/>
      <c r="CO5" s="1908"/>
      <c r="CP5" s="1909"/>
      <c r="CQ5" s="1649"/>
      <c r="CR5" s="1626"/>
      <c r="CS5" s="1908"/>
      <c r="CT5" s="1909"/>
      <c r="CU5" s="1649"/>
      <c r="CV5" s="1626"/>
      <c r="CW5" s="1908"/>
      <c r="CX5" s="1909"/>
      <c r="CY5" s="1649"/>
      <c r="CZ5" s="1626"/>
      <c r="DA5" s="1908"/>
      <c r="DB5" s="1909"/>
      <c r="DC5" s="1679"/>
      <c r="DD5" s="2021"/>
      <c r="DE5" s="1649"/>
      <c r="DF5" s="1626"/>
      <c r="DG5" s="1908"/>
      <c r="DH5" s="1909"/>
      <c r="DI5" s="950"/>
      <c r="DJ5" s="949" t="s">
        <v>87</v>
      </c>
      <c r="DK5" s="1679"/>
      <c r="DL5" s="1984"/>
      <c r="DM5" s="1679"/>
      <c r="DN5" s="1984"/>
      <c r="DO5" s="1679"/>
      <c r="DP5" s="2021"/>
      <c r="DQ5" s="948"/>
      <c r="DR5" s="951" t="s">
        <v>87</v>
      </c>
      <c r="DS5" s="1649"/>
      <c r="DT5" s="1626"/>
      <c r="DU5" s="1908"/>
      <c r="DV5" s="1909"/>
      <c r="DW5" s="948"/>
      <c r="DX5" s="949" t="s">
        <v>87</v>
      </c>
      <c r="DY5" s="1649"/>
      <c r="DZ5" s="1626"/>
      <c r="EA5" s="1908"/>
      <c r="EB5" s="1909"/>
      <c r="EC5" s="1679"/>
      <c r="ED5" s="2021"/>
      <c r="EE5" s="948"/>
      <c r="EF5" s="949" t="s">
        <v>87</v>
      </c>
      <c r="EG5" s="1679"/>
      <c r="EH5" s="2021"/>
      <c r="EI5" s="1649"/>
      <c r="EJ5" s="1626"/>
      <c r="EK5" s="2201"/>
      <c r="EL5" s="1974"/>
      <c r="EM5" s="2202">
        <f>E5+S5+W5+AA5+AG5+AK5+AN5+AR5+AW5+BC5+BI5+BM5+BR5+BU5+CA5+CD5+CI5+CO5+CS5+CW5+DA5+DG5+DU5+EA5+EK5</f>
        <v>0</v>
      </c>
      <c r="EN5" s="1585">
        <f>F5+H5+J5+L5+P5+T5+X5+AB5+AH5+AL5+AS5+AX5+BD5+BJ5+BN5+BP5+BV5+BX5+CB5+CJ5+CP5+CT5+CX5+DB5+DD5+DH5+DN5+DP5+DV5+EB5+ED5+EH5+EL5+DL5</f>
        <v>0</v>
      </c>
      <c r="EO5" s="1585">
        <f>AQ5</f>
        <v>0</v>
      </c>
      <c r="EP5" s="1585"/>
      <c r="EQ5" s="988"/>
      <c r="ER5" s="1775"/>
      <c r="ES5" s="1775"/>
      <c r="ET5" s="992"/>
    </row>
    <row r="6" spans="1:150" x14ac:dyDescent="0.25">
      <c r="A6" s="952">
        <v>1</v>
      </c>
      <c r="B6" s="953" t="s">
        <v>1270</v>
      </c>
      <c r="C6" s="1650"/>
      <c r="D6" s="960"/>
      <c r="E6" s="1910"/>
      <c r="F6" s="1911"/>
      <c r="G6" s="985"/>
      <c r="H6" s="1985"/>
      <c r="I6" s="985"/>
      <c r="J6" s="1985"/>
      <c r="K6" s="985"/>
      <c r="L6" s="2022"/>
      <c r="M6" s="952">
        <v>1</v>
      </c>
      <c r="N6" s="954" t="s">
        <v>1271</v>
      </c>
      <c r="O6" s="985"/>
      <c r="P6" s="2022"/>
      <c r="Q6" s="1650"/>
      <c r="R6" s="960">
        <v>150</v>
      </c>
      <c r="S6" s="1910"/>
      <c r="T6" s="1911">
        <v>150</v>
      </c>
      <c r="U6" s="1650"/>
      <c r="V6" s="960"/>
      <c r="W6" s="1910"/>
      <c r="X6" s="1911"/>
      <c r="Y6" s="1650"/>
      <c r="Z6" s="960"/>
      <c r="AA6" s="2053"/>
      <c r="AB6" s="1911"/>
      <c r="AC6" s="955">
        <v>1</v>
      </c>
      <c r="AD6" s="956"/>
      <c r="AE6" s="1650"/>
      <c r="AF6" s="960"/>
      <c r="AG6" s="1910"/>
      <c r="AH6" s="1911"/>
      <c r="AI6" s="1650"/>
      <c r="AJ6" s="960"/>
      <c r="AK6" s="1910"/>
      <c r="AL6" s="1911"/>
      <c r="AM6" s="985"/>
      <c r="AN6" s="2022"/>
      <c r="AO6" s="1864"/>
      <c r="AP6" s="989"/>
      <c r="AQ6" s="990"/>
      <c r="AR6" s="2089"/>
      <c r="AS6" s="1544"/>
      <c r="AT6" s="2089"/>
      <c r="AU6" s="1650"/>
      <c r="AV6" s="960"/>
      <c r="AW6" s="1910"/>
      <c r="AX6" s="1911"/>
      <c r="AY6" s="952">
        <v>1</v>
      </c>
      <c r="AZ6" s="956"/>
      <c r="BA6" s="1650"/>
      <c r="BB6" s="960"/>
      <c r="BC6" s="1910"/>
      <c r="BD6" s="1911"/>
      <c r="BE6" s="952">
        <v>1</v>
      </c>
      <c r="BF6" s="956"/>
      <c r="BG6" s="1650"/>
      <c r="BH6" s="960"/>
      <c r="BI6" s="1910"/>
      <c r="BJ6" s="1911"/>
      <c r="BK6" s="1650"/>
      <c r="BL6" s="960"/>
      <c r="BM6" s="1910"/>
      <c r="BN6" s="1911"/>
      <c r="BO6" s="985"/>
      <c r="BP6" s="1985"/>
      <c r="BQ6" s="985"/>
      <c r="BR6" s="2022"/>
      <c r="BS6" s="1650"/>
      <c r="BT6" s="960"/>
      <c r="BU6" s="1910"/>
      <c r="BV6" s="1911"/>
      <c r="BW6" s="985"/>
      <c r="BX6" s="2022"/>
      <c r="BY6" s="1650"/>
      <c r="BZ6" s="960"/>
      <c r="CA6" s="1910"/>
      <c r="CB6" s="1911"/>
      <c r="CC6" s="1723"/>
      <c r="CD6" s="2113"/>
      <c r="CE6" s="952">
        <v>1</v>
      </c>
      <c r="CF6" s="953" t="s">
        <v>1272</v>
      </c>
      <c r="CG6" s="1650"/>
      <c r="CH6" s="960"/>
      <c r="CI6" s="1910"/>
      <c r="CJ6" s="1911"/>
      <c r="CK6" s="952">
        <v>1</v>
      </c>
      <c r="CL6" s="956"/>
      <c r="CM6" s="1650"/>
      <c r="CN6" s="960"/>
      <c r="CO6" s="1910"/>
      <c r="CP6" s="1911"/>
      <c r="CQ6" s="1650"/>
      <c r="CR6" s="960"/>
      <c r="CS6" s="1910"/>
      <c r="CT6" s="1911"/>
      <c r="CU6" s="1650"/>
      <c r="CV6" s="960"/>
      <c r="CW6" s="1910"/>
      <c r="CX6" s="1911"/>
      <c r="CY6" s="1650"/>
      <c r="CZ6" s="960"/>
      <c r="DA6" s="1910"/>
      <c r="DB6" s="1911"/>
      <c r="DC6" s="985"/>
      <c r="DD6" s="2022"/>
      <c r="DE6" s="1650"/>
      <c r="DF6" s="960"/>
      <c r="DG6" s="1910"/>
      <c r="DH6" s="1911"/>
      <c r="DI6" s="955">
        <v>1</v>
      </c>
      <c r="DJ6" s="957"/>
      <c r="DK6" s="985"/>
      <c r="DL6" s="1985"/>
      <c r="DM6" s="985"/>
      <c r="DN6" s="1985"/>
      <c r="DO6" s="985"/>
      <c r="DP6" s="2022"/>
      <c r="DQ6" s="952">
        <v>1</v>
      </c>
      <c r="DR6" s="958" t="s">
        <v>1273</v>
      </c>
      <c r="DS6" s="1650"/>
      <c r="DT6" s="960"/>
      <c r="DU6" s="1910"/>
      <c r="DV6" s="1911"/>
      <c r="DW6" s="952">
        <v>1</v>
      </c>
      <c r="DX6" s="954" t="s">
        <v>1274</v>
      </c>
      <c r="DY6" s="1650"/>
      <c r="DZ6" s="960"/>
      <c r="EA6" s="1910"/>
      <c r="EB6" s="1911"/>
      <c r="EC6" s="985"/>
      <c r="ED6" s="2022"/>
      <c r="EE6" s="952">
        <v>1</v>
      </c>
      <c r="EF6" s="956"/>
      <c r="EG6" s="985"/>
      <c r="EH6" s="2022"/>
      <c r="EI6" s="1650"/>
      <c r="EJ6" s="960"/>
      <c r="EK6" s="2203"/>
      <c r="EL6" s="1911"/>
      <c r="EM6" s="2202">
        <f t="shared" ref="EM6:EM30" si="13">E6+S6+W6+AA6+AG6+AK6+AN6+AR6+AW6+BC6+BI6+BM6+BR6+BU6+CA6+CD6+CI6+CO6+CS6+CW6+DA6+DG6+DU6+EA6+EK6</f>
        <v>0</v>
      </c>
      <c r="EN6" s="1585">
        <f t="shared" ref="EN6:EN30" si="14">F6+H6+J6+L6+P6+T6+X6+AB6+AH6+AL6+AS6+AX6+BD6+BJ6+BN6+BP6+BV6+BX6+CB6+CJ6+CP6+CT6+CX6+DB6+DD6+DH6+DN6+DP6+DV6+EB6+ED6+EH6+EL6+DL6</f>
        <v>150</v>
      </c>
      <c r="EO6" s="1585">
        <f t="shared" ref="EO6:EO30" si="15">AQ6</f>
        <v>0</v>
      </c>
      <c r="EP6" s="1585">
        <f>SUM(EM6:EO6)</f>
        <v>150</v>
      </c>
      <c r="EQ6" s="988">
        <f t="shared" ref="EQ6:EQ69" si="16">SUM(C6+Q6+U6+Y6+AE6+AI6+AM6+AO6+AU6+BA6+BG6+BK6+BQ6+BS6+CC6+CG6+CM6+CQ6+CU6+CY6+DE6+DS6+DY6+EI6)</f>
        <v>0</v>
      </c>
      <c r="ER6" s="1775">
        <f t="shared" ref="ER6:ER69" si="17">SUM(D6+I6+K6+O6+R6+V6+Z6+AF6+AJ6+AP6+AV6+BB6+BH6+BL6+BO6+BT6+BW6+CH6+CN6+CR6+CV6+CZ6+DC6+DF6+DM6+DO6+DT6+DZ6+EC6+EG6+EJ6+G6)</f>
        <v>150</v>
      </c>
      <c r="ES6" s="1775">
        <f t="shared" ref="ES6:ES69" si="18">SUM(AQ6)</f>
        <v>0</v>
      </c>
      <c r="ET6" s="992">
        <f>SUM(EQ6:ES6)</f>
        <v>150</v>
      </c>
    </row>
    <row r="7" spans="1:150" ht="26.4" x14ac:dyDescent="0.25">
      <c r="A7" s="952">
        <v>2</v>
      </c>
      <c r="B7" s="959" t="s">
        <v>1275</v>
      </c>
      <c r="C7" s="1650">
        <v>11967</v>
      </c>
      <c r="D7" s="960"/>
      <c r="E7" s="1910">
        <v>11967</v>
      </c>
      <c r="F7" s="1911"/>
      <c r="G7" s="985"/>
      <c r="H7" s="1985"/>
      <c r="I7" s="985"/>
      <c r="J7" s="1985"/>
      <c r="K7" s="985"/>
      <c r="L7" s="2022"/>
      <c r="M7" s="952">
        <v>2</v>
      </c>
      <c r="N7" s="959" t="s">
        <v>1276</v>
      </c>
      <c r="O7" s="985"/>
      <c r="P7" s="2022"/>
      <c r="Q7" s="1650"/>
      <c r="R7" s="960"/>
      <c r="S7" s="1910"/>
      <c r="T7" s="1911"/>
      <c r="U7" s="1650">
        <f>1000-1000</f>
        <v>0</v>
      </c>
      <c r="V7" s="960"/>
      <c r="W7" s="1910"/>
      <c r="X7" s="1911"/>
      <c r="Y7" s="1650"/>
      <c r="Z7" s="960"/>
      <c r="AA7" s="2053"/>
      <c r="AB7" s="1911"/>
      <c r="AC7" s="955">
        <v>2</v>
      </c>
      <c r="AD7" s="961"/>
      <c r="AE7" s="1650"/>
      <c r="AF7" s="960"/>
      <c r="AG7" s="1910"/>
      <c r="AH7" s="1911"/>
      <c r="AI7" s="1650"/>
      <c r="AJ7" s="960"/>
      <c r="AK7" s="1910"/>
      <c r="AL7" s="1911"/>
      <c r="AM7" s="985"/>
      <c r="AN7" s="2022"/>
      <c r="AO7" s="1864"/>
      <c r="AP7" s="989"/>
      <c r="AQ7" s="990"/>
      <c r="AR7" s="2089"/>
      <c r="AS7" s="1544"/>
      <c r="AT7" s="2089"/>
      <c r="AU7" s="1650"/>
      <c r="AV7" s="960"/>
      <c r="AW7" s="1910"/>
      <c r="AX7" s="1911"/>
      <c r="AY7" s="952">
        <v>2</v>
      </c>
      <c r="AZ7" s="961"/>
      <c r="BA7" s="1650"/>
      <c r="BB7" s="960"/>
      <c r="BC7" s="1910"/>
      <c r="BD7" s="1911"/>
      <c r="BE7" s="952">
        <v>2</v>
      </c>
      <c r="BF7" s="961"/>
      <c r="BG7" s="1650"/>
      <c r="BH7" s="960"/>
      <c r="BI7" s="1910"/>
      <c r="BJ7" s="1911"/>
      <c r="BK7" s="1650"/>
      <c r="BL7" s="960"/>
      <c r="BM7" s="1910"/>
      <c r="BN7" s="1911"/>
      <c r="BO7" s="985"/>
      <c r="BP7" s="1985"/>
      <c r="BQ7" s="985"/>
      <c r="BR7" s="2022"/>
      <c r="BS7" s="1650"/>
      <c r="BT7" s="960"/>
      <c r="BU7" s="1910"/>
      <c r="BV7" s="1911"/>
      <c r="BW7" s="985"/>
      <c r="BX7" s="2022"/>
      <c r="BY7" s="1650"/>
      <c r="BZ7" s="960"/>
      <c r="CA7" s="1910"/>
      <c r="CB7" s="1911"/>
      <c r="CC7" s="1723"/>
      <c r="CD7" s="2113"/>
      <c r="CE7" s="952">
        <v>2</v>
      </c>
      <c r="CF7" s="959" t="s">
        <v>1277</v>
      </c>
      <c r="CG7" s="1650"/>
      <c r="CH7" s="960"/>
      <c r="CI7" s="1910"/>
      <c r="CJ7" s="1911"/>
      <c r="CK7" s="952">
        <v>2</v>
      </c>
      <c r="CL7" s="961"/>
      <c r="CM7" s="1650"/>
      <c r="CN7" s="960"/>
      <c r="CO7" s="1910"/>
      <c r="CP7" s="1911"/>
      <c r="CQ7" s="1650"/>
      <c r="CR7" s="960"/>
      <c r="CS7" s="1910"/>
      <c r="CT7" s="1911"/>
      <c r="CU7" s="1650"/>
      <c r="CV7" s="960"/>
      <c r="CW7" s="1910"/>
      <c r="CX7" s="1911"/>
      <c r="CY7" s="1650"/>
      <c r="CZ7" s="960"/>
      <c r="DA7" s="1910"/>
      <c r="DB7" s="1911"/>
      <c r="DC7" s="985"/>
      <c r="DD7" s="2022"/>
      <c r="DE7" s="1650"/>
      <c r="DF7" s="960"/>
      <c r="DG7" s="1910"/>
      <c r="DH7" s="1911"/>
      <c r="DI7" s="955">
        <v>2</v>
      </c>
      <c r="DJ7" s="961"/>
      <c r="DK7" s="985"/>
      <c r="DL7" s="1985"/>
      <c r="DM7" s="985"/>
      <c r="DN7" s="1985"/>
      <c r="DO7" s="985"/>
      <c r="DP7" s="2022"/>
      <c r="DQ7" s="952">
        <v>2</v>
      </c>
      <c r="DR7" s="962"/>
      <c r="DS7" s="1650"/>
      <c r="DT7" s="960"/>
      <c r="DU7" s="1910"/>
      <c r="DV7" s="1911"/>
      <c r="DW7" s="952">
        <v>2</v>
      </c>
      <c r="DX7" s="959" t="s">
        <v>1278</v>
      </c>
      <c r="DY7" s="1650"/>
      <c r="DZ7" s="960"/>
      <c r="EA7" s="1910"/>
      <c r="EB7" s="1911"/>
      <c r="EC7" s="985"/>
      <c r="ED7" s="2022"/>
      <c r="EE7" s="952">
        <v>2</v>
      </c>
      <c r="EF7" s="961"/>
      <c r="EG7" s="985"/>
      <c r="EH7" s="2022"/>
      <c r="EI7" s="1650"/>
      <c r="EJ7" s="960"/>
      <c r="EK7" s="2203"/>
      <c r="EL7" s="1911"/>
      <c r="EM7" s="2202">
        <f t="shared" si="13"/>
        <v>11967</v>
      </c>
      <c r="EN7" s="1585">
        <f t="shared" si="14"/>
        <v>0</v>
      </c>
      <c r="EO7" s="1585">
        <f t="shared" si="15"/>
        <v>0</v>
      </c>
      <c r="EP7" s="1585">
        <f t="shared" ref="EP7:EP59" si="19">SUM(EM7:EO7)</f>
        <v>11967</v>
      </c>
      <c r="EQ7" s="988">
        <f t="shared" si="16"/>
        <v>11967</v>
      </c>
      <c r="ER7" s="1775">
        <f t="shared" si="17"/>
        <v>0</v>
      </c>
      <c r="ES7" s="1775">
        <f t="shared" si="18"/>
        <v>0</v>
      </c>
      <c r="ET7" s="992">
        <f t="shared" ref="ET7:ET70" si="20">SUM(EQ7:ES7)</f>
        <v>11967</v>
      </c>
    </row>
    <row r="8" spans="1:150" x14ac:dyDescent="0.25">
      <c r="A8" s="952">
        <v>3</v>
      </c>
      <c r="B8" s="959" t="s">
        <v>1279</v>
      </c>
      <c r="C8" s="1650"/>
      <c r="D8" s="960"/>
      <c r="E8" s="1910"/>
      <c r="F8" s="1911"/>
      <c r="G8" s="985"/>
      <c r="H8" s="1985"/>
      <c r="I8" s="985"/>
      <c r="J8" s="1985"/>
      <c r="K8" s="985"/>
      <c r="L8" s="2022"/>
      <c r="M8" s="952">
        <v>3</v>
      </c>
      <c r="N8" s="954"/>
      <c r="O8" s="985"/>
      <c r="P8" s="2022"/>
      <c r="Q8" s="1650"/>
      <c r="R8" s="960"/>
      <c r="S8" s="1910"/>
      <c r="T8" s="1911"/>
      <c r="U8" s="1650"/>
      <c r="V8" s="960"/>
      <c r="W8" s="1910"/>
      <c r="X8" s="1911"/>
      <c r="Y8" s="1650"/>
      <c r="Z8" s="960"/>
      <c r="AA8" s="2053"/>
      <c r="AB8" s="1911"/>
      <c r="AC8" s="955">
        <v>3</v>
      </c>
      <c r="AD8" s="954"/>
      <c r="AE8" s="1650"/>
      <c r="AF8" s="960"/>
      <c r="AG8" s="1910"/>
      <c r="AH8" s="1911"/>
      <c r="AI8" s="1650"/>
      <c r="AJ8" s="960"/>
      <c r="AK8" s="1910"/>
      <c r="AL8" s="1911"/>
      <c r="AM8" s="985"/>
      <c r="AN8" s="2022"/>
      <c r="AO8" s="1864"/>
      <c r="AP8" s="989"/>
      <c r="AQ8" s="990"/>
      <c r="AR8" s="2089"/>
      <c r="AS8" s="1544"/>
      <c r="AT8" s="2089"/>
      <c r="AU8" s="1650"/>
      <c r="AV8" s="960"/>
      <c r="AW8" s="1910"/>
      <c r="AX8" s="1911"/>
      <c r="AY8" s="952">
        <v>3</v>
      </c>
      <c r="AZ8" s="954"/>
      <c r="BA8" s="1650"/>
      <c r="BB8" s="960"/>
      <c r="BC8" s="1910"/>
      <c r="BD8" s="1911"/>
      <c r="BE8" s="952">
        <v>3</v>
      </c>
      <c r="BF8" s="954"/>
      <c r="BG8" s="1650"/>
      <c r="BH8" s="960"/>
      <c r="BI8" s="1910"/>
      <c r="BJ8" s="1911"/>
      <c r="BK8" s="1650"/>
      <c r="BL8" s="960"/>
      <c r="BM8" s="1910"/>
      <c r="BN8" s="1911"/>
      <c r="BO8" s="985"/>
      <c r="BP8" s="1985"/>
      <c r="BQ8" s="985"/>
      <c r="BR8" s="2022"/>
      <c r="BS8" s="1650"/>
      <c r="BT8" s="960"/>
      <c r="BU8" s="1910"/>
      <c r="BV8" s="1911"/>
      <c r="BW8" s="985"/>
      <c r="BX8" s="2022"/>
      <c r="BY8" s="1650"/>
      <c r="BZ8" s="960"/>
      <c r="CA8" s="1910"/>
      <c r="CB8" s="1911"/>
      <c r="CC8" s="1723"/>
      <c r="CD8" s="2113"/>
      <c r="CE8" s="952">
        <v>3</v>
      </c>
      <c r="CF8" s="954" t="s">
        <v>1280</v>
      </c>
      <c r="CG8" s="1650"/>
      <c r="CH8" s="960"/>
      <c r="CI8" s="1910"/>
      <c r="CJ8" s="1911"/>
      <c r="CK8" s="952">
        <v>3</v>
      </c>
      <c r="CL8" s="954"/>
      <c r="CM8" s="1650"/>
      <c r="CN8" s="960"/>
      <c r="CO8" s="1910"/>
      <c r="CP8" s="1911"/>
      <c r="CQ8" s="1650"/>
      <c r="CR8" s="960"/>
      <c r="CS8" s="1910"/>
      <c r="CT8" s="1911"/>
      <c r="CU8" s="1650"/>
      <c r="CV8" s="960"/>
      <c r="CW8" s="1910"/>
      <c r="CX8" s="1911"/>
      <c r="CY8" s="1650"/>
      <c r="CZ8" s="960"/>
      <c r="DA8" s="1910"/>
      <c r="DB8" s="1911"/>
      <c r="DC8" s="985"/>
      <c r="DD8" s="2022"/>
      <c r="DE8" s="1650"/>
      <c r="DF8" s="960"/>
      <c r="DG8" s="1910"/>
      <c r="DH8" s="1911"/>
      <c r="DI8" s="955">
        <v>3</v>
      </c>
      <c r="DJ8" s="954"/>
      <c r="DK8" s="985"/>
      <c r="DL8" s="1985"/>
      <c r="DM8" s="985"/>
      <c r="DN8" s="1985"/>
      <c r="DO8" s="985"/>
      <c r="DP8" s="2022"/>
      <c r="DQ8" s="952">
        <v>3</v>
      </c>
      <c r="DR8" s="963"/>
      <c r="DS8" s="1650"/>
      <c r="DT8" s="960"/>
      <c r="DU8" s="1910"/>
      <c r="DV8" s="1911"/>
      <c r="DW8" s="952">
        <v>3</v>
      </c>
      <c r="DX8" s="954" t="s">
        <v>1437</v>
      </c>
      <c r="DY8" s="1650"/>
      <c r="DZ8" s="960"/>
      <c r="EA8" s="1910"/>
      <c r="EB8" s="1911">
        <v>9000</v>
      </c>
      <c r="EC8" s="985"/>
      <c r="ED8" s="2022"/>
      <c r="EE8" s="952">
        <v>3</v>
      </c>
      <c r="EF8" s="954"/>
      <c r="EG8" s="985"/>
      <c r="EH8" s="2022"/>
      <c r="EI8" s="1650"/>
      <c r="EJ8" s="960"/>
      <c r="EK8" s="2203"/>
      <c r="EL8" s="1911"/>
      <c r="EM8" s="2202">
        <f t="shared" si="13"/>
        <v>0</v>
      </c>
      <c r="EN8" s="1585">
        <f t="shared" si="14"/>
        <v>9000</v>
      </c>
      <c r="EO8" s="1585">
        <f t="shared" si="15"/>
        <v>0</v>
      </c>
      <c r="EP8" s="1585">
        <f t="shared" si="19"/>
        <v>9000</v>
      </c>
      <c r="EQ8" s="988">
        <f t="shared" si="16"/>
        <v>0</v>
      </c>
      <c r="ER8" s="1775">
        <f t="shared" si="17"/>
        <v>0</v>
      </c>
      <c r="ES8" s="1775">
        <f t="shared" si="18"/>
        <v>0</v>
      </c>
      <c r="ET8" s="992">
        <f t="shared" si="20"/>
        <v>0</v>
      </c>
    </row>
    <row r="9" spans="1:150" x14ac:dyDescent="0.25">
      <c r="A9" s="952">
        <v>4</v>
      </c>
      <c r="B9" s="954" t="s">
        <v>1281</v>
      </c>
      <c r="C9" s="1650">
        <v>1795</v>
      </c>
      <c r="D9" s="960"/>
      <c r="E9" s="1910">
        <v>1795</v>
      </c>
      <c r="F9" s="1911"/>
      <c r="G9" s="985"/>
      <c r="H9" s="1985"/>
      <c r="I9" s="985"/>
      <c r="J9" s="1985"/>
      <c r="K9" s="985"/>
      <c r="L9" s="2022"/>
      <c r="M9" s="952">
        <v>4</v>
      </c>
      <c r="N9" s="954" t="s">
        <v>1282</v>
      </c>
      <c r="O9" s="985"/>
      <c r="P9" s="2022"/>
      <c r="Q9" s="1650"/>
      <c r="R9" s="960"/>
      <c r="S9" s="1910"/>
      <c r="T9" s="1911"/>
      <c r="U9" s="1650"/>
      <c r="V9" s="960"/>
      <c r="W9" s="1910"/>
      <c r="X9" s="1911"/>
      <c r="Y9" s="1650"/>
      <c r="Z9" s="960">
        <v>3000</v>
      </c>
      <c r="AA9" s="2053"/>
      <c r="AB9" s="1911"/>
      <c r="AC9" s="955">
        <v>4</v>
      </c>
      <c r="AD9" s="956"/>
      <c r="AE9" s="1650"/>
      <c r="AF9" s="960"/>
      <c r="AG9" s="1910"/>
      <c r="AH9" s="1911"/>
      <c r="AI9" s="1650"/>
      <c r="AJ9" s="960"/>
      <c r="AK9" s="1910"/>
      <c r="AL9" s="1911"/>
      <c r="AM9" s="985"/>
      <c r="AN9" s="2022"/>
      <c r="AO9" s="1864"/>
      <c r="AP9" s="989"/>
      <c r="AQ9" s="990"/>
      <c r="AR9" s="2089"/>
      <c r="AS9" s="1544"/>
      <c r="AT9" s="2089"/>
      <c r="AU9" s="1650"/>
      <c r="AV9" s="960"/>
      <c r="AW9" s="1910"/>
      <c r="AX9" s="1911"/>
      <c r="AY9" s="952">
        <v>4</v>
      </c>
      <c r="AZ9" s="956"/>
      <c r="BA9" s="1650"/>
      <c r="BB9" s="960"/>
      <c r="BC9" s="1910"/>
      <c r="BD9" s="1911"/>
      <c r="BE9" s="952">
        <v>4</v>
      </c>
      <c r="BF9" s="956"/>
      <c r="BG9" s="1650"/>
      <c r="BH9" s="960"/>
      <c r="BI9" s="1910"/>
      <c r="BJ9" s="1911"/>
      <c r="BK9" s="1650"/>
      <c r="BL9" s="960"/>
      <c r="BM9" s="1910"/>
      <c r="BN9" s="1911"/>
      <c r="BO9" s="985"/>
      <c r="BP9" s="1985"/>
      <c r="BQ9" s="985"/>
      <c r="BR9" s="2022"/>
      <c r="BS9" s="1650"/>
      <c r="BT9" s="960"/>
      <c r="BU9" s="1910"/>
      <c r="BV9" s="1911"/>
      <c r="BW9" s="985"/>
      <c r="BX9" s="2022"/>
      <c r="BY9" s="1650"/>
      <c r="BZ9" s="960"/>
      <c r="CA9" s="1910"/>
      <c r="CB9" s="1911"/>
      <c r="CC9" s="1723"/>
      <c r="CD9" s="2113"/>
      <c r="CE9" s="952">
        <v>4</v>
      </c>
      <c r="CF9" s="954" t="s">
        <v>1283</v>
      </c>
      <c r="CG9" s="1650"/>
      <c r="CH9" s="960"/>
      <c r="CI9" s="1910"/>
      <c r="CJ9" s="1911"/>
      <c r="CK9" s="952">
        <v>4</v>
      </c>
      <c r="CL9" s="956"/>
      <c r="CM9" s="1650"/>
      <c r="CN9" s="960"/>
      <c r="CO9" s="1910"/>
      <c r="CP9" s="1911"/>
      <c r="CQ9" s="1650"/>
      <c r="CR9" s="960"/>
      <c r="CS9" s="1910"/>
      <c r="CT9" s="1911"/>
      <c r="CU9" s="1650"/>
      <c r="CV9" s="960"/>
      <c r="CW9" s="1910"/>
      <c r="CX9" s="1911"/>
      <c r="CY9" s="1650"/>
      <c r="CZ9" s="960"/>
      <c r="DA9" s="1910"/>
      <c r="DB9" s="1911"/>
      <c r="DC9" s="985"/>
      <c r="DD9" s="2022"/>
      <c r="DE9" s="1650"/>
      <c r="DF9" s="960"/>
      <c r="DG9" s="1910"/>
      <c r="DH9" s="1911"/>
      <c r="DI9" s="955">
        <v>4</v>
      </c>
      <c r="DJ9" s="954"/>
      <c r="DK9" s="985"/>
      <c r="DL9" s="1985"/>
      <c r="DM9" s="985"/>
      <c r="DN9" s="1985"/>
      <c r="DO9" s="985"/>
      <c r="DP9" s="2022"/>
      <c r="DQ9" s="952">
        <v>4</v>
      </c>
      <c r="DR9" s="963"/>
      <c r="DS9" s="1650"/>
      <c r="DT9" s="960"/>
      <c r="DU9" s="1910"/>
      <c r="DV9" s="1911"/>
      <c r="DW9" s="952">
        <v>4</v>
      </c>
      <c r="DX9" s="959"/>
      <c r="DY9" s="1650"/>
      <c r="DZ9" s="960"/>
      <c r="EA9" s="1910"/>
      <c r="EB9" s="1911"/>
      <c r="EC9" s="985"/>
      <c r="ED9" s="2022"/>
      <c r="EE9" s="952">
        <v>4</v>
      </c>
      <c r="EF9" s="956"/>
      <c r="EG9" s="985"/>
      <c r="EH9" s="2022"/>
      <c r="EI9" s="1650"/>
      <c r="EJ9" s="960"/>
      <c r="EK9" s="2203"/>
      <c r="EL9" s="1911"/>
      <c r="EM9" s="2202">
        <f t="shared" si="13"/>
        <v>1795</v>
      </c>
      <c r="EN9" s="1585">
        <f t="shared" si="14"/>
        <v>0</v>
      </c>
      <c r="EO9" s="1585">
        <f t="shared" si="15"/>
        <v>0</v>
      </c>
      <c r="EP9" s="1585">
        <f t="shared" si="19"/>
        <v>1795</v>
      </c>
      <c r="EQ9" s="988">
        <f t="shared" si="16"/>
        <v>1795</v>
      </c>
      <c r="ER9" s="1775">
        <f t="shared" si="17"/>
        <v>3000</v>
      </c>
      <c r="ES9" s="1775">
        <f t="shared" si="18"/>
        <v>0</v>
      </c>
      <c r="ET9" s="992">
        <f t="shared" si="20"/>
        <v>4795</v>
      </c>
    </row>
    <row r="10" spans="1:150" ht="26.4" x14ac:dyDescent="0.25">
      <c r="A10" s="952">
        <v>5</v>
      </c>
      <c r="B10" s="954" t="s">
        <v>2102</v>
      </c>
      <c r="C10" s="1650">
        <v>10770</v>
      </c>
      <c r="D10" s="960"/>
      <c r="E10" s="1910">
        <v>10316</v>
      </c>
      <c r="F10" s="1911"/>
      <c r="G10" s="985"/>
      <c r="H10" s="1985"/>
      <c r="I10" s="985"/>
      <c r="J10" s="1985"/>
      <c r="K10" s="985"/>
      <c r="L10" s="2022"/>
      <c r="M10" s="952">
        <v>5</v>
      </c>
      <c r="N10" s="954"/>
      <c r="O10" s="985"/>
      <c r="P10" s="2022"/>
      <c r="Q10" s="1650"/>
      <c r="R10" s="960"/>
      <c r="S10" s="1910"/>
      <c r="T10" s="1911"/>
      <c r="U10" s="1650"/>
      <c r="V10" s="960"/>
      <c r="W10" s="1910"/>
      <c r="X10" s="1911"/>
      <c r="Y10" s="1650"/>
      <c r="Z10" s="960"/>
      <c r="AA10" s="2053"/>
      <c r="AB10" s="1911"/>
      <c r="AC10" s="955">
        <v>5</v>
      </c>
      <c r="AD10" s="956"/>
      <c r="AE10" s="1650"/>
      <c r="AF10" s="960"/>
      <c r="AG10" s="1910"/>
      <c r="AH10" s="1911"/>
      <c r="AI10" s="1650"/>
      <c r="AJ10" s="960"/>
      <c r="AK10" s="1910"/>
      <c r="AL10" s="1911"/>
      <c r="AM10" s="985"/>
      <c r="AN10" s="2022"/>
      <c r="AO10" s="1864"/>
      <c r="AP10" s="989"/>
      <c r="AQ10" s="990"/>
      <c r="AR10" s="2089"/>
      <c r="AS10" s="1544"/>
      <c r="AT10" s="2089"/>
      <c r="AU10" s="1650"/>
      <c r="AV10" s="960"/>
      <c r="AW10" s="1910"/>
      <c r="AX10" s="1911"/>
      <c r="AY10" s="952">
        <v>5</v>
      </c>
      <c r="AZ10" s="956"/>
      <c r="BA10" s="1650"/>
      <c r="BB10" s="960"/>
      <c r="BC10" s="1910"/>
      <c r="BD10" s="1911"/>
      <c r="BE10" s="952">
        <v>5</v>
      </c>
      <c r="BF10" s="956"/>
      <c r="BG10" s="1650"/>
      <c r="BH10" s="960"/>
      <c r="BI10" s="1910"/>
      <c r="BJ10" s="1911"/>
      <c r="BK10" s="1650"/>
      <c r="BL10" s="960"/>
      <c r="BM10" s="1910"/>
      <c r="BN10" s="1911"/>
      <c r="BO10" s="985"/>
      <c r="BP10" s="1985"/>
      <c r="BQ10" s="985"/>
      <c r="BR10" s="2022"/>
      <c r="BS10" s="1650"/>
      <c r="BT10" s="960"/>
      <c r="BU10" s="1910"/>
      <c r="BV10" s="1911"/>
      <c r="BW10" s="985"/>
      <c r="BX10" s="2022"/>
      <c r="BY10" s="1650"/>
      <c r="BZ10" s="960"/>
      <c r="CA10" s="1910"/>
      <c r="CB10" s="1911"/>
      <c r="CC10" s="1723"/>
      <c r="CD10" s="2113"/>
      <c r="CE10" s="952">
        <v>5</v>
      </c>
      <c r="CF10" s="954" t="s">
        <v>1284</v>
      </c>
      <c r="CG10" s="1650"/>
      <c r="CH10" s="960"/>
      <c r="CI10" s="1910"/>
      <c r="CJ10" s="1911"/>
      <c r="CK10" s="952">
        <v>5</v>
      </c>
      <c r="CL10" s="956"/>
      <c r="CM10" s="1650"/>
      <c r="CN10" s="960"/>
      <c r="CO10" s="1910"/>
      <c r="CP10" s="1911"/>
      <c r="CQ10" s="1650"/>
      <c r="CR10" s="960"/>
      <c r="CS10" s="1910"/>
      <c r="CT10" s="1911"/>
      <c r="CU10" s="1650"/>
      <c r="CV10" s="960"/>
      <c r="CW10" s="1910"/>
      <c r="CX10" s="1911"/>
      <c r="CY10" s="1650"/>
      <c r="CZ10" s="960"/>
      <c r="DA10" s="1910"/>
      <c r="DB10" s="1911"/>
      <c r="DC10" s="985"/>
      <c r="DD10" s="2022"/>
      <c r="DE10" s="1650"/>
      <c r="DF10" s="960"/>
      <c r="DG10" s="1910"/>
      <c r="DH10" s="1911"/>
      <c r="DI10" s="955">
        <v>5</v>
      </c>
      <c r="DJ10" s="954"/>
      <c r="DK10" s="985"/>
      <c r="DL10" s="1985"/>
      <c r="DM10" s="985"/>
      <c r="DN10" s="1985"/>
      <c r="DO10" s="985"/>
      <c r="DP10" s="2022"/>
      <c r="DQ10" s="952">
        <v>5</v>
      </c>
      <c r="DR10" s="963"/>
      <c r="DS10" s="1650"/>
      <c r="DT10" s="960"/>
      <c r="DU10" s="1910"/>
      <c r="DV10" s="1911"/>
      <c r="DW10" s="952">
        <v>5</v>
      </c>
      <c r="DX10" s="954"/>
      <c r="DY10" s="1650"/>
      <c r="DZ10" s="960"/>
      <c r="EA10" s="1910"/>
      <c r="EB10" s="1911"/>
      <c r="EC10" s="985"/>
      <c r="ED10" s="2022"/>
      <c r="EE10" s="952">
        <v>5</v>
      </c>
      <c r="EF10" s="956"/>
      <c r="EG10" s="985"/>
      <c r="EH10" s="2022"/>
      <c r="EI10" s="1650"/>
      <c r="EJ10" s="960"/>
      <c r="EK10" s="2203"/>
      <c r="EL10" s="1911"/>
      <c r="EM10" s="2202">
        <f t="shared" si="13"/>
        <v>10316</v>
      </c>
      <c r="EN10" s="1585">
        <f t="shared" si="14"/>
        <v>0</v>
      </c>
      <c r="EO10" s="1585">
        <f t="shared" si="15"/>
        <v>0</v>
      </c>
      <c r="EP10" s="1585">
        <f t="shared" si="19"/>
        <v>10316</v>
      </c>
      <c r="EQ10" s="988">
        <f t="shared" si="16"/>
        <v>10770</v>
      </c>
      <c r="ER10" s="1775">
        <f t="shared" si="17"/>
        <v>0</v>
      </c>
      <c r="ES10" s="1775">
        <f t="shared" si="18"/>
        <v>0</v>
      </c>
      <c r="ET10" s="992">
        <f t="shared" si="20"/>
        <v>10770</v>
      </c>
    </row>
    <row r="11" spans="1:150" x14ac:dyDescent="0.25">
      <c r="A11" s="952">
        <v>6</v>
      </c>
      <c r="B11" s="954" t="s">
        <v>2103</v>
      </c>
      <c r="C11" s="1650">
        <v>1616</v>
      </c>
      <c r="D11" s="960"/>
      <c r="E11" s="1910">
        <v>1615</v>
      </c>
      <c r="F11" s="1911"/>
      <c r="G11" s="985"/>
      <c r="H11" s="1985"/>
      <c r="I11" s="985"/>
      <c r="J11" s="1985"/>
      <c r="K11" s="985"/>
      <c r="L11" s="2022"/>
      <c r="M11" s="952">
        <v>6</v>
      </c>
      <c r="N11" s="954"/>
      <c r="O11" s="985"/>
      <c r="P11" s="2022"/>
      <c r="Q11" s="1650"/>
      <c r="R11" s="960"/>
      <c r="S11" s="1910"/>
      <c r="T11" s="1911"/>
      <c r="U11" s="1650"/>
      <c r="V11" s="960"/>
      <c r="W11" s="1910"/>
      <c r="X11" s="1911"/>
      <c r="Y11" s="1650"/>
      <c r="Z11" s="960"/>
      <c r="AA11" s="2053"/>
      <c r="AB11" s="1911"/>
      <c r="AC11" s="955">
        <v>6</v>
      </c>
      <c r="AD11" s="956"/>
      <c r="AE11" s="1650"/>
      <c r="AF11" s="960"/>
      <c r="AG11" s="1910"/>
      <c r="AH11" s="1911"/>
      <c r="AI11" s="1650"/>
      <c r="AJ11" s="960"/>
      <c r="AK11" s="1910"/>
      <c r="AL11" s="1911"/>
      <c r="AM11" s="985"/>
      <c r="AN11" s="2022"/>
      <c r="AO11" s="1864"/>
      <c r="AP11" s="989"/>
      <c r="AQ11" s="990"/>
      <c r="AR11" s="2089"/>
      <c r="AS11" s="1544"/>
      <c r="AT11" s="2089"/>
      <c r="AU11" s="1650"/>
      <c r="AV11" s="960"/>
      <c r="AW11" s="1910"/>
      <c r="AX11" s="1911"/>
      <c r="AY11" s="952">
        <v>6</v>
      </c>
      <c r="AZ11" s="956"/>
      <c r="BA11" s="1650"/>
      <c r="BB11" s="960"/>
      <c r="BC11" s="1910"/>
      <c r="BD11" s="1911"/>
      <c r="BE11" s="952">
        <v>6</v>
      </c>
      <c r="BF11" s="956"/>
      <c r="BG11" s="1650"/>
      <c r="BH11" s="960"/>
      <c r="BI11" s="1910"/>
      <c r="BJ11" s="1911"/>
      <c r="BK11" s="1650"/>
      <c r="BL11" s="960"/>
      <c r="BM11" s="1910"/>
      <c r="BN11" s="1911"/>
      <c r="BO11" s="985"/>
      <c r="BP11" s="1985"/>
      <c r="BQ11" s="985"/>
      <c r="BR11" s="2022"/>
      <c r="BS11" s="1650"/>
      <c r="BT11" s="960"/>
      <c r="BU11" s="1910"/>
      <c r="BV11" s="1911"/>
      <c r="BW11" s="985"/>
      <c r="BX11" s="2022"/>
      <c r="BY11" s="1650"/>
      <c r="BZ11" s="960"/>
      <c r="CA11" s="1910"/>
      <c r="CB11" s="1911"/>
      <c r="CC11" s="1723"/>
      <c r="CD11" s="2113"/>
      <c r="CE11" s="952">
        <v>6</v>
      </c>
      <c r="CF11" s="954" t="s">
        <v>1285</v>
      </c>
      <c r="CG11" s="1650"/>
      <c r="CH11" s="960"/>
      <c r="CI11" s="1910"/>
      <c r="CJ11" s="1911"/>
      <c r="CK11" s="952">
        <v>6</v>
      </c>
      <c r="CL11" s="956"/>
      <c r="CM11" s="1650"/>
      <c r="CN11" s="960"/>
      <c r="CO11" s="1910"/>
      <c r="CP11" s="1911"/>
      <c r="CQ11" s="1650"/>
      <c r="CR11" s="960"/>
      <c r="CS11" s="1910"/>
      <c r="CT11" s="1911"/>
      <c r="CU11" s="1650"/>
      <c r="CV11" s="960"/>
      <c r="CW11" s="1910"/>
      <c r="CX11" s="1911"/>
      <c r="CY11" s="1650"/>
      <c r="CZ11" s="960"/>
      <c r="DA11" s="1910"/>
      <c r="DB11" s="1911"/>
      <c r="DC11" s="985"/>
      <c r="DD11" s="2022"/>
      <c r="DE11" s="1650"/>
      <c r="DF11" s="960"/>
      <c r="DG11" s="1912"/>
      <c r="DH11" s="1913"/>
      <c r="DI11" s="964"/>
      <c r="DJ11" s="959"/>
      <c r="DK11" s="985"/>
      <c r="DL11" s="1985"/>
      <c r="DM11" s="985"/>
      <c r="DN11" s="1985"/>
      <c r="DO11" s="985"/>
      <c r="DP11" s="2022"/>
      <c r="DQ11" s="952">
        <v>6</v>
      </c>
      <c r="DR11" s="963"/>
      <c r="DS11" s="1650"/>
      <c r="DT11" s="960"/>
      <c r="DU11" s="1910"/>
      <c r="DV11" s="1911"/>
      <c r="DW11" s="952">
        <v>6</v>
      </c>
      <c r="DX11" s="954"/>
      <c r="DY11" s="1650"/>
      <c r="DZ11" s="960"/>
      <c r="EA11" s="1910"/>
      <c r="EB11" s="1911"/>
      <c r="EC11" s="985"/>
      <c r="ED11" s="2022"/>
      <c r="EE11" s="952">
        <v>6</v>
      </c>
      <c r="EF11" s="956"/>
      <c r="EG11" s="985"/>
      <c r="EH11" s="2022"/>
      <c r="EI11" s="1650"/>
      <c r="EJ11" s="960"/>
      <c r="EK11" s="2203"/>
      <c r="EL11" s="1911"/>
      <c r="EM11" s="2202">
        <f t="shared" si="13"/>
        <v>1615</v>
      </c>
      <c r="EN11" s="1585">
        <f t="shared" si="14"/>
        <v>0</v>
      </c>
      <c r="EO11" s="1585">
        <f t="shared" si="15"/>
        <v>0</v>
      </c>
      <c r="EP11" s="1585">
        <f t="shared" si="19"/>
        <v>1615</v>
      </c>
      <c r="EQ11" s="988">
        <f t="shared" si="16"/>
        <v>1616</v>
      </c>
      <c r="ER11" s="1775">
        <f t="shared" si="17"/>
        <v>0</v>
      </c>
      <c r="ES11" s="1775">
        <f t="shared" si="18"/>
        <v>0</v>
      </c>
      <c r="ET11" s="992">
        <f t="shared" si="20"/>
        <v>1616</v>
      </c>
    </row>
    <row r="12" spans="1:150" x14ac:dyDescent="0.25">
      <c r="A12" s="952">
        <v>7</v>
      </c>
      <c r="B12" s="954" t="s">
        <v>2104</v>
      </c>
      <c r="C12" s="1650">
        <v>11048</v>
      </c>
      <c r="D12" s="960"/>
      <c r="E12" s="1910">
        <v>9574</v>
      </c>
      <c r="F12" s="1911"/>
      <c r="G12" s="985"/>
      <c r="H12" s="1985"/>
      <c r="I12" s="985"/>
      <c r="J12" s="1985"/>
      <c r="K12" s="985"/>
      <c r="L12" s="2022"/>
      <c r="M12" s="952">
        <v>7</v>
      </c>
      <c r="N12" s="954"/>
      <c r="O12" s="985"/>
      <c r="P12" s="2022"/>
      <c r="Q12" s="1650"/>
      <c r="R12" s="960"/>
      <c r="S12" s="1910"/>
      <c r="T12" s="1911"/>
      <c r="U12" s="1650"/>
      <c r="V12" s="960"/>
      <c r="W12" s="1910"/>
      <c r="X12" s="1911"/>
      <c r="Y12" s="1650"/>
      <c r="Z12" s="960"/>
      <c r="AA12" s="2053"/>
      <c r="AB12" s="1911"/>
      <c r="AC12" s="955">
        <v>7</v>
      </c>
      <c r="AD12" s="956"/>
      <c r="AE12" s="1650"/>
      <c r="AF12" s="960"/>
      <c r="AG12" s="1910"/>
      <c r="AH12" s="1911"/>
      <c r="AI12" s="1650"/>
      <c r="AJ12" s="960"/>
      <c r="AK12" s="1910"/>
      <c r="AL12" s="1911"/>
      <c r="AM12" s="985"/>
      <c r="AN12" s="2022"/>
      <c r="AO12" s="1864"/>
      <c r="AP12" s="989"/>
      <c r="AQ12" s="990"/>
      <c r="AR12" s="2089"/>
      <c r="AS12" s="1544"/>
      <c r="AT12" s="2089"/>
      <c r="AU12" s="1650"/>
      <c r="AV12" s="960"/>
      <c r="AW12" s="1910"/>
      <c r="AX12" s="1911"/>
      <c r="AY12" s="952">
        <v>7</v>
      </c>
      <c r="AZ12" s="956"/>
      <c r="BA12" s="1650"/>
      <c r="BB12" s="960"/>
      <c r="BC12" s="1912"/>
      <c r="BD12" s="1913"/>
      <c r="BE12" s="965"/>
      <c r="BF12" s="961"/>
      <c r="BG12" s="1650"/>
      <c r="BH12" s="960"/>
      <c r="BI12" s="1910"/>
      <c r="BJ12" s="1911"/>
      <c r="BK12" s="1650"/>
      <c r="BL12" s="960"/>
      <c r="BM12" s="1910"/>
      <c r="BN12" s="1911"/>
      <c r="BO12" s="985"/>
      <c r="BP12" s="1985"/>
      <c r="BQ12" s="985"/>
      <c r="BR12" s="2022"/>
      <c r="BS12" s="1650"/>
      <c r="BT12" s="960"/>
      <c r="BU12" s="1910"/>
      <c r="BV12" s="1911"/>
      <c r="BW12" s="985"/>
      <c r="BX12" s="2022"/>
      <c r="BY12" s="1650"/>
      <c r="BZ12" s="960"/>
      <c r="CA12" s="1910"/>
      <c r="CB12" s="1911"/>
      <c r="CC12" s="1743"/>
      <c r="CD12" s="2150"/>
      <c r="CE12" s="952">
        <v>7</v>
      </c>
      <c r="CF12" s="954" t="s">
        <v>1286</v>
      </c>
      <c r="CG12" s="1650"/>
      <c r="CH12" s="960"/>
      <c r="CI12" s="1912"/>
      <c r="CJ12" s="1913"/>
      <c r="CK12" s="965"/>
      <c r="CL12" s="961"/>
      <c r="CM12" s="1650"/>
      <c r="CN12" s="960"/>
      <c r="CO12" s="1910"/>
      <c r="CP12" s="1911"/>
      <c r="CQ12" s="1650"/>
      <c r="CR12" s="960"/>
      <c r="CS12" s="1910"/>
      <c r="CT12" s="1911"/>
      <c r="CU12" s="1650"/>
      <c r="CV12" s="960"/>
      <c r="CW12" s="1910"/>
      <c r="CX12" s="1911"/>
      <c r="CY12" s="1650"/>
      <c r="CZ12" s="960"/>
      <c r="DA12" s="1910"/>
      <c r="DB12" s="1911"/>
      <c r="DC12" s="985"/>
      <c r="DD12" s="2022"/>
      <c r="DE12" s="1650"/>
      <c r="DF12" s="960"/>
      <c r="DG12" s="1912"/>
      <c r="DH12" s="1913"/>
      <c r="DI12" s="964"/>
      <c r="DJ12" s="959"/>
      <c r="DK12" s="985"/>
      <c r="DL12" s="1985"/>
      <c r="DM12" s="985"/>
      <c r="DN12" s="1985"/>
      <c r="DO12" s="985"/>
      <c r="DP12" s="2023"/>
      <c r="DQ12" s="965"/>
      <c r="DR12" s="962"/>
      <c r="DS12" s="1650"/>
      <c r="DT12" s="960"/>
      <c r="DU12" s="1912"/>
      <c r="DV12" s="1913"/>
      <c r="DW12" s="965"/>
      <c r="DX12" s="959"/>
      <c r="DY12" s="1650"/>
      <c r="DZ12" s="960"/>
      <c r="EA12" s="1910"/>
      <c r="EB12" s="1911"/>
      <c r="EC12" s="985"/>
      <c r="ED12" s="2022"/>
      <c r="EE12" s="952">
        <v>7</v>
      </c>
      <c r="EF12" s="956"/>
      <c r="EG12" s="985"/>
      <c r="EH12" s="2022"/>
      <c r="EI12" s="1650"/>
      <c r="EJ12" s="960"/>
      <c r="EK12" s="2204"/>
      <c r="EL12" s="1913"/>
      <c r="EM12" s="2202">
        <f t="shared" si="13"/>
        <v>9574</v>
      </c>
      <c r="EN12" s="1585">
        <f t="shared" si="14"/>
        <v>0</v>
      </c>
      <c r="EO12" s="1585">
        <f t="shared" si="15"/>
        <v>0</v>
      </c>
      <c r="EP12" s="1586">
        <f t="shared" si="19"/>
        <v>9574</v>
      </c>
      <c r="EQ12" s="999">
        <f t="shared" si="16"/>
        <v>11048</v>
      </c>
      <c r="ER12" s="1776">
        <f t="shared" si="17"/>
        <v>0</v>
      </c>
      <c r="ES12" s="1776">
        <f t="shared" si="18"/>
        <v>0</v>
      </c>
      <c r="ET12" s="1055">
        <f t="shared" si="20"/>
        <v>11048</v>
      </c>
    </row>
    <row r="13" spans="1:150" ht="12.75" customHeight="1" x14ac:dyDescent="0.25">
      <c r="A13" s="952">
        <v>8</v>
      </c>
      <c r="B13" s="954" t="s">
        <v>2105</v>
      </c>
      <c r="C13" s="1650">
        <v>1616</v>
      </c>
      <c r="D13" s="960"/>
      <c r="E13" s="1910">
        <v>1616</v>
      </c>
      <c r="F13" s="1911"/>
      <c r="G13" s="985"/>
      <c r="H13" s="1985"/>
      <c r="I13" s="985"/>
      <c r="J13" s="1985"/>
      <c r="K13" s="985"/>
      <c r="L13" s="2022"/>
      <c r="M13" s="952">
        <v>8</v>
      </c>
      <c r="N13" s="954"/>
      <c r="O13" s="985"/>
      <c r="P13" s="2022"/>
      <c r="Q13" s="1650"/>
      <c r="R13" s="960"/>
      <c r="S13" s="1910"/>
      <c r="T13" s="1911"/>
      <c r="U13" s="1650"/>
      <c r="V13" s="960"/>
      <c r="W13" s="1910"/>
      <c r="X13" s="1911"/>
      <c r="Y13" s="1650"/>
      <c r="Z13" s="960"/>
      <c r="AA13" s="2053"/>
      <c r="AB13" s="1911"/>
      <c r="AC13" s="955">
        <v>8</v>
      </c>
      <c r="AD13" s="956"/>
      <c r="AE13" s="1650"/>
      <c r="AF13" s="960"/>
      <c r="AG13" s="1910"/>
      <c r="AH13" s="1911"/>
      <c r="AI13" s="1650"/>
      <c r="AJ13" s="960"/>
      <c r="AK13" s="1910"/>
      <c r="AL13" s="1911"/>
      <c r="AM13" s="985"/>
      <c r="AN13" s="2022"/>
      <c r="AO13" s="1864"/>
      <c r="AP13" s="989"/>
      <c r="AQ13" s="990"/>
      <c r="AR13" s="2089"/>
      <c r="AS13" s="1544"/>
      <c r="AT13" s="2089"/>
      <c r="AU13" s="1650"/>
      <c r="AV13" s="960"/>
      <c r="AW13" s="1910"/>
      <c r="AX13" s="1911"/>
      <c r="AY13" s="952">
        <v>8</v>
      </c>
      <c r="AZ13" s="956"/>
      <c r="BA13" s="1650"/>
      <c r="BB13" s="960"/>
      <c r="BC13" s="1912"/>
      <c r="BD13" s="1913"/>
      <c r="BE13" s="965"/>
      <c r="BF13" s="961"/>
      <c r="BG13" s="1650"/>
      <c r="BH13" s="960"/>
      <c r="BI13" s="1910"/>
      <c r="BJ13" s="1911"/>
      <c r="BK13" s="1650"/>
      <c r="BL13" s="960"/>
      <c r="BM13" s="1910"/>
      <c r="BN13" s="1911"/>
      <c r="BO13" s="985"/>
      <c r="BP13" s="1985"/>
      <c r="BQ13" s="985"/>
      <c r="BR13" s="2022"/>
      <c r="BS13" s="1650"/>
      <c r="BT13" s="960"/>
      <c r="BU13" s="1910"/>
      <c r="BV13" s="1911"/>
      <c r="BW13" s="985"/>
      <c r="BX13" s="2022"/>
      <c r="BY13" s="1650"/>
      <c r="BZ13" s="960"/>
      <c r="CA13" s="1910"/>
      <c r="CB13" s="1911"/>
      <c r="CC13" s="1743"/>
      <c r="CD13" s="2150"/>
      <c r="CE13" s="952">
        <v>8</v>
      </c>
      <c r="CF13" s="954" t="s">
        <v>1287</v>
      </c>
      <c r="CG13" s="1650"/>
      <c r="CH13" s="960"/>
      <c r="CI13" s="1912"/>
      <c r="CJ13" s="1913"/>
      <c r="CK13" s="965"/>
      <c r="CL13" s="961"/>
      <c r="CM13" s="1650"/>
      <c r="CN13" s="960"/>
      <c r="CO13" s="1910"/>
      <c r="CP13" s="1911"/>
      <c r="CQ13" s="1650"/>
      <c r="CR13" s="960"/>
      <c r="CS13" s="1910"/>
      <c r="CT13" s="1911"/>
      <c r="CU13" s="1650"/>
      <c r="CV13" s="960"/>
      <c r="CW13" s="1910"/>
      <c r="CX13" s="1911"/>
      <c r="CY13" s="1650"/>
      <c r="CZ13" s="960"/>
      <c r="DA13" s="1910"/>
      <c r="DB13" s="1911"/>
      <c r="DC13" s="985"/>
      <c r="DD13" s="2022"/>
      <c r="DE13" s="1650"/>
      <c r="DF13" s="960"/>
      <c r="DG13" s="1912"/>
      <c r="DH13" s="1913"/>
      <c r="DI13" s="964"/>
      <c r="DJ13" s="959"/>
      <c r="DK13" s="985"/>
      <c r="DL13" s="1985"/>
      <c r="DM13" s="985"/>
      <c r="DN13" s="1985"/>
      <c r="DO13" s="985"/>
      <c r="DP13" s="2023"/>
      <c r="DQ13" s="965"/>
      <c r="DR13" s="962"/>
      <c r="DS13" s="1650"/>
      <c r="DT13" s="960"/>
      <c r="DU13" s="1912"/>
      <c r="DV13" s="1913"/>
      <c r="DW13" s="965"/>
      <c r="DX13" s="959"/>
      <c r="DY13" s="1650"/>
      <c r="DZ13" s="960"/>
      <c r="EA13" s="1910"/>
      <c r="EB13" s="1911"/>
      <c r="EC13" s="985"/>
      <c r="ED13" s="2022"/>
      <c r="EE13" s="952">
        <v>8</v>
      </c>
      <c r="EF13" s="956"/>
      <c r="EG13" s="985"/>
      <c r="EH13" s="2022"/>
      <c r="EI13" s="1650"/>
      <c r="EJ13" s="960"/>
      <c r="EK13" s="2204"/>
      <c r="EL13" s="1913"/>
      <c r="EM13" s="2202">
        <f t="shared" si="13"/>
        <v>1616</v>
      </c>
      <c r="EN13" s="1585">
        <f t="shared" si="14"/>
        <v>0</v>
      </c>
      <c r="EO13" s="1585">
        <f t="shared" si="15"/>
        <v>0</v>
      </c>
      <c r="EP13" s="1586">
        <f t="shared" si="19"/>
        <v>1616</v>
      </c>
      <c r="EQ13" s="999">
        <f t="shared" si="16"/>
        <v>1616</v>
      </c>
      <c r="ER13" s="1776">
        <f t="shared" si="17"/>
        <v>0</v>
      </c>
      <c r="ES13" s="1776">
        <f t="shared" si="18"/>
        <v>0</v>
      </c>
      <c r="ET13" s="1055">
        <f t="shared" si="20"/>
        <v>1616</v>
      </c>
    </row>
    <row r="14" spans="1:150" ht="26.4" x14ac:dyDescent="0.25">
      <c r="A14" s="952">
        <v>9</v>
      </c>
      <c r="B14" s="954" t="s">
        <v>2106</v>
      </c>
      <c r="C14" s="1650">
        <v>6127</v>
      </c>
      <c r="D14" s="960"/>
      <c r="E14" s="1910">
        <v>9574</v>
      </c>
      <c r="F14" s="1911"/>
      <c r="G14" s="985"/>
      <c r="H14" s="1985"/>
      <c r="I14" s="985"/>
      <c r="J14" s="1985"/>
      <c r="K14" s="985"/>
      <c r="L14" s="2023"/>
      <c r="M14" s="965">
        <v>9</v>
      </c>
      <c r="N14" s="959"/>
      <c r="O14" s="985"/>
      <c r="P14" s="2022"/>
      <c r="Q14" s="1650"/>
      <c r="R14" s="960"/>
      <c r="S14" s="1910"/>
      <c r="T14" s="1911"/>
      <c r="U14" s="1650"/>
      <c r="V14" s="960"/>
      <c r="W14" s="1910"/>
      <c r="X14" s="1911"/>
      <c r="Y14" s="1650"/>
      <c r="Z14" s="960"/>
      <c r="AA14" s="2054"/>
      <c r="AB14" s="1913"/>
      <c r="AC14" s="964">
        <v>9</v>
      </c>
      <c r="AD14" s="961"/>
      <c r="AE14" s="1650"/>
      <c r="AF14" s="960"/>
      <c r="AG14" s="1910"/>
      <c r="AH14" s="1911"/>
      <c r="AI14" s="1650"/>
      <c r="AJ14" s="960"/>
      <c r="AK14" s="1910"/>
      <c r="AL14" s="1911"/>
      <c r="AM14" s="985"/>
      <c r="AN14" s="2023"/>
      <c r="AO14" s="1865"/>
      <c r="AP14" s="1000"/>
      <c r="AQ14" s="1001"/>
      <c r="AR14" s="2090"/>
      <c r="AS14" s="1545"/>
      <c r="AT14" s="2090"/>
      <c r="AU14" s="1650"/>
      <c r="AV14" s="960"/>
      <c r="AW14" s="1912"/>
      <c r="AX14" s="1913"/>
      <c r="AY14" s="965">
        <v>9</v>
      </c>
      <c r="AZ14" s="961"/>
      <c r="BA14" s="1650"/>
      <c r="BB14" s="960"/>
      <c r="BC14" s="1912"/>
      <c r="BD14" s="1913"/>
      <c r="BE14" s="965"/>
      <c r="BF14" s="961"/>
      <c r="BG14" s="1650"/>
      <c r="BH14" s="960"/>
      <c r="BI14" s="1910"/>
      <c r="BJ14" s="1911"/>
      <c r="BK14" s="1650"/>
      <c r="BL14" s="960"/>
      <c r="BM14" s="1910"/>
      <c r="BN14" s="1911"/>
      <c r="BO14" s="985"/>
      <c r="BP14" s="1985"/>
      <c r="BQ14" s="985"/>
      <c r="BR14" s="2022"/>
      <c r="BS14" s="1650"/>
      <c r="BT14" s="960"/>
      <c r="BU14" s="1910"/>
      <c r="BV14" s="1911"/>
      <c r="BW14" s="985"/>
      <c r="BX14" s="2022"/>
      <c r="BY14" s="1650"/>
      <c r="BZ14" s="960"/>
      <c r="CA14" s="1910"/>
      <c r="CB14" s="1911"/>
      <c r="CC14" s="1743"/>
      <c r="CD14" s="2150"/>
      <c r="CE14" s="952">
        <v>9</v>
      </c>
      <c r="CF14" s="954" t="s">
        <v>1288</v>
      </c>
      <c r="CG14" s="1650"/>
      <c r="CH14" s="960"/>
      <c r="CI14" s="1912"/>
      <c r="CJ14" s="1913"/>
      <c r="CK14" s="965"/>
      <c r="CL14" s="961"/>
      <c r="CM14" s="1650"/>
      <c r="CN14" s="960"/>
      <c r="CO14" s="1910"/>
      <c r="CP14" s="1911"/>
      <c r="CQ14" s="1650"/>
      <c r="CR14" s="960"/>
      <c r="CS14" s="1910"/>
      <c r="CT14" s="1911"/>
      <c r="CU14" s="1650"/>
      <c r="CV14" s="960"/>
      <c r="CW14" s="1910"/>
      <c r="CX14" s="1911"/>
      <c r="CY14" s="1650"/>
      <c r="CZ14" s="960"/>
      <c r="DA14" s="1910"/>
      <c r="DB14" s="1911"/>
      <c r="DC14" s="985"/>
      <c r="DD14" s="2022"/>
      <c r="DE14" s="1650"/>
      <c r="DF14" s="960"/>
      <c r="DG14" s="1912"/>
      <c r="DH14" s="1913"/>
      <c r="DI14" s="964"/>
      <c r="DJ14" s="959"/>
      <c r="DK14" s="985"/>
      <c r="DL14" s="1985"/>
      <c r="DM14" s="985"/>
      <c r="DN14" s="1985"/>
      <c r="DO14" s="985"/>
      <c r="DP14" s="2023"/>
      <c r="DQ14" s="965"/>
      <c r="DR14" s="962"/>
      <c r="DS14" s="1650"/>
      <c r="DT14" s="960"/>
      <c r="DU14" s="1912"/>
      <c r="DV14" s="1913"/>
      <c r="DW14" s="965"/>
      <c r="DX14" s="959"/>
      <c r="DY14" s="1650"/>
      <c r="DZ14" s="960"/>
      <c r="EA14" s="1910"/>
      <c r="EB14" s="1911"/>
      <c r="EC14" s="985"/>
      <c r="ED14" s="2023"/>
      <c r="EE14" s="965">
        <v>9</v>
      </c>
      <c r="EF14" s="961"/>
      <c r="EG14" s="985"/>
      <c r="EH14" s="2022"/>
      <c r="EI14" s="1650"/>
      <c r="EJ14" s="960"/>
      <c r="EK14" s="2204"/>
      <c r="EL14" s="1913"/>
      <c r="EM14" s="2202">
        <f t="shared" si="13"/>
        <v>9574</v>
      </c>
      <c r="EN14" s="1585">
        <f t="shared" si="14"/>
        <v>0</v>
      </c>
      <c r="EO14" s="1585">
        <f t="shared" si="15"/>
        <v>0</v>
      </c>
      <c r="EP14" s="1586">
        <f t="shared" si="19"/>
        <v>9574</v>
      </c>
      <c r="EQ14" s="999">
        <f t="shared" si="16"/>
        <v>6127</v>
      </c>
      <c r="ER14" s="1776">
        <f t="shared" si="17"/>
        <v>0</v>
      </c>
      <c r="ES14" s="1776">
        <f t="shared" si="18"/>
        <v>0</v>
      </c>
      <c r="ET14" s="1055">
        <f t="shared" si="20"/>
        <v>6127</v>
      </c>
    </row>
    <row r="15" spans="1:150" x14ac:dyDescent="0.25">
      <c r="A15" s="952">
        <v>10</v>
      </c>
      <c r="B15" s="954" t="s">
        <v>2107</v>
      </c>
      <c r="C15" s="1650">
        <v>808</v>
      </c>
      <c r="D15" s="960"/>
      <c r="E15" s="1910">
        <v>1616</v>
      </c>
      <c r="F15" s="1911"/>
      <c r="G15" s="985"/>
      <c r="H15" s="1985"/>
      <c r="I15" s="985"/>
      <c r="J15" s="1985"/>
      <c r="K15" s="985"/>
      <c r="L15" s="2023"/>
      <c r="M15" s="965"/>
      <c r="N15" s="959"/>
      <c r="O15" s="985"/>
      <c r="P15" s="2022"/>
      <c r="Q15" s="1650"/>
      <c r="R15" s="960"/>
      <c r="S15" s="1910"/>
      <c r="T15" s="1911"/>
      <c r="U15" s="1650"/>
      <c r="V15" s="960"/>
      <c r="W15" s="1910"/>
      <c r="X15" s="1911"/>
      <c r="Y15" s="1650"/>
      <c r="Z15" s="960"/>
      <c r="AA15" s="2054"/>
      <c r="AB15" s="1913"/>
      <c r="AC15" s="964"/>
      <c r="AD15" s="961"/>
      <c r="AE15" s="1650"/>
      <c r="AF15" s="960"/>
      <c r="AG15" s="1910"/>
      <c r="AH15" s="1911"/>
      <c r="AI15" s="1650"/>
      <c r="AJ15" s="960"/>
      <c r="AK15" s="1910"/>
      <c r="AL15" s="1911"/>
      <c r="AM15" s="985"/>
      <c r="AN15" s="2023"/>
      <c r="AO15" s="1865"/>
      <c r="AP15" s="1000"/>
      <c r="AQ15" s="1001"/>
      <c r="AR15" s="2090"/>
      <c r="AS15" s="1545"/>
      <c r="AT15" s="2090"/>
      <c r="AU15" s="1650"/>
      <c r="AV15" s="960"/>
      <c r="AW15" s="1912"/>
      <c r="AX15" s="1913"/>
      <c r="AY15" s="965"/>
      <c r="AZ15" s="961"/>
      <c r="BA15" s="1650"/>
      <c r="BB15" s="960"/>
      <c r="BC15" s="1912"/>
      <c r="BD15" s="1913"/>
      <c r="BE15" s="965"/>
      <c r="BF15" s="961"/>
      <c r="BG15" s="1650"/>
      <c r="BH15" s="960"/>
      <c r="BI15" s="1910"/>
      <c r="BJ15" s="1911"/>
      <c r="BK15" s="1650"/>
      <c r="BL15" s="960"/>
      <c r="BM15" s="1910"/>
      <c r="BN15" s="1911"/>
      <c r="BO15" s="985"/>
      <c r="BP15" s="1985"/>
      <c r="BQ15" s="985"/>
      <c r="BR15" s="2022"/>
      <c r="BS15" s="1650"/>
      <c r="BT15" s="960"/>
      <c r="BU15" s="1910"/>
      <c r="BV15" s="1911"/>
      <c r="BW15" s="985"/>
      <c r="BX15" s="2022"/>
      <c r="BY15" s="1650"/>
      <c r="BZ15" s="960"/>
      <c r="CA15" s="1910"/>
      <c r="CB15" s="1911"/>
      <c r="CC15" s="1743"/>
      <c r="CD15" s="2150"/>
      <c r="CE15" s="952">
        <v>10</v>
      </c>
      <c r="CF15" s="966" t="s">
        <v>1289</v>
      </c>
      <c r="CG15" s="1650"/>
      <c r="CH15" s="960"/>
      <c r="CI15" s="1912"/>
      <c r="CJ15" s="1913"/>
      <c r="CK15" s="965"/>
      <c r="CL15" s="961"/>
      <c r="CM15" s="1650"/>
      <c r="CN15" s="960"/>
      <c r="CO15" s="1910"/>
      <c r="CP15" s="1911"/>
      <c r="CQ15" s="1650"/>
      <c r="CR15" s="960"/>
      <c r="CS15" s="1910"/>
      <c r="CT15" s="1911"/>
      <c r="CU15" s="1650"/>
      <c r="CV15" s="960"/>
      <c r="CW15" s="1910"/>
      <c r="CX15" s="1911"/>
      <c r="CY15" s="1650"/>
      <c r="CZ15" s="960"/>
      <c r="DA15" s="1910"/>
      <c r="DB15" s="1911"/>
      <c r="DC15" s="985"/>
      <c r="DD15" s="2022"/>
      <c r="DE15" s="1650"/>
      <c r="DF15" s="960"/>
      <c r="DG15" s="1912"/>
      <c r="DH15" s="1913"/>
      <c r="DI15" s="964"/>
      <c r="DJ15" s="959"/>
      <c r="DK15" s="985"/>
      <c r="DL15" s="1985"/>
      <c r="DM15" s="985"/>
      <c r="DN15" s="1985"/>
      <c r="DO15" s="985"/>
      <c r="DP15" s="2023"/>
      <c r="DQ15" s="965"/>
      <c r="DR15" s="962"/>
      <c r="DS15" s="1650"/>
      <c r="DT15" s="960"/>
      <c r="DU15" s="1912"/>
      <c r="DV15" s="1913"/>
      <c r="DW15" s="965"/>
      <c r="DX15" s="959"/>
      <c r="DY15" s="1650"/>
      <c r="DZ15" s="960"/>
      <c r="EA15" s="1910"/>
      <c r="EB15" s="1911"/>
      <c r="EC15" s="985"/>
      <c r="ED15" s="2023"/>
      <c r="EE15" s="965"/>
      <c r="EF15" s="961"/>
      <c r="EG15" s="985"/>
      <c r="EH15" s="2022"/>
      <c r="EI15" s="1650"/>
      <c r="EJ15" s="960"/>
      <c r="EK15" s="2204"/>
      <c r="EL15" s="1913"/>
      <c r="EM15" s="2202">
        <f t="shared" si="13"/>
        <v>1616</v>
      </c>
      <c r="EN15" s="1585">
        <f t="shared" si="14"/>
        <v>0</v>
      </c>
      <c r="EO15" s="1585">
        <f t="shared" si="15"/>
        <v>0</v>
      </c>
      <c r="EP15" s="1586">
        <f t="shared" si="19"/>
        <v>1616</v>
      </c>
      <c r="EQ15" s="999">
        <f t="shared" si="16"/>
        <v>808</v>
      </c>
      <c r="ER15" s="1776">
        <f t="shared" si="17"/>
        <v>0</v>
      </c>
      <c r="ES15" s="1776">
        <f t="shared" si="18"/>
        <v>0</v>
      </c>
      <c r="ET15" s="1055">
        <f t="shared" si="20"/>
        <v>808</v>
      </c>
    </row>
    <row r="16" spans="1:150" x14ac:dyDescent="0.25">
      <c r="A16" s="952">
        <v>11</v>
      </c>
      <c r="B16" s="954" t="s">
        <v>2108</v>
      </c>
      <c r="C16" s="1650">
        <v>446</v>
      </c>
      <c r="D16" s="960"/>
      <c r="E16" s="1910">
        <v>604</v>
      </c>
      <c r="F16" s="1911"/>
      <c r="G16" s="985"/>
      <c r="H16" s="1985"/>
      <c r="I16" s="985"/>
      <c r="J16" s="1985"/>
      <c r="K16" s="985"/>
      <c r="L16" s="2023"/>
      <c r="M16" s="965"/>
      <c r="N16" s="959"/>
      <c r="O16" s="985"/>
      <c r="P16" s="2022"/>
      <c r="Q16" s="1650"/>
      <c r="R16" s="960"/>
      <c r="S16" s="1910"/>
      <c r="T16" s="1911"/>
      <c r="U16" s="1650"/>
      <c r="V16" s="960"/>
      <c r="W16" s="1910"/>
      <c r="X16" s="1911"/>
      <c r="Y16" s="1650"/>
      <c r="Z16" s="960"/>
      <c r="AA16" s="2054"/>
      <c r="AB16" s="1913"/>
      <c r="AC16" s="964"/>
      <c r="AD16" s="961"/>
      <c r="AE16" s="1650"/>
      <c r="AF16" s="960"/>
      <c r="AG16" s="1910"/>
      <c r="AH16" s="1911"/>
      <c r="AI16" s="1650"/>
      <c r="AJ16" s="960"/>
      <c r="AK16" s="1910"/>
      <c r="AL16" s="1911"/>
      <c r="AM16" s="985"/>
      <c r="AN16" s="2023"/>
      <c r="AO16" s="1865"/>
      <c r="AP16" s="1000"/>
      <c r="AQ16" s="1001"/>
      <c r="AR16" s="2090"/>
      <c r="AS16" s="1545"/>
      <c r="AT16" s="2090"/>
      <c r="AU16" s="1650"/>
      <c r="AV16" s="960"/>
      <c r="AW16" s="1912"/>
      <c r="AX16" s="1913"/>
      <c r="AY16" s="965"/>
      <c r="AZ16" s="961"/>
      <c r="BA16" s="1650"/>
      <c r="BB16" s="960"/>
      <c r="BC16" s="1912"/>
      <c r="BD16" s="1913"/>
      <c r="BE16" s="965"/>
      <c r="BF16" s="961"/>
      <c r="BG16" s="1650"/>
      <c r="BH16" s="960"/>
      <c r="BI16" s="1910"/>
      <c r="BJ16" s="1911"/>
      <c r="BK16" s="1650"/>
      <c r="BL16" s="960"/>
      <c r="BM16" s="1910"/>
      <c r="BN16" s="1911"/>
      <c r="BO16" s="985"/>
      <c r="BP16" s="1985"/>
      <c r="BQ16" s="985"/>
      <c r="BR16" s="2022"/>
      <c r="BS16" s="1650"/>
      <c r="BT16" s="960"/>
      <c r="BU16" s="1910"/>
      <c r="BV16" s="1911"/>
      <c r="BW16" s="985"/>
      <c r="BX16" s="2022"/>
      <c r="BY16" s="1650"/>
      <c r="BZ16" s="960"/>
      <c r="CA16" s="1910"/>
      <c r="CB16" s="1911"/>
      <c r="CC16" s="1743"/>
      <c r="CD16" s="2150"/>
      <c r="CE16" s="952">
        <v>11</v>
      </c>
      <c r="CF16" s="954" t="s">
        <v>1290</v>
      </c>
      <c r="CG16" s="1650"/>
      <c r="CH16" s="960"/>
      <c r="CI16" s="1912"/>
      <c r="CJ16" s="1913"/>
      <c r="CK16" s="965"/>
      <c r="CL16" s="961"/>
      <c r="CM16" s="1650"/>
      <c r="CN16" s="960"/>
      <c r="CO16" s="1910"/>
      <c r="CP16" s="1911"/>
      <c r="CQ16" s="1650"/>
      <c r="CR16" s="960"/>
      <c r="CS16" s="1910"/>
      <c r="CT16" s="1911"/>
      <c r="CU16" s="1650"/>
      <c r="CV16" s="960"/>
      <c r="CW16" s="1910"/>
      <c r="CX16" s="1911"/>
      <c r="CY16" s="1650"/>
      <c r="CZ16" s="960"/>
      <c r="DA16" s="1910"/>
      <c r="DB16" s="1911"/>
      <c r="DC16" s="985"/>
      <c r="DD16" s="2022"/>
      <c r="DE16" s="1650"/>
      <c r="DF16" s="960"/>
      <c r="DG16" s="1912"/>
      <c r="DH16" s="1913"/>
      <c r="DI16" s="964"/>
      <c r="DJ16" s="959"/>
      <c r="DK16" s="985"/>
      <c r="DL16" s="1985"/>
      <c r="DM16" s="985"/>
      <c r="DN16" s="1985"/>
      <c r="DO16" s="985"/>
      <c r="DP16" s="2023"/>
      <c r="DQ16" s="965"/>
      <c r="DR16" s="962"/>
      <c r="DS16" s="1650"/>
      <c r="DT16" s="960"/>
      <c r="DU16" s="1912"/>
      <c r="DV16" s="1913"/>
      <c r="DW16" s="965"/>
      <c r="DX16" s="959"/>
      <c r="DY16" s="1650"/>
      <c r="DZ16" s="960"/>
      <c r="EA16" s="1910"/>
      <c r="EB16" s="1911"/>
      <c r="EC16" s="985"/>
      <c r="ED16" s="2023"/>
      <c r="EE16" s="965"/>
      <c r="EF16" s="961"/>
      <c r="EG16" s="985"/>
      <c r="EH16" s="2022"/>
      <c r="EI16" s="1650"/>
      <c r="EJ16" s="960"/>
      <c r="EK16" s="2204"/>
      <c r="EL16" s="1913"/>
      <c r="EM16" s="2202">
        <f t="shared" si="13"/>
        <v>604</v>
      </c>
      <c r="EN16" s="1585">
        <f t="shared" si="14"/>
        <v>0</v>
      </c>
      <c r="EO16" s="1585">
        <f t="shared" si="15"/>
        <v>0</v>
      </c>
      <c r="EP16" s="1586">
        <f t="shared" si="19"/>
        <v>604</v>
      </c>
      <c r="EQ16" s="999">
        <f t="shared" si="16"/>
        <v>446</v>
      </c>
      <c r="ER16" s="1776">
        <f t="shared" si="17"/>
        <v>0</v>
      </c>
      <c r="ES16" s="1776">
        <f t="shared" si="18"/>
        <v>0</v>
      </c>
      <c r="ET16" s="1055">
        <f t="shared" si="20"/>
        <v>446</v>
      </c>
    </row>
    <row r="17" spans="1:150" x14ac:dyDescent="0.25">
      <c r="A17" s="952">
        <v>12</v>
      </c>
      <c r="B17" s="954" t="s">
        <v>2202</v>
      </c>
      <c r="C17" s="1650"/>
      <c r="D17" s="960"/>
      <c r="E17" s="1910"/>
      <c r="F17" s="1911">
        <v>4390</v>
      </c>
      <c r="G17" s="985"/>
      <c r="H17" s="1985"/>
      <c r="I17" s="985"/>
      <c r="J17" s="1985"/>
      <c r="K17" s="985"/>
      <c r="L17" s="2023"/>
      <c r="M17" s="965"/>
      <c r="N17" s="959"/>
      <c r="O17" s="985"/>
      <c r="P17" s="2022"/>
      <c r="Q17" s="1650"/>
      <c r="R17" s="960"/>
      <c r="S17" s="1910"/>
      <c r="T17" s="1911"/>
      <c r="U17" s="1650"/>
      <c r="V17" s="960"/>
      <c r="W17" s="1910"/>
      <c r="X17" s="1911"/>
      <c r="Y17" s="1650"/>
      <c r="Z17" s="960"/>
      <c r="AA17" s="2054"/>
      <c r="AB17" s="1913"/>
      <c r="AC17" s="964"/>
      <c r="AD17" s="961"/>
      <c r="AE17" s="1650"/>
      <c r="AF17" s="960"/>
      <c r="AG17" s="1910"/>
      <c r="AH17" s="1911"/>
      <c r="AI17" s="1650"/>
      <c r="AJ17" s="960"/>
      <c r="AK17" s="1910"/>
      <c r="AL17" s="1911"/>
      <c r="AM17" s="985"/>
      <c r="AN17" s="2023"/>
      <c r="AO17" s="1865"/>
      <c r="AP17" s="1000"/>
      <c r="AQ17" s="1001"/>
      <c r="AR17" s="2090"/>
      <c r="AS17" s="1545"/>
      <c r="AT17" s="2090"/>
      <c r="AU17" s="1650"/>
      <c r="AV17" s="960"/>
      <c r="AW17" s="1912"/>
      <c r="AX17" s="1913"/>
      <c r="AY17" s="965"/>
      <c r="AZ17" s="961"/>
      <c r="BA17" s="1650"/>
      <c r="BB17" s="960"/>
      <c r="BC17" s="1912"/>
      <c r="BD17" s="1913"/>
      <c r="BE17" s="965"/>
      <c r="BF17" s="961"/>
      <c r="BG17" s="1650"/>
      <c r="BH17" s="960"/>
      <c r="BI17" s="1910"/>
      <c r="BJ17" s="1911"/>
      <c r="BK17" s="1650"/>
      <c r="BL17" s="960"/>
      <c r="BM17" s="1910"/>
      <c r="BN17" s="1911"/>
      <c r="BO17" s="985"/>
      <c r="BP17" s="1985"/>
      <c r="BQ17" s="985"/>
      <c r="BR17" s="2022"/>
      <c r="BS17" s="1650"/>
      <c r="BT17" s="960"/>
      <c r="BU17" s="1910"/>
      <c r="BV17" s="1911"/>
      <c r="BW17" s="985"/>
      <c r="BX17" s="2022"/>
      <c r="BY17" s="1650"/>
      <c r="BZ17" s="960"/>
      <c r="CA17" s="1910"/>
      <c r="CB17" s="1911"/>
      <c r="CC17" s="1743"/>
      <c r="CD17" s="2150"/>
      <c r="CE17" s="952">
        <v>12</v>
      </c>
      <c r="CF17" s="956" t="s">
        <v>1291</v>
      </c>
      <c r="CG17" s="1650"/>
      <c r="CH17" s="960"/>
      <c r="CI17" s="1912"/>
      <c r="CJ17" s="1913"/>
      <c r="CK17" s="965"/>
      <c r="CL17" s="961"/>
      <c r="CM17" s="1650"/>
      <c r="CN17" s="960"/>
      <c r="CO17" s="1910"/>
      <c r="CP17" s="1911"/>
      <c r="CQ17" s="1650"/>
      <c r="CR17" s="960"/>
      <c r="CS17" s="1910"/>
      <c r="CT17" s="1911"/>
      <c r="CU17" s="1650"/>
      <c r="CV17" s="960"/>
      <c r="CW17" s="1910"/>
      <c r="CX17" s="1911"/>
      <c r="CY17" s="1650"/>
      <c r="CZ17" s="960"/>
      <c r="DA17" s="1910"/>
      <c r="DB17" s="1911"/>
      <c r="DC17" s="985"/>
      <c r="DD17" s="2022"/>
      <c r="DE17" s="1650"/>
      <c r="DF17" s="960"/>
      <c r="DG17" s="1912"/>
      <c r="DH17" s="1913"/>
      <c r="DI17" s="964"/>
      <c r="DJ17" s="959"/>
      <c r="DK17" s="985"/>
      <c r="DL17" s="1985"/>
      <c r="DM17" s="985"/>
      <c r="DN17" s="1985"/>
      <c r="DO17" s="985"/>
      <c r="DP17" s="2023"/>
      <c r="DQ17" s="965"/>
      <c r="DR17" s="962"/>
      <c r="DS17" s="1650"/>
      <c r="DT17" s="960"/>
      <c r="DU17" s="1912"/>
      <c r="DV17" s="1913"/>
      <c r="DW17" s="965"/>
      <c r="DX17" s="959"/>
      <c r="DY17" s="1650"/>
      <c r="DZ17" s="960"/>
      <c r="EA17" s="1910"/>
      <c r="EB17" s="1911"/>
      <c r="EC17" s="985"/>
      <c r="ED17" s="2023"/>
      <c r="EE17" s="965"/>
      <c r="EF17" s="961"/>
      <c r="EG17" s="985"/>
      <c r="EH17" s="2022"/>
      <c r="EI17" s="1650"/>
      <c r="EJ17" s="960"/>
      <c r="EK17" s="2204"/>
      <c r="EL17" s="1913"/>
      <c r="EM17" s="2202">
        <f t="shared" si="13"/>
        <v>0</v>
      </c>
      <c r="EN17" s="1585">
        <f t="shared" si="14"/>
        <v>4390</v>
      </c>
      <c r="EO17" s="1585">
        <f t="shared" si="15"/>
        <v>0</v>
      </c>
      <c r="EP17" s="1586">
        <f t="shared" si="19"/>
        <v>4390</v>
      </c>
      <c r="EQ17" s="999">
        <f t="shared" si="16"/>
        <v>0</v>
      </c>
      <c r="ER17" s="1776">
        <f t="shared" si="17"/>
        <v>0</v>
      </c>
      <c r="ES17" s="1776">
        <f t="shared" si="18"/>
        <v>0</v>
      </c>
      <c r="ET17" s="1055">
        <f t="shared" si="20"/>
        <v>0</v>
      </c>
    </row>
    <row r="18" spans="1:150" x14ac:dyDescent="0.25">
      <c r="A18" s="952">
        <v>13</v>
      </c>
      <c r="B18" s="954" t="s">
        <v>2109</v>
      </c>
      <c r="C18" s="1650"/>
      <c r="D18" s="960">
        <v>65695</v>
      </c>
      <c r="E18" s="1910"/>
      <c r="F18" s="1911">
        <v>80857</v>
      </c>
      <c r="G18" s="985"/>
      <c r="H18" s="1985"/>
      <c r="I18" s="985"/>
      <c r="J18" s="1985"/>
      <c r="K18" s="985"/>
      <c r="L18" s="2023"/>
      <c r="M18" s="965"/>
      <c r="N18" s="959"/>
      <c r="O18" s="985"/>
      <c r="P18" s="2022"/>
      <c r="Q18" s="1650"/>
      <c r="R18" s="960"/>
      <c r="S18" s="1910"/>
      <c r="T18" s="1911"/>
      <c r="U18" s="1650"/>
      <c r="V18" s="960"/>
      <c r="W18" s="1910"/>
      <c r="X18" s="1911"/>
      <c r="Y18" s="1650"/>
      <c r="Z18" s="960"/>
      <c r="AA18" s="2054"/>
      <c r="AB18" s="1913"/>
      <c r="AC18" s="964"/>
      <c r="AD18" s="961"/>
      <c r="AE18" s="1650"/>
      <c r="AF18" s="960"/>
      <c r="AG18" s="1910"/>
      <c r="AH18" s="1911"/>
      <c r="AI18" s="1650"/>
      <c r="AJ18" s="960"/>
      <c r="AK18" s="1910"/>
      <c r="AL18" s="1911"/>
      <c r="AM18" s="985"/>
      <c r="AN18" s="2023"/>
      <c r="AO18" s="1865"/>
      <c r="AP18" s="1000"/>
      <c r="AQ18" s="1001"/>
      <c r="AR18" s="2090"/>
      <c r="AS18" s="1545"/>
      <c r="AT18" s="2090"/>
      <c r="AU18" s="1650"/>
      <c r="AV18" s="960"/>
      <c r="AW18" s="1912"/>
      <c r="AX18" s="1913"/>
      <c r="AY18" s="965"/>
      <c r="AZ18" s="961"/>
      <c r="BA18" s="1650"/>
      <c r="BB18" s="960"/>
      <c r="BC18" s="1912"/>
      <c r="BD18" s="1913"/>
      <c r="BE18" s="965"/>
      <c r="BF18" s="961"/>
      <c r="BG18" s="1650"/>
      <c r="BH18" s="960"/>
      <c r="BI18" s="1910"/>
      <c r="BJ18" s="1911"/>
      <c r="BK18" s="1650"/>
      <c r="BL18" s="960"/>
      <c r="BM18" s="1910"/>
      <c r="BN18" s="1911"/>
      <c r="BO18" s="985"/>
      <c r="BP18" s="1985"/>
      <c r="BQ18" s="985"/>
      <c r="BR18" s="2022"/>
      <c r="BS18" s="1650"/>
      <c r="BT18" s="960"/>
      <c r="BU18" s="1910"/>
      <c r="BV18" s="1911"/>
      <c r="BW18" s="985"/>
      <c r="BX18" s="2022"/>
      <c r="BY18" s="1650"/>
      <c r="BZ18" s="960"/>
      <c r="CA18" s="1910"/>
      <c r="CB18" s="1911"/>
      <c r="CC18" s="1743"/>
      <c r="CD18" s="2150"/>
      <c r="CE18" s="952">
        <v>13</v>
      </c>
      <c r="CF18" s="967" t="s">
        <v>1272</v>
      </c>
      <c r="CG18" s="1650"/>
      <c r="CH18" s="960"/>
      <c r="CI18" s="1912"/>
      <c r="CJ18" s="1913"/>
      <c r="CK18" s="965"/>
      <c r="CL18" s="961"/>
      <c r="CM18" s="1650"/>
      <c r="CN18" s="960"/>
      <c r="CO18" s="1910"/>
      <c r="CP18" s="1911"/>
      <c r="CQ18" s="1650"/>
      <c r="CR18" s="960"/>
      <c r="CS18" s="1910"/>
      <c r="CT18" s="1911"/>
      <c r="CU18" s="1650"/>
      <c r="CV18" s="960"/>
      <c r="CW18" s="1910"/>
      <c r="CX18" s="1911"/>
      <c r="CY18" s="1650"/>
      <c r="CZ18" s="960"/>
      <c r="DA18" s="1910"/>
      <c r="DB18" s="1911"/>
      <c r="DC18" s="985"/>
      <c r="DD18" s="2022"/>
      <c r="DE18" s="1650"/>
      <c r="DF18" s="960"/>
      <c r="DG18" s="1912"/>
      <c r="DH18" s="1913"/>
      <c r="DI18" s="964"/>
      <c r="DJ18" s="959"/>
      <c r="DK18" s="985"/>
      <c r="DL18" s="1985"/>
      <c r="DM18" s="985"/>
      <c r="DN18" s="1985"/>
      <c r="DO18" s="985"/>
      <c r="DP18" s="2023"/>
      <c r="DQ18" s="965"/>
      <c r="DR18" s="962"/>
      <c r="DS18" s="1650"/>
      <c r="DT18" s="960"/>
      <c r="DU18" s="1912"/>
      <c r="DV18" s="1913"/>
      <c r="DW18" s="965"/>
      <c r="DX18" s="959"/>
      <c r="DY18" s="1650"/>
      <c r="DZ18" s="960"/>
      <c r="EA18" s="1910"/>
      <c r="EB18" s="1911"/>
      <c r="EC18" s="985"/>
      <c r="ED18" s="2023"/>
      <c r="EE18" s="965"/>
      <c r="EF18" s="961"/>
      <c r="EG18" s="985"/>
      <c r="EH18" s="2022"/>
      <c r="EI18" s="1650"/>
      <c r="EJ18" s="960"/>
      <c r="EK18" s="2204"/>
      <c r="EL18" s="1913"/>
      <c r="EM18" s="2202">
        <f t="shared" si="13"/>
        <v>0</v>
      </c>
      <c r="EN18" s="1585">
        <f t="shared" si="14"/>
        <v>80857</v>
      </c>
      <c r="EO18" s="1585">
        <f t="shared" si="15"/>
        <v>0</v>
      </c>
      <c r="EP18" s="1586">
        <f t="shared" si="19"/>
        <v>80857</v>
      </c>
      <c r="EQ18" s="999">
        <f t="shared" si="16"/>
        <v>0</v>
      </c>
      <c r="ER18" s="1776">
        <f t="shared" si="17"/>
        <v>65695</v>
      </c>
      <c r="ES18" s="1776">
        <f t="shared" si="18"/>
        <v>0</v>
      </c>
      <c r="ET18" s="1055">
        <f t="shared" si="20"/>
        <v>65695</v>
      </c>
    </row>
    <row r="19" spans="1:150" ht="26.4" x14ac:dyDescent="0.25">
      <c r="A19" s="952">
        <v>14</v>
      </c>
      <c r="B19" s="954" t="s">
        <v>2110</v>
      </c>
      <c r="C19" s="1650"/>
      <c r="D19" s="960"/>
      <c r="E19" s="1910"/>
      <c r="F19" s="1911"/>
      <c r="G19" s="985"/>
      <c r="H19" s="1985"/>
      <c r="I19" s="985"/>
      <c r="J19" s="1985"/>
      <c r="K19" s="985"/>
      <c r="L19" s="2023"/>
      <c r="M19" s="965"/>
      <c r="N19" s="959"/>
      <c r="O19" s="985"/>
      <c r="P19" s="2022"/>
      <c r="Q19" s="1650"/>
      <c r="R19" s="960"/>
      <c r="S19" s="1910"/>
      <c r="T19" s="1911"/>
      <c r="U19" s="1650"/>
      <c r="V19" s="960"/>
      <c r="W19" s="1910"/>
      <c r="X19" s="1911"/>
      <c r="Y19" s="1650"/>
      <c r="Z19" s="960"/>
      <c r="AA19" s="2054"/>
      <c r="AB19" s="1913"/>
      <c r="AC19" s="964"/>
      <c r="AD19" s="961"/>
      <c r="AE19" s="1650"/>
      <c r="AF19" s="960"/>
      <c r="AG19" s="1910"/>
      <c r="AH19" s="1911"/>
      <c r="AI19" s="1650"/>
      <c r="AJ19" s="960"/>
      <c r="AK19" s="1910"/>
      <c r="AL19" s="1911"/>
      <c r="AM19" s="985"/>
      <c r="AN19" s="2023"/>
      <c r="AO19" s="1865"/>
      <c r="AP19" s="1000"/>
      <c r="AQ19" s="1001"/>
      <c r="AR19" s="2090"/>
      <c r="AS19" s="1545"/>
      <c r="AT19" s="2090"/>
      <c r="AU19" s="1650"/>
      <c r="AV19" s="960"/>
      <c r="AW19" s="1912"/>
      <c r="AX19" s="1913"/>
      <c r="AY19" s="965"/>
      <c r="AZ19" s="961"/>
      <c r="BA19" s="1650"/>
      <c r="BB19" s="960"/>
      <c r="BC19" s="1912"/>
      <c r="BD19" s="1913"/>
      <c r="BE19" s="965"/>
      <c r="BF19" s="961"/>
      <c r="BG19" s="1650"/>
      <c r="BH19" s="960"/>
      <c r="BI19" s="1910"/>
      <c r="BJ19" s="1911"/>
      <c r="BK19" s="1650"/>
      <c r="BL19" s="960"/>
      <c r="BM19" s="1910"/>
      <c r="BN19" s="1911"/>
      <c r="BO19" s="985"/>
      <c r="BP19" s="1985"/>
      <c r="BQ19" s="985"/>
      <c r="BR19" s="2022"/>
      <c r="BS19" s="1650"/>
      <c r="BT19" s="960"/>
      <c r="BU19" s="1910"/>
      <c r="BV19" s="1911"/>
      <c r="BW19" s="985"/>
      <c r="BX19" s="2022"/>
      <c r="BY19" s="1650"/>
      <c r="BZ19" s="960"/>
      <c r="CA19" s="1910"/>
      <c r="CB19" s="1911"/>
      <c r="CC19" s="1743"/>
      <c r="CD19" s="2150"/>
      <c r="CE19" s="952">
        <v>14</v>
      </c>
      <c r="CF19" s="959" t="s">
        <v>1292</v>
      </c>
      <c r="CG19" s="1650"/>
      <c r="CH19" s="960"/>
      <c r="CI19" s="1912"/>
      <c r="CJ19" s="1913"/>
      <c r="CK19" s="965"/>
      <c r="CL19" s="961"/>
      <c r="CM19" s="1650"/>
      <c r="CN19" s="960"/>
      <c r="CO19" s="1910"/>
      <c r="CP19" s="1911"/>
      <c r="CQ19" s="1650"/>
      <c r="CR19" s="960"/>
      <c r="CS19" s="1910"/>
      <c r="CT19" s="1911"/>
      <c r="CU19" s="1650"/>
      <c r="CV19" s="960"/>
      <c r="CW19" s="1910"/>
      <c r="CX19" s="1911"/>
      <c r="CY19" s="1650"/>
      <c r="CZ19" s="960"/>
      <c r="DA19" s="1910"/>
      <c r="DB19" s="1911"/>
      <c r="DC19" s="985"/>
      <c r="DD19" s="2022"/>
      <c r="DE19" s="1650"/>
      <c r="DF19" s="960"/>
      <c r="DG19" s="1912"/>
      <c r="DH19" s="1913"/>
      <c r="DI19" s="964"/>
      <c r="DJ19" s="959"/>
      <c r="DK19" s="985"/>
      <c r="DL19" s="1985"/>
      <c r="DM19" s="985"/>
      <c r="DN19" s="1985"/>
      <c r="DO19" s="985"/>
      <c r="DP19" s="2023"/>
      <c r="DQ19" s="965"/>
      <c r="DR19" s="962"/>
      <c r="DS19" s="1650"/>
      <c r="DT19" s="960"/>
      <c r="DU19" s="1912"/>
      <c r="DV19" s="1913"/>
      <c r="DW19" s="965"/>
      <c r="DX19" s="959"/>
      <c r="DY19" s="1650"/>
      <c r="DZ19" s="960"/>
      <c r="EA19" s="1910"/>
      <c r="EB19" s="1911"/>
      <c r="EC19" s="985"/>
      <c r="ED19" s="2023"/>
      <c r="EE19" s="965"/>
      <c r="EF19" s="961"/>
      <c r="EG19" s="985"/>
      <c r="EH19" s="2022"/>
      <c r="EI19" s="1650"/>
      <c r="EJ19" s="960"/>
      <c r="EK19" s="2204"/>
      <c r="EL19" s="1913"/>
      <c r="EM19" s="2202">
        <f t="shared" si="13"/>
        <v>0</v>
      </c>
      <c r="EN19" s="1585">
        <f t="shared" si="14"/>
        <v>0</v>
      </c>
      <c r="EO19" s="1585">
        <f t="shared" si="15"/>
        <v>0</v>
      </c>
      <c r="EP19" s="1586">
        <f t="shared" si="19"/>
        <v>0</v>
      </c>
      <c r="EQ19" s="999">
        <f t="shared" si="16"/>
        <v>0</v>
      </c>
      <c r="ER19" s="1776">
        <f t="shared" si="17"/>
        <v>0</v>
      </c>
      <c r="ES19" s="1776">
        <f t="shared" si="18"/>
        <v>0</v>
      </c>
      <c r="ET19" s="1055">
        <f t="shared" si="20"/>
        <v>0</v>
      </c>
    </row>
    <row r="20" spans="1:150" x14ac:dyDescent="0.25">
      <c r="A20" s="952">
        <v>15</v>
      </c>
      <c r="B20" s="959" t="s">
        <v>2111</v>
      </c>
      <c r="C20" s="1650"/>
      <c r="D20" s="960">
        <v>11054</v>
      </c>
      <c r="E20" s="1910"/>
      <c r="F20" s="1911">
        <v>22741</v>
      </c>
      <c r="G20" s="985"/>
      <c r="H20" s="1985"/>
      <c r="I20" s="985"/>
      <c r="J20" s="1985"/>
      <c r="K20" s="985"/>
      <c r="L20" s="2023"/>
      <c r="M20" s="965"/>
      <c r="N20" s="959"/>
      <c r="O20" s="985"/>
      <c r="P20" s="2022"/>
      <c r="Q20" s="1650"/>
      <c r="R20" s="960"/>
      <c r="S20" s="1910"/>
      <c r="T20" s="1911"/>
      <c r="U20" s="1650"/>
      <c r="V20" s="960"/>
      <c r="W20" s="1910"/>
      <c r="X20" s="1911"/>
      <c r="Y20" s="1650"/>
      <c r="Z20" s="960"/>
      <c r="AA20" s="2054"/>
      <c r="AB20" s="1913"/>
      <c r="AC20" s="964"/>
      <c r="AD20" s="961"/>
      <c r="AE20" s="1650"/>
      <c r="AF20" s="960"/>
      <c r="AG20" s="1910"/>
      <c r="AH20" s="1911"/>
      <c r="AI20" s="1650"/>
      <c r="AJ20" s="960"/>
      <c r="AK20" s="1910"/>
      <c r="AL20" s="1911"/>
      <c r="AM20" s="985"/>
      <c r="AN20" s="2023"/>
      <c r="AO20" s="1865"/>
      <c r="AP20" s="1000"/>
      <c r="AQ20" s="1001"/>
      <c r="AR20" s="2090"/>
      <c r="AS20" s="1545"/>
      <c r="AT20" s="2090"/>
      <c r="AU20" s="1650"/>
      <c r="AV20" s="960"/>
      <c r="AW20" s="1912"/>
      <c r="AX20" s="1913"/>
      <c r="AY20" s="965"/>
      <c r="AZ20" s="961"/>
      <c r="BA20" s="1650"/>
      <c r="BB20" s="960"/>
      <c r="BC20" s="1912"/>
      <c r="BD20" s="1913"/>
      <c r="BE20" s="965"/>
      <c r="BF20" s="961"/>
      <c r="BG20" s="1650"/>
      <c r="BH20" s="960"/>
      <c r="BI20" s="1910"/>
      <c r="BJ20" s="1911"/>
      <c r="BK20" s="1650"/>
      <c r="BL20" s="960"/>
      <c r="BM20" s="1910"/>
      <c r="BN20" s="1911"/>
      <c r="BO20" s="985"/>
      <c r="BP20" s="1985"/>
      <c r="BQ20" s="985"/>
      <c r="BR20" s="2022"/>
      <c r="BS20" s="1650"/>
      <c r="BT20" s="960"/>
      <c r="BU20" s="1910"/>
      <c r="BV20" s="1911"/>
      <c r="BW20" s="985"/>
      <c r="BX20" s="2022"/>
      <c r="BY20" s="1650"/>
      <c r="BZ20" s="960"/>
      <c r="CA20" s="1910"/>
      <c r="CB20" s="1911"/>
      <c r="CC20" s="1743"/>
      <c r="CD20" s="2150"/>
      <c r="CE20" s="952">
        <v>15</v>
      </c>
      <c r="CF20" s="961" t="s">
        <v>1293</v>
      </c>
      <c r="CG20" s="1650"/>
      <c r="CH20" s="960"/>
      <c r="CI20" s="1912"/>
      <c r="CJ20" s="1913"/>
      <c r="CK20" s="965"/>
      <c r="CL20" s="961"/>
      <c r="CM20" s="1650"/>
      <c r="CN20" s="960"/>
      <c r="CO20" s="1910"/>
      <c r="CP20" s="1911"/>
      <c r="CQ20" s="1650"/>
      <c r="CR20" s="960"/>
      <c r="CS20" s="1910"/>
      <c r="CT20" s="1911"/>
      <c r="CU20" s="1650"/>
      <c r="CV20" s="960"/>
      <c r="CW20" s="1910"/>
      <c r="CX20" s="1911"/>
      <c r="CY20" s="1650"/>
      <c r="CZ20" s="960"/>
      <c r="DA20" s="1910"/>
      <c r="DB20" s="1911"/>
      <c r="DC20" s="985"/>
      <c r="DD20" s="2022"/>
      <c r="DE20" s="1650"/>
      <c r="DF20" s="960"/>
      <c r="DG20" s="1912"/>
      <c r="DH20" s="1913"/>
      <c r="DI20" s="964"/>
      <c r="DJ20" s="959"/>
      <c r="DK20" s="985"/>
      <c r="DL20" s="1985"/>
      <c r="DM20" s="985"/>
      <c r="DN20" s="1985"/>
      <c r="DO20" s="985"/>
      <c r="DP20" s="2023"/>
      <c r="DQ20" s="965"/>
      <c r="DR20" s="962"/>
      <c r="DS20" s="1650"/>
      <c r="DT20" s="960"/>
      <c r="DU20" s="1912"/>
      <c r="DV20" s="1913"/>
      <c r="DW20" s="965"/>
      <c r="DX20" s="959"/>
      <c r="DY20" s="1650"/>
      <c r="DZ20" s="960"/>
      <c r="EA20" s="1910"/>
      <c r="EB20" s="1911"/>
      <c r="EC20" s="985"/>
      <c r="ED20" s="2023"/>
      <c r="EE20" s="965"/>
      <c r="EF20" s="961"/>
      <c r="EG20" s="985"/>
      <c r="EH20" s="2022"/>
      <c r="EI20" s="1650"/>
      <c r="EJ20" s="960"/>
      <c r="EK20" s="2204"/>
      <c r="EL20" s="1913"/>
      <c r="EM20" s="2202">
        <f t="shared" si="13"/>
        <v>0</v>
      </c>
      <c r="EN20" s="1585">
        <f t="shared" si="14"/>
        <v>22741</v>
      </c>
      <c r="EO20" s="1585">
        <f t="shared" si="15"/>
        <v>0</v>
      </c>
      <c r="EP20" s="1586">
        <f t="shared" si="19"/>
        <v>22741</v>
      </c>
      <c r="EQ20" s="999">
        <f t="shared" si="16"/>
        <v>0</v>
      </c>
      <c r="ER20" s="1776">
        <f t="shared" si="17"/>
        <v>11054</v>
      </c>
      <c r="ES20" s="1776">
        <f t="shared" si="18"/>
        <v>0</v>
      </c>
      <c r="ET20" s="1055">
        <f t="shared" si="20"/>
        <v>11054</v>
      </c>
    </row>
    <row r="21" spans="1:150" x14ac:dyDescent="0.25">
      <c r="A21" s="952">
        <v>16</v>
      </c>
      <c r="B21" s="954" t="s">
        <v>2203</v>
      </c>
      <c r="C21" s="1650"/>
      <c r="D21" s="960"/>
      <c r="E21" s="1910"/>
      <c r="F21" s="1911">
        <v>550</v>
      </c>
      <c r="G21" s="985"/>
      <c r="H21" s="1985"/>
      <c r="I21" s="985"/>
      <c r="J21" s="1985"/>
      <c r="K21" s="985"/>
      <c r="L21" s="2023"/>
      <c r="M21" s="965"/>
      <c r="N21" s="959"/>
      <c r="O21" s="985"/>
      <c r="P21" s="2022"/>
      <c r="Q21" s="1650"/>
      <c r="R21" s="960"/>
      <c r="S21" s="1910"/>
      <c r="T21" s="1911"/>
      <c r="U21" s="1650"/>
      <c r="V21" s="960"/>
      <c r="W21" s="1910"/>
      <c r="X21" s="1911"/>
      <c r="Y21" s="1650"/>
      <c r="Z21" s="960"/>
      <c r="AA21" s="2054"/>
      <c r="AB21" s="1913"/>
      <c r="AC21" s="964"/>
      <c r="AD21" s="961"/>
      <c r="AE21" s="1650"/>
      <c r="AF21" s="960"/>
      <c r="AG21" s="1910"/>
      <c r="AH21" s="1911"/>
      <c r="AI21" s="1650"/>
      <c r="AJ21" s="960"/>
      <c r="AK21" s="1910"/>
      <c r="AL21" s="1911"/>
      <c r="AM21" s="985"/>
      <c r="AN21" s="2023"/>
      <c r="AO21" s="1865"/>
      <c r="AP21" s="1000"/>
      <c r="AQ21" s="1001"/>
      <c r="AR21" s="2090"/>
      <c r="AS21" s="1545"/>
      <c r="AT21" s="2090"/>
      <c r="AU21" s="1650"/>
      <c r="AV21" s="960"/>
      <c r="AW21" s="1912"/>
      <c r="AX21" s="1913"/>
      <c r="AY21" s="965"/>
      <c r="AZ21" s="961"/>
      <c r="BA21" s="1650"/>
      <c r="BB21" s="960"/>
      <c r="BC21" s="1912"/>
      <c r="BD21" s="1913"/>
      <c r="BE21" s="965"/>
      <c r="BF21" s="961"/>
      <c r="BG21" s="1650"/>
      <c r="BH21" s="960"/>
      <c r="BI21" s="1910"/>
      <c r="BJ21" s="1911"/>
      <c r="BK21" s="1650"/>
      <c r="BL21" s="960"/>
      <c r="BM21" s="1910"/>
      <c r="BN21" s="1911"/>
      <c r="BO21" s="985"/>
      <c r="BP21" s="1985"/>
      <c r="BQ21" s="985"/>
      <c r="BR21" s="2022"/>
      <c r="BS21" s="1650"/>
      <c r="BT21" s="960"/>
      <c r="BU21" s="1910"/>
      <c r="BV21" s="1911"/>
      <c r="BW21" s="985"/>
      <c r="BX21" s="2022"/>
      <c r="BY21" s="1650"/>
      <c r="BZ21" s="960"/>
      <c r="CA21" s="1910"/>
      <c r="CB21" s="1911"/>
      <c r="CC21" s="1743"/>
      <c r="CD21" s="2150"/>
      <c r="CE21" s="952">
        <v>16</v>
      </c>
      <c r="CF21" s="961" t="s">
        <v>1294</v>
      </c>
      <c r="CG21" s="1650"/>
      <c r="CH21" s="960"/>
      <c r="CI21" s="1912"/>
      <c r="CJ21" s="1913"/>
      <c r="CK21" s="965"/>
      <c r="CL21" s="961"/>
      <c r="CM21" s="1650"/>
      <c r="CN21" s="960"/>
      <c r="CO21" s="1910"/>
      <c r="CP21" s="1911"/>
      <c r="CQ21" s="1650"/>
      <c r="CR21" s="960"/>
      <c r="CS21" s="1910"/>
      <c r="CT21" s="1911"/>
      <c r="CU21" s="1650"/>
      <c r="CV21" s="960"/>
      <c r="CW21" s="1910"/>
      <c r="CX21" s="1911"/>
      <c r="CY21" s="1650"/>
      <c r="CZ21" s="960"/>
      <c r="DA21" s="1910"/>
      <c r="DB21" s="1911"/>
      <c r="DC21" s="985"/>
      <c r="DD21" s="2022"/>
      <c r="DE21" s="1650"/>
      <c r="DF21" s="960"/>
      <c r="DG21" s="1912"/>
      <c r="DH21" s="1913"/>
      <c r="DI21" s="964"/>
      <c r="DJ21" s="959"/>
      <c r="DK21" s="985"/>
      <c r="DL21" s="1985"/>
      <c r="DM21" s="985"/>
      <c r="DN21" s="1985"/>
      <c r="DO21" s="985"/>
      <c r="DP21" s="2023"/>
      <c r="DQ21" s="965"/>
      <c r="DR21" s="962"/>
      <c r="DS21" s="1650"/>
      <c r="DT21" s="960"/>
      <c r="DU21" s="1912"/>
      <c r="DV21" s="1913"/>
      <c r="DW21" s="965"/>
      <c r="DX21" s="959"/>
      <c r="DY21" s="1650"/>
      <c r="DZ21" s="960"/>
      <c r="EA21" s="1910"/>
      <c r="EB21" s="1911"/>
      <c r="EC21" s="985"/>
      <c r="ED21" s="2023"/>
      <c r="EE21" s="965"/>
      <c r="EF21" s="961"/>
      <c r="EG21" s="985"/>
      <c r="EH21" s="2022"/>
      <c r="EI21" s="1650"/>
      <c r="EJ21" s="960"/>
      <c r="EK21" s="2204"/>
      <c r="EL21" s="1913"/>
      <c r="EM21" s="2202">
        <f t="shared" si="13"/>
        <v>0</v>
      </c>
      <c r="EN21" s="1585">
        <f t="shared" si="14"/>
        <v>550</v>
      </c>
      <c r="EO21" s="1585">
        <f t="shared" si="15"/>
        <v>0</v>
      </c>
      <c r="EP21" s="1586">
        <f t="shared" si="19"/>
        <v>550</v>
      </c>
      <c r="EQ21" s="999">
        <f t="shared" si="16"/>
        <v>0</v>
      </c>
      <c r="ER21" s="1776">
        <f t="shared" si="17"/>
        <v>0</v>
      </c>
      <c r="ES21" s="1776">
        <f t="shared" si="18"/>
        <v>0</v>
      </c>
      <c r="ET21" s="1055">
        <f t="shared" si="20"/>
        <v>0</v>
      </c>
    </row>
    <row r="22" spans="1:150" x14ac:dyDescent="0.25">
      <c r="A22" s="952">
        <v>17</v>
      </c>
      <c r="B22" s="954" t="s">
        <v>1295</v>
      </c>
      <c r="C22" s="1650"/>
      <c r="D22" s="960">
        <f>5000-1400</f>
        <v>3600</v>
      </c>
      <c r="E22" s="1910"/>
      <c r="F22" s="2199">
        <f>1500-1500</f>
        <v>0</v>
      </c>
      <c r="G22" s="985"/>
      <c r="H22" s="1985"/>
      <c r="I22" s="985"/>
      <c r="J22" s="1985"/>
      <c r="K22" s="985"/>
      <c r="L22" s="2023"/>
      <c r="M22" s="965"/>
      <c r="N22" s="959"/>
      <c r="O22" s="985"/>
      <c r="P22" s="2022"/>
      <c r="Q22" s="1650"/>
      <c r="R22" s="960"/>
      <c r="S22" s="1910"/>
      <c r="T22" s="1911"/>
      <c r="U22" s="1650"/>
      <c r="V22" s="960"/>
      <c r="W22" s="1910"/>
      <c r="X22" s="1911"/>
      <c r="Y22" s="1650"/>
      <c r="Z22" s="960"/>
      <c r="AA22" s="2054"/>
      <c r="AB22" s="1913"/>
      <c r="AC22" s="964"/>
      <c r="AD22" s="961"/>
      <c r="AE22" s="1650"/>
      <c r="AF22" s="960"/>
      <c r="AG22" s="1910"/>
      <c r="AH22" s="1911"/>
      <c r="AI22" s="1650"/>
      <c r="AJ22" s="960"/>
      <c r="AK22" s="1910"/>
      <c r="AL22" s="1911"/>
      <c r="AM22" s="985"/>
      <c r="AN22" s="2023"/>
      <c r="AO22" s="1865"/>
      <c r="AP22" s="1000"/>
      <c r="AQ22" s="1001"/>
      <c r="AR22" s="2090"/>
      <c r="AS22" s="1545"/>
      <c r="AT22" s="2090"/>
      <c r="AU22" s="1650"/>
      <c r="AV22" s="960"/>
      <c r="AW22" s="1912"/>
      <c r="AX22" s="1913"/>
      <c r="AY22" s="965"/>
      <c r="AZ22" s="961"/>
      <c r="BA22" s="1650"/>
      <c r="BB22" s="960"/>
      <c r="BC22" s="1912"/>
      <c r="BD22" s="1913"/>
      <c r="BE22" s="965"/>
      <c r="BF22" s="961"/>
      <c r="BG22" s="1650"/>
      <c r="BH22" s="960"/>
      <c r="BI22" s="1910"/>
      <c r="BJ22" s="1911"/>
      <c r="BK22" s="1650"/>
      <c r="BL22" s="960"/>
      <c r="BM22" s="1910"/>
      <c r="BN22" s="1911"/>
      <c r="BO22" s="985"/>
      <c r="BP22" s="1985"/>
      <c r="BQ22" s="985"/>
      <c r="BR22" s="2022"/>
      <c r="BS22" s="1650"/>
      <c r="BT22" s="960"/>
      <c r="BU22" s="1910"/>
      <c r="BV22" s="1911"/>
      <c r="BW22" s="985"/>
      <c r="BX22" s="2022"/>
      <c r="BY22" s="1650"/>
      <c r="BZ22" s="960"/>
      <c r="CA22" s="1910"/>
      <c r="CB22" s="1911"/>
      <c r="CC22" s="1743"/>
      <c r="CD22" s="2150"/>
      <c r="CE22" s="952">
        <v>17</v>
      </c>
      <c r="CF22" s="961" t="s">
        <v>1296</v>
      </c>
      <c r="CG22" s="1650"/>
      <c r="CH22" s="960"/>
      <c r="CI22" s="1912"/>
      <c r="CJ22" s="1913"/>
      <c r="CK22" s="965"/>
      <c r="CL22" s="961"/>
      <c r="CM22" s="1650"/>
      <c r="CN22" s="960"/>
      <c r="CO22" s="1910"/>
      <c r="CP22" s="1911"/>
      <c r="CQ22" s="1650"/>
      <c r="CR22" s="960"/>
      <c r="CS22" s="1910"/>
      <c r="CT22" s="1911"/>
      <c r="CU22" s="1650"/>
      <c r="CV22" s="960"/>
      <c r="CW22" s="1910"/>
      <c r="CX22" s="1911"/>
      <c r="CY22" s="1650"/>
      <c r="CZ22" s="960"/>
      <c r="DA22" s="1910"/>
      <c r="DB22" s="1911"/>
      <c r="DC22" s="985"/>
      <c r="DD22" s="2022"/>
      <c r="DE22" s="1650"/>
      <c r="DF22" s="960"/>
      <c r="DG22" s="1912"/>
      <c r="DH22" s="1913"/>
      <c r="DI22" s="964"/>
      <c r="DJ22" s="959"/>
      <c r="DK22" s="985"/>
      <c r="DL22" s="1985"/>
      <c r="DM22" s="985"/>
      <c r="DN22" s="1985"/>
      <c r="DO22" s="985"/>
      <c r="DP22" s="2023"/>
      <c r="DQ22" s="965"/>
      <c r="DR22" s="962"/>
      <c r="DS22" s="1650"/>
      <c r="DT22" s="960"/>
      <c r="DU22" s="1912"/>
      <c r="DV22" s="1913"/>
      <c r="DW22" s="965"/>
      <c r="DX22" s="959"/>
      <c r="DY22" s="1650"/>
      <c r="DZ22" s="960"/>
      <c r="EA22" s="1910"/>
      <c r="EB22" s="1911"/>
      <c r="EC22" s="985"/>
      <c r="ED22" s="2023"/>
      <c r="EE22" s="965"/>
      <c r="EF22" s="961"/>
      <c r="EG22" s="985"/>
      <c r="EH22" s="2022"/>
      <c r="EI22" s="1650"/>
      <c r="EJ22" s="960"/>
      <c r="EK22" s="2204"/>
      <c r="EL22" s="1913"/>
      <c r="EM22" s="2202">
        <f t="shared" si="13"/>
        <v>0</v>
      </c>
      <c r="EN22" s="1585">
        <f t="shared" si="14"/>
        <v>0</v>
      </c>
      <c r="EO22" s="1585">
        <f t="shared" si="15"/>
        <v>0</v>
      </c>
      <c r="EP22" s="1586">
        <f t="shared" si="19"/>
        <v>0</v>
      </c>
      <c r="EQ22" s="999">
        <f t="shared" si="16"/>
        <v>0</v>
      </c>
      <c r="ER22" s="1776">
        <f t="shared" si="17"/>
        <v>3600</v>
      </c>
      <c r="ES22" s="1776">
        <f t="shared" si="18"/>
        <v>0</v>
      </c>
      <c r="ET22" s="1055">
        <f t="shared" si="20"/>
        <v>3600</v>
      </c>
    </row>
    <row r="23" spans="1:150" x14ac:dyDescent="0.25">
      <c r="A23" s="952">
        <v>18</v>
      </c>
      <c r="B23" s="954" t="s">
        <v>1297</v>
      </c>
      <c r="C23" s="1650"/>
      <c r="D23" s="960">
        <v>840</v>
      </c>
      <c r="E23" s="1910"/>
      <c r="F23" s="1911">
        <v>840</v>
      </c>
      <c r="G23" s="985"/>
      <c r="H23" s="1985"/>
      <c r="I23" s="985"/>
      <c r="J23" s="1985"/>
      <c r="K23" s="985"/>
      <c r="L23" s="2023"/>
      <c r="M23" s="965"/>
      <c r="N23" s="959"/>
      <c r="O23" s="985"/>
      <c r="P23" s="2022"/>
      <c r="Q23" s="1650"/>
      <c r="R23" s="960"/>
      <c r="S23" s="1910"/>
      <c r="T23" s="1911"/>
      <c r="U23" s="1650"/>
      <c r="V23" s="960"/>
      <c r="W23" s="1910"/>
      <c r="X23" s="1911"/>
      <c r="Y23" s="1650"/>
      <c r="Z23" s="960"/>
      <c r="AA23" s="2054"/>
      <c r="AB23" s="1913"/>
      <c r="AC23" s="964"/>
      <c r="AD23" s="961"/>
      <c r="AE23" s="1650"/>
      <c r="AF23" s="960"/>
      <c r="AG23" s="1910"/>
      <c r="AH23" s="1911"/>
      <c r="AI23" s="1650"/>
      <c r="AJ23" s="960"/>
      <c r="AK23" s="1910"/>
      <c r="AL23" s="1911"/>
      <c r="AM23" s="985"/>
      <c r="AN23" s="2023"/>
      <c r="AO23" s="1865"/>
      <c r="AP23" s="1000"/>
      <c r="AQ23" s="1001"/>
      <c r="AR23" s="2090"/>
      <c r="AS23" s="1545"/>
      <c r="AT23" s="2090"/>
      <c r="AU23" s="1650"/>
      <c r="AV23" s="960"/>
      <c r="AW23" s="1912"/>
      <c r="AX23" s="1913"/>
      <c r="AY23" s="965"/>
      <c r="AZ23" s="961"/>
      <c r="BA23" s="1650"/>
      <c r="BB23" s="960"/>
      <c r="BC23" s="1912"/>
      <c r="BD23" s="1913"/>
      <c r="BE23" s="965"/>
      <c r="BF23" s="961"/>
      <c r="BG23" s="1650"/>
      <c r="BH23" s="960"/>
      <c r="BI23" s="1910"/>
      <c r="BJ23" s="1911"/>
      <c r="BK23" s="1650"/>
      <c r="BL23" s="960"/>
      <c r="BM23" s="1910"/>
      <c r="BN23" s="1911"/>
      <c r="BO23" s="985"/>
      <c r="BP23" s="1985"/>
      <c r="BQ23" s="985"/>
      <c r="BR23" s="2022"/>
      <c r="BS23" s="1650"/>
      <c r="BT23" s="960"/>
      <c r="BU23" s="1910"/>
      <c r="BV23" s="1911"/>
      <c r="BW23" s="985"/>
      <c r="BX23" s="2022"/>
      <c r="BY23" s="1650"/>
      <c r="BZ23" s="960"/>
      <c r="CA23" s="1910"/>
      <c r="CB23" s="1911"/>
      <c r="CC23" s="1743"/>
      <c r="CD23" s="2150"/>
      <c r="CE23" s="952">
        <v>18</v>
      </c>
      <c r="CF23" s="961" t="s">
        <v>1298</v>
      </c>
      <c r="CG23" s="1650"/>
      <c r="CH23" s="960"/>
      <c r="CI23" s="1912"/>
      <c r="CJ23" s="1913"/>
      <c r="CK23" s="965"/>
      <c r="CL23" s="961"/>
      <c r="CM23" s="1650"/>
      <c r="CN23" s="960"/>
      <c r="CO23" s="1910"/>
      <c r="CP23" s="1911"/>
      <c r="CQ23" s="1650"/>
      <c r="CR23" s="960"/>
      <c r="CS23" s="1910"/>
      <c r="CT23" s="1911"/>
      <c r="CU23" s="1650"/>
      <c r="CV23" s="960"/>
      <c r="CW23" s="1910"/>
      <c r="CX23" s="1911"/>
      <c r="CY23" s="1650"/>
      <c r="CZ23" s="960"/>
      <c r="DA23" s="1910"/>
      <c r="DB23" s="1911"/>
      <c r="DC23" s="985"/>
      <c r="DD23" s="2022"/>
      <c r="DE23" s="1650"/>
      <c r="DF23" s="960"/>
      <c r="DG23" s="1912"/>
      <c r="DH23" s="1913"/>
      <c r="DI23" s="964"/>
      <c r="DJ23" s="959"/>
      <c r="DK23" s="985"/>
      <c r="DL23" s="1985"/>
      <c r="DM23" s="985"/>
      <c r="DN23" s="1985"/>
      <c r="DO23" s="985"/>
      <c r="DP23" s="2023"/>
      <c r="DQ23" s="965"/>
      <c r="DR23" s="962"/>
      <c r="DS23" s="1650"/>
      <c r="DT23" s="960"/>
      <c r="DU23" s="1912"/>
      <c r="DV23" s="1913"/>
      <c r="DW23" s="965"/>
      <c r="DX23" s="959"/>
      <c r="DY23" s="1650"/>
      <c r="DZ23" s="960"/>
      <c r="EA23" s="1910"/>
      <c r="EB23" s="1911"/>
      <c r="EC23" s="985"/>
      <c r="ED23" s="2023"/>
      <c r="EE23" s="965"/>
      <c r="EF23" s="961"/>
      <c r="EG23" s="985"/>
      <c r="EH23" s="2022"/>
      <c r="EI23" s="1650"/>
      <c r="EJ23" s="960"/>
      <c r="EK23" s="2204"/>
      <c r="EL23" s="1913"/>
      <c r="EM23" s="2202">
        <f t="shared" si="13"/>
        <v>0</v>
      </c>
      <c r="EN23" s="1585">
        <f t="shared" si="14"/>
        <v>840</v>
      </c>
      <c r="EO23" s="1585">
        <f t="shared" si="15"/>
        <v>0</v>
      </c>
      <c r="EP23" s="1586">
        <f t="shared" si="19"/>
        <v>840</v>
      </c>
      <c r="EQ23" s="999">
        <f t="shared" si="16"/>
        <v>0</v>
      </c>
      <c r="ER23" s="1776">
        <f t="shared" si="17"/>
        <v>840</v>
      </c>
      <c r="ES23" s="1776">
        <f t="shared" si="18"/>
        <v>0</v>
      </c>
      <c r="ET23" s="1055">
        <f t="shared" si="20"/>
        <v>840</v>
      </c>
    </row>
    <row r="24" spans="1:150" x14ac:dyDescent="0.25">
      <c r="A24" s="952">
        <v>19</v>
      </c>
      <c r="B24" s="954" t="s">
        <v>2135</v>
      </c>
      <c r="C24" s="1650"/>
      <c r="D24" s="960"/>
      <c r="E24" s="1910"/>
      <c r="F24" s="1911">
        <v>9690</v>
      </c>
      <c r="G24" s="985"/>
      <c r="H24" s="1985"/>
      <c r="I24" s="985"/>
      <c r="J24" s="1985"/>
      <c r="K24" s="985"/>
      <c r="L24" s="2023"/>
      <c r="M24" s="965"/>
      <c r="N24" s="959"/>
      <c r="O24" s="985"/>
      <c r="P24" s="2022"/>
      <c r="Q24" s="1650"/>
      <c r="R24" s="960"/>
      <c r="S24" s="1910"/>
      <c r="T24" s="1911"/>
      <c r="U24" s="1650"/>
      <c r="V24" s="960"/>
      <c r="W24" s="1910"/>
      <c r="X24" s="1911"/>
      <c r="Y24" s="1650"/>
      <c r="Z24" s="960"/>
      <c r="AA24" s="2054"/>
      <c r="AB24" s="1913"/>
      <c r="AC24" s="964"/>
      <c r="AD24" s="961"/>
      <c r="AE24" s="1650"/>
      <c r="AF24" s="960"/>
      <c r="AG24" s="1910"/>
      <c r="AH24" s="1911"/>
      <c r="AI24" s="1650"/>
      <c r="AJ24" s="960"/>
      <c r="AK24" s="1910"/>
      <c r="AL24" s="1911"/>
      <c r="AM24" s="985"/>
      <c r="AN24" s="2023"/>
      <c r="AO24" s="1865"/>
      <c r="AP24" s="1000"/>
      <c r="AQ24" s="1001"/>
      <c r="AR24" s="2090"/>
      <c r="AS24" s="1545"/>
      <c r="AT24" s="2090"/>
      <c r="AU24" s="1650"/>
      <c r="AV24" s="960"/>
      <c r="AW24" s="1912"/>
      <c r="AX24" s="1913"/>
      <c r="AY24" s="965"/>
      <c r="AZ24" s="961"/>
      <c r="BA24" s="1650"/>
      <c r="BB24" s="960"/>
      <c r="BC24" s="1912"/>
      <c r="BD24" s="1913"/>
      <c r="BE24" s="965"/>
      <c r="BF24" s="961"/>
      <c r="BG24" s="1650"/>
      <c r="BH24" s="960"/>
      <c r="BI24" s="1910"/>
      <c r="BJ24" s="1911"/>
      <c r="BK24" s="1650"/>
      <c r="BL24" s="960"/>
      <c r="BM24" s="1910"/>
      <c r="BN24" s="1911"/>
      <c r="BO24" s="985"/>
      <c r="BP24" s="1985"/>
      <c r="BQ24" s="985"/>
      <c r="BR24" s="2022"/>
      <c r="BS24" s="1650"/>
      <c r="BT24" s="960"/>
      <c r="BU24" s="1910"/>
      <c r="BV24" s="1911"/>
      <c r="BW24" s="985"/>
      <c r="BX24" s="2022"/>
      <c r="BY24" s="1650"/>
      <c r="BZ24" s="960"/>
      <c r="CA24" s="1910"/>
      <c r="CB24" s="1911"/>
      <c r="CC24" s="1743"/>
      <c r="CD24" s="2150"/>
      <c r="CE24" s="952">
        <v>19</v>
      </c>
      <c r="CF24" s="961" t="s">
        <v>1299</v>
      </c>
      <c r="CG24" s="1650"/>
      <c r="CH24" s="960"/>
      <c r="CI24" s="1912"/>
      <c r="CJ24" s="1913"/>
      <c r="CK24" s="965"/>
      <c r="CL24" s="961"/>
      <c r="CM24" s="1650"/>
      <c r="CN24" s="960"/>
      <c r="CO24" s="1910"/>
      <c r="CP24" s="1911"/>
      <c r="CQ24" s="1650"/>
      <c r="CR24" s="960"/>
      <c r="CS24" s="1910"/>
      <c r="CT24" s="1911"/>
      <c r="CU24" s="1650"/>
      <c r="CV24" s="960"/>
      <c r="CW24" s="1910"/>
      <c r="CX24" s="1911"/>
      <c r="CY24" s="1650"/>
      <c r="CZ24" s="960"/>
      <c r="DA24" s="1910"/>
      <c r="DB24" s="1911"/>
      <c r="DC24" s="985"/>
      <c r="DD24" s="2022"/>
      <c r="DE24" s="1650"/>
      <c r="DF24" s="960"/>
      <c r="DG24" s="1912"/>
      <c r="DH24" s="1913"/>
      <c r="DI24" s="964"/>
      <c r="DJ24" s="959"/>
      <c r="DK24" s="985"/>
      <c r="DL24" s="1985"/>
      <c r="DM24" s="985"/>
      <c r="DN24" s="1985"/>
      <c r="DO24" s="985"/>
      <c r="DP24" s="2023"/>
      <c r="DQ24" s="965"/>
      <c r="DR24" s="962"/>
      <c r="DS24" s="1650"/>
      <c r="DT24" s="960"/>
      <c r="DU24" s="1912"/>
      <c r="DV24" s="1913"/>
      <c r="DW24" s="965"/>
      <c r="DX24" s="959"/>
      <c r="DY24" s="1650"/>
      <c r="DZ24" s="960"/>
      <c r="EA24" s="1910"/>
      <c r="EB24" s="1911"/>
      <c r="EC24" s="985"/>
      <c r="ED24" s="2023"/>
      <c r="EE24" s="965"/>
      <c r="EF24" s="961"/>
      <c r="EG24" s="985"/>
      <c r="EH24" s="2022"/>
      <c r="EI24" s="1650"/>
      <c r="EJ24" s="960"/>
      <c r="EK24" s="2204"/>
      <c r="EL24" s="1913"/>
      <c r="EM24" s="2202">
        <f t="shared" si="13"/>
        <v>0</v>
      </c>
      <c r="EN24" s="1585">
        <f t="shared" si="14"/>
        <v>9690</v>
      </c>
      <c r="EO24" s="1585">
        <f t="shared" si="15"/>
        <v>0</v>
      </c>
      <c r="EP24" s="1586">
        <f t="shared" si="19"/>
        <v>9690</v>
      </c>
      <c r="EQ24" s="999">
        <f t="shared" si="16"/>
        <v>0</v>
      </c>
      <c r="ER24" s="1776">
        <f t="shared" si="17"/>
        <v>0</v>
      </c>
      <c r="ES24" s="1776">
        <f t="shared" si="18"/>
        <v>0</v>
      </c>
      <c r="ET24" s="1055">
        <f t="shared" si="20"/>
        <v>0</v>
      </c>
    </row>
    <row r="25" spans="1:150" x14ac:dyDescent="0.25">
      <c r="A25" s="952">
        <v>20</v>
      </c>
      <c r="B25" s="954" t="s">
        <v>2204</v>
      </c>
      <c r="C25" s="1650"/>
      <c r="D25" s="960"/>
      <c r="E25" s="1910"/>
      <c r="F25" s="1911">
        <v>550</v>
      </c>
      <c r="G25" s="985"/>
      <c r="H25" s="1985"/>
      <c r="I25" s="985"/>
      <c r="J25" s="1985"/>
      <c r="K25" s="985"/>
      <c r="L25" s="2023"/>
      <c r="M25" s="965"/>
      <c r="N25" s="959"/>
      <c r="O25" s="985"/>
      <c r="P25" s="2022"/>
      <c r="Q25" s="1650"/>
      <c r="R25" s="960"/>
      <c r="S25" s="1910"/>
      <c r="T25" s="1911"/>
      <c r="U25" s="1650"/>
      <c r="V25" s="960"/>
      <c r="W25" s="1910"/>
      <c r="X25" s="1911"/>
      <c r="Y25" s="1650"/>
      <c r="Z25" s="960"/>
      <c r="AA25" s="2054"/>
      <c r="AB25" s="1913"/>
      <c r="AC25" s="964"/>
      <c r="AD25" s="961"/>
      <c r="AE25" s="1650"/>
      <c r="AF25" s="960"/>
      <c r="AG25" s="1910"/>
      <c r="AH25" s="1911"/>
      <c r="AI25" s="1650"/>
      <c r="AJ25" s="960"/>
      <c r="AK25" s="1910"/>
      <c r="AL25" s="1911"/>
      <c r="AM25" s="985"/>
      <c r="AN25" s="2023"/>
      <c r="AO25" s="1865"/>
      <c r="AP25" s="1000"/>
      <c r="AQ25" s="1001"/>
      <c r="AR25" s="2090"/>
      <c r="AS25" s="1545"/>
      <c r="AT25" s="2090"/>
      <c r="AU25" s="1650"/>
      <c r="AV25" s="960"/>
      <c r="AW25" s="1912"/>
      <c r="AX25" s="1913"/>
      <c r="AY25" s="965"/>
      <c r="AZ25" s="961"/>
      <c r="BA25" s="1650"/>
      <c r="BB25" s="960"/>
      <c r="BC25" s="1912"/>
      <c r="BD25" s="1913"/>
      <c r="BE25" s="965"/>
      <c r="BF25" s="961"/>
      <c r="BG25" s="1650"/>
      <c r="BH25" s="960"/>
      <c r="BI25" s="1910"/>
      <c r="BJ25" s="1911"/>
      <c r="BK25" s="1650"/>
      <c r="BL25" s="960"/>
      <c r="BM25" s="1910"/>
      <c r="BN25" s="1911"/>
      <c r="BO25" s="985"/>
      <c r="BP25" s="1985"/>
      <c r="BQ25" s="985"/>
      <c r="BR25" s="2022"/>
      <c r="BS25" s="1650"/>
      <c r="BT25" s="960"/>
      <c r="BU25" s="1910"/>
      <c r="BV25" s="1911"/>
      <c r="BW25" s="985"/>
      <c r="BX25" s="2022"/>
      <c r="BY25" s="1650"/>
      <c r="BZ25" s="960"/>
      <c r="CA25" s="1910"/>
      <c r="CB25" s="1911"/>
      <c r="CC25" s="1743"/>
      <c r="CD25" s="2150"/>
      <c r="CE25" s="952">
        <v>20</v>
      </c>
      <c r="CF25" s="961" t="s">
        <v>1300</v>
      </c>
      <c r="CG25" s="1650"/>
      <c r="CH25" s="960"/>
      <c r="CI25" s="1912"/>
      <c r="CJ25" s="1913"/>
      <c r="CK25" s="965"/>
      <c r="CL25" s="961"/>
      <c r="CM25" s="1650"/>
      <c r="CN25" s="960"/>
      <c r="CO25" s="1910"/>
      <c r="CP25" s="1911"/>
      <c r="CQ25" s="1650"/>
      <c r="CR25" s="960"/>
      <c r="CS25" s="1910"/>
      <c r="CT25" s="1911"/>
      <c r="CU25" s="1650"/>
      <c r="CV25" s="960"/>
      <c r="CW25" s="1910"/>
      <c r="CX25" s="1911"/>
      <c r="CY25" s="1650"/>
      <c r="CZ25" s="960"/>
      <c r="DA25" s="1910"/>
      <c r="DB25" s="1911"/>
      <c r="DC25" s="985"/>
      <c r="DD25" s="2022"/>
      <c r="DE25" s="1650"/>
      <c r="DF25" s="960"/>
      <c r="DG25" s="1912"/>
      <c r="DH25" s="1913"/>
      <c r="DI25" s="964"/>
      <c r="DJ25" s="959"/>
      <c r="DK25" s="985"/>
      <c r="DL25" s="1985"/>
      <c r="DM25" s="985"/>
      <c r="DN25" s="1985"/>
      <c r="DO25" s="985"/>
      <c r="DP25" s="2023"/>
      <c r="DQ25" s="965"/>
      <c r="DR25" s="962"/>
      <c r="DS25" s="1650"/>
      <c r="DT25" s="960"/>
      <c r="DU25" s="1912"/>
      <c r="DV25" s="1913"/>
      <c r="DW25" s="965"/>
      <c r="DX25" s="959"/>
      <c r="DY25" s="1650"/>
      <c r="DZ25" s="960"/>
      <c r="EA25" s="1910"/>
      <c r="EB25" s="1911"/>
      <c r="EC25" s="985"/>
      <c r="ED25" s="2023"/>
      <c r="EE25" s="965"/>
      <c r="EF25" s="961"/>
      <c r="EG25" s="985"/>
      <c r="EH25" s="2022"/>
      <c r="EI25" s="1650"/>
      <c r="EJ25" s="960"/>
      <c r="EK25" s="2204"/>
      <c r="EL25" s="1913"/>
      <c r="EM25" s="2202">
        <f t="shared" si="13"/>
        <v>0</v>
      </c>
      <c r="EN25" s="1585">
        <f t="shared" si="14"/>
        <v>550</v>
      </c>
      <c r="EO25" s="1585">
        <f t="shared" si="15"/>
        <v>0</v>
      </c>
      <c r="EP25" s="1586">
        <f t="shared" si="19"/>
        <v>550</v>
      </c>
      <c r="EQ25" s="999">
        <f t="shared" si="16"/>
        <v>0</v>
      </c>
      <c r="ER25" s="1776">
        <f t="shared" si="17"/>
        <v>0</v>
      </c>
      <c r="ES25" s="1776">
        <f t="shared" si="18"/>
        <v>0</v>
      </c>
      <c r="ET25" s="1055">
        <f t="shared" si="20"/>
        <v>0</v>
      </c>
    </row>
    <row r="26" spans="1:150" x14ac:dyDescent="0.25">
      <c r="A26" s="952">
        <v>21</v>
      </c>
      <c r="B26" s="954" t="s">
        <v>2288</v>
      </c>
      <c r="C26" s="1650"/>
      <c r="D26" s="960"/>
      <c r="E26" s="1910"/>
      <c r="F26" s="1911"/>
      <c r="G26" s="985"/>
      <c r="H26" s="1985"/>
      <c r="I26" s="985"/>
      <c r="J26" s="1985"/>
      <c r="K26" s="985"/>
      <c r="L26" s="2023">
        <v>12766</v>
      </c>
      <c r="M26" s="965"/>
      <c r="N26" s="959"/>
      <c r="O26" s="985"/>
      <c r="P26" s="2022"/>
      <c r="Q26" s="1650"/>
      <c r="R26" s="960"/>
      <c r="S26" s="1910"/>
      <c r="T26" s="1911"/>
      <c r="U26" s="1650"/>
      <c r="V26" s="960"/>
      <c r="W26" s="1910"/>
      <c r="X26" s="1911"/>
      <c r="Y26" s="1650"/>
      <c r="Z26" s="960"/>
      <c r="AA26" s="2054"/>
      <c r="AB26" s="1913"/>
      <c r="AC26" s="964"/>
      <c r="AD26" s="961"/>
      <c r="AE26" s="1650"/>
      <c r="AF26" s="960"/>
      <c r="AG26" s="1910"/>
      <c r="AH26" s="1911"/>
      <c r="AI26" s="1650"/>
      <c r="AJ26" s="960"/>
      <c r="AK26" s="1910"/>
      <c r="AL26" s="1911"/>
      <c r="AM26" s="985"/>
      <c r="AN26" s="2023"/>
      <c r="AO26" s="1865"/>
      <c r="AP26" s="1000"/>
      <c r="AQ26" s="1001"/>
      <c r="AR26" s="2090"/>
      <c r="AS26" s="1545"/>
      <c r="AT26" s="2090"/>
      <c r="AU26" s="1650"/>
      <c r="AV26" s="960"/>
      <c r="AW26" s="1912"/>
      <c r="AX26" s="1913"/>
      <c r="AY26" s="965"/>
      <c r="AZ26" s="961"/>
      <c r="BA26" s="1650"/>
      <c r="BB26" s="960"/>
      <c r="BC26" s="1912"/>
      <c r="BD26" s="1913"/>
      <c r="BE26" s="965"/>
      <c r="BF26" s="961"/>
      <c r="BG26" s="1650"/>
      <c r="BH26" s="960"/>
      <c r="BI26" s="1910"/>
      <c r="BJ26" s="1911"/>
      <c r="BK26" s="1650"/>
      <c r="BL26" s="960"/>
      <c r="BM26" s="1910"/>
      <c r="BN26" s="1911"/>
      <c r="BO26" s="985"/>
      <c r="BP26" s="1985"/>
      <c r="BQ26" s="985"/>
      <c r="BR26" s="2022"/>
      <c r="BS26" s="1650"/>
      <c r="BT26" s="960"/>
      <c r="BU26" s="1910"/>
      <c r="BV26" s="1911"/>
      <c r="BW26" s="985"/>
      <c r="BX26" s="2022"/>
      <c r="BY26" s="1650"/>
      <c r="BZ26" s="960"/>
      <c r="CA26" s="1910"/>
      <c r="CB26" s="1911"/>
      <c r="CC26" s="1743"/>
      <c r="CD26" s="2150"/>
      <c r="CE26" s="952">
        <v>21</v>
      </c>
      <c r="CF26" s="961" t="s">
        <v>1301</v>
      </c>
      <c r="CG26" s="1650"/>
      <c r="CH26" s="960"/>
      <c r="CI26" s="1912"/>
      <c r="CJ26" s="1913"/>
      <c r="CK26" s="965"/>
      <c r="CL26" s="961"/>
      <c r="CM26" s="1650"/>
      <c r="CN26" s="960"/>
      <c r="CO26" s="1910"/>
      <c r="CP26" s="1911"/>
      <c r="CQ26" s="1650"/>
      <c r="CR26" s="960"/>
      <c r="CS26" s="1910"/>
      <c r="CT26" s="1911"/>
      <c r="CU26" s="1650"/>
      <c r="CV26" s="960"/>
      <c r="CW26" s="1910"/>
      <c r="CX26" s="1911"/>
      <c r="CY26" s="1650"/>
      <c r="CZ26" s="960"/>
      <c r="DA26" s="1910"/>
      <c r="DB26" s="1911"/>
      <c r="DC26" s="985"/>
      <c r="DD26" s="2022"/>
      <c r="DE26" s="1650"/>
      <c r="DF26" s="960"/>
      <c r="DG26" s="1912"/>
      <c r="DH26" s="1913"/>
      <c r="DI26" s="964"/>
      <c r="DJ26" s="959"/>
      <c r="DK26" s="985"/>
      <c r="DL26" s="1985"/>
      <c r="DM26" s="985"/>
      <c r="DN26" s="1985"/>
      <c r="DO26" s="985"/>
      <c r="DP26" s="2023"/>
      <c r="DQ26" s="965"/>
      <c r="DR26" s="962"/>
      <c r="DS26" s="1650"/>
      <c r="DT26" s="960"/>
      <c r="DU26" s="1912"/>
      <c r="DV26" s="1913"/>
      <c r="DW26" s="965"/>
      <c r="DX26" s="959"/>
      <c r="DY26" s="1650"/>
      <c r="DZ26" s="960"/>
      <c r="EA26" s="1910"/>
      <c r="EB26" s="1911"/>
      <c r="EC26" s="985"/>
      <c r="ED26" s="2023"/>
      <c r="EE26" s="965"/>
      <c r="EF26" s="961"/>
      <c r="EG26" s="985"/>
      <c r="EH26" s="2022"/>
      <c r="EI26" s="1650"/>
      <c r="EJ26" s="960"/>
      <c r="EK26" s="2204"/>
      <c r="EL26" s="1913"/>
      <c r="EM26" s="2202">
        <f t="shared" si="13"/>
        <v>0</v>
      </c>
      <c r="EN26" s="1585">
        <f t="shared" si="14"/>
        <v>12766</v>
      </c>
      <c r="EO26" s="1585">
        <f t="shared" si="15"/>
        <v>0</v>
      </c>
      <c r="EP26" s="1586">
        <f t="shared" si="19"/>
        <v>12766</v>
      </c>
      <c r="EQ26" s="999">
        <f t="shared" si="16"/>
        <v>0</v>
      </c>
      <c r="ER26" s="1776">
        <f t="shared" si="17"/>
        <v>0</v>
      </c>
      <c r="ES26" s="1776">
        <f t="shared" si="18"/>
        <v>0</v>
      </c>
      <c r="ET26" s="1055">
        <f t="shared" si="20"/>
        <v>0</v>
      </c>
    </row>
    <row r="27" spans="1:150" s="123" customFormat="1" x14ac:dyDescent="0.25">
      <c r="A27" s="952">
        <v>22</v>
      </c>
      <c r="B27" s="959" t="s">
        <v>1302</v>
      </c>
      <c r="C27" s="1650"/>
      <c r="D27" s="960"/>
      <c r="E27" s="1910"/>
      <c r="F27" s="1911"/>
      <c r="G27" s="985"/>
      <c r="H27" s="1985"/>
      <c r="I27" s="985"/>
      <c r="J27" s="1985"/>
      <c r="K27" s="985"/>
      <c r="L27" s="2023"/>
      <c r="M27" s="965"/>
      <c r="N27" s="959"/>
      <c r="O27" s="985"/>
      <c r="P27" s="2022"/>
      <c r="Q27" s="1650"/>
      <c r="R27" s="960"/>
      <c r="S27" s="1910"/>
      <c r="T27" s="1911"/>
      <c r="U27" s="1650"/>
      <c r="V27" s="960"/>
      <c r="W27" s="1910"/>
      <c r="X27" s="1911"/>
      <c r="Y27" s="1650"/>
      <c r="Z27" s="960"/>
      <c r="AA27" s="2054"/>
      <c r="AB27" s="1913"/>
      <c r="AC27" s="964"/>
      <c r="AD27" s="961"/>
      <c r="AE27" s="1650"/>
      <c r="AF27" s="960"/>
      <c r="AG27" s="1910"/>
      <c r="AH27" s="1911"/>
      <c r="AI27" s="1650"/>
      <c r="AJ27" s="960"/>
      <c r="AK27" s="1910"/>
      <c r="AL27" s="1911"/>
      <c r="AM27" s="985"/>
      <c r="AN27" s="2023"/>
      <c r="AO27" s="1865"/>
      <c r="AP27" s="1000"/>
      <c r="AQ27" s="1001"/>
      <c r="AR27" s="2090"/>
      <c r="AS27" s="1545"/>
      <c r="AT27" s="2090"/>
      <c r="AU27" s="1650"/>
      <c r="AV27" s="960"/>
      <c r="AW27" s="1912"/>
      <c r="AX27" s="1913"/>
      <c r="AY27" s="965"/>
      <c r="AZ27" s="961"/>
      <c r="BA27" s="1650"/>
      <c r="BB27" s="960"/>
      <c r="BC27" s="1912"/>
      <c r="BD27" s="1913"/>
      <c r="BE27" s="965"/>
      <c r="BF27" s="961"/>
      <c r="BG27" s="1650"/>
      <c r="BH27" s="960"/>
      <c r="BI27" s="1910"/>
      <c r="BJ27" s="1911"/>
      <c r="BK27" s="1650"/>
      <c r="BL27" s="960"/>
      <c r="BM27" s="1910"/>
      <c r="BN27" s="1911"/>
      <c r="BO27" s="985"/>
      <c r="BP27" s="1985"/>
      <c r="BQ27" s="985"/>
      <c r="BR27" s="2022"/>
      <c r="BS27" s="1650"/>
      <c r="BT27" s="960"/>
      <c r="BU27" s="1910"/>
      <c r="BV27" s="1911"/>
      <c r="BW27" s="985"/>
      <c r="BX27" s="2022"/>
      <c r="BY27" s="1650"/>
      <c r="BZ27" s="960"/>
      <c r="CA27" s="1910"/>
      <c r="CB27" s="1911"/>
      <c r="CC27" s="1743"/>
      <c r="CD27" s="2150"/>
      <c r="CE27" s="952">
        <v>22</v>
      </c>
      <c r="CF27" s="961" t="s">
        <v>1303</v>
      </c>
      <c r="CG27" s="1650"/>
      <c r="CH27" s="960"/>
      <c r="CI27" s="1912"/>
      <c r="CJ27" s="1913"/>
      <c r="CK27" s="965"/>
      <c r="CL27" s="961"/>
      <c r="CM27" s="1650"/>
      <c r="CN27" s="960"/>
      <c r="CO27" s="1910"/>
      <c r="CP27" s="1911"/>
      <c r="CQ27" s="1650"/>
      <c r="CR27" s="960"/>
      <c r="CS27" s="1910"/>
      <c r="CT27" s="1911"/>
      <c r="CU27" s="1650"/>
      <c r="CV27" s="960"/>
      <c r="CW27" s="1910"/>
      <c r="CX27" s="1911"/>
      <c r="CY27" s="1650"/>
      <c r="CZ27" s="960"/>
      <c r="DA27" s="1910"/>
      <c r="DB27" s="1911"/>
      <c r="DC27" s="985"/>
      <c r="DD27" s="2022"/>
      <c r="DE27" s="1650"/>
      <c r="DF27" s="960"/>
      <c r="DG27" s="1912"/>
      <c r="DH27" s="1913"/>
      <c r="DI27" s="964"/>
      <c r="DJ27" s="959"/>
      <c r="DK27" s="985"/>
      <c r="DL27" s="1985"/>
      <c r="DM27" s="985"/>
      <c r="DN27" s="1985"/>
      <c r="DO27" s="985"/>
      <c r="DP27" s="2023"/>
      <c r="DQ27" s="965"/>
      <c r="DR27" s="962"/>
      <c r="DS27" s="1650"/>
      <c r="DT27" s="960"/>
      <c r="DU27" s="1912"/>
      <c r="DV27" s="1913"/>
      <c r="DW27" s="965"/>
      <c r="DX27" s="959"/>
      <c r="DY27" s="1650"/>
      <c r="DZ27" s="960"/>
      <c r="EA27" s="1910"/>
      <c r="EB27" s="1911"/>
      <c r="EC27" s="985"/>
      <c r="ED27" s="2023"/>
      <c r="EE27" s="965"/>
      <c r="EF27" s="961"/>
      <c r="EG27" s="985"/>
      <c r="EH27" s="2022"/>
      <c r="EI27" s="1650"/>
      <c r="EJ27" s="960"/>
      <c r="EK27" s="2204"/>
      <c r="EL27" s="1913"/>
      <c r="EM27" s="2202">
        <f t="shared" si="13"/>
        <v>0</v>
      </c>
      <c r="EN27" s="1585">
        <f t="shared" si="14"/>
        <v>0</v>
      </c>
      <c r="EO27" s="1585">
        <f t="shared" si="15"/>
        <v>0</v>
      </c>
      <c r="EP27" s="1586">
        <f t="shared" si="19"/>
        <v>0</v>
      </c>
      <c r="EQ27" s="999">
        <f t="shared" si="16"/>
        <v>0</v>
      </c>
      <c r="ER27" s="1776">
        <f t="shared" si="17"/>
        <v>0</v>
      </c>
      <c r="ES27" s="1776">
        <f t="shared" si="18"/>
        <v>0</v>
      </c>
      <c r="ET27" s="1055">
        <f t="shared" si="20"/>
        <v>0</v>
      </c>
    </row>
    <row r="28" spans="1:150" s="123" customFormat="1" x14ac:dyDescent="0.25">
      <c r="A28" s="952">
        <v>23</v>
      </c>
      <c r="B28" s="954" t="s">
        <v>1304</v>
      </c>
      <c r="C28" s="1650"/>
      <c r="D28" s="960"/>
      <c r="E28" s="1910"/>
      <c r="F28" s="1911"/>
      <c r="G28" s="985"/>
      <c r="H28" s="1985"/>
      <c r="I28" s="985"/>
      <c r="J28" s="1985"/>
      <c r="K28" s="985">
        <v>4000</v>
      </c>
      <c r="L28" s="2023">
        <v>4000</v>
      </c>
      <c r="M28" s="965"/>
      <c r="N28" s="959"/>
      <c r="O28" s="985"/>
      <c r="P28" s="2022"/>
      <c r="Q28" s="1650"/>
      <c r="R28" s="960"/>
      <c r="S28" s="1910"/>
      <c r="T28" s="1911"/>
      <c r="U28" s="1650"/>
      <c r="V28" s="960"/>
      <c r="W28" s="1910"/>
      <c r="X28" s="1911"/>
      <c r="Y28" s="1650"/>
      <c r="Z28" s="960"/>
      <c r="AA28" s="2054"/>
      <c r="AB28" s="1913"/>
      <c r="AC28" s="964"/>
      <c r="AD28" s="961"/>
      <c r="AE28" s="1650"/>
      <c r="AF28" s="960"/>
      <c r="AG28" s="1910"/>
      <c r="AH28" s="1911"/>
      <c r="AI28" s="1650"/>
      <c r="AJ28" s="960"/>
      <c r="AK28" s="1910"/>
      <c r="AL28" s="1911"/>
      <c r="AM28" s="985"/>
      <c r="AN28" s="2023"/>
      <c r="AO28" s="1865"/>
      <c r="AP28" s="1000"/>
      <c r="AQ28" s="1001"/>
      <c r="AR28" s="2090"/>
      <c r="AS28" s="1545"/>
      <c r="AT28" s="2090"/>
      <c r="AU28" s="1650"/>
      <c r="AV28" s="960"/>
      <c r="AW28" s="1912"/>
      <c r="AX28" s="1913"/>
      <c r="AY28" s="965"/>
      <c r="AZ28" s="961"/>
      <c r="BA28" s="1650"/>
      <c r="BB28" s="960"/>
      <c r="BC28" s="1912"/>
      <c r="BD28" s="1913"/>
      <c r="BE28" s="965"/>
      <c r="BF28" s="961"/>
      <c r="BG28" s="1650"/>
      <c r="BH28" s="960"/>
      <c r="BI28" s="1910"/>
      <c r="BJ28" s="1911"/>
      <c r="BK28" s="1650"/>
      <c r="BL28" s="960"/>
      <c r="BM28" s="1910"/>
      <c r="BN28" s="1911"/>
      <c r="BO28" s="985"/>
      <c r="BP28" s="1985"/>
      <c r="BQ28" s="985"/>
      <c r="BR28" s="2022"/>
      <c r="BS28" s="1650"/>
      <c r="BT28" s="960"/>
      <c r="BU28" s="1910"/>
      <c r="BV28" s="1911"/>
      <c r="BW28" s="985"/>
      <c r="BX28" s="2022"/>
      <c r="BY28" s="1650"/>
      <c r="BZ28" s="960"/>
      <c r="CA28" s="1910"/>
      <c r="CB28" s="1911"/>
      <c r="CC28" s="1743"/>
      <c r="CD28" s="2150"/>
      <c r="CE28" s="952">
        <v>23</v>
      </c>
      <c r="CF28" s="961" t="s">
        <v>1305</v>
      </c>
      <c r="CG28" s="1650"/>
      <c r="CH28" s="960"/>
      <c r="CI28" s="1912"/>
      <c r="CJ28" s="1913"/>
      <c r="CK28" s="965"/>
      <c r="CL28" s="961"/>
      <c r="CM28" s="1650"/>
      <c r="CN28" s="960"/>
      <c r="CO28" s="1910"/>
      <c r="CP28" s="1911"/>
      <c r="CQ28" s="1650"/>
      <c r="CR28" s="960"/>
      <c r="CS28" s="1910"/>
      <c r="CT28" s="1911"/>
      <c r="CU28" s="1650"/>
      <c r="CV28" s="960"/>
      <c r="CW28" s="1910"/>
      <c r="CX28" s="1911"/>
      <c r="CY28" s="1650"/>
      <c r="CZ28" s="960"/>
      <c r="DA28" s="1910"/>
      <c r="DB28" s="1911"/>
      <c r="DC28" s="985"/>
      <c r="DD28" s="2022"/>
      <c r="DE28" s="1650"/>
      <c r="DF28" s="960"/>
      <c r="DG28" s="1912"/>
      <c r="DH28" s="1913"/>
      <c r="DI28" s="964"/>
      <c r="DJ28" s="959"/>
      <c r="DK28" s="985"/>
      <c r="DL28" s="1985"/>
      <c r="DM28" s="985"/>
      <c r="DN28" s="1985"/>
      <c r="DO28" s="985"/>
      <c r="DP28" s="2023"/>
      <c r="DQ28" s="965"/>
      <c r="DR28" s="962"/>
      <c r="DS28" s="1650"/>
      <c r="DT28" s="960"/>
      <c r="DU28" s="1912"/>
      <c r="DV28" s="1913"/>
      <c r="DW28" s="965"/>
      <c r="DX28" s="959"/>
      <c r="DY28" s="1650"/>
      <c r="DZ28" s="960"/>
      <c r="EA28" s="1910"/>
      <c r="EB28" s="1911"/>
      <c r="EC28" s="985"/>
      <c r="ED28" s="2023"/>
      <c r="EE28" s="965"/>
      <c r="EF28" s="961"/>
      <c r="EG28" s="985"/>
      <c r="EH28" s="2022"/>
      <c r="EI28" s="1650"/>
      <c r="EJ28" s="960"/>
      <c r="EK28" s="2204"/>
      <c r="EL28" s="1913"/>
      <c r="EM28" s="2202">
        <f t="shared" si="13"/>
        <v>0</v>
      </c>
      <c r="EN28" s="1585">
        <f t="shared" si="14"/>
        <v>4000</v>
      </c>
      <c r="EO28" s="1585">
        <f t="shared" si="15"/>
        <v>0</v>
      </c>
      <c r="EP28" s="1586">
        <f t="shared" si="19"/>
        <v>4000</v>
      </c>
      <c r="EQ28" s="999">
        <f t="shared" si="16"/>
        <v>0</v>
      </c>
      <c r="ER28" s="1776">
        <f t="shared" si="17"/>
        <v>4000</v>
      </c>
      <c r="ES28" s="1776">
        <f t="shared" si="18"/>
        <v>0</v>
      </c>
      <c r="ET28" s="1055">
        <f t="shared" si="20"/>
        <v>4000</v>
      </c>
    </row>
    <row r="29" spans="1:150" ht="26.4" x14ac:dyDescent="0.25">
      <c r="A29" s="952">
        <v>24</v>
      </c>
      <c r="B29" s="954" t="s">
        <v>1306</v>
      </c>
      <c r="C29" s="1650"/>
      <c r="D29" s="960"/>
      <c r="E29" s="1910"/>
      <c r="F29" s="1911"/>
      <c r="G29" s="985"/>
      <c r="H29" s="1985"/>
      <c r="I29" s="985"/>
      <c r="J29" s="1985"/>
      <c r="K29" s="985">
        <v>200</v>
      </c>
      <c r="L29" s="2023">
        <v>200</v>
      </c>
      <c r="M29" s="965"/>
      <c r="N29" s="959"/>
      <c r="O29" s="985"/>
      <c r="P29" s="2022"/>
      <c r="Q29" s="1650"/>
      <c r="R29" s="960"/>
      <c r="S29" s="1910"/>
      <c r="T29" s="1911"/>
      <c r="U29" s="1650"/>
      <c r="V29" s="960"/>
      <c r="W29" s="1910"/>
      <c r="X29" s="1911"/>
      <c r="Y29" s="1650"/>
      <c r="Z29" s="960"/>
      <c r="AA29" s="2054"/>
      <c r="AB29" s="1913"/>
      <c r="AC29" s="964"/>
      <c r="AD29" s="961"/>
      <c r="AE29" s="1650"/>
      <c r="AF29" s="960"/>
      <c r="AG29" s="1910"/>
      <c r="AH29" s="1911"/>
      <c r="AI29" s="1650"/>
      <c r="AJ29" s="960"/>
      <c r="AK29" s="1910"/>
      <c r="AL29" s="1911"/>
      <c r="AM29" s="985"/>
      <c r="AN29" s="2023"/>
      <c r="AO29" s="1865"/>
      <c r="AP29" s="1000"/>
      <c r="AQ29" s="1001"/>
      <c r="AR29" s="2090"/>
      <c r="AS29" s="1545"/>
      <c r="AT29" s="2090"/>
      <c r="AU29" s="1650"/>
      <c r="AV29" s="960"/>
      <c r="AW29" s="1912"/>
      <c r="AX29" s="1913"/>
      <c r="AY29" s="965"/>
      <c r="AZ29" s="961"/>
      <c r="BA29" s="1650"/>
      <c r="BB29" s="960"/>
      <c r="BC29" s="1912"/>
      <c r="BD29" s="1913"/>
      <c r="BE29" s="965"/>
      <c r="BF29" s="961"/>
      <c r="BG29" s="1650"/>
      <c r="BH29" s="960"/>
      <c r="BI29" s="1910"/>
      <c r="BJ29" s="1911"/>
      <c r="BK29" s="1650"/>
      <c r="BL29" s="960"/>
      <c r="BM29" s="1910"/>
      <c r="BN29" s="1911"/>
      <c r="BO29" s="985"/>
      <c r="BP29" s="1985"/>
      <c r="BQ29" s="985"/>
      <c r="BR29" s="2022"/>
      <c r="BS29" s="1650"/>
      <c r="BT29" s="960"/>
      <c r="BU29" s="1910"/>
      <c r="BV29" s="1911"/>
      <c r="BW29" s="985"/>
      <c r="BX29" s="2022"/>
      <c r="BY29" s="1650"/>
      <c r="BZ29" s="960"/>
      <c r="CA29" s="1910"/>
      <c r="CB29" s="1911"/>
      <c r="CC29" s="1743"/>
      <c r="CD29" s="2150"/>
      <c r="CE29" s="952">
        <v>24</v>
      </c>
      <c r="CF29" s="961" t="s">
        <v>1307</v>
      </c>
      <c r="CG29" s="1650"/>
      <c r="CH29" s="960"/>
      <c r="CI29" s="1912"/>
      <c r="CJ29" s="1913"/>
      <c r="CK29" s="965"/>
      <c r="CL29" s="961"/>
      <c r="CM29" s="1650"/>
      <c r="CN29" s="960"/>
      <c r="CO29" s="1910"/>
      <c r="CP29" s="1911"/>
      <c r="CQ29" s="1650"/>
      <c r="CR29" s="960"/>
      <c r="CS29" s="1910"/>
      <c r="CT29" s="1911"/>
      <c r="CU29" s="1650"/>
      <c r="CV29" s="960"/>
      <c r="CW29" s="1910"/>
      <c r="CX29" s="1911"/>
      <c r="CY29" s="1650"/>
      <c r="CZ29" s="960"/>
      <c r="DA29" s="1910"/>
      <c r="DB29" s="1911"/>
      <c r="DC29" s="985"/>
      <c r="DD29" s="2022"/>
      <c r="DE29" s="1650"/>
      <c r="DF29" s="960"/>
      <c r="DG29" s="1912"/>
      <c r="DH29" s="1913"/>
      <c r="DI29" s="964"/>
      <c r="DJ29" s="959"/>
      <c r="DK29" s="985"/>
      <c r="DL29" s="1985"/>
      <c r="DM29" s="985"/>
      <c r="DN29" s="1985"/>
      <c r="DO29" s="985"/>
      <c r="DP29" s="2023"/>
      <c r="DQ29" s="965"/>
      <c r="DR29" s="962"/>
      <c r="DS29" s="1650"/>
      <c r="DT29" s="960"/>
      <c r="DU29" s="1912"/>
      <c r="DV29" s="1913"/>
      <c r="DW29" s="965"/>
      <c r="DX29" s="959"/>
      <c r="DY29" s="1650"/>
      <c r="DZ29" s="960"/>
      <c r="EA29" s="1910"/>
      <c r="EB29" s="1911"/>
      <c r="EC29" s="985"/>
      <c r="ED29" s="2023"/>
      <c r="EE29" s="965"/>
      <c r="EF29" s="961"/>
      <c r="EG29" s="985"/>
      <c r="EH29" s="2022"/>
      <c r="EI29" s="1650"/>
      <c r="EJ29" s="960"/>
      <c r="EK29" s="2204"/>
      <c r="EL29" s="1913"/>
      <c r="EM29" s="2202">
        <f t="shared" si="13"/>
        <v>0</v>
      </c>
      <c r="EN29" s="1585">
        <f t="shared" si="14"/>
        <v>200</v>
      </c>
      <c r="EO29" s="1585">
        <f t="shared" si="15"/>
        <v>0</v>
      </c>
      <c r="EP29" s="1586">
        <f t="shared" si="19"/>
        <v>200</v>
      </c>
      <c r="EQ29" s="999">
        <f t="shared" si="16"/>
        <v>0</v>
      </c>
      <c r="ER29" s="1776">
        <f t="shared" si="17"/>
        <v>200</v>
      </c>
      <c r="ES29" s="1776">
        <f t="shared" si="18"/>
        <v>0</v>
      </c>
      <c r="ET29" s="1055">
        <f t="shared" si="20"/>
        <v>200</v>
      </c>
    </row>
    <row r="30" spans="1:150" x14ac:dyDescent="0.25">
      <c r="A30" s="952">
        <v>25</v>
      </c>
      <c r="B30" s="954" t="s">
        <v>2183</v>
      </c>
      <c r="C30" s="1651"/>
      <c r="D30" s="1026"/>
      <c r="E30" s="1912"/>
      <c r="F30" s="1913"/>
      <c r="G30" s="1680"/>
      <c r="H30" s="1986"/>
      <c r="I30" s="1680"/>
      <c r="J30" s="1986"/>
      <c r="K30" s="1680">
        <v>1350</v>
      </c>
      <c r="L30" s="2023">
        <v>1746</v>
      </c>
      <c r="M30" s="965"/>
      <c r="N30" s="959"/>
      <c r="O30" s="1680"/>
      <c r="P30" s="2023"/>
      <c r="Q30" s="1651"/>
      <c r="R30" s="1026"/>
      <c r="S30" s="1912"/>
      <c r="T30" s="1913"/>
      <c r="U30" s="1651"/>
      <c r="V30" s="1026"/>
      <c r="W30" s="1912"/>
      <c r="X30" s="1913"/>
      <c r="Y30" s="1651"/>
      <c r="Z30" s="1026"/>
      <c r="AA30" s="2054"/>
      <c r="AB30" s="1913"/>
      <c r="AC30" s="964"/>
      <c r="AD30" s="961"/>
      <c r="AE30" s="1651"/>
      <c r="AF30" s="1026"/>
      <c r="AG30" s="1912"/>
      <c r="AH30" s="1913"/>
      <c r="AI30" s="1651"/>
      <c r="AJ30" s="1026"/>
      <c r="AK30" s="1912"/>
      <c r="AL30" s="1913"/>
      <c r="AM30" s="1680"/>
      <c r="AN30" s="2023"/>
      <c r="AO30" s="1865"/>
      <c r="AP30" s="1000"/>
      <c r="AQ30" s="1001"/>
      <c r="AR30" s="2090"/>
      <c r="AS30" s="1545"/>
      <c r="AT30" s="2090"/>
      <c r="AU30" s="1651"/>
      <c r="AV30" s="1026"/>
      <c r="AW30" s="1912"/>
      <c r="AX30" s="1913"/>
      <c r="AY30" s="965"/>
      <c r="AZ30" s="961"/>
      <c r="BA30" s="1651"/>
      <c r="BB30" s="1026"/>
      <c r="BC30" s="1912"/>
      <c r="BD30" s="1913"/>
      <c r="BE30" s="965"/>
      <c r="BF30" s="961"/>
      <c r="BG30" s="1651"/>
      <c r="BH30" s="1026"/>
      <c r="BI30" s="1912"/>
      <c r="BJ30" s="1913"/>
      <c r="BK30" s="1651"/>
      <c r="BL30" s="1026"/>
      <c r="BM30" s="1912"/>
      <c r="BN30" s="1913"/>
      <c r="BO30" s="1680"/>
      <c r="BP30" s="1986"/>
      <c r="BQ30" s="1680"/>
      <c r="BR30" s="2023"/>
      <c r="BS30" s="1651"/>
      <c r="BT30" s="1026"/>
      <c r="BU30" s="1912"/>
      <c r="BV30" s="1913"/>
      <c r="BW30" s="1680"/>
      <c r="BX30" s="2023"/>
      <c r="BY30" s="1651"/>
      <c r="BZ30" s="1026"/>
      <c r="CA30" s="1912"/>
      <c r="CB30" s="1913"/>
      <c r="CC30" s="1743"/>
      <c r="CD30" s="2150"/>
      <c r="CE30" s="952">
        <v>25</v>
      </c>
      <c r="CF30" s="961" t="s">
        <v>1308</v>
      </c>
      <c r="CG30" s="1651"/>
      <c r="CH30" s="1026"/>
      <c r="CI30" s="1912"/>
      <c r="CJ30" s="1913"/>
      <c r="CK30" s="965"/>
      <c r="CL30" s="961"/>
      <c r="CM30" s="1651"/>
      <c r="CN30" s="1026"/>
      <c r="CO30" s="1912"/>
      <c r="CP30" s="1913"/>
      <c r="CQ30" s="1651"/>
      <c r="CR30" s="1026"/>
      <c r="CS30" s="1912"/>
      <c r="CT30" s="1913"/>
      <c r="CU30" s="1651"/>
      <c r="CV30" s="1026"/>
      <c r="CW30" s="1912"/>
      <c r="CX30" s="1913"/>
      <c r="CY30" s="1651"/>
      <c r="CZ30" s="1026"/>
      <c r="DA30" s="1912"/>
      <c r="DB30" s="1913"/>
      <c r="DC30" s="1680"/>
      <c r="DD30" s="2023"/>
      <c r="DE30" s="1651"/>
      <c r="DF30" s="1026"/>
      <c r="DG30" s="1912"/>
      <c r="DH30" s="1913"/>
      <c r="DI30" s="964"/>
      <c r="DJ30" s="959"/>
      <c r="DK30" s="1680"/>
      <c r="DL30" s="1986"/>
      <c r="DM30" s="1680"/>
      <c r="DN30" s="1986">
        <f>'kiadás 11604 '!B68</f>
        <v>20000</v>
      </c>
      <c r="DO30" s="1680"/>
      <c r="DP30" s="2023">
        <f>kiadás11605projektek!B61</f>
        <v>1172</v>
      </c>
      <c r="DQ30" s="965"/>
      <c r="DR30" s="962"/>
      <c r="DS30" s="1651"/>
      <c r="DT30" s="1026"/>
      <c r="DU30" s="1912"/>
      <c r="DV30" s="1913"/>
      <c r="DW30" s="965"/>
      <c r="DX30" s="959"/>
      <c r="DY30" s="1651"/>
      <c r="DZ30" s="1026"/>
      <c r="EA30" s="1912"/>
      <c r="EB30" s="1913"/>
      <c r="EC30" s="1680"/>
      <c r="ED30" s="2023"/>
      <c r="EE30" s="965"/>
      <c r="EF30" s="961"/>
      <c r="EG30" s="1680"/>
      <c r="EH30" s="2023"/>
      <c r="EI30" s="1651"/>
      <c r="EJ30" s="1026"/>
      <c r="EK30" s="2204"/>
      <c r="EL30" s="1913"/>
      <c r="EM30" s="2202">
        <f t="shared" si="13"/>
        <v>0</v>
      </c>
      <c r="EN30" s="1585">
        <f t="shared" si="14"/>
        <v>22918</v>
      </c>
      <c r="EO30" s="1585">
        <f t="shared" si="15"/>
        <v>0</v>
      </c>
      <c r="EP30" s="1586">
        <f t="shared" si="19"/>
        <v>22918</v>
      </c>
      <c r="EQ30" s="999">
        <f t="shared" si="16"/>
        <v>0</v>
      </c>
      <c r="ER30" s="1776">
        <f t="shared" si="17"/>
        <v>1350</v>
      </c>
      <c r="ES30" s="1776">
        <f t="shared" si="18"/>
        <v>0</v>
      </c>
      <c r="ET30" s="1055">
        <f t="shared" si="20"/>
        <v>1350</v>
      </c>
    </row>
    <row r="31" spans="1:150" ht="19.95" customHeight="1" thickBot="1" x14ac:dyDescent="0.3">
      <c r="A31" s="968"/>
      <c r="B31" s="969" t="s">
        <v>1309</v>
      </c>
      <c r="C31" s="1652">
        <f t="shared" ref="C31:L31" si="21">SUM(C5:C30)</f>
        <v>46193</v>
      </c>
      <c r="D31" s="1641">
        <f t="shared" si="21"/>
        <v>81189</v>
      </c>
      <c r="E31" s="1914">
        <f t="shared" si="21"/>
        <v>48677</v>
      </c>
      <c r="F31" s="1915">
        <f t="shared" si="21"/>
        <v>119618</v>
      </c>
      <c r="G31" s="971">
        <f t="shared" si="21"/>
        <v>0</v>
      </c>
      <c r="H31" s="1987">
        <f t="shared" si="21"/>
        <v>0</v>
      </c>
      <c r="I31" s="971">
        <f t="shared" si="21"/>
        <v>0</v>
      </c>
      <c r="J31" s="1987">
        <f t="shared" si="21"/>
        <v>0</v>
      </c>
      <c r="K31" s="971">
        <f t="shared" si="21"/>
        <v>5550</v>
      </c>
      <c r="L31" s="1987">
        <f t="shared" si="21"/>
        <v>18712</v>
      </c>
      <c r="M31" s="968"/>
      <c r="N31" s="969" t="s">
        <v>1309</v>
      </c>
      <c r="O31" s="971">
        <f t="shared" ref="O31:AB31" si="22">SUM(O5:O30)</f>
        <v>0</v>
      </c>
      <c r="P31" s="1987">
        <f t="shared" si="22"/>
        <v>0</v>
      </c>
      <c r="Q31" s="1652">
        <f t="shared" si="22"/>
        <v>0</v>
      </c>
      <c r="R31" s="1641">
        <f t="shared" si="22"/>
        <v>150</v>
      </c>
      <c r="S31" s="1914">
        <f t="shared" si="22"/>
        <v>0</v>
      </c>
      <c r="T31" s="1915">
        <f t="shared" si="22"/>
        <v>150</v>
      </c>
      <c r="U31" s="1652">
        <f t="shared" si="22"/>
        <v>0</v>
      </c>
      <c r="V31" s="1641">
        <f t="shared" si="22"/>
        <v>0</v>
      </c>
      <c r="W31" s="1914">
        <f t="shared" si="22"/>
        <v>0</v>
      </c>
      <c r="X31" s="1915">
        <f t="shared" si="22"/>
        <v>0</v>
      </c>
      <c r="Y31" s="1652">
        <f t="shared" si="22"/>
        <v>0</v>
      </c>
      <c r="Z31" s="1641">
        <f t="shared" si="22"/>
        <v>3000</v>
      </c>
      <c r="AA31" s="1914">
        <f t="shared" si="22"/>
        <v>0</v>
      </c>
      <c r="AB31" s="1915">
        <f t="shared" si="22"/>
        <v>0</v>
      </c>
      <c r="AC31" s="970"/>
      <c r="AD31" s="969" t="s">
        <v>1309</v>
      </c>
      <c r="AE31" s="1652">
        <f t="shared" ref="AE31:AX31" si="23">SUM(AE5:AE30)</f>
        <v>0</v>
      </c>
      <c r="AF31" s="1641">
        <f t="shared" si="23"/>
        <v>0</v>
      </c>
      <c r="AG31" s="1914">
        <f t="shared" si="23"/>
        <v>0</v>
      </c>
      <c r="AH31" s="1915">
        <f t="shared" si="23"/>
        <v>0</v>
      </c>
      <c r="AI31" s="1652">
        <f t="shared" si="23"/>
        <v>0</v>
      </c>
      <c r="AJ31" s="1641">
        <f t="shared" si="23"/>
        <v>0</v>
      </c>
      <c r="AK31" s="1914">
        <f t="shared" si="23"/>
        <v>0</v>
      </c>
      <c r="AL31" s="1915">
        <f t="shared" si="23"/>
        <v>0</v>
      </c>
      <c r="AM31" s="971">
        <f t="shared" si="23"/>
        <v>0</v>
      </c>
      <c r="AN31" s="1987">
        <f t="shared" si="23"/>
        <v>0</v>
      </c>
      <c r="AO31" s="1652">
        <f t="shared" si="23"/>
        <v>0</v>
      </c>
      <c r="AP31" s="1057">
        <f t="shared" si="23"/>
        <v>0</v>
      </c>
      <c r="AQ31" s="1622">
        <f t="shared" si="23"/>
        <v>0</v>
      </c>
      <c r="AR31" s="1914">
        <f t="shared" si="23"/>
        <v>0</v>
      </c>
      <c r="AS31" s="2091">
        <f t="shared" si="23"/>
        <v>0</v>
      </c>
      <c r="AT31" s="2092">
        <f t="shared" si="23"/>
        <v>0</v>
      </c>
      <c r="AU31" s="1652">
        <f t="shared" si="23"/>
        <v>0</v>
      </c>
      <c r="AV31" s="1641">
        <f t="shared" si="23"/>
        <v>0</v>
      </c>
      <c r="AW31" s="1914">
        <f t="shared" si="23"/>
        <v>0</v>
      </c>
      <c r="AX31" s="1915">
        <f t="shared" si="23"/>
        <v>0</v>
      </c>
      <c r="AY31" s="968"/>
      <c r="AZ31" s="969" t="s">
        <v>1309</v>
      </c>
      <c r="BA31" s="1652">
        <f t="shared" ref="BA31:BD31" si="24">SUM(BA5:BA30)</f>
        <v>0</v>
      </c>
      <c r="BB31" s="1641">
        <f t="shared" si="24"/>
        <v>0</v>
      </c>
      <c r="BC31" s="2143">
        <f t="shared" si="24"/>
        <v>0</v>
      </c>
      <c r="BD31" s="2092">
        <f t="shared" si="24"/>
        <v>0</v>
      </c>
      <c r="BE31" s="968"/>
      <c r="BF31" s="969" t="s">
        <v>1309</v>
      </c>
      <c r="BG31" s="1652">
        <f t="shared" ref="BG31:CD31" si="25">SUM(BG5:BG30)</f>
        <v>0</v>
      </c>
      <c r="BH31" s="1641">
        <f t="shared" si="25"/>
        <v>0</v>
      </c>
      <c r="BI31" s="2143">
        <f t="shared" si="25"/>
        <v>0</v>
      </c>
      <c r="BJ31" s="2092">
        <f t="shared" si="25"/>
        <v>0</v>
      </c>
      <c r="BK31" s="1652">
        <f t="shared" si="25"/>
        <v>0</v>
      </c>
      <c r="BL31" s="1641">
        <f t="shared" si="25"/>
        <v>0</v>
      </c>
      <c r="BM31" s="2143">
        <f t="shared" si="25"/>
        <v>0</v>
      </c>
      <c r="BN31" s="2092">
        <f t="shared" si="25"/>
        <v>0</v>
      </c>
      <c r="BO31" s="971">
        <f t="shared" si="25"/>
        <v>0</v>
      </c>
      <c r="BP31" s="1987">
        <f t="shared" si="25"/>
        <v>0</v>
      </c>
      <c r="BQ31" s="971">
        <f t="shared" si="25"/>
        <v>0</v>
      </c>
      <c r="BR31" s="1987">
        <f t="shared" si="25"/>
        <v>0</v>
      </c>
      <c r="BS31" s="1652">
        <f t="shared" si="25"/>
        <v>0</v>
      </c>
      <c r="BT31" s="1641">
        <f t="shared" si="25"/>
        <v>0</v>
      </c>
      <c r="BU31" s="2143">
        <f t="shared" si="25"/>
        <v>0</v>
      </c>
      <c r="BV31" s="2092">
        <f t="shared" si="25"/>
        <v>0</v>
      </c>
      <c r="BW31" s="971">
        <f t="shared" si="25"/>
        <v>0</v>
      </c>
      <c r="BX31" s="1987">
        <f t="shared" si="25"/>
        <v>0</v>
      </c>
      <c r="BY31" s="1652">
        <f t="shared" si="25"/>
        <v>0</v>
      </c>
      <c r="BZ31" s="1641">
        <f t="shared" si="25"/>
        <v>0</v>
      </c>
      <c r="CA31" s="1914">
        <f t="shared" si="25"/>
        <v>0</v>
      </c>
      <c r="CB31" s="1915">
        <f t="shared" si="25"/>
        <v>0</v>
      </c>
      <c r="CC31" s="1056">
        <f t="shared" si="25"/>
        <v>0</v>
      </c>
      <c r="CD31" s="1987">
        <f t="shared" si="25"/>
        <v>0</v>
      </c>
      <c r="CE31" s="968"/>
      <c r="CF31" s="969" t="s">
        <v>1309</v>
      </c>
      <c r="CG31" s="1652">
        <f t="shared" ref="CG31:CJ31" si="26">SUM(CG5:CG30)</f>
        <v>0</v>
      </c>
      <c r="CH31" s="1641">
        <f t="shared" si="26"/>
        <v>0</v>
      </c>
      <c r="CI31" s="1914">
        <f t="shared" si="26"/>
        <v>0</v>
      </c>
      <c r="CJ31" s="1915">
        <f t="shared" si="26"/>
        <v>0</v>
      </c>
      <c r="CK31" s="968"/>
      <c r="CL31" s="969" t="s">
        <v>1309</v>
      </c>
      <c r="CM31" s="1652">
        <f t="shared" ref="CM31:DH31" si="27">SUM(CM5:CM30)</f>
        <v>0</v>
      </c>
      <c r="CN31" s="1641">
        <f t="shared" si="27"/>
        <v>0</v>
      </c>
      <c r="CO31" s="1914">
        <f t="shared" si="27"/>
        <v>0</v>
      </c>
      <c r="CP31" s="1915">
        <f t="shared" si="27"/>
        <v>0</v>
      </c>
      <c r="CQ31" s="1652">
        <f t="shared" si="27"/>
        <v>0</v>
      </c>
      <c r="CR31" s="1641">
        <f t="shared" si="27"/>
        <v>0</v>
      </c>
      <c r="CS31" s="1914">
        <f t="shared" si="27"/>
        <v>0</v>
      </c>
      <c r="CT31" s="1915">
        <f t="shared" si="27"/>
        <v>0</v>
      </c>
      <c r="CU31" s="1652">
        <f t="shared" si="27"/>
        <v>0</v>
      </c>
      <c r="CV31" s="1641">
        <f t="shared" si="27"/>
        <v>0</v>
      </c>
      <c r="CW31" s="1914">
        <f t="shared" si="27"/>
        <v>0</v>
      </c>
      <c r="CX31" s="1915">
        <f t="shared" si="27"/>
        <v>0</v>
      </c>
      <c r="CY31" s="1652">
        <f t="shared" si="27"/>
        <v>0</v>
      </c>
      <c r="CZ31" s="1641">
        <f t="shared" si="27"/>
        <v>0</v>
      </c>
      <c r="DA31" s="1914">
        <f t="shared" si="27"/>
        <v>0</v>
      </c>
      <c r="DB31" s="1915">
        <f t="shared" si="27"/>
        <v>0</v>
      </c>
      <c r="DC31" s="971">
        <f t="shared" si="27"/>
        <v>0</v>
      </c>
      <c r="DD31" s="1987">
        <f t="shared" si="27"/>
        <v>0</v>
      </c>
      <c r="DE31" s="1652">
        <f t="shared" si="27"/>
        <v>0</v>
      </c>
      <c r="DF31" s="1641">
        <f t="shared" si="27"/>
        <v>0</v>
      </c>
      <c r="DG31" s="1914">
        <f t="shared" si="27"/>
        <v>0</v>
      </c>
      <c r="DH31" s="1915">
        <f t="shared" si="27"/>
        <v>0</v>
      </c>
      <c r="DI31" s="970"/>
      <c r="DJ31" s="969" t="s">
        <v>1309</v>
      </c>
      <c r="DK31" s="971">
        <f t="shared" ref="DK31:DL31" si="28">SUM(DK5:DK30)</f>
        <v>0</v>
      </c>
      <c r="DL31" s="1987">
        <f t="shared" si="28"/>
        <v>0</v>
      </c>
      <c r="DM31" s="971">
        <f t="shared" ref="DM31:DP31" si="29">SUM(DM5:DM30)</f>
        <v>0</v>
      </c>
      <c r="DN31" s="1987">
        <f t="shared" si="29"/>
        <v>20000</v>
      </c>
      <c r="DO31" s="971">
        <f t="shared" si="29"/>
        <v>0</v>
      </c>
      <c r="DP31" s="1987">
        <f t="shared" si="29"/>
        <v>1172</v>
      </c>
      <c r="DQ31" s="968"/>
      <c r="DR31" s="972" t="s">
        <v>1309</v>
      </c>
      <c r="DS31" s="1652">
        <f t="shared" ref="DS31:DV31" si="30">SUM(DS5:DS30)</f>
        <v>0</v>
      </c>
      <c r="DT31" s="1641">
        <f t="shared" si="30"/>
        <v>0</v>
      </c>
      <c r="DU31" s="1914">
        <f t="shared" si="30"/>
        <v>0</v>
      </c>
      <c r="DV31" s="1915">
        <f t="shared" si="30"/>
        <v>0</v>
      </c>
      <c r="DW31" s="968"/>
      <c r="DX31" s="969" t="s">
        <v>1309</v>
      </c>
      <c r="DY31" s="1652">
        <f t="shared" ref="DY31:ED31" si="31">SUM(DY5:DY30)</f>
        <v>0</v>
      </c>
      <c r="DZ31" s="1641">
        <f t="shared" si="31"/>
        <v>0</v>
      </c>
      <c r="EA31" s="1914">
        <f t="shared" si="31"/>
        <v>0</v>
      </c>
      <c r="EB31" s="1915">
        <f t="shared" si="31"/>
        <v>9000</v>
      </c>
      <c r="EC31" s="971">
        <f t="shared" si="31"/>
        <v>0</v>
      </c>
      <c r="ED31" s="1987">
        <f t="shared" si="31"/>
        <v>0</v>
      </c>
      <c r="EE31" s="968"/>
      <c r="EF31" s="969" t="s">
        <v>1309</v>
      </c>
      <c r="EG31" s="971">
        <f t="shared" ref="EG31:EO31" si="32">SUM(EG5:EG30)</f>
        <v>0</v>
      </c>
      <c r="EH31" s="1987">
        <f t="shared" si="32"/>
        <v>0</v>
      </c>
      <c r="EI31" s="1652">
        <f t="shared" si="32"/>
        <v>0</v>
      </c>
      <c r="EJ31" s="1641">
        <f t="shared" si="32"/>
        <v>0</v>
      </c>
      <c r="EK31" s="1914">
        <f t="shared" si="32"/>
        <v>0</v>
      </c>
      <c r="EL31" s="1915">
        <f t="shared" si="32"/>
        <v>0</v>
      </c>
      <c r="EM31" s="1915">
        <f t="shared" si="32"/>
        <v>48677</v>
      </c>
      <c r="EN31" s="1915">
        <f t="shared" si="32"/>
        <v>168652</v>
      </c>
      <c r="EO31" s="1915">
        <f t="shared" si="32"/>
        <v>0</v>
      </c>
      <c r="EP31" s="2205">
        <f t="shared" si="19"/>
        <v>217329</v>
      </c>
      <c r="EQ31" s="1777">
        <f t="shared" si="16"/>
        <v>46193</v>
      </c>
      <c r="ER31" s="1778">
        <f t="shared" si="17"/>
        <v>89889</v>
      </c>
      <c r="ES31" s="1778">
        <f t="shared" si="18"/>
        <v>0</v>
      </c>
      <c r="ET31" s="1779">
        <f t="shared" si="20"/>
        <v>136082</v>
      </c>
    </row>
    <row r="32" spans="1:150" ht="30" customHeight="1" x14ac:dyDescent="0.25">
      <c r="A32" s="973"/>
      <c r="B32" s="974" t="s">
        <v>1310</v>
      </c>
      <c r="C32" s="1653"/>
      <c r="D32" s="978"/>
      <c r="E32" s="1916"/>
      <c r="F32" s="1917"/>
      <c r="G32" s="1681"/>
      <c r="H32" s="1988"/>
      <c r="I32" s="1681"/>
      <c r="J32" s="1988"/>
      <c r="K32" s="1681"/>
      <c r="L32" s="2024"/>
      <c r="M32" s="973"/>
      <c r="N32" s="974" t="s">
        <v>1310</v>
      </c>
      <c r="O32" s="1681"/>
      <c r="P32" s="2024"/>
      <c r="Q32" s="1653"/>
      <c r="R32" s="978"/>
      <c r="S32" s="1916"/>
      <c r="T32" s="1917"/>
      <c r="U32" s="1653"/>
      <c r="V32" s="978"/>
      <c r="W32" s="1916"/>
      <c r="X32" s="1917"/>
      <c r="Y32" s="1653"/>
      <c r="Z32" s="978"/>
      <c r="AA32" s="2055"/>
      <c r="AB32" s="1917"/>
      <c r="AC32" s="975"/>
      <c r="AD32" s="974" t="s">
        <v>1310</v>
      </c>
      <c r="AE32" s="1653"/>
      <c r="AF32" s="978"/>
      <c r="AG32" s="1916"/>
      <c r="AH32" s="1917"/>
      <c r="AI32" s="1653"/>
      <c r="AJ32" s="978"/>
      <c r="AK32" s="1916"/>
      <c r="AL32" s="1917"/>
      <c r="AM32" s="1681"/>
      <c r="AN32" s="2024"/>
      <c r="AO32" s="1866"/>
      <c r="AP32" s="1237"/>
      <c r="AQ32" s="1714"/>
      <c r="AR32" s="2093"/>
      <c r="AS32" s="1490"/>
      <c r="AT32" s="2093"/>
      <c r="AU32" s="1653"/>
      <c r="AV32" s="978"/>
      <c r="AW32" s="1916"/>
      <c r="AX32" s="1917"/>
      <c r="AY32" s="973"/>
      <c r="AZ32" s="974" t="s">
        <v>1310</v>
      </c>
      <c r="BA32" s="1653"/>
      <c r="BB32" s="978"/>
      <c r="BC32" s="1916"/>
      <c r="BD32" s="1917"/>
      <c r="BE32" s="973"/>
      <c r="BF32" s="974" t="s">
        <v>1310</v>
      </c>
      <c r="BG32" s="1653"/>
      <c r="BH32" s="978"/>
      <c r="BI32" s="1916"/>
      <c r="BJ32" s="1917"/>
      <c r="BK32" s="1653"/>
      <c r="BL32" s="978"/>
      <c r="BM32" s="1916"/>
      <c r="BN32" s="1917"/>
      <c r="BO32" s="1681"/>
      <c r="BP32" s="1988"/>
      <c r="BQ32" s="1681"/>
      <c r="BR32" s="2024"/>
      <c r="BS32" s="1653"/>
      <c r="BT32" s="978"/>
      <c r="BU32" s="1916"/>
      <c r="BV32" s="1917"/>
      <c r="BW32" s="1681"/>
      <c r="BX32" s="2024"/>
      <c r="BY32" s="1653"/>
      <c r="BZ32" s="978"/>
      <c r="CA32" s="1916"/>
      <c r="CB32" s="1917"/>
      <c r="CC32" s="1744"/>
      <c r="CD32" s="2151"/>
      <c r="CE32" s="973"/>
      <c r="CF32" s="974" t="s">
        <v>1310</v>
      </c>
      <c r="CG32" s="1653"/>
      <c r="CH32" s="978"/>
      <c r="CI32" s="1916"/>
      <c r="CJ32" s="1917"/>
      <c r="CK32" s="973"/>
      <c r="CL32" s="974" t="s">
        <v>1310</v>
      </c>
      <c r="CM32" s="1653"/>
      <c r="CN32" s="978"/>
      <c r="CO32" s="1916"/>
      <c r="CP32" s="1917"/>
      <c r="CQ32" s="1653"/>
      <c r="CR32" s="978"/>
      <c r="CS32" s="1916"/>
      <c r="CT32" s="1917"/>
      <c r="CU32" s="1653"/>
      <c r="CV32" s="978"/>
      <c r="CW32" s="1916"/>
      <c r="CX32" s="1917"/>
      <c r="CY32" s="1653"/>
      <c r="CZ32" s="978"/>
      <c r="DA32" s="1916"/>
      <c r="DB32" s="1917"/>
      <c r="DC32" s="1681"/>
      <c r="DD32" s="2024"/>
      <c r="DE32" s="1653"/>
      <c r="DF32" s="978"/>
      <c r="DG32" s="1916"/>
      <c r="DH32" s="1917"/>
      <c r="DI32" s="975"/>
      <c r="DJ32" s="974" t="s">
        <v>1310</v>
      </c>
      <c r="DK32" s="1681"/>
      <c r="DL32" s="1988"/>
      <c r="DM32" s="1681"/>
      <c r="DN32" s="1988"/>
      <c r="DO32" s="1681"/>
      <c r="DP32" s="2024"/>
      <c r="DQ32" s="973"/>
      <c r="DR32" s="976" t="s">
        <v>1310</v>
      </c>
      <c r="DS32" s="1653"/>
      <c r="DT32" s="978"/>
      <c r="DU32" s="1916"/>
      <c r="DV32" s="1917"/>
      <c r="DW32" s="973"/>
      <c r="DX32" s="974" t="s">
        <v>1310</v>
      </c>
      <c r="DY32" s="1653"/>
      <c r="DZ32" s="978"/>
      <c r="EA32" s="1916"/>
      <c r="EB32" s="1917"/>
      <c r="EC32" s="1681"/>
      <c r="ED32" s="2024"/>
      <c r="EE32" s="973"/>
      <c r="EF32" s="974" t="s">
        <v>1310</v>
      </c>
      <c r="EG32" s="1681"/>
      <c r="EH32" s="2024"/>
      <c r="EI32" s="1653"/>
      <c r="EJ32" s="978"/>
      <c r="EK32" s="2206"/>
      <c r="EL32" s="1917"/>
      <c r="EM32" s="2207"/>
      <c r="EN32" s="1590"/>
      <c r="EO32" s="1590"/>
      <c r="EP32" s="1590">
        <f t="shared" si="19"/>
        <v>0</v>
      </c>
      <c r="EQ32" s="1716">
        <f t="shared" si="16"/>
        <v>0</v>
      </c>
      <c r="ER32" s="1780">
        <f t="shared" si="17"/>
        <v>0</v>
      </c>
      <c r="ES32" s="1780">
        <f t="shared" si="18"/>
        <v>0</v>
      </c>
      <c r="ET32" s="1781">
        <f t="shared" si="20"/>
        <v>0</v>
      </c>
    </row>
    <row r="33" spans="1:150" x14ac:dyDescent="0.25">
      <c r="A33" s="952">
        <v>1</v>
      </c>
      <c r="B33" s="954" t="s">
        <v>1311</v>
      </c>
      <c r="C33" s="1654">
        <f>2334+350+4255+630+1195+157+154</f>
        <v>9075</v>
      </c>
      <c r="D33" s="977">
        <f>11529+2156</f>
        <v>13685</v>
      </c>
      <c r="E33" s="1918">
        <f>6004+2408+197</f>
        <v>8609</v>
      </c>
      <c r="F33" s="1919">
        <f>12735+3980+322</f>
        <v>17037</v>
      </c>
      <c r="G33" s="1682"/>
      <c r="H33" s="1989"/>
      <c r="I33" s="1682"/>
      <c r="J33" s="1989"/>
      <c r="K33" s="1682">
        <f>263+780+39</f>
        <v>1082</v>
      </c>
      <c r="L33" s="2025">
        <f>L31*0.175-1</f>
        <v>3273.6</v>
      </c>
      <c r="M33" s="952">
        <v>1</v>
      </c>
      <c r="N33" s="956" t="s">
        <v>1312</v>
      </c>
      <c r="O33" s="1682"/>
      <c r="P33" s="2025"/>
      <c r="Q33" s="1654"/>
      <c r="R33" s="977"/>
      <c r="S33" s="1918"/>
      <c r="T33" s="1919"/>
      <c r="U33" s="1654"/>
      <c r="V33" s="977"/>
      <c r="W33" s="1918"/>
      <c r="X33" s="1919"/>
      <c r="Y33" s="1654"/>
      <c r="Z33" s="977"/>
      <c r="AA33" s="2056"/>
      <c r="AB33" s="1919"/>
      <c r="AC33" s="955">
        <v>1</v>
      </c>
      <c r="AD33" s="956"/>
      <c r="AE33" s="1654"/>
      <c r="AF33" s="977"/>
      <c r="AG33" s="1918"/>
      <c r="AH33" s="1919"/>
      <c r="AI33" s="1654"/>
      <c r="AJ33" s="977"/>
      <c r="AK33" s="1918"/>
      <c r="AL33" s="1919"/>
      <c r="AM33" s="1682"/>
      <c r="AN33" s="2025"/>
      <c r="AO33" s="1867"/>
      <c r="AP33" s="1241"/>
      <c r="AQ33" s="1715"/>
      <c r="AR33" s="2094"/>
      <c r="AS33" s="1546"/>
      <c r="AT33" s="2094"/>
      <c r="AU33" s="1654"/>
      <c r="AV33" s="977"/>
      <c r="AW33" s="1918"/>
      <c r="AX33" s="1919"/>
      <c r="AY33" s="952">
        <v>1</v>
      </c>
      <c r="AZ33" s="956"/>
      <c r="BA33" s="1654"/>
      <c r="BB33" s="977"/>
      <c r="BC33" s="1918"/>
      <c r="BD33" s="1919"/>
      <c r="BE33" s="952">
        <v>1</v>
      </c>
      <c r="BF33" s="956"/>
      <c r="BG33" s="1654"/>
      <c r="BH33" s="977"/>
      <c r="BI33" s="1918"/>
      <c r="BJ33" s="1919"/>
      <c r="BK33" s="1654"/>
      <c r="BL33" s="977"/>
      <c r="BM33" s="1918"/>
      <c r="BN33" s="1919"/>
      <c r="BO33" s="1682"/>
      <c r="BP33" s="1989"/>
      <c r="BQ33" s="1682"/>
      <c r="BR33" s="2025"/>
      <c r="BS33" s="1654"/>
      <c r="BT33" s="977"/>
      <c r="BU33" s="1918"/>
      <c r="BV33" s="1919"/>
      <c r="BW33" s="1682"/>
      <c r="BX33" s="2025"/>
      <c r="BY33" s="1654"/>
      <c r="BZ33" s="977"/>
      <c r="CA33" s="1918"/>
      <c r="CB33" s="1919"/>
      <c r="CC33" s="1745"/>
      <c r="CD33" s="2152"/>
      <c r="CE33" s="952">
        <v>1</v>
      </c>
      <c r="CF33" s="954" t="s">
        <v>1313</v>
      </c>
      <c r="CG33" s="1654"/>
      <c r="CH33" s="977"/>
      <c r="CI33" s="1918"/>
      <c r="CJ33" s="1919"/>
      <c r="CK33" s="952">
        <v>1</v>
      </c>
      <c r="CL33" s="954"/>
      <c r="CM33" s="1654"/>
      <c r="CN33" s="977"/>
      <c r="CO33" s="1918"/>
      <c r="CP33" s="1919"/>
      <c r="CQ33" s="1654"/>
      <c r="CR33" s="977"/>
      <c r="CS33" s="1918"/>
      <c r="CT33" s="1919"/>
      <c r="CU33" s="1654"/>
      <c r="CV33" s="977"/>
      <c r="CW33" s="1918"/>
      <c r="CX33" s="1919"/>
      <c r="CY33" s="1654"/>
      <c r="CZ33" s="977"/>
      <c r="DA33" s="1918"/>
      <c r="DB33" s="1919"/>
      <c r="DC33" s="1682"/>
      <c r="DD33" s="2025"/>
      <c r="DE33" s="1654"/>
      <c r="DF33" s="977"/>
      <c r="DG33" s="1918"/>
      <c r="DH33" s="1919"/>
      <c r="DI33" s="955">
        <v>1</v>
      </c>
      <c r="DJ33" s="956"/>
      <c r="DK33" s="1682"/>
      <c r="DL33" s="1989"/>
      <c r="DM33" s="1682"/>
      <c r="DN33" s="1989"/>
      <c r="DO33" s="1682"/>
      <c r="DP33" s="2025"/>
      <c r="DQ33" s="952">
        <v>1</v>
      </c>
      <c r="DR33" s="958" t="s">
        <v>1314</v>
      </c>
      <c r="DS33" s="1654"/>
      <c r="DT33" s="977"/>
      <c r="DU33" s="1918"/>
      <c r="DV33" s="1919"/>
      <c r="DW33" s="952">
        <v>1</v>
      </c>
      <c r="DX33" s="954" t="s">
        <v>1437</v>
      </c>
      <c r="DY33" s="1654"/>
      <c r="DZ33" s="977"/>
      <c r="EA33" s="1918"/>
      <c r="EB33" s="1919">
        <v>1418</v>
      </c>
      <c r="EC33" s="1682"/>
      <c r="ED33" s="2025"/>
      <c r="EE33" s="952">
        <v>1</v>
      </c>
      <c r="EF33" s="956"/>
      <c r="EG33" s="1682"/>
      <c r="EH33" s="2025"/>
      <c r="EI33" s="1654"/>
      <c r="EJ33" s="977"/>
      <c r="EK33" s="2208"/>
      <c r="EL33" s="1919"/>
      <c r="EM33" s="2202">
        <f t="shared" ref="EM33:EM35" si="33">E33+S33+W33+AA33+AG33+AK33+AN33+AR33+AW33+BC33+BI33+BM33+BR33+BU33+CA33+CD33+CI33+CO33+CS33+CW33+DA33+DG33+DU33+EA33+EK33</f>
        <v>8609</v>
      </c>
      <c r="EN33" s="1585">
        <f t="shared" ref="EN33:EN35" si="34">F33+H33+J33+L33+P33+T33+X33+AB33+AH33+AL33+AS33+AX33+BD33+BJ33+BN33+BP33+BV33+BX33+CB33+CJ33+CP33+CT33+CX33+DB33+DD33+DH33+DN33+DP33+DV33+EB33+ED33+EH33+EL33+DL33</f>
        <v>21728.6</v>
      </c>
      <c r="EO33" s="1585">
        <f t="shared" ref="EO33:EO35" si="35">AQ33</f>
        <v>0</v>
      </c>
      <c r="EP33" s="1590">
        <f t="shared" si="19"/>
        <v>30337.599999999999</v>
      </c>
      <c r="EQ33" s="1716">
        <f t="shared" si="16"/>
        <v>9075</v>
      </c>
      <c r="ER33" s="1780">
        <f t="shared" si="17"/>
        <v>14767</v>
      </c>
      <c r="ES33" s="1780">
        <f t="shared" si="18"/>
        <v>0</v>
      </c>
      <c r="ET33" s="1781">
        <f t="shared" si="20"/>
        <v>23842</v>
      </c>
    </row>
    <row r="34" spans="1:150" x14ac:dyDescent="0.25">
      <c r="A34" s="952">
        <v>2</v>
      </c>
      <c r="B34" s="954" t="s">
        <v>2112</v>
      </c>
      <c r="C34" s="1654">
        <v>180</v>
      </c>
      <c r="D34" s="977"/>
      <c r="E34" s="2317">
        <v>180</v>
      </c>
      <c r="F34" s="2318">
        <f>575-575</f>
        <v>0</v>
      </c>
      <c r="G34" s="1682"/>
      <c r="H34" s="1989"/>
      <c r="I34" s="1682"/>
      <c r="J34" s="1989"/>
      <c r="K34" s="1682"/>
      <c r="L34" s="2025"/>
      <c r="M34" s="952">
        <v>2</v>
      </c>
      <c r="N34" s="959" t="s">
        <v>1315</v>
      </c>
      <c r="O34" s="1682"/>
      <c r="P34" s="2025"/>
      <c r="Q34" s="1654"/>
      <c r="R34" s="977">
        <v>61</v>
      </c>
      <c r="S34" s="1918"/>
      <c r="T34" s="1919">
        <v>58</v>
      </c>
      <c r="U34" s="1654"/>
      <c r="V34" s="977"/>
      <c r="W34" s="1918"/>
      <c r="X34" s="1919"/>
      <c r="Y34" s="1654"/>
      <c r="Z34" s="977">
        <v>527</v>
      </c>
      <c r="AA34" s="2056"/>
      <c r="AB34" s="1919"/>
      <c r="AC34" s="955">
        <v>2</v>
      </c>
      <c r="AD34" s="961"/>
      <c r="AE34" s="1654"/>
      <c r="AF34" s="977"/>
      <c r="AG34" s="1918"/>
      <c r="AH34" s="1919"/>
      <c r="AI34" s="1654"/>
      <c r="AJ34" s="977"/>
      <c r="AK34" s="1918"/>
      <c r="AL34" s="1919"/>
      <c r="AM34" s="1682"/>
      <c r="AN34" s="2025"/>
      <c r="AO34" s="1867"/>
      <c r="AP34" s="1241"/>
      <c r="AQ34" s="1715"/>
      <c r="AR34" s="2094"/>
      <c r="AS34" s="1546"/>
      <c r="AT34" s="2094"/>
      <c r="AU34" s="1654"/>
      <c r="AV34" s="977"/>
      <c r="AW34" s="1918"/>
      <c r="AX34" s="1919"/>
      <c r="AY34" s="952">
        <v>2</v>
      </c>
      <c r="AZ34" s="961"/>
      <c r="BA34" s="1654"/>
      <c r="BB34" s="977"/>
      <c r="BC34" s="1918"/>
      <c r="BD34" s="1919"/>
      <c r="BE34" s="952">
        <v>2</v>
      </c>
      <c r="BF34" s="961"/>
      <c r="BG34" s="1654"/>
      <c r="BH34" s="977"/>
      <c r="BI34" s="1918"/>
      <c r="BJ34" s="1919"/>
      <c r="BK34" s="1654"/>
      <c r="BL34" s="977"/>
      <c r="BM34" s="1918"/>
      <c r="BN34" s="1919"/>
      <c r="BO34" s="1682"/>
      <c r="BP34" s="1989"/>
      <c r="BQ34" s="1682"/>
      <c r="BR34" s="2025"/>
      <c r="BS34" s="1654"/>
      <c r="BT34" s="977"/>
      <c r="BU34" s="1918"/>
      <c r="BV34" s="1919"/>
      <c r="BW34" s="1682"/>
      <c r="BX34" s="2025"/>
      <c r="BY34" s="1654"/>
      <c r="BZ34" s="977"/>
      <c r="CA34" s="1918"/>
      <c r="CB34" s="1919"/>
      <c r="CC34" s="1745"/>
      <c r="CD34" s="2152"/>
      <c r="CE34" s="952">
        <v>2</v>
      </c>
      <c r="CF34" s="961"/>
      <c r="CG34" s="1654"/>
      <c r="CH34" s="977"/>
      <c r="CI34" s="1918"/>
      <c r="CJ34" s="1919"/>
      <c r="CK34" s="952">
        <v>2</v>
      </c>
      <c r="CL34" s="959"/>
      <c r="CM34" s="1654"/>
      <c r="CN34" s="977"/>
      <c r="CO34" s="1918"/>
      <c r="CP34" s="1919"/>
      <c r="CQ34" s="1654"/>
      <c r="CR34" s="977"/>
      <c r="CS34" s="1918"/>
      <c r="CT34" s="1919"/>
      <c r="CU34" s="1654"/>
      <c r="CV34" s="977"/>
      <c r="CW34" s="1918"/>
      <c r="CX34" s="1919"/>
      <c r="CY34" s="1654"/>
      <c r="CZ34" s="977"/>
      <c r="DA34" s="1918"/>
      <c r="DB34" s="1919"/>
      <c r="DC34" s="1682"/>
      <c r="DD34" s="2025"/>
      <c r="DE34" s="1654"/>
      <c r="DF34" s="977"/>
      <c r="DG34" s="1918"/>
      <c r="DH34" s="1919"/>
      <c r="DI34" s="955">
        <v>2</v>
      </c>
      <c r="DJ34" s="959"/>
      <c r="DK34" s="1682"/>
      <c r="DL34" s="1989"/>
      <c r="DM34" s="1682"/>
      <c r="DN34" s="1989"/>
      <c r="DO34" s="1682"/>
      <c r="DP34" s="2025"/>
      <c r="DQ34" s="952">
        <v>2</v>
      </c>
      <c r="DR34" s="962"/>
      <c r="DS34" s="1654"/>
      <c r="DT34" s="977"/>
      <c r="DU34" s="1918"/>
      <c r="DV34" s="1919"/>
      <c r="DW34" s="952">
        <v>2</v>
      </c>
      <c r="DX34" s="959"/>
      <c r="DY34" s="1654"/>
      <c r="DZ34" s="977"/>
      <c r="EA34" s="1918"/>
      <c r="EB34" s="1919"/>
      <c r="EC34" s="1682"/>
      <c r="ED34" s="2025"/>
      <c r="EE34" s="952">
        <v>2</v>
      </c>
      <c r="EF34" s="961"/>
      <c r="EG34" s="1682"/>
      <c r="EH34" s="2025"/>
      <c r="EI34" s="1654"/>
      <c r="EJ34" s="977"/>
      <c r="EK34" s="2208"/>
      <c r="EL34" s="1919"/>
      <c r="EM34" s="2202">
        <f t="shared" si="33"/>
        <v>180</v>
      </c>
      <c r="EN34" s="1585">
        <f t="shared" si="34"/>
        <v>58</v>
      </c>
      <c r="EO34" s="1585">
        <f t="shared" si="35"/>
        <v>0</v>
      </c>
      <c r="EP34" s="1590">
        <f t="shared" si="19"/>
        <v>238</v>
      </c>
      <c r="EQ34" s="1716">
        <f t="shared" si="16"/>
        <v>180</v>
      </c>
      <c r="ER34" s="1780">
        <f t="shared" si="17"/>
        <v>588</v>
      </c>
      <c r="ES34" s="1780">
        <f t="shared" si="18"/>
        <v>0</v>
      </c>
      <c r="ET34" s="1781">
        <f t="shared" si="20"/>
        <v>768</v>
      </c>
    </row>
    <row r="35" spans="1:150" x14ac:dyDescent="0.25">
      <c r="A35" s="952">
        <v>3</v>
      </c>
      <c r="B35" s="954" t="s">
        <v>2136</v>
      </c>
      <c r="C35" s="1654"/>
      <c r="D35" s="977">
        <f>2036+342-570</f>
        <v>1808</v>
      </c>
      <c r="E35" s="1918"/>
      <c r="F35" s="1919">
        <f>1526+87+87+692</f>
        <v>2392</v>
      </c>
      <c r="G35" s="1683"/>
      <c r="H35" s="1990"/>
      <c r="I35" s="1683"/>
      <c r="J35" s="1990"/>
      <c r="K35" s="1683"/>
      <c r="L35" s="2026"/>
      <c r="M35" s="952">
        <v>3</v>
      </c>
      <c r="N35" s="959" t="s">
        <v>1474</v>
      </c>
      <c r="O35" s="1683"/>
      <c r="P35" s="2026"/>
      <c r="Q35" s="1654"/>
      <c r="R35" s="977"/>
      <c r="S35" s="1918"/>
      <c r="T35" s="1919"/>
      <c r="U35" s="1654">
        <f>407-407</f>
        <v>0</v>
      </c>
      <c r="V35" s="977"/>
      <c r="W35" s="1918"/>
      <c r="X35" s="1919"/>
      <c r="Y35" s="1654"/>
      <c r="Z35" s="977"/>
      <c r="AA35" s="2056"/>
      <c r="AB35" s="1919">
        <v>998</v>
      </c>
      <c r="AC35" s="955">
        <v>3</v>
      </c>
      <c r="AD35" s="954"/>
      <c r="AE35" s="1654"/>
      <c r="AF35" s="977"/>
      <c r="AG35" s="1918"/>
      <c r="AH35" s="1919"/>
      <c r="AI35" s="1654"/>
      <c r="AJ35" s="977"/>
      <c r="AK35" s="1918"/>
      <c r="AL35" s="1919"/>
      <c r="AM35" s="1683"/>
      <c r="AN35" s="2026"/>
      <c r="AO35" s="1868"/>
      <c r="AP35" s="1240"/>
      <c r="AQ35" s="1717"/>
      <c r="AR35" s="2095"/>
      <c r="AS35" s="1547"/>
      <c r="AT35" s="2095"/>
      <c r="AU35" s="1654"/>
      <c r="AV35" s="977"/>
      <c r="AW35" s="1918"/>
      <c r="AX35" s="1919"/>
      <c r="AY35" s="952">
        <v>3</v>
      </c>
      <c r="AZ35" s="954"/>
      <c r="BA35" s="1654"/>
      <c r="BB35" s="977"/>
      <c r="BC35" s="1918"/>
      <c r="BD35" s="1919"/>
      <c r="BE35" s="952">
        <v>3</v>
      </c>
      <c r="BF35" s="954"/>
      <c r="BG35" s="1654"/>
      <c r="BH35" s="977"/>
      <c r="BI35" s="1918"/>
      <c r="BJ35" s="1919"/>
      <c r="BK35" s="1654"/>
      <c r="BL35" s="977"/>
      <c r="BM35" s="1918"/>
      <c r="BN35" s="1919"/>
      <c r="BO35" s="1683"/>
      <c r="BP35" s="1990"/>
      <c r="BQ35" s="1683"/>
      <c r="BR35" s="2026"/>
      <c r="BS35" s="1654"/>
      <c r="BT35" s="977"/>
      <c r="BU35" s="1918"/>
      <c r="BV35" s="1919"/>
      <c r="BW35" s="1683"/>
      <c r="BX35" s="2026"/>
      <c r="BY35" s="1654"/>
      <c r="BZ35" s="977"/>
      <c r="CA35" s="1918"/>
      <c r="CB35" s="1919"/>
      <c r="CC35" s="1746"/>
      <c r="CD35" s="2153"/>
      <c r="CE35" s="952">
        <v>3</v>
      </c>
      <c r="CF35" s="954"/>
      <c r="CG35" s="1654"/>
      <c r="CH35" s="977"/>
      <c r="CI35" s="1918"/>
      <c r="CJ35" s="1919"/>
      <c r="CK35" s="952">
        <v>3</v>
      </c>
      <c r="CL35" s="954"/>
      <c r="CM35" s="1654"/>
      <c r="CN35" s="977"/>
      <c r="CO35" s="1918"/>
      <c r="CP35" s="1919"/>
      <c r="CQ35" s="1654"/>
      <c r="CR35" s="977"/>
      <c r="CS35" s="1918"/>
      <c r="CT35" s="1919"/>
      <c r="CU35" s="1654"/>
      <c r="CV35" s="977"/>
      <c r="CW35" s="1918"/>
      <c r="CX35" s="1919"/>
      <c r="CY35" s="1654"/>
      <c r="CZ35" s="977"/>
      <c r="DA35" s="2026">
        <f>kiadás11602!B24</f>
        <v>0</v>
      </c>
      <c r="DB35" s="1919">
        <f>kiadás11602!B39</f>
        <v>0</v>
      </c>
      <c r="DC35" s="1683"/>
      <c r="DD35" s="2026"/>
      <c r="DE35" s="1654"/>
      <c r="DF35" s="977"/>
      <c r="DG35" s="1918"/>
      <c r="DH35" s="1919"/>
      <c r="DI35" s="955">
        <v>3</v>
      </c>
      <c r="DJ35" s="954"/>
      <c r="DK35" s="1683"/>
      <c r="DL35" s="1990"/>
      <c r="DM35" s="1683"/>
      <c r="DN35" s="1990">
        <f>'kiadás 11604 '!C68</f>
        <v>21745</v>
      </c>
      <c r="DO35" s="1683"/>
      <c r="DP35" s="2026">
        <f>kiadás11605projektek!C61</f>
        <v>228</v>
      </c>
      <c r="DQ35" s="952">
        <v>3</v>
      </c>
      <c r="DR35" s="963"/>
      <c r="DS35" s="1654"/>
      <c r="DT35" s="977"/>
      <c r="DU35" s="1918"/>
      <c r="DV35" s="1919"/>
      <c r="DW35" s="952">
        <v>3</v>
      </c>
      <c r="DX35" s="954"/>
      <c r="DY35" s="1654"/>
      <c r="DZ35" s="977"/>
      <c r="EA35" s="1918"/>
      <c r="EB35" s="1919"/>
      <c r="EC35" s="1683"/>
      <c r="ED35" s="2026"/>
      <c r="EE35" s="952">
        <v>3</v>
      </c>
      <c r="EF35" s="954"/>
      <c r="EG35" s="1683"/>
      <c r="EH35" s="2026"/>
      <c r="EI35" s="1654"/>
      <c r="EJ35" s="977"/>
      <c r="EK35" s="2208"/>
      <c r="EL35" s="1919"/>
      <c r="EM35" s="2202">
        <f t="shared" si="33"/>
        <v>0</v>
      </c>
      <c r="EN35" s="1585">
        <f t="shared" si="34"/>
        <v>25363</v>
      </c>
      <c r="EO35" s="1585">
        <f t="shared" si="35"/>
        <v>0</v>
      </c>
      <c r="EP35" s="1590">
        <f t="shared" si="19"/>
        <v>25363</v>
      </c>
      <c r="EQ35" s="1716">
        <f t="shared" si="16"/>
        <v>0</v>
      </c>
      <c r="ER35" s="1780">
        <f t="shared" si="17"/>
        <v>1808</v>
      </c>
      <c r="ES35" s="1780">
        <f t="shared" si="18"/>
        <v>0</v>
      </c>
      <c r="ET35" s="1781">
        <f t="shared" si="20"/>
        <v>1808</v>
      </c>
    </row>
    <row r="36" spans="1:150" ht="30" customHeight="1" thickBot="1" x14ac:dyDescent="0.3">
      <c r="A36" s="968"/>
      <c r="B36" s="969" t="s">
        <v>1316</v>
      </c>
      <c r="C36" s="1652">
        <f t="shared" ref="C36:L36" si="36">SUM(C32:C35)</f>
        <v>9255</v>
      </c>
      <c r="D36" s="1641">
        <f t="shared" si="36"/>
        <v>15493</v>
      </c>
      <c r="E36" s="1914">
        <f t="shared" si="36"/>
        <v>8789</v>
      </c>
      <c r="F36" s="1915">
        <f t="shared" si="36"/>
        <v>19429</v>
      </c>
      <c r="G36" s="971">
        <f t="shared" si="36"/>
        <v>0</v>
      </c>
      <c r="H36" s="1915">
        <f t="shared" si="36"/>
        <v>0</v>
      </c>
      <c r="I36" s="971">
        <f t="shared" si="36"/>
        <v>0</v>
      </c>
      <c r="J36" s="1915">
        <f t="shared" si="36"/>
        <v>0</v>
      </c>
      <c r="K36" s="971">
        <f t="shared" si="36"/>
        <v>1082</v>
      </c>
      <c r="L36" s="1915">
        <f t="shared" si="36"/>
        <v>3273.6</v>
      </c>
      <c r="M36" s="968"/>
      <c r="N36" s="969" t="s">
        <v>1316</v>
      </c>
      <c r="O36" s="971">
        <f t="shared" ref="O36:AB36" si="37">SUM(O32:O35)</f>
        <v>0</v>
      </c>
      <c r="P36" s="1915">
        <f t="shared" si="37"/>
        <v>0</v>
      </c>
      <c r="Q36" s="1652">
        <f t="shared" si="37"/>
        <v>0</v>
      </c>
      <c r="R36" s="1641">
        <f t="shared" si="37"/>
        <v>61</v>
      </c>
      <c r="S36" s="1914">
        <f t="shared" si="37"/>
        <v>0</v>
      </c>
      <c r="T36" s="1915">
        <f t="shared" si="37"/>
        <v>58</v>
      </c>
      <c r="U36" s="1652">
        <f t="shared" si="37"/>
        <v>0</v>
      </c>
      <c r="V36" s="1641">
        <f t="shared" si="37"/>
        <v>0</v>
      </c>
      <c r="W36" s="1914">
        <f t="shared" si="37"/>
        <v>0</v>
      </c>
      <c r="X36" s="1915">
        <f t="shared" si="37"/>
        <v>0</v>
      </c>
      <c r="Y36" s="1652">
        <f t="shared" si="37"/>
        <v>0</v>
      </c>
      <c r="Z36" s="1641">
        <f t="shared" si="37"/>
        <v>527</v>
      </c>
      <c r="AA36" s="1914">
        <f t="shared" si="37"/>
        <v>0</v>
      </c>
      <c r="AB36" s="1915">
        <f t="shared" si="37"/>
        <v>998</v>
      </c>
      <c r="AC36" s="970"/>
      <c r="AD36" s="969" t="s">
        <v>1316</v>
      </c>
      <c r="AE36" s="1652">
        <f t="shared" ref="AE36:AX36" si="38">SUM(AE32:AE35)</f>
        <v>0</v>
      </c>
      <c r="AF36" s="1641">
        <f t="shared" si="38"/>
        <v>0</v>
      </c>
      <c r="AG36" s="1914">
        <f t="shared" si="38"/>
        <v>0</v>
      </c>
      <c r="AH36" s="1915">
        <f t="shared" si="38"/>
        <v>0</v>
      </c>
      <c r="AI36" s="1652">
        <f t="shared" si="38"/>
        <v>0</v>
      </c>
      <c r="AJ36" s="1641">
        <f t="shared" si="38"/>
        <v>0</v>
      </c>
      <c r="AK36" s="1914">
        <f t="shared" si="38"/>
        <v>0</v>
      </c>
      <c r="AL36" s="1915">
        <f t="shared" si="38"/>
        <v>0</v>
      </c>
      <c r="AM36" s="971">
        <f t="shared" si="38"/>
        <v>0</v>
      </c>
      <c r="AN36" s="1915">
        <f t="shared" si="38"/>
        <v>0</v>
      </c>
      <c r="AO36" s="1652">
        <f t="shared" si="38"/>
        <v>0</v>
      </c>
      <c r="AP36" s="1057">
        <f t="shared" si="38"/>
        <v>0</v>
      </c>
      <c r="AQ36" s="1622">
        <f t="shared" si="38"/>
        <v>0</v>
      </c>
      <c r="AR36" s="1914">
        <f t="shared" si="38"/>
        <v>0</v>
      </c>
      <c r="AS36" s="2091">
        <f t="shared" si="38"/>
        <v>0</v>
      </c>
      <c r="AT36" s="2092">
        <f t="shared" si="38"/>
        <v>0</v>
      </c>
      <c r="AU36" s="1652">
        <f t="shared" si="38"/>
        <v>0</v>
      </c>
      <c r="AV36" s="1641">
        <f t="shared" si="38"/>
        <v>0</v>
      </c>
      <c r="AW36" s="1914">
        <f t="shared" si="38"/>
        <v>0</v>
      </c>
      <c r="AX36" s="1915">
        <f t="shared" si="38"/>
        <v>0</v>
      </c>
      <c r="AY36" s="968"/>
      <c r="AZ36" s="969" t="s">
        <v>1316</v>
      </c>
      <c r="BA36" s="1652">
        <f t="shared" ref="BA36:BD36" si="39">SUM(BA32:BA35)</f>
        <v>0</v>
      </c>
      <c r="BB36" s="1641">
        <f t="shared" si="39"/>
        <v>0</v>
      </c>
      <c r="BC36" s="1914">
        <f t="shared" si="39"/>
        <v>0</v>
      </c>
      <c r="BD36" s="1915">
        <f t="shared" si="39"/>
        <v>0</v>
      </c>
      <c r="BE36" s="968"/>
      <c r="BF36" s="969" t="s">
        <v>1316</v>
      </c>
      <c r="BG36" s="1652">
        <f t="shared" ref="BG36:BX36" si="40">SUM(BG32:BG35)</f>
        <v>0</v>
      </c>
      <c r="BH36" s="1641">
        <f t="shared" si="40"/>
        <v>0</v>
      </c>
      <c r="BI36" s="1914">
        <f t="shared" si="40"/>
        <v>0</v>
      </c>
      <c r="BJ36" s="1915">
        <f t="shared" si="40"/>
        <v>0</v>
      </c>
      <c r="BK36" s="1652">
        <f t="shared" si="40"/>
        <v>0</v>
      </c>
      <c r="BL36" s="1641">
        <f t="shared" si="40"/>
        <v>0</v>
      </c>
      <c r="BM36" s="1914">
        <f t="shared" si="40"/>
        <v>0</v>
      </c>
      <c r="BN36" s="1915">
        <f t="shared" si="40"/>
        <v>0</v>
      </c>
      <c r="BO36" s="971">
        <f t="shared" si="40"/>
        <v>0</v>
      </c>
      <c r="BP36" s="1987">
        <f t="shared" si="40"/>
        <v>0</v>
      </c>
      <c r="BQ36" s="971">
        <f t="shared" si="40"/>
        <v>0</v>
      </c>
      <c r="BR36" s="1987">
        <f t="shared" si="40"/>
        <v>0</v>
      </c>
      <c r="BS36" s="1652">
        <f t="shared" si="40"/>
        <v>0</v>
      </c>
      <c r="BT36" s="1641">
        <f t="shared" si="40"/>
        <v>0</v>
      </c>
      <c r="BU36" s="1914">
        <f t="shared" si="40"/>
        <v>0</v>
      </c>
      <c r="BV36" s="1915">
        <f t="shared" si="40"/>
        <v>0</v>
      </c>
      <c r="BW36" s="971">
        <f t="shared" si="40"/>
        <v>0</v>
      </c>
      <c r="BX36" s="1987">
        <f t="shared" si="40"/>
        <v>0</v>
      </c>
      <c r="BY36" s="1652">
        <f>SUM(BY32:BY35)</f>
        <v>0</v>
      </c>
      <c r="BZ36" s="1641">
        <f>SUM(BZ32:BZ35)</f>
        <v>0</v>
      </c>
      <c r="CA36" s="1914">
        <f>SUM(CA32:CA35)</f>
        <v>0</v>
      </c>
      <c r="CB36" s="1915">
        <f>SUM(CB32:CB35)</f>
        <v>0</v>
      </c>
      <c r="CC36" s="1056">
        <f t="shared" ref="CC36:CD36" si="41">SUM(CC32:CC35)</f>
        <v>0</v>
      </c>
      <c r="CD36" s="2143">
        <f t="shared" si="41"/>
        <v>0</v>
      </c>
      <c r="CE36" s="968"/>
      <c r="CF36" s="969" t="s">
        <v>1316</v>
      </c>
      <c r="CG36" s="1652">
        <f t="shared" ref="CG36:CJ36" si="42">SUM(CG32:CG35)</f>
        <v>0</v>
      </c>
      <c r="CH36" s="1641">
        <f t="shared" si="42"/>
        <v>0</v>
      </c>
      <c r="CI36" s="1914">
        <f t="shared" si="42"/>
        <v>0</v>
      </c>
      <c r="CJ36" s="1915">
        <f t="shared" si="42"/>
        <v>0</v>
      </c>
      <c r="CK36" s="968"/>
      <c r="CL36" s="969" t="s">
        <v>1316</v>
      </c>
      <c r="CM36" s="1652">
        <f t="shared" ref="CM36:DH36" si="43">SUM(CM32:CM35)</f>
        <v>0</v>
      </c>
      <c r="CN36" s="1641">
        <f t="shared" si="43"/>
        <v>0</v>
      </c>
      <c r="CO36" s="1914">
        <f t="shared" si="43"/>
        <v>0</v>
      </c>
      <c r="CP36" s="1915">
        <f t="shared" si="43"/>
        <v>0</v>
      </c>
      <c r="CQ36" s="1652">
        <f t="shared" si="43"/>
        <v>0</v>
      </c>
      <c r="CR36" s="1641">
        <f t="shared" si="43"/>
        <v>0</v>
      </c>
      <c r="CS36" s="1914">
        <f t="shared" si="43"/>
        <v>0</v>
      </c>
      <c r="CT36" s="1915">
        <f t="shared" si="43"/>
        <v>0</v>
      </c>
      <c r="CU36" s="1652">
        <f t="shared" si="43"/>
        <v>0</v>
      </c>
      <c r="CV36" s="1641">
        <f t="shared" si="43"/>
        <v>0</v>
      </c>
      <c r="CW36" s="1914">
        <f t="shared" si="43"/>
        <v>0</v>
      </c>
      <c r="CX36" s="1915">
        <f t="shared" si="43"/>
        <v>0</v>
      </c>
      <c r="CY36" s="1652">
        <f t="shared" si="43"/>
        <v>0</v>
      </c>
      <c r="CZ36" s="1641">
        <f t="shared" si="43"/>
        <v>0</v>
      </c>
      <c r="DA36" s="1914">
        <f t="shared" si="43"/>
        <v>0</v>
      </c>
      <c r="DB36" s="1915">
        <f t="shared" si="43"/>
        <v>0</v>
      </c>
      <c r="DC36" s="971">
        <f t="shared" si="43"/>
        <v>0</v>
      </c>
      <c r="DD36" s="1987">
        <f t="shared" si="43"/>
        <v>0</v>
      </c>
      <c r="DE36" s="1652">
        <f t="shared" si="43"/>
        <v>0</v>
      </c>
      <c r="DF36" s="1641">
        <f t="shared" si="43"/>
        <v>0</v>
      </c>
      <c r="DG36" s="1914">
        <f t="shared" si="43"/>
        <v>0</v>
      </c>
      <c r="DH36" s="1915">
        <f t="shared" si="43"/>
        <v>0</v>
      </c>
      <c r="DI36" s="970"/>
      <c r="DJ36" s="969" t="s">
        <v>1316</v>
      </c>
      <c r="DK36" s="971">
        <f t="shared" ref="DK36:DL36" si="44">SUM(DK32:DK35)</f>
        <v>0</v>
      </c>
      <c r="DL36" s="1987">
        <f t="shared" si="44"/>
        <v>0</v>
      </c>
      <c r="DM36" s="971">
        <f t="shared" ref="DM36:DP36" si="45">SUM(DM32:DM35)</f>
        <v>0</v>
      </c>
      <c r="DN36" s="1987">
        <f t="shared" si="45"/>
        <v>21745</v>
      </c>
      <c r="DO36" s="971">
        <f t="shared" si="45"/>
        <v>0</v>
      </c>
      <c r="DP36" s="1987">
        <f t="shared" si="45"/>
        <v>228</v>
      </c>
      <c r="DQ36" s="968"/>
      <c r="DR36" s="972" t="s">
        <v>1316</v>
      </c>
      <c r="DS36" s="1652">
        <f t="shared" ref="DS36:DV36" si="46">SUM(DS32:DS35)</f>
        <v>0</v>
      </c>
      <c r="DT36" s="1641">
        <f t="shared" si="46"/>
        <v>0</v>
      </c>
      <c r="DU36" s="1914">
        <f t="shared" si="46"/>
        <v>0</v>
      </c>
      <c r="DV36" s="1915">
        <f t="shared" si="46"/>
        <v>0</v>
      </c>
      <c r="DW36" s="968"/>
      <c r="DX36" s="969" t="s">
        <v>1316</v>
      </c>
      <c r="DY36" s="1652">
        <f t="shared" ref="DY36:ED36" si="47">SUM(DY32:DY35)</f>
        <v>0</v>
      </c>
      <c r="DZ36" s="1641">
        <f t="shared" si="47"/>
        <v>0</v>
      </c>
      <c r="EA36" s="1914">
        <f t="shared" si="47"/>
        <v>0</v>
      </c>
      <c r="EB36" s="1915">
        <f t="shared" si="47"/>
        <v>1418</v>
      </c>
      <c r="EC36" s="971">
        <f t="shared" si="47"/>
        <v>0</v>
      </c>
      <c r="ED36" s="1987">
        <f t="shared" si="47"/>
        <v>0</v>
      </c>
      <c r="EE36" s="968"/>
      <c r="EF36" s="969" t="s">
        <v>1316</v>
      </c>
      <c r="EG36" s="971">
        <f t="shared" ref="EG36:EO36" si="48">SUM(EG32:EG35)</f>
        <v>0</v>
      </c>
      <c r="EH36" s="1987">
        <f t="shared" si="48"/>
        <v>0</v>
      </c>
      <c r="EI36" s="1652">
        <f t="shared" si="48"/>
        <v>0</v>
      </c>
      <c r="EJ36" s="1641">
        <f t="shared" si="48"/>
        <v>0</v>
      </c>
      <c r="EK36" s="1914">
        <f t="shared" si="48"/>
        <v>0</v>
      </c>
      <c r="EL36" s="1915">
        <f t="shared" si="48"/>
        <v>0</v>
      </c>
      <c r="EM36" s="1915">
        <f t="shared" si="48"/>
        <v>8789</v>
      </c>
      <c r="EN36" s="1915">
        <f t="shared" si="48"/>
        <v>47149.599999999999</v>
      </c>
      <c r="EO36" s="1915">
        <f t="shared" si="48"/>
        <v>0</v>
      </c>
      <c r="EP36" s="2205">
        <f t="shared" si="19"/>
        <v>55938.6</v>
      </c>
      <c r="EQ36" s="1777">
        <f t="shared" si="16"/>
        <v>9255</v>
      </c>
      <c r="ER36" s="1778">
        <f t="shared" si="17"/>
        <v>17163</v>
      </c>
      <c r="ES36" s="1778">
        <f t="shared" si="18"/>
        <v>0</v>
      </c>
      <c r="ET36" s="1779">
        <f t="shared" si="20"/>
        <v>26418</v>
      </c>
    </row>
    <row r="37" spans="1:150" ht="19.95" customHeight="1" x14ac:dyDescent="0.25">
      <c r="A37" s="973"/>
      <c r="B37" s="974" t="s">
        <v>1317</v>
      </c>
      <c r="C37" s="1653"/>
      <c r="D37" s="978"/>
      <c r="E37" s="1916"/>
      <c r="F37" s="1917"/>
      <c r="G37" s="1681"/>
      <c r="H37" s="1988"/>
      <c r="I37" s="1681"/>
      <c r="J37" s="1988"/>
      <c r="K37" s="1681"/>
      <c r="L37" s="2024"/>
      <c r="M37" s="973"/>
      <c r="N37" s="974" t="s">
        <v>1317</v>
      </c>
      <c r="O37" s="1681"/>
      <c r="P37" s="2024"/>
      <c r="Q37" s="1653"/>
      <c r="R37" s="978"/>
      <c r="S37" s="1916"/>
      <c r="T37" s="1917"/>
      <c r="U37" s="1653"/>
      <c r="V37" s="978"/>
      <c r="W37" s="1916"/>
      <c r="X37" s="1917"/>
      <c r="Y37" s="1653"/>
      <c r="Z37" s="978"/>
      <c r="AA37" s="2055"/>
      <c r="AB37" s="1917"/>
      <c r="AC37" s="975"/>
      <c r="AD37" s="974" t="s">
        <v>1317</v>
      </c>
      <c r="AE37" s="1653"/>
      <c r="AF37" s="978"/>
      <c r="AG37" s="1916"/>
      <c r="AH37" s="1917"/>
      <c r="AI37" s="1653"/>
      <c r="AJ37" s="978"/>
      <c r="AK37" s="1916"/>
      <c r="AL37" s="1917"/>
      <c r="AM37" s="1681"/>
      <c r="AN37" s="2024"/>
      <c r="AO37" s="1866"/>
      <c r="AP37" s="1237"/>
      <c r="AQ37" s="1714"/>
      <c r="AR37" s="2093"/>
      <c r="AS37" s="1490"/>
      <c r="AT37" s="2093"/>
      <c r="AU37" s="1653"/>
      <c r="AV37" s="978"/>
      <c r="AW37" s="1916"/>
      <c r="AX37" s="1917"/>
      <c r="AY37" s="973"/>
      <c r="AZ37" s="974" t="s">
        <v>1317</v>
      </c>
      <c r="BA37" s="1653"/>
      <c r="BB37" s="978"/>
      <c r="BC37" s="1916"/>
      <c r="BD37" s="1917"/>
      <c r="BE37" s="973"/>
      <c r="BF37" s="974" t="s">
        <v>1317</v>
      </c>
      <c r="BG37" s="1653"/>
      <c r="BH37" s="978"/>
      <c r="BI37" s="1916"/>
      <c r="BJ37" s="1917"/>
      <c r="BK37" s="1653"/>
      <c r="BL37" s="978"/>
      <c r="BM37" s="1916"/>
      <c r="BN37" s="1917"/>
      <c r="BO37" s="1681"/>
      <c r="BP37" s="1988"/>
      <c r="BQ37" s="1681"/>
      <c r="BR37" s="2024"/>
      <c r="BS37" s="1653"/>
      <c r="BT37" s="978"/>
      <c r="BU37" s="1916"/>
      <c r="BV37" s="1917"/>
      <c r="BW37" s="1681"/>
      <c r="BX37" s="2024"/>
      <c r="BY37" s="1653"/>
      <c r="BZ37" s="978"/>
      <c r="CA37" s="1916"/>
      <c r="CB37" s="1917"/>
      <c r="CC37" s="1744"/>
      <c r="CD37" s="2151"/>
      <c r="CE37" s="973"/>
      <c r="CF37" s="974" t="s">
        <v>1317</v>
      </c>
      <c r="CG37" s="1653"/>
      <c r="CH37" s="978"/>
      <c r="CI37" s="1916"/>
      <c r="CJ37" s="1917"/>
      <c r="CK37" s="973"/>
      <c r="CL37" s="974" t="s">
        <v>1317</v>
      </c>
      <c r="CM37" s="1653"/>
      <c r="CN37" s="978"/>
      <c r="CO37" s="1916"/>
      <c r="CP37" s="1917"/>
      <c r="CQ37" s="1653"/>
      <c r="CR37" s="978"/>
      <c r="CS37" s="1916"/>
      <c r="CT37" s="1917"/>
      <c r="CU37" s="1653"/>
      <c r="CV37" s="978"/>
      <c r="CW37" s="1916"/>
      <c r="CX37" s="1917"/>
      <c r="CY37" s="1653"/>
      <c r="CZ37" s="978"/>
      <c r="DA37" s="1916"/>
      <c r="DB37" s="1917"/>
      <c r="DC37" s="1681"/>
      <c r="DD37" s="2024"/>
      <c r="DE37" s="1653"/>
      <c r="DF37" s="978"/>
      <c r="DG37" s="1916"/>
      <c r="DH37" s="1917"/>
      <c r="DI37" s="975"/>
      <c r="DJ37" s="974" t="s">
        <v>1317</v>
      </c>
      <c r="DK37" s="1681"/>
      <c r="DL37" s="1988"/>
      <c r="DM37" s="1681"/>
      <c r="DN37" s="1988"/>
      <c r="DO37" s="1681"/>
      <c r="DP37" s="2024"/>
      <c r="DQ37" s="973"/>
      <c r="DR37" s="976" t="s">
        <v>1317</v>
      </c>
      <c r="DS37" s="1653"/>
      <c r="DT37" s="978"/>
      <c r="DU37" s="1916"/>
      <c r="DV37" s="1917"/>
      <c r="DW37" s="973"/>
      <c r="DX37" s="974" t="s">
        <v>1317</v>
      </c>
      <c r="DY37" s="1653"/>
      <c r="DZ37" s="978"/>
      <c r="EA37" s="1916"/>
      <c r="EB37" s="1917"/>
      <c r="EC37" s="1681"/>
      <c r="ED37" s="2024"/>
      <c r="EE37" s="973"/>
      <c r="EF37" s="974" t="s">
        <v>1317</v>
      </c>
      <c r="EG37" s="1681"/>
      <c r="EH37" s="2024"/>
      <c r="EI37" s="1653"/>
      <c r="EJ37" s="978"/>
      <c r="EK37" s="2206"/>
      <c r="EL37" s="1917"/>
      <c r="EM37" s="2209"/>
      <c r="EN37" s="1588"/>
      <c r="EO37" s="1588"/>
      <c r="EP37" s="1588">
        <f t="shared" si="19"/>
        <v>0</v>
      </c>
      <c r="EQ37" s="1713">
        <f t="shared" si="16"/>
        <v>0</v>
      </c>
      <c r="ER37" s="1782">
        <f t="shared" si="17"/>
        <v>0</v>
      </c>
      <c r="ES37" s="1782">
        <f t="shared" si="18"/>
        <v>0</v>
      </c>
      <c r="ET37" s="1783">
        <f t="shared" si="20"/>
        <v>0</v>
      </c>
    </row>
    <row r="38" spans="1:150" ht="15" customHeight="1" x14ac:dyDescent="0.25">
      <c r="A38" s="952">
        <v>1</v>
      </c>
      <c r="B38" s="954" t="s">
        <v>1318</v>
      </c>
      <c r="C38" s="1650">
        <v>1856</v>
      </c>
      <c r="D38" s="979"/>
      <c r="E38" s="1920">
        <v>1856</v>
      </c>
      <c r="F38" s="1921"/>
      <c r="G38" s="1684"/>
      <c r="H38" s="1991"/>
      <c r="I38" s="1684"/>
      <c r="J38" s="1991"/>
      <c r="K38" s="1684"/>
      <c r="L38" s="2027"/>
      <c r="M38" s="952">
        <v>1</v>
      </c>
      <c r="N38" s="954" t="s">
        <v>1319</v>
      </c>
      <c r="O38" s="1684">
        <v>400</v>
      </c>
      <c r="P38" s="2027"/>
      <c r="Q38" s="1650"/>
      <c r="R38" s="979"/>
      <c r="S38" s="1920"/>
      <c r="T38" s="1921"/>
      <c r="U38" s="1650"/>
      <c r="V38" s="979"/>
      <c r="W38" s="1920"/>
      <c r="X38" s="1921"/>
      <c r="Y38" s="1650"/>
      <c r="Z38" s="979"/>
      <c r="AA38" s="2057"/>
      <c r="AB38" s="1921"/>
      <c r="AC38" s="955">
        <v>1</v>
      </c>
      <c r="AD38" s="987" t="s">
        <v>2348</v>
      </c>
      <c r="AE38" s="1650"/>
      <c r="AF38" s="979"/>
      <c r="AG38" s="1920"/>
      <c r="AH38" s="1921"/>
      <c r="AI38" s="1650"/>
      <c r="AJ38" s="979"/>
      <c r="AK38" s="1920"/>
      <c r="AL38" s="1921"/>
      <c r="AM38" s="1684"/>
      <c r="AN38" s="2027"/>
      <c r="AO38" s="1864"/>
      <c r="AP38" s="1246"/>
      <c r="AQ38" s="1088"/>
      <c r="AR38" s="2089">
        <v>5</v>
      </c>
      <c r="AS38" s="1549"/>
      <c r="AT38" s="1947"/>
      <c r="AU38" s="1650"/>
      <c r="AV38" s="979"/>
      <c r="AW38" s="1920"/>
      <c r="AX38" s="1921"/>
      <c r="AY38" s="952">
        <v>1</v>
      </c>
      <c r="AZ38" s="956" t="s">
        <v>1320</v>
      </c>
      <c r="BA38" s="1650"/>
      <c r="BB38" s="979"/>
      <c r="BC38" s="1920"/>
      <c r="BD38" s="1921"/>
      <c r="BE38" s="952">
        <v>1</v>
      </c>
      <c r="BF38" s="956" t="s">
        <v>1321</v>
      </c>
      <c r="BG38" s="1650">
        <f>656621-19678</f>
        <v>636943</v>
      </c>
      <c r="BH38" s="979"/>
      <c r="BI38" s="1920">
        <v>492270</v>
      </c>
      <c r="BJ38" s="1921">
        <v>122360</v>
      </c>
      <c r="BK38" s="1650"/>
      <c r="BL38" s="979"/>
      <c r="BM38" s="1920"/>
      <c r="BN38" s="1921"/>
      <c r="BO38" s="1684"/>
      <c r="BP38" s="1991"/>
      <c r="BQ38" s="1684"/>
      <c r="BR38" s="2027"/>
      <c r="BS38" s="1650"/>
      <c r="BT38" s="979"/>
      <c r="BU38" s="1920"/>
      <c r="BV38" s="1921"/>
      <c r="BW38" s="1684"/>
      <c r="BX38" s="2027"/>
      <c r="BY38" s="1650"/>
      <c r="BZ38" s="979"/>
      <c r="CA38" s="1920"/>
      <c r="CB38" s="1921"/>
      <c r="CC38" s="1747"/>
      <c r="CD38" s="2154"/>
      <c r="CE38" s="952">
        <v>1</v>
      </c>
      <c r="CF38" s="956" t="s">
        <v>1320</v>
      </c>
      <c r="CG38" s="1650"/>
      <c r="CH38" s="979"/>
      <c r="CI38" s="1920"/>
      <c r="CJ38" s="1921"/>
      <c r="CK38" s="952">
        <v>1</v>
      </c>
      <c r="CL38" s="980" t="s">
        <v>1322</v>
      </c>
      <c r="CM38" s="1650"/>
      <c r="CN38" s="979"/>
      <c r="CO38" s="1920"/>
      <c r="CP38" s="1921"/>
      <c r="CQ38" s="1650"/>
      <c r="CR38" s="979"/>
      <c r="CS38" s="1920"/>
      <c r="CT38" s="1921"/>
      <c r="CU38" s="1650"/>
      <c r="CV38" s="979"/>
      <c r="CW38" s="1920"/>
      <c r="CX38" s="1921"/>
      <c r="CY38" s="1650"/>
      <c r="CZ38" s="979"/>
      <c r="DA38" s="1920"/>
      <c r="DB38" s="1921"/>
      <c r="DC38" s="1684"/>
      <c r="DD38" s="2027"/>
      <c r="DE38" s="1650"/>
      <c r="DF38" s="979"/>
      <c r="DG38" s="1920"/>
      <c r="DH38" s="1921"/>
      <c r="DI38" s="955">
        <v>1</v>
      </c>
      <c r="DJ38" s="980" t="s">
        <v>1323</v>
      </c>
      <c r="DK38" s="1684"/>
      <c r="DL38" s="1991"/>
      <c r="DM38" s="1684"/>
      <c r="DN38" s="1991"/>
      <c r="DO38" s="1684"/>
      <c r="DP38" s="2027"/>
      <c r="DQ38" s="952"/>
      <c r="DR38" s="958" t="s">
        <v>1324</v>
      </c>
      <c r="DS38" s="1650">
        <v>1905</v>
      </c>
      <c r="DT38" s="979"/>
      <c r="DU38" s="1920"/>
      <c r="DV38" s="1911">
        <v>1500</v>
      </c>
      <c r="DW38" s="952">
        <v>1</v>
      </c>
      <c r="DX38" s="954" t="s">
        <v>2113</v>
      </c>
      <c r="DY38" s="1650"/>
      <c r="DZ38" s="979"/>
      <c r="EA38" s="1920"/>
      <c r="EB38" s="1911">
        <v>9144</v>
      </c>
      <c r="EC38" s="1684"/>
      <c r="ED38" s="2027"/>
      <c r="EE38" s="952">
        <v>1</v>
      </c>
      <c r="EF38" s="956" t="s">
        <v>1326</v>
      </c>
      <c r="EG38" s="985">
        <v>143716</v>
      </c>
      <c r="EH38" s="2022">
        <v>132644</v>
      </c>
      <c r="EI38" s="1650"/>
      <c r="EJ38" s="979"/>
      <c r="EK38" s="2210"/>
      <c r="EL38" s="1921"/>
      <c r="EM38" s="2202">
        <f t="shared" ref="EM38:EM91" si="49">E38+S38+W38+AA38+AG38+AK38+AN38+AR38+AW38+BC38+BI38+BM38+BR38+BU38+CA38+CD38+CI38+CO38+CS38+CW38+DA38+DG38+DU38+EA38+EK38</f>
        <v>494131</v>
      </c>
      <c r="EN38" s="1585">
        <f t="shared" ref="EN38:EN91" si="50">F38+H38+J38+L38+P38+T38+X38+AB38+AH38+AL38+AS38+AX38+BD38+BJ38+BN38+BP38+BV38+BX38+CB38+CJ38+CP38+CT38+CX38+DB38+DD38+DH38+DN38+DP38+DV38+EB38+ED38+EH38+EL38+DL38</f>
        <v>265648</v>
      </c>
      <c r="EO38" s="1585">
        <f t="shared" ref="EO38:EO91" si="51">AQ38</f>
        <v>0</v>
      </c>
      <c r="EP38" s="1585">
        <f t="shared" si="19"/>
        <v>759779</v>
      </c>
      <c r="EQ38" s="988">
        <f t="shared" si="16"/>
        <v>640704</v>
      </c>
      <c r="ER38" s="1775">
        <f t="shared" si="17"/>
        <v>144116</v>
      </c>
      <c r="ES38" s="1775">
        <f t="shared" si="18"/>
        <v>0</v>
      </c>
      <c r="ET38" s="992">
        <f t="shared" si="20"/>
        <v>784820</v>
      </c>
    </row>
    <row r="39" spans="1:150" ht="39.6" x14ac:dyDescent="0.25">
      <c r="A39" s="952">
        <v>2</v>
      </c>
      <c r="B39" s="954" t="s">
        <v>1327</v>
      </c>
      <c r="C39" s="1650">
        <v>2184</v>
      </c>
      <c r="D39" s="960"/>
      <c r="E39" s="2198">
        <v>2184</v>
      </c>
      <c r="F39" s="2199"/>
      <c r="G39" s="985"/>
      <c r="H39" s="1985"/>
      <c r="I39" s="985"/>
      <c r="J39" s="1985"/>
      <c r="K39" s="985"/>
      <c r="L39" s="2022"/>
      <c r="M39" s="952">
        <v>2</v>
      </c>
      <c r="N39" s="954" t="s">
        <v>1328</v>
      </c>
      <c r="O39" s="985"/>
      <c r="P39" s="2022"/>
      <c r="Q39" s="1650">
        <v>1200</v>
      </c>
      <c r="R39" s="960"/>
      <c r="S39" s="1910">
        <v>600</v>
      </c>
      <c r="T39" s="1911"/>
      <c r="U39" s="1650"/>
      <c r="V39" s="960"/>
      <c r="W39" s="1910"/>
      <c r="X39" s="1911"/>
      <c r="Y39" s="1650"/>
      <c r="Z39" s="960"/>
      <c r="AA39" s="2053"/>
      <c r="AB39" s="1911"/>
      <c r="AC39" s="955">
        <v>2</v>
      </c>
      <c r="AD39" s="954"/>
      <c r="AE39" s="1650"/>
      <c r="AF39" s="960"/>
      <c r="AG39" s="1910"/>
      <c r="AH39" s="1911"/>
      <c r="AI39" s="1650"/>
      <c r="AJ39" s="960"/>
      <c r="AK39" s="1910"/>
      <c r="AL39" s="1911"/>
      <c r="AM39" s="985"/>
      <c r="AN39" s="2022"/>
      <c r="AO39" s="1665"/>
      <c r="AP39" s="1246"/>
      <c r="AQ39" s="1088"/>
      <c r="AR39" s="1947"/>
      <c r="AS39" s="1549"/>
      <c r="AT39" s="1947"/>
      <c r="AU39" s="1650"/>
      <c r="AV39" s="960"/>
      <c r="AW39" s="1910"/>
      <c r="AX39" s="1911"/>
      <c r="AY39" s="952">
        <v>2</v>
      </c>
      <c r="AZ39" s="954" t="s">
        <v>1329</v>
      </c>
      <c r="BA39" s="1650"/>
      <c r="BB39" s="960">
        <v>1000</v>
      </c>
      <c r="BC39" s="1910"/>
      <c r="BD39" s="1911">
        <v>1000</v>
      </c>
      <c r="BE39" s="952">
        <v>2</v>
      </c>
      <c r="BF39" s="981" t="s">
        <v>1330</v>
      </c>
      <c r="BG39" s="1650">
        <f>177288-5312</f>
        <v>171976</v>
      </c>
      <c r="BH39" s="960"/>
      <c r="BI39" s="1910">
        <v>132913</v>
      </c>
      <c r="BJ39" s="1911">
        <f>33225-188</f>
        <v>33037</v>
      </c>
      <c r="BK39" s="1650"/>
      <c r="BL39" s="960"/>
      <c r="BM39" s="1910"/>
      <c r="BN39" s="1911"/>
      <c r="BO39" s="985"/>
      <c r="BP39" s="1985"/>
      <c r="BQ39" s="985"/>
      <c r="BR39" s="2022"/>
      <c r="BS39" s="1650"/>
      <c r="BT39" s="960"/>
      <c r="BU39" s="1910"/>
      <c r="BV39" s="1911"/>
      <c r="BW39" s="985"/>
      <c r="BX39" s="2022"/>
      <c r="BY39" s="1650"/>
      <c r="BZ39" s="960"/>
      <c r="CA39" s="1910"/>
      <c r="CB39" s="1911"/>
      <c r="CC39" s="1747"/>
      <c r="CD39" s="2154"/>
      <c r="CE39" s="952">
        <v>2</v>
      </c>
      <c r="CF39" s="954" t="s">
        <v>1331</v>
      </c>
      <c r="CG39" s="1650"/>
      <c r="CH39" s="960"/>
      <c r="CI39" s="1910"/>
      <c r="CJ39" s="1911"/>
      <c r="CK39" s="952">
        <v>2</v>
      </c>
      <c r="CL39" s="980" t="s">
        <v>1332</v>
      </c>
      <c r="CM39" s="1650"/>
      <c r="CN39" s="960"/>
      <c r="CO39" s="1910"/>
      <c r="CP39" s="1911"/>
      <c r="CQ39" s="1650"/>
      <c r="CR39" s="960"/>
      <c r="CS39" s="1910"/>
      <c r="CT39" s="1911"/>
      <c r="CU39" s="1650"/>
      <c r="CV39" s="960"/>
      <c r="CW39" s="1910"/>
      <c r="CX39" s="1911"/>
      <c r="CY39" s="1650"/>
      <c r="CZ39" s="960"/>
      <c r="DA39" s="1910"/>
      <c r="DB39" s="1911"/>
      <c r="DC39" s="985"/>
      <c r="DD39" s="2022"/>
      <c r="DE39" s="1650"/>
      <c r="DF39" s="960"/>
      <c r="DG39" s="1910"/>
      <c r="DH39" s="1911"/>
      <c r="DI39" s="955">
        <v>2</v>
      </c>
      <c r="DJ39" s="980" t="s">
        <v>1330</v>
      </c>
      <c r="DK39" s="985"/>
      <c r="DL39" s="1985"/>
      <c r="DM39" s="985"/>
      <c r="DN39" s="1985"/>
      <c r="DO39" s="985"/>
      <c r="DP39" s="2022"/>
      <c r="DQ39" s="952"/>
      <c r="DR39" s="963" t="s">
        <v>1333</v>
      </c>
      <c r="DS39" s="1650">
        <v>1000</v>
      </c>
      <c r="DT39" s="960"/>
      <c r="DU39" s="1910"/>
      <c r="DV39" s="1911"/>
      <c r="DW39" s="952">
        <v>2</v>
      </c>
      <c r="DX39" s="956" t="s">
        <v>1334</v>
      </c>
      <c r="DY39" s="1650"/>
      <c r="DZ39" s="960"/>
      <c r="EA39" s="1910"/>
      <c r="EB39" s="1911"/>
      <c r="EC39" s="985"/>
      <c r="ED39" s="2022"/>
      <c r="EE39" s="952">
        <v>2</v>
      </c>
      <c r="EF39" s="956"/>
      <c r="EG39" s="985"/>
      <c r="EH39" s="2022"/>
      <c r="EI39" s="1650"/>
      <c r="EJ39" s="960"/>
      <c r="EK39" s="2203"/>
      <c r="EL39" s="1911"/>
      <c r="EM39" s="2202">
        <f t="shared" si="49"/>
        <v>135697</v>
      </c>
      <c r="EN39" s="1585">
        <f t="shared" si="50"/>
        <v>34037</v>
      </c>
      <c r="EO39" s="1585">
        <f t="shared" si="51"/>
        <v>0</v>
      </c>
      <c r="EP39" s="1585">
        <f t="shared" si="19"/>
        <v>169734</v>
      </c>
      <c r="EQ39" s="988">
        <f t="shared" si="16"/>
        <v>176360</v>
      </c>
      <c r="ER39" s="1775">
        <f t="shared" si="17"/>
        <v>1000</v>
      </c>
      <c r="ES39" s="1775">
        <f t="shared" si="18"/>
        <v>0</v>
      </c>
      <c r="ET39" s="992">
        <f t="shared" si="20"/>
        <v>177360</v>
      </c>
    </row>
    <row r="40" spans="1:150" ht="26.4" x14ac:dyDescent="0.25">
      <c r="A40" s="952">
        <v>3</v>
      </c>
      <c r="B40" s="954" t="s">
        <v>1335</v>
      </c>
      <c r="C40" s="1650"/>
      <c r="D40" s="960"/>
      <c r="E40" s="2198"/>
      <c r="F40" s="2199">
        <f>1925-1925</f>
        <v>0</v>
      </c>
      <c r="G40" s="985"/>
      <c r="H40" s="1985"/>
      <c r="I40" s="985"/>
      <c r="J40" s="1985"/>
      <c r="K40" s="985"/>
      <c r="L40" s="2022"/>
      <c r="M40" s="952">
        <v>3</v>
      </c>
      <c r="N40" s="954" t="s">
        <v>1336</v>
      </c>
      <c r="O40" s="985"/>
      <c r="P40" s="2022"/>
      <c r="Q40" s="1650"/>
      <c r="R40" s="960">
        <v>89</v>
      </c>
      <c r="S40" s="1910"/>
      <c r="T40" s="1911">
        <v>92</v>
      </c>
      <c r="U40" s="1650"/>
      <c r="V40" s="960"/>
      <c r="W40" s="1910"/>
      <c r="X40" s="1911"/>
      <c r="Y40" s="1650"/>
      <c r="Z40" s="960"/>
      <c r="AA40" s="2053"/>
      <c r="AB40" s="1911"/>
      <c r="AC40" s="955">
        <v>3</v>
      </c>
      <c r="AD40" s="954"/>
      <c r="AE40" s="1650"/>
      <c r="AF40" s="960"/>
      <c r="AG40" s="1910"/>
      <c r="AH40" s="1911"/>
      <c r="AI40" s="1650"/>
      <c r="AJ40" s="960"/>
      <c r="AK40" s="1910"/>
      <c r="AL40" s="1911"/>
      <c r="AM40" s="985"/>
      <c r="AN40" s="2022"/>
      <c r="AO40" s="1864"/>
      <c r="AP40" s="989"/>
      <c r="AQ40" s="990"/>
      <c r="AR40" s="2089"/>
      <c r="AS40" s="1544"/>
      <c r="AT40" s="2089"/>
      <c r="AU40" s="1650"/>
      <c r="AV40" s="960"/>
      <c r="AW40" s="1910"/>
      <c r="AX40" s="1911"/>
      <c r="AY40" s="952">
        <v>3</v>
      </c>
      <c r="AZ40" s="954" t="s">
        <v>1337</v>
      </c>
      <c r="BA40" s="1650"/>
      <c r="BB40" s="960">
        <v>1050</v>
      </c>
      <c r="BC40" s="1910"/>
      <c r="BD40" s="1911"/>
      <c r="BE40" s="952">
        <v>3</v>
      </c>
      <c r="BF40" s="954" t="s">
        <v>1338</v>
      </c>
      <c r="BG40" s="1650">
        <f>94547-45628</f>
        <v>48919</v>
      </c>
      <c r="BH40" s="960"/>
      <c r="BI40" s="1910">
        <f>101470+1492-2162</f>
        <v>100800</v>
      </c>
      <c r="BJ40" s="1911"/>
      <c r="BK40" s="1650"/>
      <c r="BL40" s="960"/>
      <c r="BM40" s="1910"/>
      <c r="BN40" s="1911"/>
      <c r="BO40" s="985"/>
      <c r="BP40" s="1985"/>
      <c r="BQ40" s="985"/>
      <c r="BR40" s="2022"/>
      <c r="BS40" s="1650"/>
      <c r="BT40" s="960"/>
      <c r="BU40" s="1910"/>
      <c r="BV40" s="1911"/>
      <c r="BW40" s="985"/>
      <c r="BX40" s="2022"/>
      <c r="BY40" s="1650"/>
      <c r="BZ40" s="960"/>
      <c r="CA40" s="1910"/>
      <c r="CB40" s="1911"/>
      <c r="CC40" s="1723"/>
      <c r="CD40" s="2113"/>
      <c r="CE40" s="952">
        <v>3</v>
      </c>
      <c r="CF40" s="954" t="s">
        <v>1339</v>
      </c>
      <c r="CG40" s="1650"/>
      <c r="CH40" s="960"/>
      <c r="CI40" s="1910"/>
      <c r="CJ40" s="1911"/>
      <c r="CK40" s="952">
        <v>3</v>
      </c>
      <c r="CL40" s="980" t="s">
        <v>1340</v>
      </c>
      <c r="CM40" s="1650"/>
      <c r="CN40" s="960"/>
      <c r="CO40" s="1910"/>
      <c r="CP40" s="1911"/>
      <c r="CQ40" s="1650"/>
      <c r="CR40" s="960"/>
      <c r="CS40" s="1910"/>
      <c r="CT40" s="1911"/>
      <c r="CU40" s="1650"/>
      <c r="CV40" s="960"/>
      <c r="CW40" s="1910"/>
      <c r="CX40" s="1911"/>
      <c r="CY40" s="1650"/>
      <c r="CZ40" s="960"/>
      <c r="DA40" s="1910"/>
      <c r="DB40" s="1911"/>
      <c r="DC40" s="985"/>
      <c r="DD40" s="2022"/>
      <c r="DE40" s="1650"/>
      <c r="DF40" s="960"/>
      <c r="DG40" s="1910"/>
      <c r="DH40" s="1911"/>
      <c r="DI40" s="955">
        <v>3</v>
      </c>
      <c r="DJ40" s="982" t="s">
        <v>1341</v>
      </c>
      <c r="DK40" s="985"/>
      <c r="DL40" s="1985"/>
      <c r="DM40" s="985"/>
      <c r="DN40" s="1985"/>
      <c r="DO40" s="985"/>
      <c r="DP40" s="2022"/>
      <c r="DQ40" s="952">
        <v>1</v>
      </c>
      <c r="DR40" s="959" t="s">
        <v>1342</v>
      </c>
      <c r="DS40" s="1650">
        <f>8255-6160</f>
        <v>2095</v>
      </c>
      <c r="DT40" s="960"/>
      <c r="DU40" s="1910"/>
      <c r="DV40" s="1911"/>
      <c r="DW40" s="952">
        <v>3</v>
      </c>
      <c r="DX40" s="983" t="s">
        <v>1343</v>
      </c>
      <c r="DY40" s="1650"/>
      <c r="DZ40" s="960"/>
      <c r="EA40" s="1910"/>
      <c r="EB40" s="1911"/>
      <c r="EC40" s="985"/>
      <c r="ED40" s="2022"/>
      <c r="EE40" s="952">
        <v>3</v>
      </c>
      <c r="EF40" s="954"/>
      <c r="EG40" s="985"/>
      <c r="EH40" s="2022"/>
      <c r="EI40" s="1650"/>
      <c r="EJ40" s="960"/>
      <c r="EK40" s="2203"/>
      <c r="EL40" s="1911"/>
      <c r="EM40" s="2202">
        <f t="shared" si="49"/>
        <v>100800</v>
      </c>
      <c r="EN40" s="1585">
        <f t="shared" si="50"/>
        <v>92</v>
      </c>
      <c r="EO40" s="1585">
        <f t="shared" si="51"/>
        <v>0</v>
      </c>
      <c r="EP40" s="1585">
        <f t="shared" si="19"/>
        <v>100892</v>
      </c>
      <c r="EQ40" s="988">
        <f t="shared" si="16"/>
        <v>51014</v>
      </c>
      <c r="ER40" s="1775">
        <f t="shared" si="17"/>
        <v>1139</v>
      </c>
      <c r="ES40" s="1775">
        <f t="shared" si="18"/>
        <v>0</v>
      </c>
      <c r="ET40" s="992">
        <f t="shared" si="20"/>
        <v>52153</v>
      </c>
    </row>
    <row r="41" spans="1:150" s="368" customFormat="1" ht="26.4" x14ac:dyDescent="0.25">
      <c r="A41" s="984">
        <v>4</v>
      </c>
      <c r="B41" s="980" t="s">
        <v>1344</v>
      </c>
      <c r="C41" s="1650"/>
      <c r="D41" s="960">
        <v>1000</v>
      </c>
      <c r="E41" s="1910"/>
      <c r="F41" s="1911"/>
      <c r="G41" s="985"/>
      <c r="H41" s="1985"/>
      <c r="I41" s="985"/>
      <c r="J41" s="1985"/>
      <c r="K41" s="985"/>
      <c r="L41" s="2022"/>
      <c r="M41" s="984">
        <v>4</v>
      </c>
      <c r="N41" s="980" t="s">
        <v>2307</v>
      </c>
      <c r="O41" s="985"/>
      <c r="P41" s="2022"/>
      <c r="Q41" s="1650"/>
      <c r="R41" s="960"/>
      <c r="S41" s="1910"/>
      <c r="T41" s="1911">
        <v>2000</v>
      </c>
      <c r="U41" s="1650"/>
      <c r="V41" s="960"/>
      <c r="W41" s="1910"/>
      <c r="X41" s="1911"/>
      <c r="Y41" s="1650"/>
      <c r="Z41" s="960"/>
      <c r="AA41" s="2053"/>
      <c r="AB41" s="1911"/>
      <c r="AC41" s="986">
        <v>4</v>
      </c>
      <c r="AD41" s="987"/>
      <c r="AE41" s="1650"/>
      <c r="AF41" s="960"/>
      <c r="AG41" s="1910"/>
      <c r="AH41" s="1911"/>
      <c r="AI41" s="1650"/>
      <c r="AJ41" s="960"/>
      <c r="AK41" s="1910"/>
      <c r="AL41" s="1911"/>
      <c r="AM41" s="985"/>
      <c r="AN41" s="2022"/>
      <c r="AO41" s="1864"/>
      <c r="AP41" s="989"/>
      <c r="AQ41" s="990"/>
      <c r="AR41" s="2089"/>
      <c r="AS41" s="1544"/>
      <c r="AT41" s="2089"/>
      <c r="AU41" s="1650"/>
      <c r="AV41" s="960"/>
      <c r="AW41" s="1910"/>
      <c r="AX41" s="1911"/>
      <c r="AY41" s="984">
        <v>4</v>
      </c>
      <c r="AZ41" s="987" t="s">
        <v>1345</v>
      </c>
      <c r="BA41" s="1650"/>
      <c r="BB41" s="960"/>
      <c r="BC41" s="1910"/>
      <c r="BD41" s="1911"/>
      <c r="BE41" s="984">
        <v>4</v>
      </c>
      <c r="BF41" s="980" t="s">
        <v>1346</v>
      </c>
      <c r="BG41" s="1650"/>
      <c r="BH41" s="960"/>
      <c r="BI41" s="1910"/>
      <c r="BJ41" s="1911"/>
      <c r="BK41" s="1650">
        <v>1000</v>
      </c>
      <c r="BL41" s="960"/>
      <c r="BM41" s="1910">
        <v>1000</v>
      </c>
      <c r="BN41" s="1911"/>
      <c r="BO41" s="985"/>
      <c r="BP41" s="1985"/>
      <c r="BQ41" s="985"/>
      <c r="BR41" s="2022"/>
      <c r="BS41" s="1650"/>
      <c r="BT41" s="960"/>
      <c r="BU41" s="1910"/>
      <c r="BV41" s="1911"/>
      <c r="BW41" s="985"/>
      <c r="BX41" s="2022"/>
      <c r="BY41" s="1650"/>
      <c r="BZ41" s="960"/>
      <c r="CA41" s="1910"/>
      <c r="CB41" s="1911"/>
      <c r="CC41" s="1723"/>
      <c r="CD41" s="2113"/>
      <c r="CE41" s="984">
        <v>4</v>
      </c>
      <c r="CF41" s="980" t="s">
        <v>1347</v>
      </c>
      <c r="CG41" s="1650"/>
      <c r="CH41" s="960"/>
      <c r="CI41" s="1910"/>
      <c r="CJ41" s="1911"/>
      <c r="CK41" s="984">
        <v>4</v>
      </c>
      <c r="CL41" s="987" t="s">
        <v>1348</v>
      </c>
      <c r="CM41" s="1650"/>
      <c r="CN41" s="960"/>
      <c r="CO41" s="1910"/>
      <c r="CP41" s="1911"/>
      <c r="CQ41" s="1650"/>
      <c r="CR41" s="960"/>
      <c r="CS41" s="1910"/>
      <c r="CT41" s="1911"/>
      <c r="CU41" s="1650"/>
      <c r="CV41" s="960"/>
      <c r="CW41" s="1910"/>
      <c r="CX41" s="1911"/>
      <c r="CY41" s="1650"/>
      <c r="CZ41" s="960"/>
      <c r="DA41" s="1910"/>
      <c r="DB41" s="1911"/>
      <c r="DC41" s="985"/>
      <c r="DD41" s="2022"/>
      <c r="DE41" s="1650"/>
      <c r="DF41" s="960"/>
      <c r="DG41" s="1910"/>
      <c r="DH41" s="1911"/>
      <c r="DI41" s="986">
        <v>4</v>
      </c>
      <c r="DJ41" s="980" t="s">
        <v>1330</v>
      </c>
      <c r="DK41" s="985"/>
      <c r="DL41" s="1985"/>
      <c r="DM41" s="985"/>
      <c r="DN41" s="1985"/>
      <c r="DO41" s="985"/>
      <c r="DP41" s="2022"/>
      <c r="DQ41" s="984">
        <v>2</v>
      </c>
      <c r="DR41" s="991" t="s">
        <v>1349</v>
      </c>
      <c r="DS41" s="1650"/>
      <c r="DT41" s="960"/>
      <c r="DU41" s="1910"/>
      <c r="DV41" s="1911"/>
      <c r="DW41" s="984">
        <v>4</v>
      </c>
      <c r="DX41" s="987" t="s">
        <v>1350</v>
      </c>
      <c r="DY41" s="1650"/>
      <c r="DZ41" s="960"/>
      <c r="EA41" s="1910"/>
      <c r="EB41" s="1911"/>
      <c r="EC41" s="985"/>
      <c r="ED41" s="2022"/>
      <c r="EE41" s="984">
        <v>4</v>
      </c>
      <c r="EF41" s="987"/>
      <c r="EG41" s="985"/>
      <c r="EH41" s="2022"/>
      <c r="EI41" s="1650"/>
      <c r="EJ41" s="960"/>
      <c r="EK41" s="2203"/>
      <c r="EL41" s="1911"/>
      <c r="EM41" s="2202">
        <f t="shared" si="49"/>
        <v>1000</v>
      </c>
      <c r="EN41" s="1585">
        <f t="shared" si="50"/>
        <v>2000</v>
      </c>
      <c r="EO41" s="1585">
        <f t="shared" si="51"/>
        <v>0</v>
      </c>
      <c r="EP41" s="1585">
        <f t="shared" si="19"/>
        <v>3000</v>
      </c>
      <c r="EQ41" s="988">
        <f t="shared" si="16"/>
        <v>1000</v>
      </c>
      <c r="ER41" s="1775">
        <f t="shared" si="17"/>
        <v>1000</v>
      </c>
      <c r="ES41" s="1775">
        <f t="shared" si="18"/>
        <v>0</v>
      </c>
      <c r="ET41" s="992">
        <f t="shared" si="20"/>
        <v>2000</v>
      </c>
    </row>
    <row r="42" spans="1:150" s="368" customFormat="1" ht="39.6" x14ac:dyDescent="0.25">
      <c r="A42" s="984">
        <v>5</v>
      </c>
      <c r="B42" s="980" t="s">
        <v>1351</v>
      </c>
      <c r="C42" s="1650"/>
      <c r="D42" s="960">
        <v>400</v>
      </c>
      <c r="E42" s="1910"/>
      <c r="F42" s="1911"/>
      <c r="G42" s="985"/>
      <c r="H42" s="1985"/>
      <c r="I42" s="985"/>
      <c r="J42" s="1985"/>
      <c r="K42" s="985"/>
      <c r="L42" s="2022"/>
      <c r="M42" s="984">
        <v>6</v>
      </c>
      <c r="N42" s="987" t="s">
        <v>2308</v>
      </c>
      <c r="O42" s="985"/>
      <c r="P42" s="2022"/>
      <c r="Q42" s="1650"/>
      <c r="R42" s="960"/>
      <c r="S42" s="1910"/>
      <c r="T42" s="1911">
        <v>9300</v>
      </c>
      <c r="U42" s="1650"/>
      <c r="V42" s="960"/>
      <c r="W42" s="1910"/>
      <c r="X42" s="1911"/>
      <c r="Y42" s="1650"/>
      <c r="Z42" s="960"/>
      <c r="AA42" s="2053"/>
      <c r="AB42" s="1911"/>
      <c r="AC42" s="986">
        <v>5</v>
      </c>
      <c r="AD42" s="980"/>
      <c r="AE42" s="1650"/>
      <c r="AF42" s="960"/>
      <c r="AG42" s="1910"/>
      <c r="AH42" s="1911"/>
      <c r="AI42" s="1650"/>
      <c r="AJ42" s="960"/>
      <c r="AK42" s="1910"/>
      <c r="AL42" s="1911"/>
      <c r="AM42" s="985"/>
      <c r="AN42" s="2022"/>
      <c r="AO42" s="1864"/>
      <c r="AP42" s="989"/>
      <c r="AQ42" s="990"/>
      <c r="AR42" s="2089"/>
      <c r="AS42" s="1544"/>
      <c r="AT42" s="2089"/>
      <c r="AU42" s="1650"/>
      <c r="AV42" s="960"/>
      <c r="AW42" s="1910"/>
      <c r="AX42" s="1911"/>
      <c r="AY42" s="984">
        <v>5</v>
      </c>
      <c r="AZ42" s="980"/>
      <c r="BA42" s="1650"/>
      <c r="BB42" s="960"/>
      <c r="BC42" s="1910"/>
      <c r="BD42" s="1911"/>
      <c r="BE42" s="984">
        <v>5</v>
      </c>
      <c r="BF42" s="987" t="s">
        <v>1352</v>
      </c>
      <c r="BG42" s="1650"/>
      <c r="BH42" s="960"/>
      <c r="BI42" s="1910"/>
      <c r="BJ42" s="1911"/>
      <c r="BK42" s="1650">
        <f>53150+4039</f>
        <v>57189</v>
      </c>
      <c r="BL42" s="960"/>
      <c r="BM42" s="1910">
        <v>63780</v>
      </c>
      <c r="BN42" s="1911"/>
      <c r="BO42" s="985"/>
      <c r="BP42" s="1985"/>
      <c r="BQ42" s="985"/>
      <c r="BR42" s="2022"/>
      <c r="BS42" s="1650"/>
      <c r="BT42" s="960"/>
      <c r="BU42" s="1910"/>
      <c r="BV42" s="1911"/>
      <c r="BW42" s="985"/>
      <c r="BX42" s="2022"/>
      <c r="BY42" s="1650"/>
      <c r="BZ42" s="960"/>
      <c r="CA42" s="1910"/>
      <c r="CB42" s="1911"/>
      <c r="CC42" s="1723"/>
      <c r="CD42" s="2113"/>
      <c r="CE42" s="984">
        <v>5</v>
      </c>
      <c r="CF42" s="980" t="s">
        <v>1353</v>
      </c>
      <c r="CG42" s="1650"/>
      <c r="CH42" s="960"/>
      <c r="CI42" s="1910"/>
      <c r="CJ42" s="1911"/>
      <c r="CK42" s="984">
        <v>5</v>
      </c>
      <c r="CL42" s="980" t="s">
        <v>1354</v>
      </c>
      <c r="CM42" s="1650"/>
      <c r="CN42" s="960"/>
      <c r="CO42" s="1910"/>
      <c r="CP42" s="1911"/>
      <c r="CQ42" s="1650"/>
      <c r="CR42" s="960"/>
      <c r="CS42" s="1910"/>
      <c r="CT42" s="1911"/>
      <c r="CU42" s="1650"/>
      <c r="CV42" s="960"/>
      <c r="CW42" s="1910"/>
      <c r="CX42" s="1911"/>
      <c r="CY42" s="1650"/>
      <c r="CZ42" s="960"/>
      <c r="DA42" s="1910"/>
      <c r="DB42" s="1911"/>
      <c r="DC42" s="985"/>
      <c r="DD42" s="2022"/>
      <c r="DE42" s="1650"/>
      <c r="DF42" s="960"/>
      <c r="DG42" s="1910"/>
      <c r="DH42" s="1911"/>
      <c r="DI42" s="986">
        <v>5</v>
      </c>
      <c r="DJ42" s="993" t="s">
        <v>1355</v>
      </c>
      <c r="DK42" s="985"/>
      <c r="DL42" s="1985"/>
      <c r="DM42" s="985"/>
      <c r="DN42" s="1985"/>
      <c r="DO42" s="985"/>
      <c r="DP42" s="2022"/>
      <c r="DQ42" s="984">
        <v>3</v>
      </c>
      <c r="DR42" s="994" t="s">
        <v>1356</v>
      </c>
      <c r="DS42" s="1650"/>
      <c r="DT42" s="960">
        <v>700</v>
      </c>
      <c r="DU42" s="1910"/>
      <c r="DV42" s="1911"/>
      <c r="DW42" s="984">
        <v>5</v>
      </c>
      <c r="DX42" s="980" t="s">
        <v>1357</v>
      </c>
      <c r="DY42" s="1650"/>
      <c r="DZ42" s="960"/>
      <c r="EA42" s="1910"/>
      <c r="EB42" s="1911"/>
      <c r="EC42" s="985"/>
      <c r="ED42" s="2022"/>
      <c r="EE42" s="984">
        <v>5</v>
      </c>
      <c r="EF42" s="980"/>
      <c r="EG42" s="985"/>
      <c r="EH42" s="2022"/>
      <c r="EI42" s="1650"/>
      <c r="EJ42" s="960"/>
      <c r="EK42" s="2203"/>
      <c r="EL42" s="1911"/>
      <c r="EM42" s="2202">
        <f t="shared" si="49"/>
        <v>63780</v>
      </c>
      <c r="EN42" s="1585">
        <f t="shared" si="50"/>
        <v>9300</v>
      </c>
      <c r="EO42" s="1585">
        <f t="shared" si="51"/>
        <v>0</v>
      </c>
      <c r="EP42" s="1585">
        <f t="shared" si="19"/>
        <v>73080</v>
      </c>
      <c r="EQ42" s="988">
        <f t="shared" si="16"/>
        <v>57189</v>
      </c>
      <c r="ER42" s="1775">
        <f t="shared" si="17"/>
        <v>1100</v>
      </c>
      <c r="ES42" s="1775">
        <f t="shared" si="18"/>
        <v>0</v>
      </c>
      <c r="ET42" s="992">
        <f t="shared" si="20"/>
        <v>58289</v>
      </c>
    </row>
    <row r="43" spans="1:150" s="368" customFormat="1" ht="26.4" x14ac:dyDescent="0.25">
      <c r="A43" s="984">
        <v>6</v>
      </c>
      <c r="B43" s="980" t="s">
        <v>1358</v>
      </c>
      <c r="C43" s="1650"/>
      <c r="D43" s="960">
        <v>200</v>
      </c>
      <c r="E43" s="1910"/>
      <c r="F43" s="1911"/>
      <c r="G43" s="985"/>
      <c r="H43" s="1985"/>
      <c r="I43" s="985"/>
      <c r="J43" s="1985"/>
      <c r="K43" s="985"/>
      <c r="L43" s="2022"/>
      <c r="M43" s="984">
        <v>7</v>
      </c>
      <c r="N43" s="980" t="s">
        <v>1359</v>
      </c>
      <c r="O43" s="985"/>
      <c r="P43" s="2022"/>
      <c r="Q43" s="1650"/>
      <c r="R43" s="960"/>
      <c r="S43" s="1910"/>
      <c r="T43" s="1911"/>
      <c r="U43" s="1650"/>
      <c r="V43" s="960"/>
      <c r="W43" s="1910"/>
      <c r="X43" s="1911"/>
      <c r="Y43" s="1650"/>
      <c r="Z43" s="960"/>
      <c r="AA43" s="2053"/>
      <c r="AB43" s="1911"/>
      <c r="AC43" s="986">
        <v>6</v>
      </c>
      <c r="AD43" s="980"/>
      <c r="AE43" s="1650"/>
      <c r="AF43" s="960"/>
      <c r="AG43" s="1910"/>
      <c r="AH43" s="1911"/>
      <c r="AI43" s="1650"/>
      <c r="AJ43" s="960"/>
      <c r="AK43" s="1910"/>
      <c r="AL43" s="1911"/>
      <c r="AM43" s="985"/>
      <c r="AN43" s="2022"/>
      <c r="AO43" s="1864"/>
      <c r="AP43" s="989"/>
      <c r="AQ43" s="990"/>
      <c r="AR43" s="2089"/>
      <c r="AS43" s="1544"/>
      <c r="AT43" s="2089"/>
      <c r="AU43" s="1650"/>
      <c r="AV43" s="960"/>
      <c r="AW43" s="1910"/>
      <c r="AX43" s="1911"/>
      <c r="AY43" s="984">
        <v>6</v>
      </c>
      <c r="AZ43" s="980"/>
      <c r="BA43" s="1650"/>
      <c r="BB43" s="960"/>
      <c r="BC43" s="1910"/>
      <c r="BD43" s="1911"/>
      <c r="BE43" s="984">
        <v>6</v>
      </c>
      <c r="BF43" s="980" t="s">
        <v>2114</v>
      </c>
      <c r="BG43" s="1650"/>
      <c r="BH43" s="960"/>
      <c r="BI43" s="1910"/>
      <c r="BJ43" s="1911"/>
      <c r="BK43" s="1650"/>
      <c r="BL43" s="960"/>
      <c r="BM43" s="1910">
        <v>50000</v>
      </c>
      <c r="BN43" s="1911"/>
      <c r="BO43" s="985"/>
      <c r="BP43" s="1985"/>
      <c r="BQ43" s="985"/>
      <c r="BR43" s="2022"/>
      <c r="BS43" s="1650"/>
      <c r="BT43" s="960"/>
      <c r="BU43" s="1910"/>
      <c r="BV43" s="1911"/>
      <c r="BW43" s="985"/>
      <c r="BX43" s="2022"/>
      <c r="BY43" s="1650"/>
      <c r="BZ43" s="960"/>
      <c r="CA43" s="1910"/>
      <c r="CB43" s="1911"/>
      <c r="CC43" s="1723"/>
      <c r="CD43" s="2113"/>
      <c r="CE43" s="984">
        <v>6</v>
      </c>
      <c r="CF43" s="980" t="s">
        <v>1360</v>
      </c>
      <c r="CG43" s="1650"/>
      <c r="CH43" s="960"/>
      <c r="CI43" s="1910"/>
      <c r="CJ43" s="1911"/>
      <c r="CK43" s="984">
        <v>6</v>
      </c>
      <c r="CL43" s="980" t="s">
        <v>1330</v>
      </c>
      <c r="CM43" s="1650"/>
      <c r="CN43" s="960"/>
      <c r="CO43" s="1910"/>
      <c r="CP43" s="1911"/>
      <c r="CQ43" s="1650"/>
      <c r="CR43" s="960"/>
      <c r="CS43" s="1910"/>
      <c r="CT43" s="1911"/>
      <c r="CU43" s="1650"/>
      <c r="CV43" s="960"/>
      <c r="CW43" s="1910"/>
      <c r="CX43" s="1911"/>
      <c r="CY43" s="1650"/>
      <c r="CZ43" s="960"/>
      <c r="DA43" s="1910"/>
      <c r="DB43" s="1911"/>
      <c r="DC43" s="985"/>
      <c r="DD43" s="2022"/>
      <c r="DE43" s="1650"/>
      <c r="DF43" s="960"/>
      <c r="DG43" s="1910"/>
      <c r="DH43" s="1911"/>
      <c r="DI43" s="986">
        <v>6</v>
      </c>
      <c r="DJ43" s="995" t="s">
        <v>1361</v>
      </c>
      <c r="DK43" s="985"/>
      <c r="DL43" s="1985"/>
      <c r="DM43" s="985"/>
      <c r="DN43" s="1985"/>
      <c r="DO43" s="985"/>
      <c r="DP43" s="2022"/>
      <c r="DQ43" s="984">
        <v>4</v>
      </c>
      <c r="DR43" s="991" t="s">
        <v>1362</v>
      </c>
      <c r="DS43" s="1650">
        <v>1000</v>
      </c>
      <c r="DT43" s="960"/>
      <c r="DU43" s="1910"/>
      <c r="DV43" s="1911">
        <v>500</v>
      </c>
      <c r="DW43" s="984">
        <v>6</v>
      </c>
      <c r="DX43" s="987" t="s">
        <v>2096</v>
      </c>
      <c r="DY43" s="1650"/>
      <c r="DZ43" s="960"/>
      <c r="EA43" s="1910"/>
      <c r="EB43" s="1911"/>
      <c r="EC43" s="985"/>
      <c r="ED43" s="2022"/>
      <c r="EE43" s="984">
        <v>6</v>
      </c>
      <c r="EF43" s="980"/>
      <c r="EG43" s="985"/>
      <c r="EH43" s="2022"/>
      <c r="EI43" s="1650"/>
      <c r="EJ43" s="960"/>
      <c r="EK43" s="2203"/>
      <c r="EL43" s="1911"/>
      <c r="EM43" s="2202">
        <f t="shared" si="49"/>
        <v>50000</v>
      </c>
      <c r="EN43" s="1585">
        <f t="shared" si="50"/>
        <v>500</v>
      </c>
      <c r="EO43" s="1585">
        <f t="shared" si="51"/>
        <v>0</v>
      </c>
      <c r="EP43" s="1585">
        <f t="shared" si="19"/>
        <v>50500</v>
      </c>
      <c r="EQ43" s="988">
        <f t="shared" si="16"/>
        <v>1000</v>
      </c>
      <c r="ER43" s="1775">
        <f t="shared" si="17"/>
        <v>200</v>
      </c>
      <c r="ES43" s="1775">
        <f t="shared" si="18"/>
        <v>0</v>
      </c>
      <c r="ET43" s="992">
        <f t="shared" si="20"/>
        <v>1200</v>
      </c>
    </row>
    <row r="44" spans="1:150" s="368" customFormat="1" ht="27" x14ac:dyDescent="0.3">
      <c r="A44" s="984">
        <v>7</v>
      </c>
      <c r="B44" s="980" t="s">
        <v>1363</v>
      </c>
      <c r="C44" s="1650"/>
      <c r="D44" s="960">
        <v>500</v>
      </c>
      <c r="E44" s="1910"/>
      <c r="F44" s="1911"/>
      <c r="G44" s="985"/>
      <c r="H44" s="1985"/>
      <c r="I44" s="985"/>
      <c r="J44" s="1985"/>
      <c r="K44" s="985"/>
      <c r="L44" s="2022"/>
      <c r="M44" s="984">
        <v>10</v>
      </c>
      <c r="N44" s="987" t="s">
        <v>1364</v>
      </c>
      <c r="O44" s="985"/>
      <c r="P44" s="2022"/>
      <c r="Q44" s="1650"/>
      <c r="R44" s="960"/>
      <c r="S44" s="1910"/>
      <c r="T44" s="1911"/>
      <c r="U44" s="1650">
        <v>5400</v>
      </c>
      <c r="V44" s="960"/>
      <c r="W44" s="1910">
        <f>6600+3000</f>
        <v>9600</v>
      </c>
      <c r="X44" s="1911"/>
      <c r="Y44" s="1650"/>
      <c r="Z44" s="960"/>
      <c r="AA44" s="2053"/>
      <c r="AB44" s="1911"/>
      <c r="AC44" s="986">
        <v>7</v>
      </c>
      <c r="AD44" s="980"/>
      <c r="AE44" s="1650"/>
      <c r="AF44" s="960"/>
      <c r="AG44" s="1910"/>
      <c r="AH44" s="1911"/>
      <c r="AI44" s="1650"/>
      <c r="AJ44" s="960"/>
      <c r="AK44" s="1910"/>
      <c r="AL44" s="1911"/>
      <c r="AM44" s="985"/>
      <c r="AN44" s="2022"/>
      <c r="AO44" s="1864"/>
      <c r="AP44" s="989"/>
      <c r="AQ44" s="990"/>
      <c r="AR44" s="2089"/>
      <c r="AS44" s="1544"/>
      <c r="AT44" s="2089"/>
      <c r="AU44" s="1650"/>
      <c r="AV44" s="960"/>
      <c r="AW44" s="1910"/>
      <c r="AX44" s="1911"/>
      <c r="AY44" s="984">
        <v>7</v>
      </c>
      <c r="AZ44" s="980"/>
      <c r="BA44" s="1650"/>
      <c r="BB44" s="960"/>
      <c r="BC44" s="1910"/>
      <c r="BD44" s="1911"/>
      <c r="BE44" s="984">
        <v>7</v>
      </c>
      <c r="BF44" s="996" t="s">
        <v>1365</v>
      </c>
      <c r="BG44" s="1650"/>
      <c r="BH44" s="960"/>
      <c r="BI44" s="1910"/>
      <c r="BJ44" s="1911"/>
      <c r="BK44" s="1650"/>
      <c r="BL44" s="960"/>
      <c r="BM44" s="1910"/>
      <c r="BN44" s="1911"/>
      <c r="BO44" s="985">
        <f>20000-2000-18000</f>
        <v>0</v>
      </c>
      <c r="BP44" s="1985">
        <f>35000-15000</f>
        <v>20000</v>
      </c>
      <c r="BQ44" s="985"/>
      <c r="BR44" s="2022"/>
      <c r="BS44" s="1650"/>
      <c r="BT44" s="960"/>
      <c r="BU44" s="1910"/>
      <c r="BV44" s="1911"/>
      <c r="BW44" s="985"/>
      <c r="BX44" s="2022"/>
      <c r="BY44" s="1650"/>
      <c r="BZ44" s="960"/>
      <c r="CA44" s="1910"/>
      <c r="CB44" s="1911"/>
      <c r="CC44" s="1723"/>
      <c r="CD44" s="2113"/>
      <c r="CE44" s="984">
        <v>7</v>
      </c>
      <c r="CF44" s="980" t="s">
        <v>1366</v>
      </c>
      <c r="CG44" s="1650"/>
      <c r="CH44" s="960"/>
      <c r="CI44" s="1910"/>
      <c r="CJ44" s="1911"/>
      <c r="CK44" s="984">
        <v>7</v>
      </c>
      <c r="CL44" s="997" t="s">
        <v>1367</v>
      </c>
      <c r="CM44" s="1650"/>
      <c r="CN44" s="960"/>
      <c r="CO44" s="1910"/>
      <c r="CP44" s="1911"/>
      <c r="CQ44" s="1650"/>
      <c r="CR44" s="960"/>
      <c r="CS44" s="1910"/>
      <c r="CT44" s="1911"/>
      <c r="CU44" s="1650"/>
      <c r="CV44" s="960"/>
      <c r="CW44" s="1910"/>
      <c r="CX44" s="1911"/>
      <c r="CY44" s="1650"/>
      <c r="CZ44" s="960"/>
      <c r="DA44" s="1910"/>
      <c r="DB44" s="1911"/>
      <c r="DC44" s="985"/>
      <c r="DD44" s="2022"/>
      <c r="DE44" s="1650"/>
      <c r="DF44" s="960"/>
      <c r="DG44" s="1910"/>
      <c r="DH44" s="1911"/>
      <c r="DI44" s="986">
        <v>7</v>
      </c>
      <c r="DJ44" s="995" t="s">
        <v>1368</v>
      </c>
      <c r="DK44" s="985"/>
      <c r="DL44" s="1985"/>
      <c r="DM44" s="985"/>
      <c r="DN44" s="1985"/>
      <c r="DO44" s="985"/>
      <c r="DP44" s="2022"/>
      <c r="DQ44" s="984">
        <v>6</v>
      </c>
      <c r="DR44" s="991" t="s">
        <v>1369</v>
      </c>
      <c r="DS44" s="1650"/>
      <c r="DT44" s="960">
        <f>2000-2000</f>
        <v>0</v>
      </c>
      <c r="DU44" s="1910"/>
      <c r="DV44" s="1911">
        <v>8000</v>
      </c>
      <c r="DW44" s="984">
        <v>7</v>
      </c>
      <c r="DX44" s="987" t="s">
        <v>1370</v>
      </c>
      <c r="DY44" s="1650"/>
      <c r="DZ44" s="960"/>
      <c r="EA44" s="1910"/>
      <c r="EB44" s="1911"/>
      <c r="EC44" s="985"/>
      <c r="ED44" s="2022"/>
      <c r="EE44" s="984">
        <v>7</v>
      </c>
      <c r="EF44" s="980"/>
      <c r="EG44" s="985"/>
      <c r="EH44" s="2022"/>
      <c r="EI44" s="1650"/>
      <c r="EJ44" s="960"/>
      <c r="EK44" s="2203"/>
      <c r="EL44" s="1911"/>
      <c r="EM44" s="2202">
        <f t="shared" si="49"/>
        <v>9600</v>
      </c>
      <c r="EN44" s="1585">
        <f t="shared" si="50"/>
        <v>28000</v>
      </c>
      <c r="EO44" s="1585">
        <f t="shared" si="51"/>
        <v>0</v>
      </c>
      <c r="EP44" s="1585">
        <f t="shared" si="19"/>
        <v>37600</v>
      </c>
      <c r="EQ44" s="988">
        <f t="shared" si="16"/>
        <v>5400</v>
      </c>
      <c r="ER44" s="1775">
        <f t="shared" si="17"/>
        <v>500</v>
      </c>
      <c r="ES44" s="1775">
        <f t="shared" si="18"/>
        <v>0</v>
      </c>
      <c r="ET44" s="992">
        <f t="shared" si="20"/>
        <v>5900</v>
      </c>
    </row>
    <row r="45" spans="1:150" s="368" customFormat="1" ht="26.4" x14ac:dyDescent="0.25">
      <c r="A45" s="984">
        <v>8</v>
      </c>
      <c r="B45" s="980" t="s">
        <v>1371</v>
      </c>
      <c r="C45" s="1650"/>
      <c r="D45" s="960">
        <v>835</v>
      </c>
      <c r="E45" s="1910"/>
      <c r="F45" s="1911"/>
      <c r="G45" s="985"/>
      <c r="H45" s="1985"/>
      <c r="I45" s="985"/>
      <c r="J45" s="1985"/>
      <c r="K45" s="985"/>
      <c r="L45" s="2022"/>
      <c r="M45" s="984">
        <v>11</v>
      </c>
      <c r="N45" s="987" t="s">
        <v>1372</v>
      </c>
      <c r="O45" s="985"/>
      <c r="P45" s="2022"/>
      <c r="Q45" s="1650"/>
      <c r="R45" s="960"/>
      <c r="S45" s="1910"/>
      <c r="T45" s="1911"/>
      <c r="U45" s="1650">
        <v>3600</v>
      </c>
      <c r="V45" s="960"/>
      <c r="W45" s="1910">
        <v>3600</v>
      </c>
      <c r="X45" s="1911"/>
      <c r="Y45" s="1650"/>
      <c r="Z45" s="960"/>
      <c r="AA45" s="2053"/>
      <c r="AB45" s="1911"/>
      <c r="AC45" s="986">
        <v>8</v>
      </c>
      <c r="AD45" s="987"/>
      <c r="AE45" s="1650"/>
      <c r="AF45" s="960"/>
      <c r="AG45" s="1910"/>
      <c r="AH45" s="1911"/>
      <c r="AI45" s="1650"/>
      <c r="AJ45" s="960"/>
      <c r="AK45" s="1910"/>
      <c r="AL45" s="1911"/>
      <c r="AM45" s="985"/>
      <c r="AN45" s="2022"/>
      <c r="AO45" s="1864"/>
      <c r="AP45" s="989"/>
      <c r="AQ45" s="990"/>
      <c r="AR45" s="2089"/>
      <c r="AS45" s="1544"/>
      <c r="AT45" s="2089"/>
      <c r="AU45" s="1650"/>
      <c r="AV45" s="960"/>
      <c r="AW45" s="1910"/>
      <c r="AX45" s="1911"/>
      <c r="AY45" s="984">
        <v>8</v>
      </c>
      <c r="AZ45" s="987"/>
      <c r="BA45" s="1650"/>
      <c r="BB45" s="960"/>
      <c r="BC45" s="1910"/>
      <c r="BD45" s="1911"/>
      <c r="BE45" s="984">
        <v>8</v>
      </c>
      <c r="BF45" s="980" t="s">
        <v>2248</v>
      </c>
      <c r="BG45" s="1650"/>
      <c r="BH45" s="960"/>
      <c r="BI45" s="1910">
        <f>11430-1280</f>
        <v>10150</v>
      </c>
      <c r="BJ45" s="1911">
        <v>1280</v>
      </c>
      <c r="BK45" s="1650"/>
      <c r="BL45" s="960"/>
      <c r="BM45" s="1910"/>
      <c r="BN45" s="1911"/>
      <c r="BO45" s="985">
        <f>15000-15000</f>
        <v>0</v>
      </c>
      <c r="BP45" s="1985"/>
      <c r="BQ45" s="985"/>
      <c r="BR45" s="2022"/>
      <c r="BS45" s="1650"/>
      <c r="BT45" s="960"/>
      <c r="BU45" s="1910"/>
      <c r="BV45" s="1911"/>
      <c r="BW45" s="985"/>
      <c r="BX45" s="2022"/>
      <c r="BY45" s="1650"/>
      <c r="BZ45" s="960"/>
      <c r="CA45" s="1910"/>
      <c r="CB45" s="1911"/>
      <c r="CC45" s="1723"/>
      <c r="CD45" s="2113"/>
      <c r="CE45" s="984">
        <v>8</v>
      </c>
      <c r="CF45" s="980" t="s">
        <v>1373</v>
      </c>
      <c r="CG45" s="1650"/>
      <c r="CH45" s="960"/>
      <c r="CI45" s="1910"/>
      <c r="CJ45" s="1911"/>
      <c r="CK45" s="984">
        <v>8</v>
      </c>
      <c r="CL45" s="980" t="s">
        <v>1374</v>
      </c>
      <c r="CM45" s="1650"/>
      <c r="CN45" s="960"/>
      <c r="CO45" s="1910"/>
      <c r="CP45" s="1911"/>
      <c r="CQ45" s="1650"/>
      <c r="CR45" s="960"/>
      <c r="CS45" s="1910"/>
      <c r="CT45" s="1911"/>
      <c r="CU45" s="1650"/>
      <c r="CV45" s="960"/>
      <c r="CW45" s="1910"/>
      <c r="CX45" s="1911"/>
      <c r="CY45" s="1650"/>
      <c r="CZ45" s="960"/>
      <c r="DA45" s="1910"/>
      <c r="DB45" s="1911"/>
      <c r="DC45" s="985"/>
      <c r="DD45" s="2022"/>
      <c r="DE45" s="1650"/>
      <c r="DF45" s="960"/>
      <c r="DG45" s="1910"/>
      <c r="DH45" s="1911"/>
      <c r="DI45" s="986">
        <v>8</v>
      </c>
      <c r="DJ45" s="995" t="s">
        <v>1375</v>
      </c>
      <c r="DK45" s="985"/>
      <c r="DL45" s="1985"/>
      <c r="DM45" s="985"/>
      <c r="DN45" s="1985"/>
      <c r="DO45" s="985"/>
      <c r="DP45" s="2022"/>
      <c r="DQ45" s="984">
        <v>8</v>
      </c>
      <c r="DR45" s="994" t="s">
        <v>2115</v>
      </c>
      <c r="DS45" s="1650"/>
      <c r="DT45" s="1771">
        <f>22000-22000</f>
        <v>0</v>
      </c>
      <c r="DU45" s="2198"/>
      <c r="DV45" s="2199">
        <f>10000-10000</f>
        <v>0</v>
      </c>
      <c r="DW45" s="984">
        <v>8</v>
      </c>
      <c r="DX45" s="987" t="s">
        <v>1376</v>
      </c>
      <c r="DY45" s="1650"/>
      <c r="DZ45" s="960"/>
      <c r="EA45" s="1910"/>
      <c r="EB45" s="1911"/>
      <c r="EC45" s="985"/>
      <c r="ED45" s="2022"/>
      <c r="EE45" s="984">
        <v>8</v>
      </c>
      <c r="EF45" s="987"/>
      <c r="EG45" s="985"/>
      <c r="EH45" s="2022"/>
      <c r="EI45" s="1650"/>
      <c r="EJ45" s="960"/>
      <c r="EK45" s="2203"/>
      <c r="EL45" s="1911"/>
      <c r="EM45" s="2202">
        <f t="shared" si="49"/>
        <v>13750</v>
      </c>
      <c r="EN45" s="1585">
        <f t="shared" si="50"/>
        <v>1280</v>
      </c>
      <c r="EO45" s="1585">
        <f t="shared" si="51"/>
        <v>0</v>
      </c>
      <c r="EP45" s="1585">
        <f t="shared" si="19"/>
        <v>15030</v>
      </c>
      <c r="EQ45" s="988">
        <f t="shared" si="16"/>
        <v>3600</v>
      </c>
      <c r="ER45" s="1775">
        <f t="shared" si="17"/>
        <v>835</v>
      </c>
      <c r="ES45" s="1775">
        <f t="shared" si="18"/>
        <v>0</v>
      </c>
      <c r="ET45" s="992">
        <f t="shared" si="20"/>
        <v>4435</v>
      </c>
    </row>
    <row r="46" spans="1:150" s="368" customFormat="1" x14ac:dyDescent="0.25">
      <c r="A46" s="984">
        <v>9</v>
      </c>
      <c r="B46" s="980" t="s">
        <v>1377</v>
      </c>
      <c r="C46" s="1650">
        <v>100</v>
      </c>
      <c r="D46" s="960"/>
      <c r="E46" s="1910">
        <v>200</v>
      </c>
      <c r="F46" s="1911"/>
      <c r="G46" s="985"/>
      <c r="H46" s="1985"/>
      <c r="I46" s="985"/>
      <c r="J46" s="1985"/>
      <c r="K46" s="985"/>
      <c r="L46" s="2022"/>
      <c r="M46" s="984">
        <v>13</v>
      </c>
      <c r="N46" s="987" t="s">
        <v>2310</v>
      </c>
      <c r="O46" s="985"/>
      <c r="P46" s="2022"/>
      <c r="Q46" s="1650"/>
      <c r="R46" s="960"/>
      <c r="S46" s="1910"/>
      <c r="T46" s="1911"/>
      <c r="U46" s="1650"/>
      <c r="V46" s="960"/>
      <c r="W46" s="1910"/>
      <c r="X46" s="1911">
        <v>3000</v>
      </c>
      <c r="Y46" s="1650"/>
      <c r="Z46" s="960"/>
      <c r="AA46" s="2054"/>
      <c r="AB46" s="1913"/>
      <c r="AC46" s="998"/>
      <c r="AD46" s="987"/>
      <c r="AE46" s="1650"/>
      <c r="AF46" s="960"/>
      <c r="AG46" s="1910"/>
      <c r="AH46" s="1911"/>
      <c r="AI46" s="1650"/>
      <c r="AJ46" s="960"/>
      <c r="AK46" s="1910"/>
      <c r="AL46" s="1911"/>
      <c r="AM46" s="985"/>
      <c r="AN46" s="2023"/>
      <c r="AO46" s="1865"/>
      <c r="AP46" s="1000"/>
      <c r="AQ46" s="1001"/>
      <c r="AR46" s="2090"/>
      <c r="AS46" s="1545"/>
      <c r="AT46" s="2090"/>
      <c r="AU46" s="1650"/>
      <c r="AV46" s="960"/>
      <c r="AW46" s="1912"/>
      <c r="AX46" s="1913"/>
      <c r="AY46" s="1002"/>
      <c r="AZ46" s="987"/>
      <c r="BA46" s="1650"/>
      <c r="BB46" s="960"/>
      <c r="BC46" s="1910"/>
      <c r="BD46" s="1911"/>
      <c r="BE46" s="984">
        <v>9</v>
      </c>
      <c r="BF46" s="996" t="s">
        <v>1378</v>
      </c>
      <c r="BG46" s="1650"/>
      <c r="BH46" s="960"/>
      <c r="BI46" s="1910"/>
      <c r="BJ46" s="1911"/>
      <c r="BK46" s="1650"/>
      <c r="BL46" s="960"/>
      <c r="BM46" s="1910"/>
      <c r="BN46" s="1911"/>
      <c r="BO46" s="985"/>
      <c r="BP46" s="1985"/>
      <c r="BQ46" s="985">
        <v>300</v>
      </c>
      <c r="BR46" s="2022">
        <v>300</v>
      </c>
      <c r="BS46" s="1650"/>
      <c r="BT46" s="960"/>
      <c r="BU46" s="1910"/>
      <c r="BV46" s="1911"/>
      <c r="BW46" s="985"/>
      <c r="BX46" s="2022"/>
      <c r="BY46" s="1650"/>
      <c r="BZ46" s="960"/>
      <c r="CA46" s="1910"/>
      <c r="CB46" s="1911"/>
      <c r="CC46" s="1723"/>
      <c r="CD46" s="2113"/>
      <c r="CE46" s="984">
        <v>9</v>
      </c>
      <c r="CF46" s="980" t="s">
        <v>1379</v>
      </c>
      <c r="CG46" s="1650"/>
      <c r="CH46" s="960"/>
      <c r="CI46" s="1910"/>
      <c r="CJ46" s="1911"/>
      <c r="CK46" s="984">
        <v>9</v>
      </c>
      <c r="CL46" s="1003" t="s">
        <v>1380</v>
      </c>
      <c r="CM46" s="1650"/>
      <c r="CN46" s="960"/>
      <c r="CO46" s="1910"/>
      <c r="CP46" s="1911"/>
      <c r="CQ46" s="1650"/>
      <c r="CR46" s="960"/>
      <c r="CS46" s="1910"/>
      <c r="CT46" s="1911"/>
      <c r="CU46" s="1650"/>
      <c r="CV46" s="960"/>
      <c r="CW46" s="1910"/>
      <c r="CX46" s="1911"/>
      <c r="CY46" s="1650"/>
      <c r="CZ46" s="960"/>
      <c r="DA46" s="1910"/>
      <c r="DB46" s="1911"/>
      <c r="DC46" s="985"/>
      <c r="DD46" s="2022"/>
      <c r="DE46" s="1650"/>
      <c r="DF46" s="960"/>
      <c r="DG46" s="1910"/>
      <c r="DH46" s="1911"/>
      <c r="DI46" s="986">
        <v>9</v>
      </c>
      <c r="DJ46" s="995" t="s">
        <v>1381</v>
      </c>
      <c r="DK46" s="985"/>
      <c r="DL46" s="1985"/>
      <c r="DM46" s="985"/>
      <c r="DN46" s="1985"/>
      <c r="DO46" s="985"/>
      <c r="DP46" s="2022"/>
      <c r="DQ46" s="984">
        <v>9</v>
      </c>
      <c r="DR46" s="991"/>
      <c r="DS46" s="1650"/>
      <c r="DT46" s="960"/>
      <c r="DU46" s="1910"/>
      <c r="DV46" s="1911"/>
      <c r="DW46" s="984">
        <v>9</v>
      </c>
      <c r="DX46" s="987" t="s">
        <v>1382</v>
      </c>
      <c r="DY46" s="1650"/>
      <c r="DZ46" s="960"/>
      <c r="EA46" s="1910"/>
      <c r="EB46" s="1911"/>
      <c r="EC46" s="985"/>
      <c r="ED46" s="2023"/>
      <c r="EE46" s="1002"/>
      <c r="EF46" s="987"/>
      <c r="EG46" s="985"/>
      <c r="EH46" s="2022"/>
      <c r="EI46" s="1650"/>
      <c r="EJ46" s="960"/>
      <c r="EK46" s="2203"/>
      <c r="EL46" s="1911"/>
      <c r="EM46" s="2202">
        <f t="shared" si="49"/>
        <v>500</v>
      </c>
      <c r="EN46" s="1585">
        <f t="shared" si="50"/>
        <v>3000</v>
      </c>
      <c r="EO46" s="1585">
        <f t="shared" si="51"/>
        <v>0</v>
      </c>
      <c r="EP46" s="1585">
        <f t="shared" si="19"/>
        <v>3500</v>
      </c>
      <c r="EQ46" s="988">
        <f t="shared" si="16"/>
        <v>400</v>
      </c>
      <c r="ER46" s="1775">
        <f t="shared" si="17"/>
        <v>0</v>
      </c>
      <c r="ES46" s="1775">
        <f t="shared" si="18"/>
        <v>0</v>
      </c>
      <c r="ET46" s="992">
        <f t="shared" si="20"/>
        <v>400</v>
      </c>
    </row>
    <row r="47" spans="1:150" s="368" customFormat="1" ht="26.4" x14ac:dyDescent="0.25">
      <c r="A47" s="984">
        <v>10</v>
      </c>
      <c r="B47" s="980" t="s">
        <v>1383</v>
      </c>
      <c r="C47" s="1655">
        <v>400</v>
      </c>
      <c r="D47" s="1004"/>
      <c r="E47" s="1922"/>
      <c r="F47" s="1923"/>
      <c r="G47" s="985"/>
      <c r="H47" s="1985"/>
      <c r="I47" s="985"/>
      <c r="J47" s="1985"/>
      <c r="K47" s="985"/>
      <c r="L47" s="2022"/>
      <c r="M47" s="984">
        <v>15</v>
      </c>
      <c r="N47" s="980" t="s">
        <v>1384</v>
      </c>
      <c r="O47" s="985"/>
      <c r="P47" s="2022"/>
      <c r="Q47" s="1655"/>
      <c r="R47" s="1004"/>
      <c r="S47" s="1922"/>
      <c r="T47" s="1923"/>
      <c r="U47" s="1655">
        <v>3610</v>
      </c>
      <c r="V47" s="1004"/>
      <c r="W47" s="1922"/>
      <c r="X47" s="1923">
        <v>5000</v>
      </c>
      <c r="Y47" s="1655"/>
      <c r="Z47" s="1004"/>
      <c r="AA47" s="2058"/>
      <c r="AB47" s="2059"/>
      <c r="AC47" s="998"/>
      <c r="AD47" s="987"/>
      <c r="AE47" s="1655"/>
      <c r="AF47" s="1004"/>
      <c r="AG47" s="1922"/>
      <c r="AH47" s="1923"/>
      <c r="AI47" s="1655"/>
      <c r="AJ47" s="1004"/>
      <c r="AK47" s="1922"/>
      <c r="AL47" s="1923"/>
      <c r="AM47" s="985"/>
      <c r="AN47" s="2023"/>
      <c r="AO47" s="1865"/>
      <c r="AP47" s="1000"/>
      <c r="AQ47" s="1001"/>
      <c r="AR47" s="2090"/>
      <c r="AS47" s="1545"/>
      <c r="AT47" s="2090"/>
      <c r="AU47" s="1655"/>
      <c r="AV47" s="1004"/>
      <c r="AW47" s="2141"/>
      <c r="AX47" s="2059"/>
      <c r="AY47" s="1002"/>
      <c r="AZ47" s="987"/>
      <c r="BA47" s="1655"/>
      <c r="BB47" s="1004"/>
      <c r="BC47" s="1922"/>
      <c r="BD47" s="1923"/>
      <c r="BE47" s="984">
        <v>10</v>
      </c>
      <c r="BF47" s="980" t="s">
        <v>1385</v>
      </c>
      <c r="BG47" s="1655"/>
      <c r="BH47" s="1004"/>
      <c r="BI47" s="1922"/>
      <c r="BJ47" s="1923"/>
      <c r="BK47" s="1655"/>
      <c r="BL47" s="1004"/>
      <c r="BM47" s="1922"/>
      <c r="BN47" s="1923"/>
      <c r="BO47" s="985"/>
      <c r="BP47" s="1985"/>
      <c r="BQ47" s="985"/>
      <c r="BR47" s="2022"/>
      <c r="BS47" s="1655">
        <f>74748-4178-1825</f>
        <v>68745</v>
      </c>
      <c r="BT47" s="1004">
        <v>2642</v>
      </c>
      <c r="BU47" s="1922">
        <v>76841</v>
      </c>
      <c r="BV47" s="1923">
        <v>2642</v>
      </c>
      <c r="BW47" s="985"/>
      <c r="BX47" s="2022"/>
      <c r="BY47" s="1655"/>
      <c r="BZ47" s="1004"/>
      <c r="CA47" s="1922"/>
      <c r="CB47" s="1923"/>
      <c r="CC47" s="1723"/>
      <c r="CD47" s="2113"/>
      <c r="CE47" s="984">
        <v>10</v>
      </c>
      <c r="CF47" s="980" t="s">
        <v>1386</v>
      </c>
      <c r="CG47" s="1655"/>
      <c r="CH47" s="1004"/>
      <c r="CI47" s="1922"/>
      <c r="CJ47" s="1923"/>
      <c r="CK47" s="984">
        <v>10</v>
      </c>
      <c r="CL47" s="980" t="s">
        <v>1387</v>
      </c>
      <c r="CM47" s="1655"/>
      <c r="CN47" s="1004"/>
      <c r="CO47" s="1922"/>
      <c r="CP47" s="1923"/>
      <c r="CQ47" s="1655"/>
      <c r="CR47" s="1004"/>
      <c r="CS47" s="1922"/>
      <c r="CT47" s="1923"/>
      <c r="CU47" s="1655"/>
      <c r="CV47" s="1004"/>
      <c r="CW47" s="1922"/>
      <c r="CX47" s="1923"/>
      <c r="CY47" s="1655"/>
      <c r="CZ47" s="1004"/>
      <c r="DA47" s="1922"/>
      <c r="DB47" s="1923"/>
      <c r="DC47" s="985"/>
      <c r="DD47" s="2022"/>
      <c r="DE47" s="1655"/>
      <c r="DF47" s="1004"/>
      <c r="DG47" s="1922"/>
      <c r="DH47" s="1923"/>
      <c r="DI47" s="986">
        <v>10</v>
      </c>
      <c r="DJ47" s="1005" t="s">
        <v>1388</v>
      </c>
      <c r="DK47" s="985"/>
      <c r="DL47" s="1985"/>
      <c r="DM47" s="985"/>
      <c r="DN47" s="1985"/>
      <c r="DO47" s="985"/>
      <c r="DP47" s="2022"/>
      <c r="DQ47" s="984">
        <v>10</v>
      </c>
      <c r="DR47" s="994"/>
      <c r="DS47" s="1655"/>
      <c r="DT47" s="1004"/>
      <c r="DU47" s="1922"/>
      <c r="DV47" s="1923"/>
      <c r="DW47" s="984">
        <v>10</v>
      </c>
      <c r="DX47" s="987" t="s">
        <v>1389</v>
      </c>
      <c r="DY47" s="1655"/>
      <c r="DZ47" s="1004"/>
      <c r="EA47" s="1922"/>
      <c r="EB47" s="1923"/>
      <c r="EC47" s="985"/>
      <c r="ED47" s="2023"/>
      <c r="EE47" s="1002"/>
      <c r="EF47" s="987"/>
      <c r="EG47" s="985"/>
      <c r="EH47" s="2022"/>
      <c r="EI47" s="1655"/>
      <c r="EJ47" s="1004"/>
      <c r="EK47" s="2211"/>
      <c r="EL47" s="1923"/>
      <c r="EM47" s="2202">
        <f t="shared" si="49"/>
        <v>76841</v>
      </c>
      <c r="EN47" s="1585">
        <f t="shared" si="50"/>
        <v>7642</v>
      </c>
      <c r="EO47" s="1585">
        <f t="shared" si="51"/>
        <v>0</v>
      </c>
      <c r="EP47" s="1585">
        <f t="shared" si="19"/>
        <v>84483</v>
      </c>
      <c r="EQ47" s="988">
        <f t="shared" si="16"/>
        <v>72755</v>
      </c>
      <c r="ER47" s="1775">
        <f t="shared" si="17"/>
        <v>2642</v>
      </c>
      <c r="ES47" s="1775">
        <f t="shared" si="18"/>
        <v>0</v>
      </c>
      <c r="ET47" s="992">
        <f t="shared" si="20"/>
        <v>75397</v>
      </c>
    </row>
    <row r="48" spans="1:150" s="368" customFormat="1" ht="26.4" x14ac:dyDescent="0.25">
      <c r="A48" s="984">
        <v>11</v>
      </c>
      <c r="B48" s="980" t="s">
        <v>1390</v>
      </c>
      <c r="C48" s="1655">
        <v>500</v>
      </c>
      <c r="D48" s="1004"/>
      <c r="E48" s="1922"/>
      <c r="F48" s="1923"/>
      <c r="G48" s="985"/>
      <c r="H48" s="1985"/>
      <c r="I48" s="985"/>
      <c r="J48" s="1985"/>
      <c r="K48" s="985"/>
      <c r="L48" s="2022"/>
      <c r="M48" s="984">
        <v>16</v>
      </c>
      <c r="N48" s="980" t="s">
        <v>1391</v>
      </c>
      <c r="O48" s="985"/>
      <c r="P48" s="2022"/>
      <c r="Q48" s="1655"/>
      <c r="R48" s="1004"/>
      <c r="S48" s="1922"/>
      <c r="T48" s="1923"/>
      <c r="U48" s="1655">
        <f>9983-8593-1390</f>
        <v>0</v>
      </c>
      <c r="V48" s="1004"/>
      <c r="W48" s="1922"/>
      <c r="X48" s="1923">
        <f>16390-10000</f>
        <v>6390</v>
      </c>
      <c r="Y48" s="1655"/>
      <c r="Z48" s="1004"/>
      <c r="AA48" s="2058"/>
      <c r="AB48" s="2059"/>
      <c r="AC48" s="998"/>
      <c r="AD48" s="987"/>
      <c r="AE48" s="1655"/>
      <c r="AF48" s="1004"/>
      <c r="AG48" s="1922"/>
      <c r="AH48" s="1923"/>
      <c r="AI48" s="1655"/>
      <c r="AJ48" s="1004"/>
      <c r="AK48" s="1922"/>
      <c r="AL48" s="1923"/>
      <c r="AM48" s="985"/>
      <c r="AN48" s="2023"/>
      <c r="AO48" s="1865"/>
      <c r="AP48" s="1000"/>
      <c r="AQ48" s="1001"/>
      <c r="AR48" s="2090"/>
      <c r="AS48" s="1545"/>
      <c r="AT48" s="2090"/>
      <c r="AU48" s="1655"/>
      <c r="AV48" s="1004"/>
      <c r="AW48" s="2141"/>
      <c r="AX48" s="2059"/>
      <c r="AY48" s="1002"/>
      <c r="AZ48" s="987"/>
      <c r="BA48" s="1655"/>
      <c r="BB48" s="1004"/>
      <c r="BC48" s="1922"/>
      <c r="BD48" s="1923"/>
      <c r="BE48" s="984">
        <v>11</v>
      </c>
      <c r="BF48" s="980" t="s">
        <v>1392</v>
      </c>
      <c r="BG48" s="1655"/>
      <c r="BH48" s="1004"/>
      <c r="BI48" s="1922"/>
      <c r="BJ48" s="1923"/>
      <c r="BK48" s="1655"/>
      <c r="BL48" s="1004"/>
      <c r="BM48" s="1922"/>
      <c r="BN48" s="1923"/>
      <c r="BO48" s="985"/>
      <c r="BP48" s="1985"/>
      <c r="BQ48" s="985"/>
      <c r="BR48" s="2022"/>
      <c r="BS48" s="1655">
        <v>4800</v>
      </c>
      <c r="BT48" s="1004"/>
      <c r="BU48" s="1922">
        <v>9144</v>
      </c>
      <c r="BV48" s="1923"/>
      <c r="BW48" s="985"/>
      <c r="BX48" s="2022"/>
      <c r="BY48" s="1655"/>
      <c r="BZ48" s="1004"/>
      <c r="CA48" s="1922"/>
      <c r="CB48" s="1923"/>
      <c r="CC48" s="1723"/>
      <c r="CD48" s="2113"/>
      <c r="CE48" s="984">
        <v>11</v>
      </c>
      <c r="CF48" s="980" t="s">
        <v>1393</v>
      </c>
      <c r="CG48" s="1655"/>
      <c r="CH48" s="1004"/>
      <c r="CI48" s="1922"/>
      <c r="CJ48" s="1923"/>
      <c r="CK48" s="984">
        <v>11</v>
      </c>
      <c r="CL48" s="980" t="s">
        <v>1330</v>
      </c>
      <c r="CM48" s="1655"/>
      <c r="CN48" s="1004"/>
      <c r="CO48" s="1922"/>
      <c r="CP48" s="1923"/>
      <c r="CQ48" s="1655"/>
      <c r="CR48" s="1004"/>
      <c r="CS48" s="1922"/>
      <c r="CT48" s="1923"/>
      <c r="CU48" s="1655"/>
      <c r="CV48" s="1004"/>
      <c r="CW48" s="1922"/>
      <c r="CX48" s="1923"/>
      <c r="CY48" s="1655"/>
      <c r="CZ48" s="1004"/>
      <c r="DA48" s="1922"/>
      <c r="DB48" s="1923"/>
      <c r="DC48" s="985"/>
      <c r="DD48" s="2022"/>
      <c r="DE48" s="1655"/>
      <c r="DF48" s="1004"/>
      <c r="DG48" s="1922"/>
      <c r="DH48" s="1923"/>
      <c r="DI48" s="986">
        <v>11</v>
      </c>
      <c r="DJ48" s="980" t="s">
        <v>1330</v>
      </c>
      <c r="DK48" s="985"/>
      <c r="DL48" s="1985"/>
      <c r="DM48" s="985"/>
      <c r="DN48" s="1985"/>
      <c r="DO48" s="985"/>
      <c r="DP48" s="2022"/>
      <c r="DQ48" s="984">
        <v>11</v>
      </c>
      <c r="DR48" s="994"/>
      <c r="DS48" s="1655"/>
      <c r="DT48" s="1004"/>
      <c r="DU48" s="1922"/>
      <c r="DV48" s="1923"/>
      <c r="DW48" s="984">
        <v>11</v>
      </c>
      <c r="DX48" s="987" t="s">
        <v>1394</v>
      </c>
      <c r="DY48" s="1655"/>
      <c r="DZ48" s="1004"/>
      <c r="EA48" s="1922"/>
      <c r="EB48" s="1923"/>
      <c r="EC48" s="985"/>
      <c r="ED48" s="2023"/>
      <c r="EE48" s="1002"/>
      <c r="EF48" s="987"/>
      <c r="EG48" s="985"/>
      <c r="EH48" s="2022"/>
      <c r="EI48" s="1655"/>
      <c r="EJ48" s="1004"/>
      <c r="EK48" s="2211"/>
      <c r="EL48" s="1923"/>
      <c r="EM48" s="2202">
        <f t="shared" si="49"/>
        <v>9144</v>
      </c>
      <c r="EN48" s="1585">
        <f t="shared" si="50"/>
        <v>6390</v>
      </c>
      <c r="EO48" s="1585">
        <f t="shared" si="51"/>
        <v>0</v>
      </c>
      <c r="EP48" s="1585">
        <f t="shared" si="19"/>
        <v>15534</v>
      </c>
      <c r="EQ48" s="988">
        <f t="shared" si="16"/>
        <v>5300</v>
      </c>
      <c r="ER48" s="1775">
        <f t="shared" si="17"/>
        <v>0</v>
      </c>
      <c r="ES48" s="1775">
        <f t="shared" si="18"/>
        <v>0</v>
      </c>
      <c r="ET48" s="992">
        <f t="shared" si="20"/>
        <v>5300</v>
      </c>
    </row>
    <row r="49" spans="1:150" s="368" customFormat="1" ht="27.6" x14ac:dyDescent="0.3">
      <c r="A49" s="984">
        <v>12</v>
      </c>
      <c r="B49" s="980" t="s">
        <v>1395</v>
      </c>
      <c r="C49" s="1655">
        <v>1920</v>
      </c>
      <c r="D49" s="1006"/>
      <c r="E49" s="1924"/>
      <c r="F49" s="1925"/>
      <c r="G49" s="985"/>
      <c r="H49" s="1985"/>
      <c r="I49" s="985"/>
      <c r="J49" s="1985"/>
      <c r="K49" s="985"/>
      <c r="L49" s="2022"/>
      <c r="M49" s="984">
        <v>17</v>
      </c>
      <c r="N49" s="980" t="s">
        <v>2306</v>
      </c>
      <c r="O49" s="985"/>
      <c r="P49" s="2022"/>
      <c r="Q49" s="1655"/>
      <c r="R49" s="1006"/>
      <c r="S49" s="1924"/>
      <c r="T49" s="1925"/>
      <c r="U49" s="1655"/>
      <c r="V49" s="1006"/>
      <c r="W49" s="1924"/>
      <c r="X49" s="1925">
        <v>1000</v>
      </c>
      <c r="Y49" s="1655"/>
      <c r="Z49" s="1006"/>
      <c r="AA49" s="2060"/>
      <c r="AB49" s="2061"/>
      <c r="AC49" s="998"/>
      <c r="AD49" s="987"/>
      <c r="AE49" s="1655"/>
      <c r="AF49" s="1006"/>
      <c r="AG49" s="1924"/>
      <c r="AH49" s="1925"/>
      <c r="AI49" s="1655"/>
      <c r="AJ49" s="1006"/>
      <c r="AK49" s="1924"/>
      <c r="AL49" s="1925"/>
      <c r="AM49" s="985"/>
      <c r="AN49" s="2023"/>
      <c r="AO49" s="1865"/>
      <c r="AP49" s="1000"/>
      <c r="AQ49" s="1001"/>
      <c r="AR49" s="2090"/>
      <c r="AS49" s="1545"/>
      <c r="AT49" s="2090"/>
      <c r="AU49" s="1655"/>
      <c r="AV49" s="1006"/>
      <c r="AW49" s="2142"/>
      <c r="AX49" s="2061"/>
      <c r="AY49" s="1002"/>
      <c r="AZ49" s="987"/>
      <c r="BA49" s="1655"/>
      <c r="BB49" s="1006"/>
      <c r="BC49" s="1924"/>
      <c r="BD49" s="1925"/>
      <c r="BE49" s="984">
        <v>12</v>
      </c>
      <c r="BF49" s="980" t="s">
        <v>1396</v>
      </c>
      <c r="BG49" s="1655"/>
      <c r="BH49" s="1006"/>
      <c r="BI49" s="1924"/>
      <c r="BJ49" s="1925"/>
      <c r="BK49" s="1655"/>
      <c r="BL49" s="1006"/>
      <c r="BM49" s="1924"/>
      <c r="BN49" s="1925"/>
      <c r="BO49" s="985"/>
      <c r="BP49" s="1985"/>
      <c r="BQ49" s="985"/>
      <c r="BR49" s="2022"/>
      <c r="BS49" s="1655">
        <v>300</v>
      </c>
      <c r="BT49" s="1006"/>
      <c r="BU49" s="1924">
        <v>254</v>
      </c>
      <c r="BV49" s="1925"/>
      <c r="BW49" s="985"/>
      <c r="BX49" s="2022"/>
      <c r="BY49" s="1655"/>
      <c r="BZ49" s="1006"/>
      <c r="CA49" s="1924"/>
      <c r="CB49" s="1925"/>
      <c r="CC49" s="1723"/>
      <c r="CD49" s="2113"/>
      <c r="CE49" s="984">
        <v>12</v>
      </c>
      <c r="CF49" s="980" t="s">
        <v>1397</v>
      </c>
      <c r="CG49" s="1655"/>
      <c r="CH49" s="1006"/>
      <c r="CI49" s="1924"/>
      <c r="CJ49" s="1925"/>
      <c r="CK49" s="984">
        <v>12</v>
      </c>
      <c r="CL49" s="997" t="s">
        <v>1398</v>
      </c>
      <c r="CM49" s="1655"/>
      <c r="CN49" s="1006"/>
      <c r="CO49" s="1924"/>
      <c r="CP49" s="1925"/>
      <c r="CQ49" s="1655"/>
      <c r="CR49" s="1006"/>
      <c r="CS49" s="1924"/>
      <c r="CT49" s="1925"/>
      <c r="CU49" s="1655"/>
      <c r="CV49" s="1006"/>
      <c r="CW49" s="1924"/>
      <c r="CX49" s="1925"/>
      <c r="CY49" s="1655"/>
      <c r="CZ49" s="1006"/>
      <c r="DA49" s="1924"/>
      <c r="DB49" s="1925"/>
      <c r="DC49" s="985"/>
      <c r="DD49" s="2022"/>
      <c r="DE49" s="1655"/>
      <c r="DF49" s="1006"/>
      <c r="DG49" s="1924"/>
      <c r="DH49" s="1925"/>
      <c r="DI49" s="986">
        <v>12</v>
      </c>
      <c r="DJ49" s="1007" t="s">
        <v>1399</v>
      </c>
      <c r="DK49" s="985"/>
      <c r="DL49" s="1985"/>
      <c r="DM49" s="985"/>
      <c r="DN49" s="1985"/>
      <c r="DO49" s="985"/>
      <c r="DP49" s="2022"/>
      <c r="DQ49" s="984">
        <v>12</v>
      </c>
      <c r="DR49" s="994"/>
      <c r="DS49" s="1655"/>
      <c r="DT49" s="1006"/>
      <c r="DU49" s="1924"/>
      <c r="DV49" s="1925"/>
      <c r="DW49" s="984">
        <v>12</v>
      </c>
      <c r="DX49" s="987" t="s">
        <v>1400</v>
      </c>
      <c r="DY49" s="1655"/>
      <c r="DZ49" s="1006"/>
      <c r="EA49" s="1924"/>
      <c r="EB49" s="1925"/>
      <c r="EC49" s="985"/>
      <c r="ED49" s="2023"/>
      <c r="EE49" s="1002"/>
      <c r="EF49" s="987"/>
      <c r="EG49" s="985"/>
      <c r="EH49" s="2022"/>
      <c r="EI49" s="1655"/>
      <c r="EJ49" s="1006"/>
      <c r="EK49" s="2212"/>
      <c r="EL49" s="1925"/>
      <c r="EM49" s="2202">
        <f t="shared" si="49"/>
        <v>254</v>
      </c>
      <c r="EN49" s="1585">
        <f t="shared" si="50"/>
        <v>1000</v>
      </c>
      <c r="EO49" s="1585">
        <f t="shared" si="51"/>
        <v>0</v>
      </c>
      <c r="EP49" s="1585">
        <f t="shared" si="19"/>
        <v>1254</v>
      </c>
      <c r="EQ49" s="988">
        <f t="shared" si="16"/>
        <v>2220</v>
      </c>
      <c r="ER49" s="1775">
        <f t="shared" si="17"/>
        <v>0</v>
      </c>
      <c r="ES49" s="1775">
        <f t="shared" si="18"/>
        <v>0</v>
      </c>
      <c r="ET49" s="992">
        <f t="shared" si="20"/>
        <v>2220</v>
      </c>
    </row>
    <row r="50" spans="1:150" s="368" customFormat="1" ht="26.4" x14ac:dyDescent="0.25">
      <c r="A50" s="984">
        <v>13</v>
      </c>
      <c r="B50" s="980" t="s">
        <v>1401</v>
      </c>
      <c r="C50" s="1650"/>
      <c r="D50" s="960">
        <v>1000</v>
      </c>
      <c r="E50" s="1910"/>
      <c r="F50" s="1911">
        <f>1000</f>
        <v>1000</v>
      </c>
      <c r="G50" s="985"/>
      <c r="H50" s="1985"/>
      <c r="I50" s="985"/>
      <c r="J50" s="1985"/>
      <c r="K50" s="985"/>
      <c r="L50" s="2022"/>
      <c r="M50" s="984">
        <v>18</v>
      </c>
      <c r="N50" s="980" t="s">
        <v>1402</v>
      </c>
      <c r="O50" s="985"/>
      <c r="P50" s="2022"/>
      <c r="Q50" s="1650"/>
      <c r="R50" s="960"/>
      <c r="S50" s="1910"/>
      <c r="T50" s="1911"/>
      <c r="U50" s="1650"/>
      <c r="V50" s="960"/>
      <c r="W50" s="1910"/>
      <c r="X50" s="1911"/>
      <c r="Y50" s="1650"/>
      <c r="Z50" s="960"/>
      <c r="AA50" s="2054"/>
      <c r="AB50" s="1913"/>
      <c r="AC50" s="998"/>
      <c r="AD50" s="987"/>
      <c r="AE50" s="1650"/>
      <c r="AF50" s="960"/>
      <c r="AG50" s="1910"/>
      <c r="AH50" s="1911"/>
      <c r="AI50" s="1650"/>
      <c r="AJ50" s="960"/>
      <c r="AK50" s="1910"/>
      <c r="AL50" s="1911"/>
      <c r="AM50" s="985"/>
      <c r="AN50" s="2023"/>
      <c r="AO50" s="1865"/>
      <c r="AP50" s="1000"/>
      <c r="AQ50" s="1001"/>
      <c r="AR50" s="2090"/>
      <c r="AS50" s="1545"/>
      <c r="AT50" s="2090"/>
      <c r="AU50" s="1650"/>
      <c r="AV50" s="960"/>
      <c r="AW50" s="1912"/>
      <c r="AX50" s="1913"/>
      <c r="AY50" s="1002"/>
      <c r="AZ50" s="987"/>
      <c r="BA50" s="1650"/>
      <c r="BB50" s="960"/>
      <c r="BC50" s="1910"/>
      <c r="BD50" s="1911"/>
      <c r="BE50" s="984">
        <v>13</v>
      </c>
      <c r="BF50" s="980" t="s">
        <v>1403</v>
      </c>
      <c r="BG50" s="1650"/>
      <c r="BH50" s="960"/>
      <c r="BI50" s="1910"/>
      <c r="BJ50" s="1911"/>
      <c r="BK50" s="1650"/>
      <c r="BL50" s="960"/>
      <c r="BM50" s="1910"/>
      <c r="BN50" s="1911"/>
      <c r="BO50" s="985"/>
      <c r="BP50" s="1985"/>
      <c r="BQ50" s="985"/>
      <c r="BR50" s="2022"/>
      <c r="BS50" s="1650">
        <v>4000</v>
      </c>
      <c r="BT50" s="960"/>
      <c r="BU50" s="1910">
        <v>3904</v>
      </c>
      <c r="BV50" s="1911"/>
      <c r="BW50" s="985"/>
      <c r="BX50" s="2022"/>
      <c r="BY50" s="1650"/>
      <c r="BZ50" s="960"/>
      <c r="CA50" s="1910"/>
      <c r="CB50" s="1911"/>
      <c r="CC50" s="1723"/>
      <c r="CD50" s="2113"/>
      <c r="CE50" s="984">
        <v>13</v>
      </c>
      <c r="CF50" s="980" t="s">
        <v>1404</v>
      </c>
      <c r="CG50" s="1650"/>
      <c r="CH50" s="960"/>
      <c r="CI50" s="1910"/>
      <c r="CJ50" s="1911"/>
      <c r="CK50" s="984">
        <v>13</v>
      </c>
      <c r="CL50" s="980" t="s">
        <v>1374</v>
      </c>
      <c r="CM50" s="1650"/>
      <c r="CN50" s="960"/>
      <c r="CO50" s="1910"/>
      <c r="CP50" s="1911"/>
      <c r="CQ50" s="1650"/>
      <c r="CR50" s="960"/>
      <c r="CS50" s="1910"/>
      <c r="CT50" s="1911"/>
      <c r="CU50" s="1650"/>
      <c r="CV50" s="960"/>
      <c r="CW50" s="1910"/>
      <c r="CX50" s="1911"/>
      <c r="CY50" s="1650"/>
      <c r="CZ50" s="960"/>
      <c r="DA50" s="1910"/>
      <c r="DB50" s="1911"/>
      <c r="DC50" s="985"/>
      <c r="DD50" s="2022"/>
      <c r="DE50" s="1650"/>
      <c r="DF50" s="960"/>
      <c r="DG50" s="1910"/>
      <c r="DH50" s="1911"/>
      <c r="DI50" s="986">
        <v>13</v>
      </c>
      <c r="DJ50" s="995" t="s">
        <v>1405</v>
      </c>
      <c r="DK50" s="985"/>
      <c r="DL50" s="1985"/>
      <c r="DM50" s="985"/>
      <c r="DN50" s="1985"/>
      <c r="DO50" s="985"/>
      <c r="DP50" s="2022"/>
      <c r="DQ50" s="984">
        <v>13</v>
      </c>
      <c r="DR50" s="994"/>
      <c r="DS50" s="1650"/>
      <c r="DT50" s="960"/>
      <c r="DU50" s="1910"/>
      <c r="DV50" s="1911"/>
      <c r="DW50" s="984">
        <v>13</v>
      </c>
      <c r="DX50" s="987" t="s">
        <v>1406</v>
      </c>
      <c r="DY50" s="1650"/>
      <c r="DZ50" s="960"/>
      <c r="EA50" s="1910"/>
      <c r="EB50" s="1911"/>
      <c r="EC50" s="985"/>
      <c r="ED50" s="2023"/>
      <c r="EE50" s="1002"/>
      <c r="EF50" s="987"/>
      <c r="EG50" s="985"/>
      <c r="EH50" s="2022"/>
      <c r="EI50" s="1650"/>
      <c r="EJ50" s="960"/>
      <c r="EK50" s="2203"/>
      <c r="EL50" s="1911"/>
      <c r="EM50" s="2202">
        <f t="shared" si="49"/>
        <v>3904</v>
      </c>
      <c r="EN50" s="1585">
        <f t="shared" si="50"/>
        <v>1000</v>
      </c>
      <c r="EO50" s="1585">
        <f t="shared" si="51"/>
        <v>0</v>
      </c>
      <c r="EP50" s="1585">
        <f t="shared" si="19"/>
        <v>4904</v>
      </c>
      <c r="EQ50" s="988">
        <f t="shared" si="16"/>
        <v>4000</v>
      </c>
      <c r="ER50" s="1775">
        <f t="shared" si="17"/>
        <v>1000</v>
      </c>
      <c r="ES50" s="1775">
        <f t="shared" si="18"/>
        <v>0</v>
      </c>
      <c r="ET50" s="992">
        <f t="shared" si="20"/>
        <v>5000</v>
      </c>
    </row>
    <row r="51" spans="1:150" s="368" customFormat="1" ht="26.4" x14ac:dyDescent="0.25">
      <c r="A51" s="984">
        <v>14</v>
      </c>
      <c r="B51" s="980" t="s">
        <v>1407</v>
      </c>
      <c r="C51" s="1650"/>
      <c r="D51" s="960">
        <f>432</f>
        <v>432</v>
      </c>
      <c r="E51" s="1910"/>
      <c r="F51" s="1911">
        <f>432-432</f>
        <v>0</v>
      </c>
      <c r="G51" s="985"/>
      <c r="H51" s="1985"/>
      <c r="I51" s="985"/>
      <c r="J51" s="1985"/>
      <c r="K51" s="985"/>
      <c r="L51" s="2022"/>
      <c r="M51" s="984">
        <v>19</v>
      </c>
      <c r="N51" s="980" t="s">
        <v>1408</v>
      </c>
      <c r="O51" s="985"/>
      <c r="P51" s="2022"/>
      <c r="Q51" s="1650"/>
      <c r="R51" s="960"/>
      <c r="S51" s="1910"/>
      <c r="T51" s="1911"/>
      <c r="U51" s="1650"/>
      <c r="V51" s="960"/>
      <c r="W51" s="1910"/>
      <c r="X51" s="1911"/>
      <c r="Y51" s="1650"/>
      <c r="Z51" s="960"/>
      <c r="AA51" s="2054"/>
      <c r="AB51" s="1913"/>
      <c r="AC51" s="998"/>
      <c r="AD51" s="987"/>
      <c r="AE51" s="1650"/>
      <c r="AF51" s="960"/>
      <c r="AG51" s="1910"/>
      <c r="AH51" s="1911"/>
      <c r="AI51" s="1650"/>
      <c r="AJ51" s="960"/>
      <c r="AK51" s="1910"/>
      <c r="AL51" s="1911"/>
      <c r="AM51" s="985"/>
      <c r="AN51" s="2023"/>
      <c r="AO51" s="1865"/>
      <c r="AP51" s="1000"/>
      <c r="AQ51" s="1001"/>
      <c r="AR51" s="2090"/>
      <c r="AS51" s="1545"/>
      <c r="AT51" s="2090"/>
      <c r="AU51" s="1650"/>
      <c r="AV51" s="960"/>
      <c r="AW51" s="1912"/>
      <c r="AX51" s="1913"/>
      <c r="AY51" s="1002"/>
      <c r="AZ51" s="987"/>
      <c r="BA51" s="1650"/>
      <c r="BB51" s="960"/>
      <c r="BC51" s="1910"/>
      <c r="BD51" s="1911"/>
      <c r="BE51" s="984">
        <v>14</v>
      </c>
      <c r="BF51" s="980" t="s">
        <v>1409</v>
      </c>
      <c r="BG51" s="1650"/>
      <c r="BH51" s="960"/>
      <c r="BI51" s="1910"/>
      <c r="BJ51" s="1911"/>
      <c r="BK51" s="1650"/>
      <c r="BL51" s="960"/>
      <c r="BM51" s="1910"/>
      <c r="BN51" s="1911"/>
      <c r="BO51" s="985"/>
      <c r="BP51" s="1985"/>
      <c r="BQ51" s="985"/>
      <c r="BR51" s="2022"/>
      <c r="BS51" s="1650">
        <v>187</v>
      </c>
      <c r="BT51" s="960"/>
      <c r="BU51" s="1910">
        <v>152</v>
      </c>
      <c r="BV51" s="1911"/>
      <c r="BW51" s="985"/>
      <c r="BX51" s="2022"/>
      <c r="BY51" s="1650"/>
      <c r="BZ51" s="960"/>
      <c r="CA51" s="1910"/>
      <c r="CB51" s="1911"/>
      <c r="CC51" s="1723"/>
      <c r="CD51" s="2113"/>
      <c r="CE51" s="984">
        <v>14</v>
      </c>
      <c r="CF51" s="980" t="s">
        <v>1410</v>
      </c>
      <c r="CG51" s="1650"/>
      <c r="CH51" s="960"/>
      <c r="CI51" s="1910"/>
      <c r="CJ51" s="1911"/>
      <c r="CK51" s="984">
        <v>14</v>
      </c>
      <c r="CL51" s="1003" t="s">
        <v>1380</v>
      </c>
      <c r="CM51" s="1650"/>
      <c r="CN51" s="960"/>
      <c r="CO51" s="1910"/>
      <c r="CP51" s="1911"/>
      <c r="CQ51" s="1650"/>
      <c r="CR51" s="960"/>
      <c r="CS51" s="1910"/>
      <c r="CT51" s="1911"/>
      <c r="CU51" s="1650"/>
      <c r="CV51" s="960"/>
      <c r="CW51" s="1910"/>
      <c r="CX51" s="1911"/>
      <c r="CY51" s="1650"/>
      <c r="CZ51" s="960"/>
      <c r="DA51" s="1910"/>
      <c r="DB51" s="1911"/>
      <c r="DC51" s="985"/>
      <c r="DD51" s="2022"/>
      <c r="DE51" s="1650"/>
      <c r="DF51" s="960"/>
      <c r="DG51" s="1910"/>
      <c r="DH51" s="1911"/>
      <c r="DI51" s="986">
        <v>14</v>
      </c>
      <c r="DJ51" s="995" t="s">
        <v>1411</v>
      </c>
      <c r="DK51" s="985"/>
      <c r="DL51" s="1985"/>
      <c r="DM51" s="985"/>
      <c r="DN51" s="1985"/>
      <c r="DO51" s="985"/>
      <c r="DP51" s="2022"/>
      <c r="DQ51" s="984">
        <v>14</v>
      </c>
      <c r="DR51" s="994"/>
      <c r="DS51" s="1650"/>
      <c r="DT51" s="960"/>
      <c r="DU51" s="1910"/>
      <c r="DV51" s="1911"/>
      <c r="DW51" s="984">
        <v>14</v>
      </c>
      <c r="DX51" s="987" t="s">
        <v>1412</v>
      </c>
      <c r="DY51" s="1650"/>
      <c r="DZ51" s="960"/>
      <c r="EA51" s="1910"/>
      <c r="EB51" s="1911"/>
      <c r="EC51" s="985"/>
      <c r="ED51" s="2023"/>
      <c r="EE51" s="1002"/>
      <c r="EF51" s="987"/>
      <c r="EG51" s="985"/>
      <c r="EH51" s="2022"/>
      <c r="EI51" s="1650"/>
      <c r="EJ51" s="960"/>
      <c r="EK51" s="2203"/>
      <c r="EL51" s="1911"/>
      <c r="EM51" s="2202">
        <f t="shared" si="49"/>
        <v>152</v>
      </c>
      <c r="EN51" s="1585">
        <f t="shared" si="50"/>
        <v>0</v>
      </c>
      <c r="EO51" s="1585">
        <f t="shared" si="51"/>
        <v>0</v>
      </c>
      <c r="EP51" s="1585">
        <f t="shared" si="19"/>
        <v>152</v>
      </c>
      <c r="EQ51" s="988">
        <f t="shared" si="16"/>
        <v>187</v>
      </c>
      <c r="ER51" s="1775">
        <f t="shared" si="17"/>
        <v>432</v>
      </c>
      <c r="ES51" s="1775">
        <f t="shared" si="18"/>
        <v>0</v>
      </c>
      <c r="ET51" s="992">
        <f t="shared" si="20"/>
        <v>619</v>
      </c>
    </row>
    <row r="52" spans="1:150" s="368" customFormat="1" ht="26.4" x14ac:dyDescent="0.25">
      <c r="A52" s="984">
        <v>15</v>
      </c>
      <c r="B52" s="980" t="s">
        <v>1413</v>
      </c>
      <c r="C52" s="1650"/>
      <c r="D52" s="960">
        <v>2058</v>
      </c>
      <c r="E52" s="1910"/>
      <c r="F52" s="1911"/>
      <c r="G52" s="985"/>
      <c r="H52" s="1985"/>
      <c r="I52" s="985"/>
      <c r="J52" s="1985"/>
      <c r="K52" s="985"/>
      <c r="L52" s="2023"/>
      <c r="M52" s="1008">
        <v>20</v>
      </c>
      <c r="N52" s="1009" t="s">
        <v>1414</v>
      </c>
      <c r="O52" s="985"/>
      <c r="P52" s="2022"/>
      <c r="Q52" s="1650"/>
      <c r="R52" s="960"/>
      <c r="S52" s="1910"/>
      <c r="T52" s="1911"/>
      <c r="U52" s="1650">
        <v>100</v>
      </c>
      <c r="V52" s="960"/>
      <c r="W52" s="1910">
        <v>100</v>
      </c>
      <c r="X52" s="1911"/>
      <c r="Y52" s="1650"/>
      <c r="Z52" s="960"/>
      <c r="AA52" s="2054"/>
      <c r="AB52" s="1913"/>
      <c r="AC52" s="998"/>
      <c r="AD52" s="987"/>
      <c r="AE52" s="1650"/>
      <c r="AF52" s="960"/>
      <c r="AG52" s="1910"/>
      <c r="AH52" s="1911"/>
      <c r="AI52" s="1650"/>
      <c r="AJ52" s="960"/>
      <c r="AK52" s="1910"/>
      <c r="AL52" s="1911"/>
      <c r="AM52" s="985"/>
      <c r="AN52" s="2023"/>
      <c r="AO52" s="1865"/>
      <c r="AP52" s="1000"/>
      <c r="AQ52" s="1001"/>
      <c r="AR52" s="2090"/>
      <c r="AS52" s="1545"/>
      <c r="AT52" s="2090"/>
      <c r="AU52" s="1650"/>
      <c r="AV52" s="960"/>
      <c r="AW52" s="1912"/>
      <c r="AX52" s="1913"/>
      <c r="AY52" s="1002"/>
      <c r="AZ52" s="987"/>
      <c r="BA52" s="1650"/>
      <c r="BB52" s="960"/>
      <c r="BC52" s="1910"/>
      <c r="BD52" s="1911"/>
      <c r="BE52" s="984">
        <v>15</v>
      </c>
      <c r="BF52" s="980" t="s">
        <v>1415</v>
      </c>
      <c r="BG52" s="1650"/>
      <c r="BH52" s="960"/>
      <c r="BI52" s="1910"/>
      <c r="BJ52" s="1911"/>
      <c r="BK52" s="1650"/>
      <c r="BL52" s="960"/>
      <c r="BM52" s="1910"/>
      <c r="BN52" s="1911"/>
      <c r="BO52" s="985"/>
      <c r="BP52" s="1985"/>
      <c r="BQ52" s="985"/>
      <c r="BR52" s="2022"/>
      <c r="BS52" s="1650">
        <f>24400-2000</f>
        <v>22400</v>
      </c>
      <c r="BT52" s="960"/>
      <c r="BU52" s="1910">
        <v>29909</v>
      </c>
      <c r="BV52" s="1911"/>
      <c r="BW52" s="985"/>
      <c r="BX52" s="2022"/>
      <c r="BY52" s="1650"/>
      <c r="BZ52" s="960"/>
      <c r="CA52" s="1910"/>
      <c r="CB52" s="1911"/>
      <c r="CC52" s="1723"/>
      <c r="CD52" s="2113"/>
      <c r="CE52" s="984">
        <v>15</v>
      </c>
      <c r="CF52" s="980" t="s">
        <v>1416</v>
      </c>
      <c r="CG52" s="1650"/>
      <c r="CH52" s="960"/>
      <c r="CI52" s="1910"/>
      <c r="CJ52" s="1911"/>
      <c r="CK52" s="984">
        <v>15</v>
      </c>
      <c r="CL52" s="980" t="s">
        <v>1387</v>
      </c>
      <c r="CM52" s="1650"/>
      <c r="CN52" s="960"/>
      <c r="CO52" s="1910"/>
      <c r="CP52" s="1911"/>
      <c r="CQ52" s="1650"/>
      <c r="CR52" s="960"/>
      <c r="CS52" s="1910"/>
      <c r="CT52" s="1911"/>
      <c r="CU52" s="1650"/>
      <c r="CV52" s="960"/>
      <c r="CW52" s="1910"/>
      <c r="CX52" s="1911"/>
      <c r="CY52" s="1650"/>
      <c r="CZ52" s="960"/>
      <c r="DA52" s="1910"/>
      <c r="DB52" s="1911"/>
      <c r="DC52" s="985"/>
      <c r="DD52" s="2022"/>
      <c r="DE52" s="1650"/>
      <c r="DF52" s="960"/>
      <c r="DG52" s="1910"/>
      <c r="DH52" s="1911"/>
      <c r="DI52" s="986">
        <v>15</v>
      </c>
      <c r="DJ52" s="980" t="s">
        <v>1330</v>
      </c>
      <c r="DK52" s="985"/>
      <c r="DL52" s="1985"/>
      <c r="DM52" s="985"/>
      <c r="DN52" s="1985"/>
      <c r="DO52" s="985"/>
      <c r="DP52" s="2022"/>
      <c r="DQ52" s="984">
        <v>15</v>
      </c>
      <c r="DR52" s="994"/>
      <c r="DS52" s="1650"/>
      <c r="DT52" s="960"/>
      <c r="DU52" s="1910"/>
      <c r="DV52" s="1911"/>
      <c r="DW52" s="984">
        <v>15</v>
      </c>
      <c r="DX52" s="987" t="s">
        <v>1417</v>
      </c>
      <c r="DY52" s="1650"/>
      <c r="DZ52" s="960"/>
      <c r="EA52" s="1910"/>
      <c r="EB52" s="1911"/>
      <c r="EC52" s="985"/>
      <c r="ED52" s="2023"/>
      <c r="EE52" s="1002"/>
      <c r="EF52" s="987"/>
      <c r="EG52" s="985"/>
      <c r="EH52" s="2022"/>
      <c r="EI52" s="1650"/>
      <c r="EJ52" s="960"/>
      <c r="EK52" s="2203"/>
      <c r="EL52" s="1911"/>
      <c r="EM52" s="2202">
        <f t="shared" si="49"/>
        <v>30009</v>
      </c>
      <c r="EN52" s="1585">
        <f t="shared" si="50"/>
        <v>0</v>
      </c>
      <c r="EO52" s="1585">
        <f t="shared" si="51"/>
        <v>0</v>
      </c>
      <c r="EP52" s="1585">
        <f t="shared" si="19"/>
        <v>30009</v>
      </c>
      <c r="EQ52" s="988">
        <f t="shared" si="16"/>
        <v>22500</v>
      </c>
      <c r="ER52" s="1775">
        <f t="shared" si="17"/>
        <v>2058</v>
      </c>
      <c r="ES52" s="1775">
        <f t="shared" si="18"/>
        <v>0</v>
      </c>
      <c r="ET52" s="992">
        <f t="shared" si="20"/>
        <v>24558</v>
      </c>
    </row>
    <row r="53" spans="1:150" s="368" customFormat="1" ht="26.4" x14ac:dyDescent="0.25">
      <c r="A53" s="984">
        <v>16</v>
      </c>
      <c r="B53" s="987" t="s">
        <v>1418</v>
      </c>
      <c r="C53" s="1650">
        <v>1500</v>
      </c>
      <c r="D53" s="960"/>
      <c r="E53" s="1910">
        <v>550</v>
      </c>
      <c r="F53" s="1911"/>
      <c r="G53" s="985"/>
      <c r="H53" s="1985"/>
      <c r="I53" s="985"/>
      <c r="J53" s="1985"/>
      <c r="K53" s="985"/>
      <c r="L53" s="2028"/>
      <c r="M53" s="1010">
        <v>21</v>
      </c>
      <c r="N53" s="1011" t="s">
        <v>1419</v>
      </c>
      <c r="O53" s="985"/>
      <c r="P53" s="2022"/>
      <c r="Q53" s="1650"/>
      <c r="R53" s="960"/>
      <c r="S53" s="1910"/>
      <c r="T53" s="1911"/>
      <c r="U53" s="1650"/>
      <c r="V53" s="960">
        <v>500</v>
      </c>
      <c r="W53" s="1910"/>
      <c r="X53" s="1911">
        <v>500</v>
      </c>
      <c r="Y53" s="1650"/>
      <c r="Z53" s="960"/>
      <c r="AA53" s="2054"/>
      <c r="AB53" s="1913"/>
      <c r="AC53" s="998"/>
      <c r="AD53" s="987"/>
      <c r="AE53" s="1650"/>
      <c r="AF53" s="960"/>
      <c r="AG53" s="1910"/>
      <c r="AH53" s="1911"/>
      <c r="AI53" s="1650"/>
      <c r="AJ53" s="960"/>
      <c r="AK53" s="1910"/>
      <c r="AL53" s="1911"/>
      <c r="AM53" s="985"/>
      <c r="AN53" s="2023"/>
      <c r="AO53" s="1865"/>
      <c r="AP53" s="1000"/>
      <c r="AQ53" s="1001"/>
      <c r="AR53" s="2090"/>
      <c r="AS53" s="1545"/>
      <c r="AT53" s="2090"/>
      <c r="AU53" s="1650"/>
      <c r="AV53" s="960"/>
      <c r="AW53" s="1912"/>
      <c r="AX53" s="1913"/>
      <c r="AY53" s="1002"/>
      <c r="AZ53" s="987"/>
      <c r="BA53" s="1650"/>
      <c r="BB53" s="960"/>
      <c r="BC53" s="1910"/>
      <c r="BD53" s="1911"/>
      <c r="BE53" s="984">
        <v>16</v>
      </c>
      <c r="BF53" s="980" t="s">
        <v>1420</v>
      </c>
      <c r="BG53" s="1650"/>
      <c r="BH53" s="960"/>
      <c r="BI53" s="1910"/>
      <c r="BJ53" s="1911"/>
      <c r="BK53" s="1650"/>
      <c r="BL53" s="960"/>
      <c r="BM53" s="1910"/>
      <c r="BN53" s="1911"/>
      <c r="BO53" s="985"/>
      <c r="BP53" s="1985"/>
      <c r="BQ53" s="985"/>
      <c r="BR53" s="2022"/>
      <c r="BS53" s="1650"/>
      <c r="BT53" s="960"/>
      <c r="BU53" s="1910"/>
      <c r="BV53" s="1911"/>
      <c r="BW53" s="985"/>
      <c r="BX53" s="2022"/>
      <c r="BY53" s="1650"/>
      <c r="BZ53" s="960"/>
      <c r="CA53" s="1910"/>
      <c r="CB53" s="1911"/>
      <c r="CC53" s="1723"/>
      <c r="CD53" s="2113"/>
      <c r="CE53" s="984">
        <v>16</v>
      </c>
      <c r="CF53" s="980" t="s">
        <v>1421</v>
      </c>
      <c r="CG53" s="1650"/>
      <c r="CH53" s="960"/>
      <c r="CI53" s="1910"/>
      <c r="CJ53" s="1911"/>
      <c r="CK53" s="984">
        <v>16</v>
      </c>
      <c r="CL53" s="980" t="s">
        <v>1330</v>
      </c>
      <c r="CM53" s="1650"/>
      <c r="CN53" s="960"/>
      <c r="CO53" s="1910"/>
      <c r="CP53" s="1911"/>
      <c r="CQ53" s="1650"/>
      <c r="CR53" s="960"/>
      <c r="CS53" s="1910"/>
      <c r="CT53" s="1911"/>
      <c r="CU53" s="1650"/>
      <c r="CV53" s="960"/>
      <c r="CW53" s="1910"/>
      <c r="CX53" s="1911"/>
      <c r="CY53" s="1650"/>
      <c r="CZ53" s="960"/>
      <c r="DA53" s="1910"/>
      <c r="DB53" s="1911"/>
      <c r="DC53" s="985"/>
      <c r="DD53" s="2022"/>
      <c r="DE53" s="1650"/>
      <c r="DF53" s="960"/>
      <c r="DG53" s="1910"/>
      <c r="DH53" s="1911"/>
      <c r="DI53" s="986">
        <v>16</v>
      </c>
      <c r="DJ53" s="987"/>
      <c r="DK53" s="985"/>
      <c r="DL53" s="1985"/>
      <c r="DM53" s="985"/>
      <c r="DN53" s="1985"/>
      <c r="DO53" s="985"/>
      <c r="DP53" s="2023"/>
      <c r="DQ53" s="1002"/>
      <c r="DR53" s="994"/>
      <c r="DS53" s="1650"/>
      <c r="DT53" s="960"/>
      <c r="DU53" s="1910"/>
      <c r="DV53" s="1911"/>
      <c r="DW53" s="984">
        <v>16</v>
      </c>
      <c r="DX53" s="987" t="s">
        <v>1330</v>
      </c>
      <c r="DY53" s="1650"/>
      <c r="DZ53" s="960"/>
      <c r="EA53" s="1910"/>
      <c r="EB53" s="1911"/>
      <c r="EC53" s="985"/>
      <c r="ED53" s="2023"/>
      <c r="EE53" s="1002"/>
      <c r="EF53" s="987"/>
      <c r="EG53" s="985"/>
      <c r="EH53" s="2022"/>
      <c r="EI53" s="1650"/>
      <c r="EJ53" s="960"/>
      <c r="EK53" s="2203"/>
      <c r="EL53" s="1911"/>
      <c r="EM53" s="2202">
        <f t="shared" si="49"/>
        <v>550</v>
      </c>
      <c r="EN53" s="1585">
        <f t="shared" si="50"/>
        <v>500</v>
      </c>
      <c r="EO53" s="1585">
        <f t="shared" si="51"/>
        <v>0</v>
      </c>
      <c r="EP53" s="1585">
        <f t="shared" si="19"/>
        <v>1050</v>
      </c>
      <c r="EQ53" s="988">
        <f t="shared" si="16"/>
        <v>1500</v>
      </c>
      <c r="ER53" s="1775">
        <f t="shared" si="17"/>
        <v>500</v>
      </c>
      <c r="ES53" s="1775">
        <f t="shared" si="18"/>
        <v>0</v>
      </c>
      <c r="ET53" s="992">
        <f t="shared" si="20"/>
        <v>2000</v>
      </c>
    </row>
    <row r="54" spans="1:150" x14ac:dyDescent="0.25">
      <c r="A54" s="952">
        <v>17</v>
      </c>
      <c r="B54" s="954" t="s">
        <v>2135</v>
      </c>
      <c r="C54" s="1650"/>
      <c r="D54" s="960"/>
      <c r="E54" s="1910"/>
      <c r="F54" s="1911">
        <v>4560</v>
      </c>
      <c r="G54" s="985"/>
      <c r="H54" s="1985"/>
      <c r="I54" s="985"/>
      <c r="J54" s="1985"/>
      <c r="K54" s="985"/>
      <c r="L54" s="2022"/>
      <c r="M54" s="952">
        <v>22</v>
      </c>
      <c r="N54" s="959" t="s">
        <v>2305</v>
      </c>
      <c r="O54" s="985"/>
      <c r="P54" s="2022"/>
      <c r="Q54" s="1650"/>
      <c r="R54" s="960"/>
      <c r="S54" s="1910"/>
      <c r="T54" s="1911"/>
      <c r="U54" s="1650"/>
      <c r="V54" s="960"/>
      <c r="W54" s="1910"/>
      <c r="X54" s="1911">
        <v>1000</v>
      </c>
      <c r="Y54" s="1650"/>
      <c r="Z54" s="960"/>
      <c r="AA54" s="2054"/>
      <c r="AB54" s="1913"/>
      <c r="AC54" s="964"/>
      <c r="AD54" s="959"/>
      <c r="AE54" s="1650"/>
      <c r="AF54" s="960"/>
      <c r="AG54" s="1910"/>
      <c r="AH54" s="1911"/>
      <c r="AI54" s="1650"/>
      <c r="AJ54" s="960"/>
      <c r="AK54" s="1910"/>
      <c r="AL54" s="1911"/>
      <c r="AM54" s="985"/>
      <c r="AN54" s="2023"/>
      <c r="AO54" s="1865"/>
      <c r="AP54" s="1000"/>
      <c r="AQ54" s="1001"/>
      <c r="AR54" s="2090"/>
      <c r="AS54" s="1545"/>
      <c r="AT54" s="2090"/>
      <c r="AU54" s="1650"/>
      <c r="AV54" s="960"/>
      <c r="AW54" s="1912"/>
      <c r="AX54" s="1913"/>
      <c r="AY54" s="965"/>
      <c r="AZ54" s="959"/>
      <c r="BA54" s="1650"/>
      <c r="BB54" s="960"/>
      <c r="BC54" s="1910"/>
      <c r="BD54" s="1911"/>
      <c r="BE54" s="952">
        <v>17</v>
      </c>
      <c r="BF54" s="954" t="s">
        <v>1423</v>
      </c>
      <c r="BG54" s="1650"/>
      <c r="BH54" s="960"/>
      <c r="BI54" s="1910"/>
      <c r="BJ54" s="1911"/>
      <c r="BK54" s="1650"/>
      <c r="BL54" s="960"/>
      <c r="BM54" s="1910"/>
      <c r="BN54" s="1911"/>
      <c r="BO54" s="985"/>
      <c r="BP54" s="1985"/>
      <c r="BQ54" s="985"/>
      <c r="BR54" s="2022"/>
      <c r="BS54" s="1650">
        <v>39370</v>
      </c>
      <c r="BT54" s="960"/>
      <c r="BU54" s="1910">
        <v>44196</v>
      </c>
      <c r="BV54" s="1911"/>
      <c r="BW54" s="985"/>
      <c r="BX54" s="2022"/>
      <c r="BY54" s="1650"/>
      <c r="BZ54" s="960"/>
      <c r="CA54" s="1910"/>
      <c r="CB54" s="1911"/>
      <c r="CC54" s="1723"/>
      <c r="CD54" s="2113"/>
      <c r="CE54" s="952">
        <v>17</v>
      </c>
      <c r="CF54" s="954" t="s">
        <v>1424</v>
      </c>
      <c r="CG54" s="1650"/>
      <c r="CH54" s="960"/>
      <c r="CI54" s="1910"/>
      <c r="CJ54" s="1911"/>
      <c r="CK54" s="952">
        <v>17</v>
      </c>
      <c r="CL54" s="987" t="s">
        <v>1425</v>
      </c>
      <c r="CM54" s="1650"/>
      <c r="CN54" s="960"/>
      <c r="CO54" s="1910"/>
      <c r="CP54" s="1911"/>
      <c r="CQ54" s="1650"/>
      <c r="CR54" s="960"/>
      <c r="CS54" s="1910"/>
      <c r="CT54" s="1911"/>
      <c r="CU54" s="1650"/>
      <c r="CV54" s="960"/>
      <c r="CW54" s="1910"/>
      <c r="CX54" s="1911"/>
      <c r="CY54" s="1650"/>
      <c r="CZ54" s="960"/>
      <c r="DA54" s="1910"/>
      <c r="DB54" s="1911"/>
      <c r="DC54" s="985"/>
      <c r="DD54" s="2022"/>
      <c r="DE54" s="1650"/>
      <c r="DF54" s="960"/>
      <c r="DG54" s="1910"/>
      <c r="DH54" s="1911"/>
      <c r="DI54" s="955">
        <v>17</v>
      </c>
      <c r="DJ54" s="987"/>
      <c r="DK54" s="985"/>
      <c r="DL54" s="1985"/>
      <c r="DM54" s="985"/>
      <c r="DN54" s="1985"/>
      <c r="DO54" s="985"/>
      <c r="DP54" s="2023"/>
      <c r="DQ54" s="965"/>
      <c r="DR54" s="962"/>
      <c r="DS54" s="1650"/>
      <c r="DT54" s="960"/>
      <c r="DU54" s="1910"/>
      <c r="DV54" s="1911"/>
      <c r="DW54" s="952">
        <v>17</v>
      </c>
      <c r="DX54" s="956" t="s">
        <v>1426</v>
      </c>
      <c r="DY54" s="1650"/>
      <c r="DZ54" s="960"/>
      <c r="EA54" s="1910"/>
      <c r="EB54" s="1911"/>
      <c r="EC54" s="985"/>
      <c r="ED54" s="2023"/>
      <c r="EE54" s="965"/>
      <c r="EF54" s="959"/>
      <c r="EG54" s="985"/>
      <c r="EH54" s="2022"/>
      <c r="EI54" s="1650"/>
      <c r="EJ54" s="960"/>
      <c r="EK54" s="2204"/>
      <c r="EL54" s="1913"/>
      <c r="EM54" s="2202">
        <f t="shared" si="49"/>
        <v>44196</v>
      </c>
      <c r="EN54" s="1585">
        <f t="shared" si="50"/>
        <v>5560</v>
      </c>
      <c r="EO54" s="1585">
        <f t="shared" si="51"/>
        <v>0</v>
      </c>
      <c r="EP54" s="1586">
        <f t="shared" si="19"/>
        <v>49756</v>
      </c>
      <c r="EQ54" s="999">
        <f t="shared" si="16"/>
        <v>39370</v>
      </c>
      <c r="ER54" s="1776">
        <f t="shared" si="17"/>
        <v>0</v>
      </c>
      <c r="ES54" s="1776">
        <f t="shared" si="18"/>
        <v>0</v>
      </c>
      <c r="ET54" s="1055">
        <f t="shared" si="20"/>
        <v>39370</v>
      </c>
    </row>
    <row r="55" spans="1:150" ht="26.4" x14ac:dyDescent="0.25">
      <c r="A55" s="952">
        <v>18</v>
      </c>
      <c r="B55" s="959" t="s">
        <v>1427</v>
      </c>
      <c r="C55" s="1650"/>
      <c r="D55" s="960"/>
      <c r="E55" s="1910"/>
      <c r="F55" s="1911"/>
      <c r="G55" s="985"/>
      <c r="H55" s="1985"/>
      <c r="I55" s="985"/>
      <c r="J55" s="1985"/>
      <c r="K55" s="985"/>
      <c r="L55" s="2022"/>
      <c r="M55" s="952">
        <v>23</v>
      </c>
      <c r="N55" s="981" t="s">
        <v>2134</v>
      </c>
      <c r="O55" s="985"/>
      <c r="P55" s="2022"/>
      <c r="Q55" s="1650"/>
      <c r="R55" s="960"/>
      <c r="S55" s="1910"/>
      <c r="T55" s="1911"/>
      <c r="U55" s="1650"/>
      <c r="V55" s="960"/>
      <c r="W55" s="1910"/>
      <c r="X55" s="1911"/>
      <c r="Y55" s="1650"/>
      <c r="Z55" s="960"/>
      <c r="AA55" s="2054"/>
      <c r="AB55" s="1913">
        <v>5844</v>
      </c>
      <c r="AC55" s="964"/>
      <c r="AD55" s="959"/>
      <c r="AE55" s="1650"/>
      <c r="AF55" s="960"/>
      <c r="AG55" s="1910"/>
      <c r="AH55" s="1911"/>
      <c r="AI55" s="1650"/>
      <c r="AJ55" s="960"/>
      <c r="AK55" s="1910"/>
      <c r="AL55" s="1911"/>
      <c r="AM55" s="985"/>
      <c r="AN55" s="2023"/>
      <c r="AO55" s="1865"/>
      <c r="AP55" s="1000"/>
      <c r="AQ55" s="1001"/>
      <c r="AR55" s="2090"/>
      <c r="AS55" s="1545"/>
      <c r="AT55" s="2090"/>
      <c r="AU55" s="1650"/>
      <c r="AV55" s="960"/>
      <c r="AW55" s="1912"/>
      <c r="AX55" s="1913"/>
      <c r="AY55" s="965"/>
      <c r="AZ55" s="959"/>
      <c r="BA55" s="1650"/>
      <c r="BB55" s="960"/>
      <c r="BC55" s="1910"/>
      <c r="BD55" s="1911"/>
      <c r="BE55" s="952">
        <v>18</v>
      </c>
      <c r="BF55" s="954" t="s">
        <v>1428</v>
      </c>
      <c r="BG55" s="1650"/>
      <c r="BH55" s="960"/>
      <c r="BI55" s="1910"/>
      <c r="BJ55" s="1911"/>
      <c r="BK55" s="1650"/>
      <c r="BL55" s="960"/>
      <c r="BM55" s="1910"/>
      <c r="BN55" s="1911"/>
      <c r="BO55" s="985"/>
      <c r="BP55" s="1985"/>
      <c r="BQ55" s="985"/>
      <c r="BR55" s="2022"/>
      <c r="BS55" s="1739">
        <v>168</v>
      </c>
      <c r="BT55" s="960"/>
      <c r="BU55" s="1910">
        <v>457</v>
      </c>
      <c r="BV55" s="1911"/>
      <c r="BW55" s="985"/>
      <c r="BX55" s="2022"/>
      <c r="BY55" s="1650"/>
      <c r="BZ55" s="960"/>
      <c r="CA55" s="1910"/>
      <c r="CB55" s="1911"/>
      <c r="CC55" s="1723"/>
      <c r="CD55" s="2113"/>
      <c r="CE55" s="952">
        <v>18</v>
      </c>
      <c r="CF55" s="954" t="s">
        <v>1429</v>
      </c>
      <c r="CG55" s="1650"/>
      <c r="CH55" s="960"/>
      <c r="CI55" s="1910"/>
      <c r="CJ55" s="1911"/>
      <c r="CK55" s="952">
        <v>18</v>
      </c>
      <c r="CL55" s="980" t="s">
        <v>1430</v>
      </c>
      <c r="CM55" s="1650"/>
      <c r="CN55" s="960"/>
      <c r="CO55" s="1910"/>
      <c r="CP55" s="1911"/>
      <c r="CQ55" s="1650"/>
      <c r="CR55" s="960"/>
      <c r="CS55" s="1910"/>
      <c r="CT55" s="1911"/>
      <c r="CU55" s="1650"/>
      <c r="CV55" s="960"/>
      <c r="CW55" s="1910"/>
      <c r="CX55" s="1911"/>
      <c r="CY55" s="1650"/>
      <c r="CZ55" s="960"/>
      <c r="DA55" s="1910"/>
      <c r="DB55" s="1911"/>
      <c r="DC55" s="985"/>
      <c r="DD55" s="2022"/>
      <c r="DE55" s="1650"/>
      <c r="DF55" s="960"/>
      <c r="DG55" s="1910"/>
      <c r="DH55" s="1911"/>
      <c r="DI55" s="955">
        <v>18</v>
      </c>
      <c r="DJ55" s="987"/>
      <c r="DK55" s="985"/>
      <c r="DL55" s="1985"/>
      <c r="DM55" s="985"/>
      <c r="DN55" s="1985"/>
      <c r="DO55" s="985"/>
      <c r="DP55" s="2023"/>
      <c r="DQ55" s="965"/>
      <c r="DR55" s="962"/>
      <c r="DS55" s="1650"/>
      <c r="DT55" s="960"/>
      <c r="DU55" s="1910"/>
      <c r="DV55" s="1911"/>
      <c r="DW55" s="952">
        <v>18</v>
      </c>
      <c r="DX55" s="961" t="s">
        <v>1431</v>
      </c>
      <c r="DY55" s="1650"/>
      <c r="DZ55" s="960"/>
      <c r="EA55" s="1910"/>
      <c r="EB55" s="1911"/>
      <c r="EC55" s="985"/>
      <c r="ED55" s="2023"/>
      <c r="EE55" s="965"/>
      <c r="EF55" s="959"/>
      <c r="EG55" s="985"/>
      <c r="EH55" s="2022"/>
      <c r="EI55" s="1650"/>
      <c r="EJ55" s="960"/>
      <c r="EK55" s="2203"/>
      <c r="EL55" s="1911"/>
      <c r="EM55" s="2202">
        <f t="shared" si="49"/>
        <v>457</v>
      </c>
      <c r="EN55" s="1585">
        <f t="shared" si="50"/>
        <v>5844</v>
      </c>
      <c r="EO55" s="1585">
        <f t="shared" si="51"/>
        <v>0</v>
      </c>
      <c r="EP55" s="1585">
        <f t="shared" si="19"/>
        <v>6301</v>
      </c>
      <c r="EQ55" s="988">
        <f t="shared" si="16"/>
        <v>168</v>
      </c>
      <c r="ER55" s="1775">
        <f t="shared" si="17"/>
        <v>0</v>
      </c>
      <c r="ES55" s="1775">
        <f t="shared" si="18"/>
        <v>0</v>
      </c>
      <c r="ET55" s="992">
        <f t="shared" si="20"/>
        <v>168</v>
      </c>
    </row>
    <row r="56" spans="1:150" ht="26.4" x14ac:dyDescent="0.25">
      <c r="A56" s="952">
        <v>19</v>
      </c>
      <c r="B56" s="959" t="s">
        <v>1432</v>
      </c>
      <c r="C56" s="1650"/>
      <c r="D56" s="960"/>
      <c r="E56" s="1910"/>
      <c r="F56" s="1911"/>
      <c r="G56" s="985"/>
      <c r="H56" s="1985"/>
      <c r="I56" s="985"/>
      <c r="J56" s="1985"/>
      <c r="K56" s="985"/>
      <c r="L56" s="2022"/>
      <c r="M56" s="952">
        <v>24</v>
      </c>
      <c r="N56" s="959" t="s">
        <v>1433</v>
      </c>
      <c r="O56" s="985"/>
      <c r="P56" s="2022"/>
      <c r="Q56" s="1650"/>
      <c r="R56" s="960"/>
      <c r="S56" s="1910"/>
      <c r="T56" s="1911"/>
      <c r="U56" s="1650"/>
      <c r="V56" s="960"/>
      <c r="W56" s="1910"/>
      <c r="X56" s="1911"/>
      <c r="Y56" s="1650">
        <v>18000</v>
      </c>
      <c r="Z56" s="960"/>
      <c r="AA56" s="2054">
        <v>18000</v>
      </c>
      <c r="AB56" s="1913"/>
      <c r="AC56" s="964"/>
      <c r="AD56" s="959"/>
      <c r="AE56" s="1650"/>
      <c r="AF56" s="960"/>
      <c r="AG56" s="1910"/>
      <c r="AH56" s="1911"/>
      <c r="AI56" s="1650"/>
      <c r="AJ56" s="960"/>
      <c r="AK56" s="1910"/>
      <c r="AL56" s="1911"/>
      <c r="AM56" s="985"/>
      <c r="AN56" s="2023"/>
      <c r="AO56" s="1865"/>
      <c r="AP56" s="1000"/>
      <c r="AQ56" s="1001"/>
      <c r="AR56" s="2090"/>
      <c r="AS56" s="1545"/>
      <c r="AT56" s="2090"/>
      <c r="AU56" s="1650"/>
      <c r="AV56" s="960"/>
      <c r="AW56" s="1912"/>
      <c r="AX56" s="1913"/>
      <c r="AY56" s="965"/>
      <c r="AZ56" s="959"/>
      <c r="BA56" s="1650"/>
      <c r="BB56" s="960"/>
      <c r="BC56" s="1910"/>
      <c r="BD56" s="1911"/>
      <c r="BE56" s="952">
        <v>19</v>
      </c>
      <c r="BF56" s="954" t="s">
        <v>1434</v>
      </c>
      <c r="BG56" s="1650"/>
      <c r="BH56" s="960"/>
      <c r="BI56" s="1910"/>
      <c r="BJ56" s="1911"/>
      <c r="BK56" s="1650"/>
      <c r="BL56" s="960"/>
      <c r="BM56" s="1910"/>
      <c r="BN56" s="1911"/>
      <c r="BO56" s="985"/>
      <c r="BP56" s="1985"/>
      <c r="BQ56" s="985"/>
      <c r="BR56" s="2022"/>
      <c r="BS56" s="1650">
        <v>1448</v>
      </c>
      <c r="BT56" s="960"/>
      <c r="BU56" s="1910">
        <v>1646</v>
      </c>
      <c r="BV56" s="1911"/>
      <c r="BW56" s="985"/>
      <c r="BX56" s="2022"/>
      <c r="BY56" s="1650"/>
      <c r="BZ56" s="960"/>
      <c r="CA56" s="1910"/>
      <c r="CB56" s="1911"/>
      <c r="CC56" s="1723"/>
      <c r="CD56" s="2113"/>
      <c r="CE56" s="952">
        <v>19</v>
      </c>
      <c r="CF56" s="954" t="s">
        <v>1435</v>
      </c>
      <c r="CG56" s="1650"/>
      <c r="CH56" s="960"/>
      <c r="CI56" s="1910"/>
      <c r="CJ56" s="1911"/>
      <c r="CK56" s="952">
        <v>19</v>
      </c>
      <c r="CL56" s="980" t="s">
        <v>1436</v>
      </c>
      <c r="CM56" s="1650"/>
      <c r="CN56" s="960"/>
      <c r="CO56" s="1910"/>
      <c r="CP56" s="1911"/>
      <c r="CQ56" s="1650"/>
      <c r="CR56" s="960"/>
      <c r="CS56" s="1910"/>
      <c r="CT56" s="1911"/>
      <c r="CU56" s="1650"/>
      <c r="CV56" s="960"/>
      <c r="CW56" s="1910"/>
      <c r="CX56" s="1911"/>
      <c r="CY56" s="1650"/>
      <c r="CZ56" s="960"/>
      <c r="DA56" s="1910"/>
      <c r="DB56" s="1911"/>
      <c r="DC56" s="985"/>
      <c r="DD56" s="2022"/>
      <c r="DE56" s="1650"/>
      <c r="DF56" s="960"/>
      <c r="DG56" s="1910"/>
      <c r="DH56" s="1911"/>
      <c r="DI56" s="955">
        <v>19</v>
      </c>
      <c r="DJ56" s="996"/>
      <c r="DK56" s="985"/>
      <c r="DL56" s="1985"/>
      <c r="DM56" s="985"/>
      <c r="DN56" s="1985"/>
      <c r="DO56" s="985"/>
      <c r="DP56" s="2023"/>
      <c r="DQ56" s="965"/>
      <c r="DR56" s="962"/>
      <c r="DS56" s="1650"/>
      <c r="DT56" s="960"/>
      <c r="DU56" s="1910"/>
      <c r="DV56" s="1911"/>
      <c r="DW56" s="952">
        <v>20</v>
      </c>
      <c r="DX56" s="1012" t="s">
        <v>1437</v>
      </c>
      <c r="DY56" s="1650"/>
      <c r="DZ56" s="960">
        <v>15000</v>
      </c>
      <c r="EA56" s="1910"/>
      <c r="EB56" s="1911"/>
      <c r="EC56" s="985"/>
      <c r="ED56" s="2023"/>
      <c r="EE56" s="965"/>
      <c r="EF56" s="959"/>
      <c r="EG56" s="985"/>
      <c r="EH56" s="2022"/>
      <c r="EI56" s="1650"/>
      <c r="EJ56" s="960"/>
      <c r="EK56" s="2203"/>
      <c r="EL56" s="1911"/>
      <c r="EM56" s="2202">
        <f t="shared" si="49"/>
        <v>19646</v>
      </c>
      <c r="EN56" s="1585">
        <f t="shared" si="50"/>
        <v>0</v>
      </c>
      <c r="EO56" s="1585">
        <f t="shared" si="51"/>
        <v>0</v>
      </c>
      <c r="EP56" s="1585">
        <f t="shared" si="19"/>
        <v>19646</v>
      </c>
      <c r="EQ56" s="988">
        <f t="shared" si="16"/>
        <v>19448</v>
      </c>
      <c r="ER56" s="1775">
        <f t="shared" si="17"/>
        <v>15000</v>
      </c>
      <c r="ES56" s="1775">
        <f t="shared" si="18"/>
        <v>0</v>
      </c>
      <c r="ET56" s="992">
        <f t="shared" si="20"/>
        <v>34448</v>
      </c>
    </row>
    <row r="57" spans="1:150" s="368" customFormat="1" x14ac:dyDescent="0.25">
      <c r="A57" s="984">
        <v>20</v>
      </c>
      <c r="B57" s="987" t="s">
        <v>1438</v>
      </c>
      <c r="C57" s="1650"/>
      <c r="D57" s="960"/>
      <c r="E57" s="1910"/>
      <c r="F57" s="1911"/>
      <c r="G57" s="985"/>
      <c r="H57" s="1985"/>
      <c r="I57" s="985"/>
      <c r="J57" s="1985"/>
      <c r="K57" s="985"/>
      <c r="L57" s="2022"/>
      <c r="M57" s="984">
        <v>25</v>
      </c>
      <c r="N57" s="987" t="s">
        <v>1439</v>
      </c>
      <c r="O57" s="985"/>
      <c r="P57" s="2022"/>
      <c r="Q57" s="1650"/>
      <c r="R57" s="960"/>
      <c r="S57" s="1910"/>
      <c r="T57" s="1911"/>
      <c r="U57" s="1650"/>
      <c r="V57" s="960"/>
      <c r="W57" s="1910"/>
      <c r="X57" s="1911"/>
      <c r="Y57" s="1650">
        <v>4680</v>
      </c>
      <c r="Z57" s="960"/>
      <c r="AA57" s="2054">
        <v>4680</v>
      </c>
      <c r="AB57" s="1913"/>
      <c r="AC57" s="998"/>
      <c r="AD57" s="987"/>
      <c r="AE57" s="1650"/>
      <c r="AF57" s="960"/>
      <c r="AG57" s="1910"/>
      <c r="AH57" s="1911"/>
      <c r="AI57" s="1650"/>
      <c r="AJ57" s="960"/>
      <c r="AK57" s="1910"/>
      <c r="AL57" s="1911"/>
      <c r="AM57" s="985"/>
      <c r="AN57" s="2023"/>
      <c r="AO57" s="1865"/>
      <c r="AP57" s="1000"/>
      <c r="AQ57" s="1001"/>
      <c r="AR57" s="2090"/>
      <c r="AS57" s="1545"/>
      <c r="AT57" s="2090"/>
      <c r="AU57" s="1650"/>
      <c r="AV57" s="960"/>
      <c r="AW57" s="1912"/>
      <c r="AX57" s="1913"/>
      <c r="AY57" s="1002"/>
      <c r="AZ57" s="987"/>
      <c r="BA57" s="1650"/>
      <c r="BB57" s="960"/>
      <c r="BC57" s="1910"/>
      <c r="BD57" s="1911"/>
      <c r="BE57" s="984">
        <v>20</v>
      </c>
      <c r="BF57" s="980" t="s">
        <v>1440</v>
      </c>
      <c r="BG57" s="1650"/>
      <c r="BH57" s="960"/>
      <c r="BI57" s="1910"/>
      <c r="BJ57" s="1911"/>
      <c r="BK57" s="1650"/>
      <c r="BL57" s="960"/>
      <c r="BM57" s="1910"/>
      <c r="BN57" s="1911"/>
      <c r="BO57" s="985"/>
      <c r="BP57" s="1985"/>
      <c r="BQ57" s="985"/>
      <c r="BR57" s="2022"/>
      <c r="BS57" s="1650">
        <v>1715</v>
      </c>
      <c r="BT57" s="960"/>
      <c r="BU57" s="1910">
        <v>107</v>
      </c>
      <c r="BV57" s="1911"/>
      <c r="BW57" s="985"/>
      <c r="BX57" s="2022"/>
      <c r="BY57" s="1650"/>
      <c r="BZ57" s="960"/>
      <c r="CA57" s="1910"/>
      <c r="CB57" s="1911"/>
      <c r="CC57" s="1723"/>
      <c r="CD57" s="2113"/>
      <c r="CE57" s="984">
        <v>20</v>
      </c>
      <c r="CF57" s="980" t="s">
        <v>1441</v>
      </c>
      <c r="CG57" s="1650"/>
      <c r="CH57" s="960"/>
      <c r="CI57" s="1912"/>
      <c r="CJ57" s="1913"/>
      <c r="CK57" s="1008">
        <v>20</v>
      </c>
      <c r="CL57" s="1009" t="s">
        <v>1442</v>
      </c>
      <c r="CM57" s="1650"/>
      <c r="CN57" s="960"/>
      <c r="CO57" s="1910"/>
      <c r="CP57" s="1911"/>
      <c r="CQ57" s="1650"/>
      <c r="CR57" s="960"/>
      <c r="CS57" s="1910"/>
      <c r="CT57" s="1911"/>
      <c r="CU57" s="1650"/>
      <c r="CV57" s="960"/>
      <c r="CW57" s="1910"/>
      <c r="CX57" s="1911"/>
      <c r="CY57" s="1650"/>
      <c r="CZ57" s="960"/>
      <c r="DA57" s="1910"/>
      <c r="DB57" s="1911"/>
      <c r="DC57" s="985"/>
      <c r="DD57" s="2022"/>
      <c r="DE57" s="1650"/>
      <c r="DF57" s="960"/>
      <c r="DG57" s="1910"/>
      <c r="DH57" s="1911"/>
      <c r="DI57" s="986">
        <v>20</v>
      </c>
      <c r="DJ57" s="987"/>
      <c r="DK57" s="985"/>
      <c r="DL57" s="1985"/>
      <c r="DM57" s="985"/>
      <c r="DN57" s="1985"/>
      <c r="DO57" s="985"/>
      <c r="DP57" s="2023"/>
      <c r="DQ57" s="1002"/>
      <c r="DR57" s="994"/>
      <c r="DS57" s="1650"/>
      <c r="DT57" s="960"/>
      <c r="DU57" s="1910"/>
      <c r="DV57" s="1911"/>
      <c r="DW57" s="984">
        <v>21</v>
      </c>
      <c r="DX57" s="996" t="s">
        <v>1443</v>
      </c>
      <c r="DY57" s="1650"/>
      <c r="DZ57" s="960"/>
      <c r="EA57" s="1910"/>
      <c r="EB57" s="1911"/>
      <c r="EC57" s="985">
        <v>1000</v>
      </c>
      <c r="ED57" s="2023">
        <v>1000</v>
      </c>
      <c r="EE57" s="1002"/>
      <c r="EF57" s="987"/>
      <c r="EG57" s="985"/>
      <c r="EH57" s="2022"/>
      <c r="EI57" s="1650"/>
      <c r="EJ57" s="960"/>
      <c r="EK57" s="2022"/>
      <c r="EL57" s="1911"/>
      <c r="EM57" s="2202">
        <f t="shared" si="49"/>
        <v>4787</v>
      </c>
      <c r="EN57" s="1585">
        <f t="shared" si="50"/>
        <v>1000</v>
      </c>
      <c r="EO57" s="1585">
        <f t="shared" si="51"/>
        <v>0</v>
      </c>
      <c r="EP57" s="1585">
        <f t="shared" si="19"/>
        <v>5787</v>
      </c>
      <c r="EQ57" s="988">
        <f t="shared" si="16"/>
        <v>6395</v>
      </c>
      <c r="ER57" s="1775">
        <f t="shared" si="17"/>
        <v>1000</v>
      </c>
      <c r="ES57" s="1775">
        <f t="shared" si="18"/>
        <v>0</v>
      </c>
      <c r="ET57" s="992">
        <f t="shared" si="20"/>
        <v>7395</v>
      </c>
    </row>
    <row r="58" spans="1:150" ht="26.4" x14ac:dyDescent="0.25">
      <c r="A58" s="952">
        <v>21</v>
      </c>
      <c r="B58" s="959" t="s">
        <v>1444</v>
      </c>
      <c r="C58" s="1650"/>
      <c r="D58" s="960"/>
      <c r="E58" s="1910"/>
      <c r="F58" s="1911"/>
      <c r="G58" s="985"/>
      <c r="H58" s="1985"/>
      <c r="I58" s="985"/>
      <c r="J58" s="1985"/>
      <c r="K58" s="985"/>
      <c r="L58" s="2022"/>
      <c r="M58" s="952">
        <v>26</v>
      </c>
      <c r="N58" s="1013" t="s">
        <v>1445</v>
      </c>
      <c r="O58" s="985"/>
      <c r="P58" s="2022"/>
      <c r="Q58" s="1650"/>
      <c r="R58" s="960"/>
      <c r="S58" s="1910"/>
      <c r="T58" s="1911"/>
      <c r="U58" s="1650"/>
      <c r="V58" s="960"/>
      <c r="W58" s="1910"/>
      <c r="X58" s="1911"/>
      <c r="Y58" s="1650"/>
      <c r="Z58" s="960">
        <v>20000</v>
      </c>
      <c r="AA58" s="2023"/>
      <c r="AB58" s="1913">
        <v>20000</v>
      </c>
      <c r="AC58" s="964"/>
      <c r="AD58" s="959"/>
      <c r="AE58" s="1650"/>
      <c r="AF58" s="960"/>
      <c r="AG58" s="1910"/>
      <c r="AH58" s="1911"/>
      <c r="AI58" s="1650"/>
      <c r="AJ58" s="960"/>
      <c r="AK58" s="1910"/>
      <c r="AL58" s="1911"/>
      <c r="AM58" s="985"/>
      <c r="AN58" s="2023"/>
      <c r="AO58" s="1865"/>
      <c r="AP58" s="1000"/>
      <c r="AQ58" s="1001"/>
      <c r="AR58" s="2090"/>
      <c r="AS58" s="1545"/>
      <c r="AT58" s="2090"/>
      <c r="AU58" s="1650"/>
      <c r="AV58" s="960"/>
      <c r="AW58" s="1912"/>
      <c r="AX58" s="1913"/>
      <c r="AY58" s="965"/>
      <c r="AZ58" s="959"/>
      <c r="BA58" s="1650"/>
      <c r="BB58" s="960"/>
      <c r="BC58" s="1910"/>
      <c r="BD58" s="1911"/>
      <c r="BE58" s="952">
        <v>21</v>
      </c>
      <c r="BF58" s="954" t="s">
        <v>1446</v>
      </c>
      <c r="BG58" s="1650"/>
      <c r="BH58" s="960"/>
      <c r="BI58" s="1910"/>
      <c r="BJ58" s="1911"/>
      <c r="BK58" s="1650"/>
      <c r="BL58" s="960"/>
      <c r="BM58" s="1910"/>
      <c r="BN58" s="1911"/>
      <c r="BO58" s="985"/>
      <c r="BP58" s="1985"/>
      <c r="BQ58" s="985"/>
      <c r="BR58" s="2022"/>
      <c r="BS58" s="1650"/>
      <c r="BT58" s="960"/>
      <c r="BU58" s="1910"/>
      <c r="BV58" s="1911"/>
      <c r="BW58" s="985"/>
      <c r="BX58" s="2022"/>
      <c r="BY58" s="1650"/>
      <c r="BZ58" s="960"/>
      <c r="CA58" s="1910"/>
      <c r="CB58" s="1911"/>
      <c r="CC58" s="1723"/>
      <c r="CD58" s="2113"/>
      <c r="CE58" s="952">
        <v>21</v>
      </c>
      <c r="CF58" s="954" t="s">
        <v>1447</v>
      </c>
      <c r="CG58" s="1650"/>
      <c r="CH58" s="960"/>
      <c r="CI58" s="1965"/>
      <c r="CJ58" s="1966"/>
      <c r="CK58" s="1014">
        <v>21</v>
      </c>
      <c r="CL58" s="1011" t="s">
        <v>1448</v>
      </c>
      <c r="CM58" s="1650"/>
      <c r="CN58" s="960"/>
      <c r="CO58" s="1910"/>
      <c r="CP58" s="1911"/>
      <c r="CQ58" s="1650"/>
      <c r="CR58" s="960"/>
      <c r="CS58" s="1910"/>
      <c r="CT58" s="1911"/>
      <c r="CU58" s="1650"/>
      <c r="CV58" s="960"/>
      <c r="CW58" s="1910"/>
      <c r="CX58" s="1911"/>
      <c r="CY58" s="1650"/>
      <c r="CZ58" s="960"/>
      <c r="DA58" s="1910"/>
      <c r="DB58" s="1911"/>
      <c r="DC58" s="985"/>
      <c r="DD58" s="2022"/>
      <c r="DE58" s="1650"/>
      <c r="DF58" s="960"/>
      <c r="DG58" s="1910"/>
      <c r="DH58" s="1911"/>
      <c r="DI58" s="955">
        <v>21</v>
      </c>
      <c r="DJ58" s="1015"/>
      <c r="DK58" s="985"/>
      <c r="DL58" s="1985"/>
      <c r="DM58" s="985"/>
      <c r="DN58" s="1985"/>
      <c r="DO58" s="985"/>
      <c r="DP58" s="2023"/>
      <c r="DQ58" s="965"/>
      <c r="DR58" s="962"/>
      <c r="DS58" s="1650"/>
      <c r="DT58" s="960"/>
      <c r="DU58" s="1910"/>
      <c r="DV58" s="1911"/>
      <c r="DW58" s="952">
        <v>22</v>
      </c>
      <c r="DX58" s="1016" t="s">
        <v>1449</v>
      </c>
      <c r="DY58" s="1650"/>
      <c r="DZ58" s="960"/>
      <c r="EA58" s="1910"/>
      <c r="EB58" s="1911"/>
      <c r="EC58" s="985"/>
      <c r="ED58" s="2023"/>
      <c r="EE58" s="965"/>
      <c r="EF58" s="959"/>
      <c r="EG58" s="985"/>
      <c r="EH58" s="2022"/>
      <c r="EI58" s="1650"/>
      <c r="EJ58" s="960"/>
      <c r="EK58" s="2213"/>
      <c r="EL58" s="2189"/>
      <c r="EM58" s="2202">
        <f t="shared" si="49"/>
        <v>0</v>
      </c>
      <c r="EN58" s="1585">
        <f t="shared" si="50"/>
        <v>20000</v>
      </c>
      <c r="EO58" s="1585">
        <f t="shared" si="51"/>
        <v>0</v>
      </c>
      <c r="EP58" s="1611">
        <f t="shared" si="19"/>
        <v>20000</v>
      </c>
      <c r="EQ58" s="1834">
        <f t="shared" si="16"/>
        <v>0</v>
      </c>
      <c r="ER58" s="1835">
        <f t="shared" si="17"/>
        <v>20000</v>
      </c>
      <c r="ES58" s="1835">
        <f t="shared" si="18"/>
        <v>0</v>
      </c>
      <c r="ET58" s="1836">
        <f t="shared" si="20"/>
        <v>20000</v>
      </c>
    </row>
    <row r="59" spans="1:150" ht="26.4" x14ac:dyDescent="0.25">
      <c r="A59" s="952">
        <v>22</v>
      </c>
      <c r="B59" s="954" t="s">
        <v>1422</v>
      </c>
      <c r="C59" s="1650"/>
      <c r="D59" s="960"/>
      <c r="E59" s="1910"/>
      <c r="F59" s="1911"/>
      <c r="G59" s="985"/>
      <c r="H59" s="1985"/>
      <c r="I59" s="985"/>
      <c r="J59" s="1985"/>
      <c r="K59" s="985"/>
      <c r="L59" s="2022"/>
      <c r="M59" s="952">
        <v>27</v>
      </c>
      <c r="N59" s="1013" t="s">
        <v>1450</v>
      </c>
      <c r="O59" s="985"/>
      <c r="P59" s="2022"/>
      <c r="Q59" s="1650"/>
      <c r="R59" s="960"/>
      <c r="S59" s="1910"/>
      <c r="T59" s="1911"/>
      <c r="U59" s="1650"/>
      <c r="V59" s="960"/>
      <c r="W59" s="1910"/>
      <c r="X59" s="1911"/>
      <c r="Y59" s="1650"/>
      <c r="Z59" s="960">
        <v>5000</v>
      </c>
      <c r="AA59" s="2023"/>
      <c r="AB59" s="1913">
        <v>5000</v>
      </c>
      <c r="AC59" s="964"/>
      <c r="AD59" s="959"/>
      <c r="AE59" s="1650"/>
      <c r="AF59" s="960"/>
      <c r="AG59" s="1910"/>
      <c r="AH59" s="1911"/>
      <c r="AI59" s="1650"/>
      <c r="AJ59" s="960"/>
      <c r="AK59" s="1910"/>
      <c r="AL59" s="1911"/>
      <c r="AM59" s="985"/>
      <c r="AN59" s="2023"/>
      <c r="AO59" s="1865"/>
      <c r="AP59" s="1000"/>
      <c r="AQ59" s="1001"/>
      <c r="AR59" s="2090"/>
      <c r="AS59" s="1545"/>
      <c r="AT59" s="2090"/>
      <c r="AU59" s="1650"/>
      <c r="AV59" s="960"/>
      <c r="AW59" s="1912"/>
      <c r="AX59" s="1913"/>
      <c r="AY59" s="965"/>
      <c r="AZ59" s="959"/>
      <c r="BA59" s="1650"/>
      <c r="BB59" s="960"/>
      <c r="BC59" s="1910"/>
      <c r="BD59" s="1911"/>
      <c r="BE59" s="952">
        <v>22</v>
      </c>
      <c r="BF59" s="981" t="s">
        <v>1451</v>
      </c>
      <c r="BG59" s="1650"/>
      <c r="BH59" s="960"/>
      <c r="BI59" s="1910"/>
      <c r="BJ59" s="1911"/>
      <c r="BK59" s="1650"/>
      <c r="BL59" s="960"/>
      <c r="BM59" s="1910"/>
      <c r="BN59" s="1911"/>
      <c r="BO59" s="985"/>
      <c r="BP59" s="1985"/>
      <c r="BQ59" s="985"/>
      <c r="BR59" s="2022"/>
      <c r="BS59" s="1650">
        <v>213</v>
      </c>
      <c r="BT59" s="960"/>
      <c r="BU59" s="1910">
        <v>305</v>
      </c>
      <c r="BV59" s="1911"/>
      <c r="BW59" s="985"/>
      <c r="BX59" s="2022"/>
      <c r="BY59" s="1650"/>
      <c r="BZ59" s="960"/>
      <c r="CA59" s="1910"/>
      <c r="CB59" s="1911"/>
      <c r="CC59" s="1723"/>
      <c r="CD59" s="2113"/>
      <c r="CE59" s="952">
        <v>22</v>
      </c>
      <c r="CF59" s="954" t="s">
        <v>1452</v>
      </c>
      <c r="CG59" s="1650"/>
      <c r="CH59" s="960"/>
      <c r="CI59" s="2188"/>
      <c r="CJ59" s="2189"/>
      <c r="CK59" s="1017">
        <v>22</v>
      </c>
      <c r="CL59" s="980" t="s">
        <v>1453</v>
      </c>
      <c r="CM59" s="1650"/>
      <c r="CN59" s="960"/>
      <c r="CO59" s="1910"/>
      <c r="CP59" s="1911"/>
      <c r="CQ59" s="1650"/>
      <c r="CR59" s="960"/>
      <c r="CS59" s="1910"/>
      <c r="CT59" s="1911"/>
      <c r="CU59" s="1650"/>
      <c r="CV59" s="960"/>
      <c r="CW59" s="1910"/>
      <c r="CX59" s="1911"/>
      <c r="CY59" s="1650"/>
      <c r="CZ59" s="960"/>
      <c r="DA59" s="1910"/>
      <c r="DB59" s="1911"/>
      <c r="DC59" s="985"/>
      <c r="DD59" s="2022"/>
      <c r="DE59" s="1650"/>
      <c r="DF59" s="960"/>
      <c r="DG59" s="1910"/>
      <c r="DH59" s="1911"/>
      <c r="DI59" s="955">
        <v>22</v>
      </c>
      <c r="DJ59" s="1018"/>
      <c r="DK59" s="985"/>
      <c r="DL59" s="1985"/>
      <c r="DM59" s="985"/>
      <c r="DN59" s="1985"/>
      <c r="DO59" s="985"/>
      <c r="DP59" s="2023"/>
      <c r="DQ59" s="965"/>
      <c r="DR59" s="962"/>
      <c r="DS59" s="1650"/>
      <c r="DT59" s="960"/>
      <c r="DU59" s="1910"/>
      <c r="DV59" s="1911"/>
      <c r="DW59" s="952">
        <v>23</v>
      </c>
      <c r="DX59" s="954" t="s">
        <v>1454</v>
      </c>
      <c r="DY59" s="1650">
        <f>20000-10000</f>
        <v>10000</v>
      </c>
      <c r="DZ59" s="960"/>
      <c r="EA59" s="2198">
        <v>10000</v>
      </c>
      <c r="EB59" s="1911"/>
      <c r="EC59" s="985"/>
      <c r="ED59" s="2023"/>
      <c r="EE59" s="965"/>
      <c r="EF59" s="959"/>
      <c r="EG59" s="985"/>
      <c r="EH59" s="2022"/>
      <c r="EI59" s="1650"/>
      <c r="EJ59" s="960"/>
      <c r="EK59" s="2203"/>
      <c r="EL59" s="1911"/>
      <c r="EM59" s="2202">
        <f t="shared" si="49"/>
        <v>10305</v>
      </c>
      <c r="EN59" s="1585">
        <f t="shared" si="50"/>
        <v>5000</v>
      </c>
      <c r="EO59" s="1585">
        <f t="shared" si="51"/>
        <v>0</v>
      </c>
      <c r="EP59" s="1585">
        <f t="shared" si="19"/>
        <v>15305</v>
      </c>
      <c r="EQ59" s="988">
        <f t="shared" si="16"/>
        <v>10213</v>
      </c>
      <c r="ER59" s="1775">
        <f t="shared" si="17"/>
        <v>5000</v>
      </c>
      <c r="ES59" s="1775">
        <f t="shared" si="18"/>
        <v>0</v>
      </c>
      <c r="ET59" s="992">
        <f t="shared" si="20"/>
        <v>15213</v>
      </c>
    </row>
    <row r="60" spans="1:150" ht="26.4" x14ac:dyDescent="0.25">
      <c r="A60" s="952">
        <v>23</v>
      </c>
      <c r="B60" s="954" t="s">
        <v>1455</v>
      </c>
      <c r="C60" s="1650"/>
      <c r="D60" s="960"/>
      <c r="E60" s="1910"/>
      <c r="F60" s="1911"/>
      <c r="G60" s="985"/>
      <c r="H60" s="1985"/>
      <c r="I60" s="985">
        <v>3353</v>
      </c>
      <c r="J60" s="1985">
        <v>3353</v>
      </c>
      <c r="K60" s="985"/>
      <c r="L60" s="2022"/>
      <c r="M60" s="952">
        <v>28</v>
      </c>
      <c r="N60" s="1019" t="s">
        <v>1456</v>
      </c>
      <c r="O60" s="985"/>
      <c r="P60" s="2022"/>
      <c r="Q60" s="1650"/>
      <c r="R60" s="960"/>
      <c r="S60" s="1910"/>
      <c r="T60" s="1911"/>
      <c r="U60" s="1650"/>
      <c r="V60" s="960"/>
      <c r="W60" s="1910"/>
      <c r="X60" s="1911"/>
      <c r="Y60" s="1650"/>
      <c r="Z60" s="960">
        <v>6000</v>
      </c>
      <c r="AA60" s="2023"/>
      <c r="AB60" s="1913">
        <v>6000</v>
      </c>
      <c r="AC60" s="964"/>
      <c r="AD60" s="959"/>
      <c r="AE60" s="1650"/>
      <c r="AF60" s="960"/>
      <c r="AG60" s="1910"/>
      <c r="AH60" s="1911"/>
      <c r="AI60" s="1650"/>
      <c r="AJ60" s="960"/>
      <c r="AK60" s="1910"/>
      <c r="AL60" s="1911"/>
      <c r="AM60" s="985"/>
      <c r="AN60" s="2023"/>
      <c r="AO60" s="1865"/>
      <c r="AP60" s="1000"/>
      <c r="AQ60" s="1001"/>
      <c r="AR60" s="2090"/>
      <c r="AS60" s="1545"/>
      <c r="AT60" s="2090"/>
      <c r="AU60" s="1650"/>
      <c r="AV60" s="960"/>
      <c r="AW60" s="1912"/>
      <c r="AX60" s="1913"/>
      <c r="AY60" s="965"/>
      <c r="AZ60" s="959"/>
      <c r="BA60" s="1650"/>
      <c r="BB60" s="960"/>
      <c r="BC60" s="1910"/>
      <c r="BD60" s="1911"/>
      <c r="BE60" s="952">
        <v>23</v>
      </c>
      <c r="BF60" s="954" t="s">
        <v>2116</v>
      </c>
      <c r="BG60" s="1650"/>
      <c r="BH60" s="960"/>
      <c r="BI60" s="1910"/>
      <c r="BJ60" s="1911"/>
      <c r="BK60" s="1650"/>
      <c r="BL60" s="960"/>
      <c r="BM60" s="1910"/>
      <c r="BN60" s="1911"/>
      <c r="BO60" s="985"/>
      <c r="BP60" s="1985"/>
      <c r="BQ60" s="985"/>
      <c r="BR60" s="2022"/>
      <c r="BS60" s="1650">
        <v>138</v>
      </c>
      <c r="BT60" s="960"/>
      <c r="BU60" s="1910">
        <v>57</v>
      </c>
      <c r="BV60" s="1911"/>
      <c r="BW60" s="985"/>
      <c r="BX60" s="2022"/>
      <c r="BY60" s="1650"/>
      <c r="BZ60" s="960"/>
      <c r="CA60" s="1910"/>
      <c r="CB60" s="1911"/>
      <c r="CC60" s="1723">
        <v>1000</v>
      </c>
      <c r="CD60" s="2113">
        <v>1000</v>
      </c>
      <c r="CE60" s="952">
        <v>23</v>
      </c>
      <c r="CF60" s="954" t="s">
        <v>1457</v>
      </c>
      <c r="CG60" s="1650"/>
      <c r="CH60" s="960"/>
      <c r="CI60" s="1910"/>
      <c r="CJ60" s="1911"/>
      <c r="CK60" s="952">
        <v>23</v>
      </c>
      <c r="CL60" s="980" t="s">
        <v>1458</v>
      </c>
      <c r="CM60" s="1650"/>
      <c r="CN60" s="960"/>
      <c r="CO60" s="1910"/>
      <c r="CP60" s="1911"/>
      <c r="CQ60" s="1650"/>
      <c r="CR60" s="960"/>
      <c r="CS60" s="1910"/>
      <c r="CT60" s="1911"/>
      <c r="CU60" s="1650"/>
      <c r="CV60" s="960"/>
      <c r="CW60" s="1910"/>
      <c r="CX60" s="1911"/>
      <c r="CY60" s="1650"/>
      <c r="CZ60" s="960"/>
      <c r="DA60" s="1910"/>
      <c r="DB60" s="1911"/>
      <c r="DC60" s="985"/>
      <c r="DD60" s="2022"/>
      <c r="DE60" s="1650"/>
      <c r="DF60" s="960"/>
      <c r="DG60" s="1910"/>
      <c r="DH60" s="1911"/>
      <c r="DI60" s="955">
        <v>23</v>
      </c>
      <c r="DJ60" s="987"/>
      <c r="DK60" s="985"/>
      <c r="DL60" s="1985"/>
      <c r="DM60" s="985"/>
      <c r="DN60" s="1985"/>
      <c r="DO60" s="985"/>
      <c r="DP60" s="2023"/>
      <c r="DQ60" s="965"/>
      <c r="DR60" s="962"/>
      <c r="DS60" s="1650"/>
      <c r="DT60" s="960"/>
      <c r="DU60" s="1910"/>
      <c r="DV60" s="1911"/>
      <c r="DW60" s="952">
        <v>24</v>
      </c>
      <c r="DX60" s="959" t="s">
        <v>1459</v>
      </c>
      <c r="DY60" s="1650">
        <v>12000</v>
      </c>
      <c r="DZ60" s="960"/>
      <c r="EA60" s="1910"/>
      <c r="EB60" s="1911"/>
      <c r="EC60" s="985"/>
      <c r="ED60" s="2023"/>
      <c r="EE60" s="965"/>
      <c r="EF60" s="959"/>
      <c r="EG60" s="985"/>
      <c r="EH60" s="2022"/>
      <c r="EI60" s="1650"/>
      <c r="EJ60" s="960"/>
      <c r="EK60" s="2203"/>
      <c r="EL60" s="1911"/>
      <c r="EM60" s="2202">
        <f t="shared" si="49"/>
        <v>1057</v>
      </c>
      <c r="EN60" s="1585">
        <f t="shared" si="50"/>
        <v>9353</v>
      </c>
      <c r="EO60" s="1585">
        <f t="shared" si="51"/>
        <v>0</v>
      </c>
      <c r="EP60" s="1585">
        <f t="shared" ref="EP60:EP126" si="52">SUM(EM60:EO60)</f>
        <v>10410</v>
      </c>
      <c r="EQ60" s="988">
        <f t="shared" si="16"/>
        <v>13138</v>
      </c>
      <c r="ER60" s="1775">
        <f t="shared" si="17"/>
        <v>9353</v>
      </c>
      <c r="ES60" s="1775">
        <f t="shared" si="18"/>
        <v>0</v>
      </c>
      <c r="ET60" s="992">
        <f t="shared" si="20"/>
        <v>22491</v>
      </c>
    </row>
    <row r="61" spans="1:150" x14ac:dyDescent="0.25">
      <c r="A61" s="952">
        <v>24</v>
      </c>
      <c r="B61" s="954" t="s">
        <v>1422</v>
      </c>
      <c r="C61" s="1650"/>
      <c r="D61" s="960"/>
      <c r="E61" s="1910"/>
      <c r="F61" s="1911"/>
      <c r="G61" s="985"/>
      <c r="H61" s="1985"/>
      <c r="I61" s="985"/>
      <c r="J61" s="1985"/>
      <c r="K61" s="985"/>
      <c r="L61" s="2022"/>
      <c r="M61" s="952">
        <v>29</v>
      </c>
      <c r="N61" s="995" t="s">
        <v>1330</v>
      </c>
      <c r="O61" s="985"/>
      <c r="P61" s="2022"/>
      <c r="Q61" s="1650"/>
      <c r="R61" s="960"/>
      <c r="S61" s="1910"/>
      <c r="T61" s="1911"/>
      <c r="U61" s="1650"/>
      <c r="V61" s="960"/>
      <c r="W61" s="1910"/>
      <c r="X61" s="1911"/>
      <c r="Y61" s="1650"/>
      <c r="Z61" s="960"/>
      <c r="AA61" s="2023"/>
      <c r="AB61" s="1913"/>
      <c r="AC61" s="964"/>
      <c r="AD61" s="959"/>
      <c r="AE61" s="1650"/>
      <c r="AF61" s="960"/>
      <c r="AG61" s="1910"/>
      <c r="AH61" s="1911"/>
      <c r="AI61" s="1650"/>
      <c r="AJ61" s="960"/>
      <c r="AK61" s="1910"/>
      <c r="AL61" s="1911"/>
      <c r="AM61" s="985"/>
      <c r="AN61" s="2023"/>
      <c r="AO61" s="1865"/>
      <c r="AP61" s="1000"/>
      <c r="AQ61" s="1001"/>
      <c r="AR61" s="2090"/>
      <c r="AS61" s="1545"/>
      <c r="AT61" s="2090"/>
      <c r="AU61" s="1650"/>
      <c r="AV61" s="960"/>
      <c r="AW61" s="1912"/>
      <c r="AX61" s="1913"/>
      <c r="AY61" s="965"/>
      <c r="AZ61" s="959"/>
      <c r="BA61" s="1650"/>
      <c r="BB61" s="960"/>
      <c r="BC61" s="1910"/>
      <c r="BD61" s="1911"/>
      <c r="BE61" s="952">
        <v>24</v>
      </c>
      <c r="BF61" s="954" t="s">
        <v>1460</v>
      </c>
      <c r="BG61" s="1650"/>
      <c r="BH61" s="960"/>
      <c r="BI61" s="1910"/>
      <c r="BJ61" s="1911"/>
      <c r="BK61" s="1650"/>
      <c r="BL61" s="960"/>
      <c r="BM61" s="1910"/>
      <c r="BN61" s="1911"/>
      <c r="BO61" s="985"/>
      <c r="BP61" s="1985"/>
      <c r="BQ61" s="985"/>
      <c r="BR61" s="2022"/>
      <c r="BS61" s="1650"/>
      <c r="BT61" s="960"/>
      <c r="BU61" s="1910"/>
      <c r="BV61" s="1911"/>
      <c r="BW61" s="985"/>
      <c r="BX61" s="2022"/>
      <c r="BY61" s="1650"/>
      <c r="BZ61" s="960"/>
      <c r="CA61" s="1910"/>
      <c r="CB61" s="1911"/>
      <c r="CC61" s="1723"/>
      <c r="CD61" s="2113"/>
      <c r="CE61" s="952">
        <v>24</v>
      </c>
      <c r="CF61" s="954" t="s">
        <v>1461</v>
      </c>
      <c r="CG61" s="1650"/>
      <c r="CH61" s="960"/>
      <c r="CI61" s="1910"/>
      <c r="CJ61" s="1911"/>
      <c r="CK61" s="952">
        <v>24</v>
      </c>
      <c r="CL61" s="980" t="s">
        <v>1462</v>
      </c>
      <c r="CM61" s="1650"/>
      <c r="CN61" s="960"/>
      <c r="CO61" s="1910"/>
      <c r="CP61" s="1911"/>
      <c r="CQ61" s="1650"/>
      <c r="CR61" s="960"/>
      <c r="CS61" s="1910"/>
      <c r="CT61" s="1911"/>
      <c r="CU61" s="1650"/>
      <c r="CV61" s="960"/>
      <c r="CW61" s="1910"/>
      <c r="CX61" s="1911"/>
      <c r="CY61" s="1650"/>
      <c r="CZ61" s="960"/>
      <c r="DA61" s="1910"/>
      <c r="DB61" s="1911"/>
      <c r="DC61" s="985"/>
      <c r="DD61" s="2022"/>
      <c r="DE61" s="1650"/>
      <c r="DF61" s="960"/>
      <c r="DG61" s="1912"/>
      <c r="DH61" s="1913"/>
      <c r="DI61" s="964">
        <v>24</v>
      </c>
      <c r="DJ61" s="987"/>
      <c r="DK61" s="985"/>
      <c r="DL61" s="1985"/>
      <c r="DM61" s="985"/>
      <c r="DN61" s="1985"/>
      <c r="DO61" s="985"/>
      <c r="DP61" s="2023"/>
      <c r="DQ61" s="965"/>
      <c r="DR61" s="962"/>
      <c r="DS61" s="1650"/>
      <c r="DT61" s="960"/>
      <c r="DU61" s="1910"/>
      <c r="DV61" s="1911"/>
      <c r="DW61" s="952">
        <v>25</v>
      </c>
      <c r="DX61" s="959"/>
      <c r="DY61" s="1650"/>
      <c r="DZ61" s="960"/>
      <c r="EA61" s="1910"/>
      <c r="EB61" s="1911"/>
      <c r="EC61" s="985"/>
      <c r="ED61" s="2023"/>
      <c r="EE61" s="965"/>
      <c r="EF61" s="959"/>
      <c r="EG61" s="985"/>
      <c r="EH61" s="2022"/>
      <c r="EI61" s="1650"/>
      <c r="EJ61" s="960"/>
      <c r="EK61" s="2203"/>
      <c r="EL61" s="1911"/>
      <c r="EM61" s="2202">
        <f t="shared" si="49"/>
        <v>0</v>
      </c>
      <c r="EN61" s="1585">
        <f t="shared" si="50"/>
        <v>0</v>
      </c>
      <c r="EO61" s="1585">
        <f t="shared" si="51"/>
        <v>0</v>
      </c>
      <c r="EP61" s="1585">
        <f t="shared" si="52"/>
        <v>0</v>
      </c>
      <c r="EQ61" s="988">
        <f t="shared" si="16"/>
        <v>0</v>
      </c>
      <c r="ER61" s="1775">
        <f t="shared" si="17"/>
        <v>0</v>
      </c>
      <c r="ES61" s="1775">
        <f t="shared" si="18"/>
        <v>0</v>
      </c>
      <c r="ET61" s="992">
        <f t="shared" si="20"/>
        <v>0</v>
      </c>
    </row>
    <row r="62" spans="1:150" ht="26.4" x14ac:dyDescent="0.25">
      <c r="A62" s="952">
        <v>25</v>
      </c>
      <c r="B62" s="954" t="s">
        <v>1464</v>
      </c>
      <c r="C62" s="1650"/>
      <c r="D62" s="960"/>
      <c r="E62" s="1910"/>
      <c r="F62" s="1911"/>
      <c r="G62" s="985"/>
      <c r="H62" s="1985"/>
      <c r="I62" s="985"/>
      <c r="J62" s="1985"/>
      <c r="K62" s="985">
        <v>200</v>
      </c>
      <c r="L62" s="2023">
        <v>200</v>
      </c>
      <c r="M62" s="965"/>
      <c r="N62" s="980" t="s">
        <v>2125</v>
      </c>
      <c r="O62" s="985"/>
      <c r="P62" s="2022"/>
      <c r="Q62" s="1650"/>
      <c r="R62" s="960"/>
      <c r="S62" s="1910"/>
      <c r="T62" s="1911"/>
      <c r="U62" s="1650"/>
      <c r="V62" s="960"/>
      <c r="W62" s="1910"/>
      <c r="X62" s="1911"/>
      <c r="Y62" s="1650"/>
      <c r="Z62" s="960">
        <f>3000-2000</f>
        <v>1000</v>
      </c>
      <c r="AA62" s="2023"/>
      <c r="AB62" s="1913">
        <f>3000-2000</f>
        <v>1000</v>
      </c>
      <c r="AC62" s="964"/>
      <c r="AD62" s="959"/>
      <c r="AE62" s="1650"/>
      <c r="AF62" s="960"/>
      <c r="AG62" s="1910"/>
      <c r="AH62" s="1911"/>
      <c r="AI62" s="1650"/>
      <c r="AJ62" s="960"/>
      <c r="AK62" s="1910"/>
      <c r="AL62" s="1911"/>
      <c r="AM62" s="985"/>
      <c r="AN62" s="2023"/>
      <c r="AO62" s="1865"/>
      <c r="AP62" s="1000"/>
      <c r="AQ62" s="1001"/>
      <c r="AR62" s="2090"/>
      <c r="AS62" s="1545"/>
      <c r="AT62" s="2090"/>
      <c r="AU62" s="1650"/>
      <c r="AV62" s="960"/>
      <c r="AW62" s="1912"/>
      <c r="AX62" s="1913"/>
      <c r="AY62" s="965"/>
      <c r="AZ62" s="959"/>
      <c r="BA62" s="1650"/>
      <c r="BB62" s="960"/>
      <c r="BC62" s="1910"/>
      <c r="BD62" s="1911"/>
      <c r="BE62" s="952">
        <v>25</v>
      </c>
      <c r="BF62" s="980" t="s">
        <v>1330</v>
      </c>
      <c r="BG62" s="1650"/>
      <c r="BH62" s="960"/>
      <c r="BI62" s="1910"/>
      <c r="BJ62" s="1911"/>
      <c r="BK62" s="1650"/>
      <c r="BL62" s="960"/>
      <c r="BM62" s="1910"/>
      <c r="BN62" s="1911"/>
      <c r="BO62" s="985"/>
      <c r="BP62" s="1985"/>
      <c r="BQ62" s="985"/>
      <c r="BR62" s="2022"/>
      <c r="BS62" s="1650"/>
      <c r="BT62" s="960"/>
      <c r="BU62" s="1910"/>
      <c r="BV62" s="1911"/>
      <c r="BW62" s="985"/>
      <c r="BX62" s="2022"/>
      <c r="BY62" s="1650"/>
      <c r="BZ62" s="960"/>
      <c r="CA62" s="1910"/>
      <c r="CB62" s="1911"/>
      <c r="CC62" s="1723"/>
      <c r="CD62" s="2113"/>
      <c r="CE62" s="952">
        <v>25</v>
      </c>
      <c r="CF62" s="1020" t="s">
        <v>1465</v>
      </c>
      <c r="CG62" s="1650"/>
      <c r="CH62" s="960"/>
      <c r="CI62" s="1910"/>
      <c r="CJ62" s="1911"/>
      <c r="CK62" s="952">
        <v>25</v>
      </c>
      <c r="CL62" s="980" t="s">
        <v>1466</v>
      </c>
      <c r="CM62" s="1650"/>
      <c r="CN62" s="960"/>
      <c r="CO62" s="1910"/>
      <c r="CP62" s="1911"/>
      <c r="CQ62" s="1650"/>
      <c r="CR62" s="960"/>
      <c r="CS62" s="1910"/>
      <c r="CT62" s="1911"/>
      <c r="CU62" s="1650"/>
      <c r="CV62" s="960"/>
      <c r="CW62" s="1910"/>
      <c r="CX62" s="1911"/>
      <c r="CY62" s="1650"/>
      <c r="CZ62" s="960"/>
      <c r="DA62" s="1910"/>
      <c r="DB62" s="1911"/>
      <c r="DC62" s="985"/>
      <c r="DD62" s="2022"/>
      <c r="DE62" s="1650"/>
      <c r="DF62" s="960"/>
      <c r="DG62" s="1912"/>
      <c r="DH62" s="1913"/>
      <c r="DI62" s="964"/>
      <c r="DJ62" s="987"/>
      <c r="DK62" s="985"/>
      <c r="DL62" s="1985"/>
      <c r="DM62" s="985"/>
      <c r="DN62" s="1985"/>
      <c r="DO62" s="985"/>
      <c r="DP62" s="2023"/>
      <c r="DQ62" s="965"/>
      <c r="DR62" s="962"/>
      <c r="DS62" s="1650"/>
      <c r="DT62" s="960"/>
      <c r="DU62" s="1910"/>
      <c r="DV62" s="1911"/>
      <c r="DW62" s="952">
        <v>26</v>
      </c>
      <c r="DX62" s="959" t="s">
        <v>1467</v>
      </c>
      <c r="DY62" s="1650">
        <v>4000</v>
      </c>
      <c r="DZ62" s="960"/>
      <c r="EA62" s="1910">
        <v>4000</v>
      </c>
      <c r="EB62" s="1911"/>
      <c r="EC62" s="985"/>
      <c r="ED62" s="2023"/>
      <c r="EE62" s="965"/>
      <c r="EF62" s="959"/>
      <c r="EG62" s="985"/>
      <c r="EH62" s="2022"/>
      <c r="EI62" s="1650"/>
      <c r="EJ62" s="960"/>
      <c r="EK62" s="2203"/>
      <c r="EL62" s="1911"/>
      <c r="EM62" s="2202">
        <f t="shared" si="49"/>
        <v>4000</v>
      </c>
      <c r="EN62" s="1585">
        <f t="shared" si="50"/>
        <v>1200</v>
      </c>
      <c r="EO62" s="1585">
        <f t="shared" si="51"/>
        <v>0</v>
      </c>
      <c r="EP62" s="1585">
        <f t="shared" si="52"/>
        <v>5200</v>
      </c>
      <c r="EQ62" s="988">
        <f t="shared" si="16"/>
        <v>4000</v>
      </c>
      <c r="ER62" s="1775">
        <f t="shared" si="17"/>
        <v>1200</v>
      </c>
      <c r="ES62" s="1775">
        <f t="shared" si="18"/>
        <v>0</v>
      </c>
      <c r="ET62" s="992">
        <f t="shared" si="20"/>
        <v>5200</v>
      </c>
    </row>
    <row r="63" spans="1:150" ht="26.4" x14ac:dyDescent="0.25">
      <c r="A63" s="952">
        <v>26</v>
      </c>
      <c r="B63" s="954" t="s">
        <v>1468</v>
      </c>
      <c r="C63" s="1650"/>
      <c r="D63" s="960"/>
      <c r="E63" s="1910"/>
      <c r="F63" s="1911"/>
      <c r="G63" s="985"/>
      <c r="H63" s="1985"/>
      <c r="I63" s="985"/>
      <c r="J63" s="1985"/>
      <c r="K63" s="985"/>
      <c r="L63" s="2023"/>
      <c r="M63" s="965"/>
      <c r="N63" s="995" t="s">
        <v>1469</v>
      </c>
      <c r="O63" s="985"/>
      <c r="P63" s="2022"/>
      <c r="Q63" s="1650"/>
      <c r="R63" s="960"/>
      <c r="S63" s="1910"/>
      <c r="T63" s="1911"/>
      <c r="U63" s="1650"/>
      <c r="V63" s="960"/>
      <c r="W63" s="1910"/>
      <c r="X63" s="1911"/>
      <c r="Y63" s="1650"/>
      <c r="Z63" s="960">
        <v>332</v>
      </c>
      <c r="AA63" s="2023"/>
      <c r="AB63" s="1913">
        <v>488</v>
      </c>
      <c r="AC63" s="964"/>
      <c r="AD63" s="959"/>
      <c r="AE63" s="1650"/>
      <c r="AF63" s="960"/>
      <c r="AG63" s="1910"/>
      <c r="AH63" s="1911"/>
      <c r="AI63" s="1650"/>
      <c r="AJ63" s="960"/>
      <c r="AK63" s="1910"/>
      <c r="AL63" s="1911"/>
      <c r="AM63" s="985"/>
      <c r="AN63" s="2023"/>
      <c r="AO63" s="1865"/>
      <c r="AP63" s="1000"/>
      <c r="AQ63" s="1001"/>
      <c r="AR63" s="2090"/>
      <c r="AS63" s="1545"/>
      <c r="AT63" s="2090"/>
      <c r="AU63" s="1650"/>
      <c r="AV63" s="960"/>
      <c r="AW63" s="1912"/>
      <c r="AX63" s="1913"/>
      <c r="AY63" s="965"/>
      <c r="AZ63" s="959"/>
      <c r="BA63" s="1650"/>
      <c r="BB63" s="960"/>
      <c r="BC63" s="1910"/>
      <c r="BD63" s="1911"/>
      <c r="BE63" s="952">
        <v>26</v>
      </c>
      <c r="BF63" s="954" t="s">
        <v>1470</v>
      </c>
      <c r="BG63" s="1650"/>
      <c r="BH63" s="960"/>
      <c r="BI63" s="1910"/>
      <c r="BJ63" s="1911"/>
      <c r="BK63" s="1650"/>
      <c r="BL63" s="960"/>
      <c r="BM63" s="1910"/>
      <c r="BN63" s="1911"/>
      <c r="BO63" s="985"/>
      <c r="BP63" s="1985"/>
      <c r="BQ63" s="985"/>
      <c r="BR63" s="2022"/>
      <c r="BS63" s="1650"/>
      <c r="BT63" s="960"/>
      <c r="BU63" s="1910"/>
      <c r="BV63" s="1911"/>
      <c r="BW63" s="985"/>
      <c r="BX63" s="2022"/>
      <c r="BY63" s="1650"/>
      <c r="BZ63" s="960"/>
      <c r="CA63" s="1910"/>
      <c r="CB63" s="1911"/>
      <c r="CC63" s="1723">
        <v>2286</v>
      </c>
      <c r="CD63" s="2113">
        <v>2500</v>
      </c>
      <c r="CE63" s="952">
        <v>26</v>
      </c>
      <c r="CF63" s="954" t="s">
        <v>1471</v>
      </c>
      <c r="CG63" s="1650"/>
      <c r="CH63" s="960">
        <v>1200</v>
      </c>
      <c r="CI63" s="1910"/>
      <c r="CJ63" s="1911">
        <v>1200</v>
      </c>
      <c r="CK63" s="952">
        <v>26</v>
      </c>
      <c r="CL63" s="980" t="s">
        <v>1472</v>
      </c>
      <c r="CM63" s="1650"/>
      <c r="CN63" s="960"/>
      <c r="CO63" s="1910"/>
      <c r="CP63" s="1911"/>
      <c r="CQ63" s="1650"/>
      <c r="CR63" s="960"/>
      <c r="CS63" s="1910"/>
      <c r="CT63" s="1911"/>
      <c r="CU63" s="1650"/>
      <c r="CV63" s="960"/>
      <c r="CW63" s="1910"/>
      <c r="CX63" s="1911"/>
      <c r="CY63" s="1650"/>
      <c r="CZ63" s="960"/>
      <c r="DA63" s="1910"/>
      <c r="DB63" s="1911"/>
      <c r="DC63" s="985"/>
      <c r="DD63" s="2022"/>
      <c r="DE63" s="1650"/>
      <c r="DF63" s="960"/>
      <c r="DG63" s="1912"/>
      <c r="DH63" s="1913"/>
      <c r="DI63" s="964"/>
      <c r="DJ63" s="987"/>
      <c r="DK63" s="985"/>
      <c r="DL63" s="1985"/>
      <c r="DM63" s="985"/>
      <c r="DN63" s="1985"/>
      <c r="DO63" s="985"/>
      <c r="DP63" s="2023"/>
      <c r="DQ63" s="965"/>
      <c r="DR63" s="962"/>
      <c r="DS63" s="1650"/>
      <c r="DT63" s="960"/>
      <c r="DU63" s="1910"/>
      <c r="DV63" s="1911"/>
      <c r="DW63" s="952">
        <v>27</v>
      </c>
      <c r="DX63" s="987" t="s">
        <v>1473</v>
      </c>
      <c r="DY63" s="1650"/>
      <c r="DZ63" s="960">
        <v>1951</v>
      </c>
      <c r="EA63" s="1910"/>
      <c r="EB63" s="1911">
        <v>1951</v>
      </c>
      <c r="EC63" s="985"/>
      <c r="ED63" s="2023"/>
      <c r="EE63" s="965"/>
      <c r="EF63" s="959"/>
      <c r="EG63" s="985"/>
      <c r="EH63" s="2022"/>
      <c r="EI63" s="1650"/>
      <c r="EJ63" s="960"/>
      <c r="EK63" s="2203"/>
      <c r="EL63" s="1911"/>
      <c r="EM63" s="2202">
        <f t="shared" si="49"/>
        <v>2500</v>
      </c>
      <c r="EN63" s="1585">
        <f t="shared" si="50"/>
        <v>3639</v>
      </c>
      <c r="EO63" s="1585">
        <f t="shared" si="51"/>
        <v>0</v>
      </c>
      <c r="EP63" s="1585">
        <f t="shared" si="52"/>
        <v>6139</v>
      </c>
      <c r="EQ63" s="988">
        <f t="shared" si="16"/>
        <v>2286</v>
      </c>
      <c r="ER63" s="1775">
        <f t="shared" si="17"/>
        <v>3483</v>
      </c>
      <c r="ES63" s="1775">
        <f t="shared" si="18"/>
        <v>0</v>
      </c>
      <c r="ET63" s="992">
        <f t="shared" si="20"/>
        <v>5769</v>
      </c>
    </row>
    <row r="64" spans="1:150" ht="26.4" x14ac:dyDescent="0.25">
      <c r="A64" s="952">
        <v>27</v>
      </c>
      <c r="C64" s="1650"/>
      <c r="D64" s="960"/>
      <c r="E64" s="1910"/>
      <c r="F64" s="1911"/>
      <c r="G64" s="985"/>
      <c r="H64" s="1985"/>
      <c r="I64" s="985"/>
      <c r="J64" s="1985"/>
      <c r="K64" s="985"/>
      <c r="L64" s="2023"/>
      <c r="M64" s="965"/>
      <c r="N64" s="995" t="s">
        <v>1474</v>
      </c>
      <c r="O64" s="985"/>
      <c r="P64" s="2022"/>
      <c r="Q64" s="1650"/>
      <c r="R64" s="960"/>
      <c r="S64" s="1910"/>
      <c r="T64" s="1911"/>
      <c r="U64" s="1650"/>
      <c r="V64" s="960"/>
      <c r="W64" s="1910"/>
      <c r="X64" s="1911"/>
      <c r="Y64" s="1650"/>
      <c r="Z64" s="960">
        <v>3600</v>
      </c>
      <c r="AA64" s="2023"/>
      <c r="AB64" s="1911">
        <v>2602</v>
      </c>
      <c r="AC64" s="964"/>
      <c r="AD64" s="959"/>
      <c r="AE64" s="1650"/>
      <c r="AF64" s="960"/>
      <c r="AG64" s="1910"/>
      <c r="AH64" s="1911"/>
      <c r="AI64" s="1650"/>
      <c r="AJ64" s="960"/>
      <c r="AK64" s="1910"/>
      <c r="AL64" s="1911"/>
      <c r="AM64" s="985"/>
      <c r="AN64" s="2023"/>
      <c r="AO64" s="1865"/>
      <c r="AP64" s="1000"/>
      <c r="AQ64" s="1001"/>
      <c r="AR64" s="2090"/>
      <c r="AS64" s="1545"/>
      <c r="AT64" s="2090"/>
      <c r="AU64" s="1650"/>
      <c r="AV64" s="960"/>
      <c r="AW64" s="1912"/>
      <c r="AX64" s="1913"/>
      <c r="AY64" s="965"/>
      <c r="AZ64" s="959"/>
      <c r="BA64" s="1650"/>
      <c r="BB64" s="960"/>
      <c r="BC64" s="1910"/>
      <c r="BD64" s="1911"/>
      <c r="BE64" s="952">
        <v>27</v>
      </c>
      <c r="BF64" s="980" t="s">
        <v>1475</v>
      </c>
      <c r="BG64" s="1650"/>
      <c r="BH64" s="960"/>
      <c r="BI64" s="1910"/>
      <c r="BJ64" s="1911"/>
      <c r="BK64" s="1650"/>
      <c r="BL64" s="960"/>
      <c r="BM64" s="1910"/>
      <c r="BN64" s="1911"/>
      <c r="BO64" s="985"/>
      <c r="BP64" s="1985"/>
      <c r="BQ64" s="985"/>
      <c r="BR64" s="2022"/>
      <c r="BS64" s="1650">
        <v>762</v>
      </c>
      <c r="BT64" s="960"/>
      <c r="BU64" s="1910">
        <v>762</v>
      </c>
      <c r="BV64" s="1911"/>
      <c r="BW64" s="985"/>
      <c r="BX64" s="2022"/>
      <c r="BY64" s="1650"/>
      <c r="BZ64" s="960"/>
      <c r="CA64" s="1910"/>
      <c r="CB64" s="1911"/>
      <c r="CC64" s="1723"/>
      <c r="CD64" s="2113"/>
      <c r="CE64" s="952">
        <v>27</v>
      </c>
      <c r="CF64" s="980" t="s">
        <v>1476</v>
      </c>
      <c r="CG64" s="1650">
        <v>400</v>
      </c>
      <c r="CH64" s="960"/>
      <c r="CI64" s="1910">
        <v>400</v>
      </c>
      <c r="CJ64" s="1911"/>
      <c r="CK64" s="952">
        <v>27</v>
      </c>
      <c r="CL64" s="980" t="s">
        <v>1477</v>
      </c>
      <c r="CM64" s="1650"/>
      <c r="CN64" s="960"/>
      <c r="CO64" s="1910"/>
      <c r="CP64" s="1911"/>
      <c r="CQ64" s="1650"/>
      <c r="CR64" s="960"/>
      <c r="CS64" s="1910"/>
      <c r="CT64" s="1911"/>
      <c r="CU64" s="1650"/>
      <c r="CV64" s="960"/>
      <c r="CW64" s="1910"/>
      <c r="CX64" s="1911"/>
      <c r="CY64" s="1650"/>
      <c r="CZ64" s="960"/>
      <c r="DA64" s="1910"/>
      <c r="DB64" s="1911"/>
      <c r="DC64" s="985"/>
      <c r="DD64" s="2022"/>
      <c r="DE64" s="1650"/>
      <c r="DF64" s="960"/>
      <c r="DG64" s="1912"/>
      <c r="DH64" s="1913"/>
      <c r="DI64" s="964"/>
      <c r="DJ64" s="987"/>
      <c r="DK64" s="985"/>
      <c r="DL64" s="1985"/>
      <c r="DM64" s="985"/>
      <c r="DN64" s="1985"/>
      <c r="DO64" s="985"/>
      <c r="DP64" s="2023"/>
      <c r="DQ64" s="965"/>
      <c r="DR64" s="962"/>
      <c r="DS64" s="1650"/>
      <c r="DT64" s="960"/>
      <c r="DU64" s="1910"/>
      <c r="DV64" s="1911"/>
      <c r="DW64" s="952">
        <v>28</v>
      </c>
      <c r="DX64" s="987" t="s">
        <v>1478</v>
      </c>
      <c r="DY64" s="1650">
        <v>2000</v>
      </c>
      <c r="DZ64" s="960"/>
      <c r="EA64" s="1910"/>
      <c r="EB64" s="1911"/>
      <c r="EC64" s="985"/>
      <c r="ED64" s="2023"/>
      <c r="EE64" s="965"/>
      <c r="EF64" s="959"/>
      <c r="EG64" s="985"/>
      <c r="EH64" s="2022"/>
      <c r="EI64" s="1650"/>
      <c r="EJ64" s="960"/>
      <c r="EK64" s="2203"/>
      <c r="EL64" s="1911"/>
      <c r="EM64" s="2202">
        <f t="shared" si="49"/>
        <v>1162</v>
      </c>
      <c r="EN64" s="1585">
        <f t="shared" si="50"/>
        <v>2602</v>
      </c>
      <c r="EO64" s="1585">
        <f t="shared" si="51"/>
        <v>0</v>
      </c>
      <c r="EP64" s="1585">
        <f t="shared" si="52"/>
        <v>3764</v>
      </c>
      <c r="EQ64" s="988">
        <f t="shared" si="16"/>
        <v>3162</v>
      </c>
      <c r="ER64" s="1775">
        <f t="shared" si="17"/>
        <v>3600</v>
      </c>
      <c r="ES64" s="1775">
        <f t="shared" si="18"/>
        <v>0</v>
      </c>
      <c r="ET64" s="992">
        <f t="shared" si="20"/>
        <v>6762</v>
      </c>
    </row>
    <row r="65" spans="1:150" ht="26.4" x14ac:dyDescent="0.25">
      <c r="A65" s="952">
        <v>28</v>
      </c>
      <c r="B65" s="954"/>
      <c r="C65" s="1650"/>
      <c r="D65" s="960"/>
      <c r="E65" s="1910"/>
      <c r="F65" s="1911"/>
      <c r="G65" s="985"/>
      <c r="H65" s="1985"/>
      <c r="I65" s="985"/>
      <c r="J65" s="1985"/>
      <c r="K65" s="985"/>
      <c r="L65" s="2023"/>
      <c r="M65" s="965"/>
      <c r="N65" s="995"/>
      <c r="O65" s="985"/>
      <c r="P65" s="2022"/>
      <c r="Q65" s="1650"/>
      <c r="R65" s="960"/>
      <c r="S65" s="1910"/>
      <c r="T65" s="1911"/>
      <c r="U65" s="1650"/>
      <c r="V65" s="960"/>
      <c r="W65" s="1910"/>
      <c r="X65" s="1911"/>
      <c r="Y65" s="1650"/>
      <c r="Z65" s="960"/>
      <c r="AA65" s="2054"/>
      <c r="AB65" s="1913"/>
      <c r="AC65" s="964"/>
      <c r="AD65" s="959"/>
      <c r="AE65" s="1650"/>
      <c r="AF65" s="960"/>
      <c r="AG65" s="1910"/>
      <c r="AH65" s="1911"/>
      <c r="AI65" s="1650"/>
      <c r="AJ65" s="960"/>
      <c r="AK65" s="1910"/>
      <c r="AL65" s="1911"/>
      <c r="AM65" s="985"/>
      <c r="AN65" s="2023"/>
      <c r="AO65" s="1865"/>
      <c r="AP65" s="1000"/>
      <c r="AQ65" s="1001"/>
      <c r="AR65" s="2090"/>
      <c r="AS65" s="1545"/>
      <c r="AT65" s="2090"/>
      <c r="AU65" s="1650"/>
      <c r="AV65" s="960"/>
      <c r="AW65" s="1912"/>
      <c r="AX65" s="1913"/>
      <c r="AY65" s="965"/>
      <c r="AZ65" s="959"/>
      <c r="BA65" s="1650"/>
      <c r="BB65" s="960"/>
      <c r="BC65" s="1912"/>
      <c r="BD65" s="1913"/>
      <c r="BE65" s="1021">
        <v>28</v>
      </c>
      <c r="BF65" s="959" t="s">
        <v>2216</v>
      </c>
      <c r="BG65" s="1650"/>
      <c r="BH65" s="960"/>
      <c r="BI65" s="1910"/>
      <c r="BJ65" s="1911"/>
      <c r="BK65" s="1650"/>
      <c r="BL65" s="960"/>
      <c r="BM65" s="1910"/>
      <c r="BN65" s="1911"/>
      <c r="BO65" s="985"/>
      <c r="BP65" s="1985"/>
      <c r="BQ65" s="985"/>
      <c r="BR65" s="2022"/>
      <c r="BS65" s="1650"/>
      <c r="BT65" s="960"/>
      <c r="BU65" s="1910"/>
      <c r="BV65" s="1911"/>
      <c r="BW65" s="985"/>
      <c r="BX65" s="2022"/>
      <c r="BY65" s="1650"/>
      <c r="BZ65" s="960"/>
      <c r="CA65" s="1910"/>
      <c r="CB65" s="1911"/>
      <c r="CC65" s="1743">
        <v>214</v>
      </c>
      <c r="CD65" s="2150">
        <v>300</v>
      </c>
      <c r="CE65" s="952">
        <v>28</v>
      </c>
      <c r="CF65" s="980" t="s">
        <v>1479</v>
      </c>
      <c r="CG65" s="1650"/>
      <c r="CH65" s="960"/>
      <c r="CI65" s="1910"/>
      <c r="CJ65" s="1911"/>
      <c r="CK65" s="952">
        <v>28</v>
      </c>
      <c r="CL65" s="980" t="s">
        <v>1480</v>
      </c>
      <c r="CM65" s="1650"/>
      <c r="CN65" s="960"/>
      <c r="CO65" s="1910"/>
      <c r="CP65" s="1911"/>
      <c r="CQ65" s="1650"/>
      <c r="CR65" s="960"/>
      <c r="CS65" s="1910"/>
      <c r="CT65" s="1911"/>
      <c r="CU65" s="1650"/>
      <c r="CV65" s="960"/>
      <c r="CW65" s="1910"/>
      <c r="CX65" s="1911"/>
      <c r="CY65" s="1650"/>
      <c r="CZ65" s="960"/>
      <c r="DA65" s="1910"/>
      <c r="DB65" s="1911"/>
      <c r="DC65" s="985"/>
      <c r="DD65" s="2022"/>
      <c r="DE65" s="1650"/>
      <c r="DF65" s="960"/>
      <c r="DG65" s="1912"/>
      <c r="DH65" s="1913"/>
      <c r="DI65" s="964"/>
      <c r="DJ65" s="987"/>
      <c r="DK65" s="985"/>
      <c r="DL65" s="1985"/>
      <c r="DM65" s="985"/>
      <c r="DN65" s="1985"/>
      <c r="DO65" s="985"/>
      <c r="DP65" s="2023"/>
      <c r="DQ65" s="965"/>
      <c r="DR65" s="962"/>
      <c r="DS65" s="1650"/>
      <c r="DT65" s="960"/>
      <c r="DU65" s="1910"/>
      <c r="DV65" s="1911"/>
      <c r="DW65" s="952">
        <v>29</v>
      </c>
      <c r="DX65" s="959" t="s">
        <v>1481</v>
      </c>
      <c r="DY65" s="1650">
        <v>11430</v>
      </c>
      <c r="DZ65" s="960"/>
      <c r="EA65" s="1910">
        <v>11430</v>
      </c>
      <c r="EB65" s="1911"/>
      <c r="EC65" s="985"/>
      <c r="ED65" s="2023"/>
      <c r="EE65" s="965"/>
      <c r="EF65" s="959"/>
      <c r="EG65" s="985"/>
      <c r="EH65" s="2022"/>
      <c r="EI65" s="1650"/>
      <c r="EJ65" s="960"/>
      <c r="EK65" s="2203"/>
      <c r="EL65" s="1911"/>
      <c r="EM65" s="2202">
        <f t="shared" si="49"/>
        <v>11730</v>
      </c>
      <c r="EN65" s="1585">
        <f t="shared" si="50"/>
        <v>0</v>
      </c>
      <c r="EO65" s="1585">
        <f t="shared" si="51"/>
        <v>0</v>
      </c>
      <c r="EP65" s="1585">
        <f t="shared" si="52"/>
        <v>11730</v>
      </c>
      <c r="EQ65" s="988">
        <f t="shared" si="16"/>
        <v>11644</v>
      </c>
      <c r="ER65" s="1775">
        <f t="shared" si="17"/>
        <v>0</v>
      </c>
      <c r="ES65" s="1775">
        <f t="shared" si="18"/>
        <v>0</v>
      </c>
      <c r="ET65" s="992">
        <f t="shared" si="20"/>
        <v>11644</v>
      </c>
    </row>
    <row r="66" spans="1:150" x14ac:dyDescent="0.25">
      <c r="A66" s="952">
        <v>29</v>
      </c>
      <c r="B66" s="954"/>
      <c r="C66" s="1650"/>
      <c r="D66" s="960"/>
      <c r="E66" s="1910"/>
      <c r="F66" s="1911"/>
      <c r="G66" s="985"/>
      <c r="H66" s="1985"/>
      <c r="I66" s="985"/>
      <c r="J66" s="1985"/>
      <c r="K66" s="985"/>
      <c r="L66" s="2023"/>
      <c r="M66" s="965"/>
      <c r="N66" s="995"/>
      <c r="O66" s="985"/>
      <c r="P66" s="2022"/>
      <c r="Q66" s="1650"/>
      <c r="R66" s="960"/>
      <c r="S66" s="1910"/>
      <c r="T66" s="1911"/>
      <c r="U66" s="1650"/>
      <c r="V66" s="960"/>
      <c r="W66" s="1910"/>
      <c r="X66" s="1911"/>
      <c r="Y66" s="1650"/>
      <c r="Z66" s="960"/>
      <c r="AA66" s="2054"/>
      <c r="AB66" s="1913"/>
      <c r="AC66" s="964"/>
      <c r="AD66" s="959"/>
      <c r="AE66" s="1650"/>
      <c r="AF66" s="960"/>
      <c r="AG66" s="1910"/>
      <c r="AH66" s="1911"/>
      <c r="AI66" s="1650"/>
      <c r="AJ66" s="960"/>
      <c r="AK66" s="1910"/>
      <c r="AL66" s="1911"/>
      <c r="AM66" s="985"/>
      <c r="AN66" s="2023"/>
      <c r="AO66" s="1865"/>
      <c r="AP66" s="1000"/>
      <c r="AQ66" s="1001"/>
      <c r="AR66" s="2090"/>
      <c r="AS66" s="1545"/>
      <c r="AT66" s="2090"/>
      <c r="AU66" s="1650"/>
      <c r="AV66" s="960"/>
      <c r="AW66" s="1912"/>
      <c r="AX66" s="1913"/>
      <c r="AY66" s="965"/>
      <c r="AZ66" s="959"/>
      <c r="BA66" s="1650"/>
      <c r="BB66" s="960"/>
      <c r="BC66" s="2188"/>
      <c r="BD66" s="2189"/>
      <c r="BE66" s="1017">
        <v>29</v>
      </c>
      <c r="BF66" s="2321" t="s">
        <v>2291</v>
      </c>
      <c r="BG66" s="1650"/>
      <c r="BH66" s="960"/>
      <c r="BI66" s="1910"/>
      <c r="BJ66" s="1911"/>
      <c r="BK66" s="1650"/>
      <c r="BL66" s="960"/>
      <c r="BM66" s="1910"/>
      <c r="BN66" s="1911"/>
      <c r="BO66" s="985"/>
      <c r="BP66" s="1985"/>
      <c r="BQ66" s="985"/>
      <c r="BR66" s="2022"/>
      <c r="BS66" s="1650"/>
      <c r="BT66" s="960"/>
      <c r="BU66" s="1910"/>
      <c r="BV66" s="1911"/>
      <c r="BW66" s="985">
        <v>15000</v>
      </c>
      <c r="BX66" s="2022">
        <f>15000-11000+6000-300-500-1000</f>
        <v>8200</v>
      </c>
      <c r="BY66" s="1650"/>
      <c r="BZ66" s="960"/>
      <c r="CA66" s="1910"/>
      <c r="CB66" s="1911"/>
      <c r="CC66" s="1748"/>
      <c r="CD66" s="2155"/>
      <c r="CE66" s="952">
        <v>29</v>
      </c>
      <c r="CF66" s="980" t="s">
        <v>1482</v>
      </c>
      <c r="CG66" s="1650">
        <v>150</v>
      </c>
      <c r="CH66" s="960"/>
      <c r="CI66" s="1910">
        <v>150</v>
      </c>
      <c r="CJ66" s="1911"/>
      <c r="CK66" s="952">
        <v>29</v>
      </c>
      <c r="CL66" s="980" t="s">
        <v>1483</v>
      </c>
      <c r="CM66" s="1650"/>
      <c r="CN66" s="960"/>
      <c r="CO66" s="1910"/>
      <c r="CP66" s="1911"/>
      <c r="CQ66" s="1650"/>
      <c r="CR66" s="960"/>
      <c r="CS66" s="1910"/>
      <c r="CT66" s="1911"/>
      <c r="CU66" s="1650"/>
      <c r="CV66" s="960"/>
      <c r="CW66" s="1910"/>
      <c r="CX66" s="1911"/>
      <c r="CY66" s="1650"/>
      <c r="CZ66" s="960"/>
      <c r="DA66" s="1910"/>
      <c r="DB66" s="1911"/>
      <c r="DC66" s="985"/>
      <c r="DD66" s="2022"/>
      <c r="DE66" s="1650"/>
      <c r="DF66" s="960"/>
      <c r="DG66" s="1912"/>
      <c r="DH66" s="1913"/>
      <c r="DI66" s="964"/>
      <c r="DJ66" s="987"/>
      <c r="DK66" s="985"/>
      <c r="DL66" s="1985"/>
      <c r="DM66" s="985"/>
      <c r="DN66" s="1985"/>
      <c r="DO66" s="985"/>
      <c r="DP66" s="2023"/>
      <c r="DQ66" s="965"/>
      <c r="DR66" s="962"/>
      <c r="DS66" s="1650"/>
      <c r="DT66" s="960"/>
      <c r="DU66" s="1910"/>
      <c r="DV66" s="1911"/>
      <c r="DW66" s="952">
        <v>30</v>
      </c>
      <c r="DX66" s="987" t="s">
        <v>1484</v>
      </c>
      <c r="DY66" s="1650"/>
      <c r="DZ66" s="960">
        <v>1829</v>
      </c>
      <c r="EA66" s="1910"/>
      <c r="EB66" s="1911">
        <v>1829</v>
      </c>
      <c r="EC66" s="985"/>
      <c r="ED66" s="2023"/>
      <c r="EE66" s="965"/>
      <c r="EF66" s="959"/>
      <c r="EG66" s="985"/>
      <c r="EH66" s="2022"/>
      <c r="EI66" s="1650"/>
      <c r="EJ66" s="960"/>
      <c r="EK66" s="2203"/>
      <c r="EL66" s="1911"/>
      <c r="EM66" s="2202">
        <f t="shared" si="49"/>
        <v>150</v>
      </c>
      <c r="EN66" s="1585">
        <f t="shared" si="50"/>
        <v>10029</v>
      </c>
      <c r="EO66" s="1585">
        <f t="shared" si="51"/>
        <v>0</v>
      </c>
      <c r="EP66" s="1585">
        <f t="shared" si="52"/>
        <v>10179</v>
      </c>
      <c r="EQ66" s="988">
        <f t="shared" si="16"/>
        <v>150</v>
      </c>
      <c r="ER66" s="1775">
        <f t="shared" si="17"/>
        <v>16829</v>
      </c>
      <c r="ES66" s="1775">
        <f t="shared" si="18"/>
        <v>0</v>
      </c>
      <c r="ET66" s="992">
        <f t="shared" si="20"/>
        <v>16979</v>
      </c>
    </row>
    <row r="67" spans="1:150" x14ac:dyDescent="0.25">
      <c r="A67" s="952">
        <v>30</v>
      </c>
      <c r="B67" s="954"/>
      <c r="C67" s="1650"/>
      <c r="D67" s="960"/>
      <c r="E67" s="1910"/>
      <c r="F67" s="1911"/>
      <c r="G67" s="985"/>
      <c r="H67" s="1985"/>
      <c r="I67" s="985"/>
      <c r="J67" s="1985"/>
      <c r="K67" s="985"/>
      <c r="L67" s="2023"/>
      <c r="M67" s="965"/>
      <c r="N67" s="995"/>
      <c r="O67" s="985"/>
      <c r="P67" s="2022"/>
      <c r="Q67" s="1650"/>
      <c r="R67" s="960"/>
      <c r="S67" s="1910"/>
      <c r="T67" s="1911"/>
      <c r="U67" s="1650"/>
      <c r="V67" s="960"/>
      <c r="W67" s="1910"/>
      <c r="X67" s="1911"/>
      <c r="Y67" s="1650"/>
      <c r="Z67" s="960"/>
      <c r="AA67" s="2054"/>
      <c r="AB67" s="1913"/>
      <c r="AC67" s="964"/>
      <c r="AD67" s="959"/>
      <c r="AE67" s="1650"/>
      <c r="AF67" s="960"/>
      <c r="AG67" s="1910"/>
      <c r="AH67" s="1911"/>
      <c r="AI67" s="1650"/>
      <c r="AJ67" s="960"/>
      <c r="AK67" s="1910"/>
      <c r="AL67" s="1911"/>
      <c r="AM67" s="985"/>
      <c r="AN67" s="2023"/>
      <c r="AO67" s="1865"/>
      <c r="AP67" s="1000"/>
      <c r="AQ67" s="1001"/>
      <c r="AR67" s="2090"/>
      <c r="AS67" s="1545"/>
      <c r="AT67" s="2090"/>
      <c r="AU67" s="1650"/>
      <c r="AV67" s="960"/>
      <c r="AW67" s="1912"/>
      <c r="AX67" s="1913"/>
      <c r="AY67" s="965"/>
      <c r="AZ67" s="959"/>
      <c r="BA67" s="1650"/>
      <c r="BB67" s="960"/>
      <c r="BC67" s="1910"/>
      <c r="BD67" s="1911"/>
      <c r="BE67" s="952">
        <v>30</v>
      </c>
      <c r="BF67" s="2321" t="s">
        <v>1485</v>
      </c>
      <c r="BG67" s="1650"/>
      <c r="BH67" s="960"/>
      <c r="BI67" s="1910"/>
      <c r="BJ67" s="1911"/>
      <c r="BK67" s="1650"/>
      <c r="BL67" s="960"/>
      <c r="BM67" s="1910"/>
      <c r="BN67" s="1911"/>
      <c r="BO67" s="985"/>
      <c r="BP67" s="1985"/>
      <c r="BQ67" s="985"/>
      <c r="BR67" s="2022"/>
      <c r="BS67" s="1650"/>
      <c r="BT67" s="960"/>
      <c r="BU67" s="1910"/>
      <c r="BV67" s="1911"/>
      <c r="BW67" s="985"/>
      <c r="BX67" s="2022"/>
      <c r="BY67" s="1650"/>
      <c r="BZ67" s="960"/>
      <c r="CA67" s="1910"/>
      <c r="CB67" s="1911"/>
      <c r="CC67" s="1723"/>
      <c r="CD67" s="2113"/>
      <c r="CE67" s="952">
        <v>30</v>
      </c>
      <c r="CF67" s="1024" t="s">
        <v>1486</v>
      </c>
      <c r="CG67" s="1650">
        <v>1200</v>
      </c>
      <c r="CH67" s="960"/>
      <c r="CI67" s="1910">
        <v>2000</v>
      </c>
      <c r="CJ67" s="1911"/>
      <c r="CK67" s="952">
        <v>30</v>
      </c>
      <c r="CL67" s="980" t="s">
        <v>1487</v>
      </c>
      <c r="CM67" s="1650"/>
      <c r="CN67" s="960"/>
      <c r="CO67" s="1910"/>
      <c r="CP67" s="1911"/>
      <c r="CQ67" s="1650"/>
      <c r="CR67" s="960"/>
      <c r="CS67" s="1910"/>
      <c r="CT67" s="1911"/>
      <c r="CU67" s="1650"/>
      <c r="CV67" s="960"/>
      <c r="CW67" s="1910"/>
      <c r="CX67" s="1911"/>
      <c r="CY67" s="1650"/>
      <c r="CZ67" s="960"/>
      <c r="DA67" s="1910"/>
      <c r="DB67" s="1911"/>
      <c r="DC67" s="985"/>
      <c r="DD67" s="2022"/>
      <c r="DE67" s="1650"/>
      <c r="DF67" s="960"/>
      <c r="DG67" s="1912"/>
      <c r="DH67" s="1913"/>
      <c r="DI67" s="964"/>
      <c r="DJ67" s="987"/>
      <c r="DK67" s="985"/>
      <c r="DL67" s="1985"/>
      <c r="DM67" s="985"/>
      <c r="DN67" s="1985"/>
      <c r="DO67" s="985"/>
      <c r="DP67" s="2023"/>
      <c r="DQ67" s="965"/>
      <c r="DR67" s="962"/>
      <c r="DS67" s="1650"/>
      <c r="DT67" s="960"/>
      <c r="DU67" s="1910"/>
      <c r="DV67" s="1911"/>
      <c r="DW67" s="952">
        <v>31</v>
      </c>
      <c r="DX67" s="987" t="s">
        <v>1488</v>
      </c>
      <c r="DY67" s="1650">
        <v>2000</v>
      </c>
      <c r="DZ67" s="960"/>
      <c r="EA67" s="2198">
        <v>2000</v>
      </c>
      <c r="EB67" s="1911"/>
      <c r="EC67" s="985"/>
      <c r="ED67" s="2023"/>
      <c r="EE67" s="965"/>
      <c r="EF67" s="959"/>
      <c r="EG67" s="985"/>
      <c r="EH67" s="2022"/>
      <c r="EI67" s="1650"/>
      <c r="EJ67" s="960"/>
      <c r="EK67" s="2203"/>
      <c r="EL67" s="1911"/>
      <c r="EM67" s="2202">
        <f t="shared" si="49"/>
        <v>4000</v>
      </c>
      <c r="EN67" s="1585">
        <f t="shared" si="50"/>
        <v>0</v>
      </c>
      <c r="EO67" s="1585">
        <f t="shared" si="51"/>
        <v>0</v>
      </c>
      <c r="EP67" s="1585">
        <f t="shared" si="52"/>
        <v>4000</v>
      </c>
      <c r="EQ67" s="988">
        <f t="shared" si="16"/>
        <v>3200</v>
      </c>
      <c r="ER67" s="1775">
        <f t="shared" si="17"/>
        <v>0</v>
      </c>
      <c r="ES67" s="1775">
        <f t="shared" si="18"/>
        <v>0</v>
      </c>
      <c r="ET67" s="992">
        <f t="shared" si="20"/>
        <v>3200</v>
      </c>
    </row>
    <row r="68" spans="1:150" ht="26.4" x14ac:dyDescent="0.25">
      <c r="A68" s="952">
        <v>31</v>
      </c>
      <c r="B68" s="954"/>
      <c r="C68" s="1650"/>
      <c r="D68" s="960"/>
      <c r="E68" s="1910"/>
      <c r="F68" s="1911"/>
      <c r="G68" s="985"/>
      <c r="H68" s="1985"/>
      <c r="I68" s="985"/>
      <c r="J68" s="1985"/>
      <c r="K68" s="985"/>
      <c r="L68" s="2023"/>
      <c r="M68" s="965"/>
      <c r="N68" s="995"/>
      <c r="O68" s="985"/>
      <c r="P68" s="2022"/>
      <c r="Q68" s="1650"/>
      <c r="R68" s="960"/>
      <c r="S68" s="1910"/>
      <c r="T68" s="1911"/>
      <c r="U68" s="1650"/>
      <c r="V68" s="960"/>
      <c r="W68" s="1910"/>
      <c r="X68" s="1911"/>
      <c r="Y68" s="1650"/>
      <c r="Z68" s="960"/>
      <c r="AA68" s="2054"/>
      <c r="AB68" s="1913"/>
      <c r="AC68" s="964"/>
      <c r="AD68" s="959"/>
      <c r="AE68" s="1650"/>
      <c r="AF68" s="960"/>
      <c r="AG68" s="1910"/>
      <c r="AH68" s="1911"/>
      <c r="AI68" s="1650"/>
      <c r="AJ68" s="960"/>
      <c r="AK68" s="1910"/>
      <c r="AL68" s="1911"/>
      <c r="AM68" s="985"/>
      <c r="AN68" s="2023"/>
      <c r="AO68" s="1865"/>
      <c r="AP68" s="1000"/>
      <c r="AQ68" s="1001"/>
      <c r="AR68" s="2090"/>
      <c r="AS68" s="1545"/>
      <c r="AT68" s="2090"/>
      <c r="AU68" s="1650"/>
      <c r="AV68" s="960"/>
      <c r="AW68" s="1912"/>
      <c r="AX68" s="1913"/>
      <c r="AY68" s="965"/>
      <c r="AZ68" s="959"/>
      <c r="BA68" s="1650"/>
      <c r="BB68" s="960"/>
      <c r="BC68" s="1910"/>
      <c r="BD68" s="1911"/>
      <c r="BE68" s="952">
        <v>31</v>
      </c>
      <c r="BF68" s="2321" t="s">
        <v>1489</v>
      </c>
      <c r="BG68" s="1650"/>
      <c r="BH68" s="960"/>
      <c r="BI68" s="1910"/>
      <c r="BJ68" s="1911"/>
      <c r="BK68" s="1650"/>
      <c r="BL68" s="960"/>
      <c r="BM68" s="1910"/>
      <c r="BN68" s="1911"/>
      <c r="BO68" s="985"/>
      <c r="BP68" s="1985"/>
      <c r="BQ68" s="985"/>
      <c r="BR68" s="2022"/>
      <c r="BS68" s="1650"/>
      <c r="BT68" s="960"/>
      <c r="BU68" s="1910"/>
      <c r="BV68" s="1911"/>
      <c r="BW68" s="985"/>
      <c r="BX68" s="2022"/>
      <c r="BY68" s="1650"/>
      <c r="BZ68" s="960"/>
      <c r="CA68" s="1910"/>
      <c r="CB68" s="1911"/>
      <c r="CC68" s="1723"/>
      <c r="CD68" s="2113"/>
      <c r="CE68" s="952">
        <v>31</v>
      </c>
      <c r="CF68" s="980" t="s">
        <v>1490</v>
      </c>
      <c r="CG68" s="1650">
        <v>11500</v>
      </c>
      <c r="CH68" s="960"/>
      <c r="CI68" s="1910">
        <v>20000</v>
      </c>
      <c r="CJ68" s="1911"/>
      <c r="CK68" s="952">
        <v>31</v>
      </c>
      <c r="CL68" s="980" t="s">
        <v>1491</v>
      </c>
      <c r="CM68" s="1650"/>
      <c r="CN68" s="960"/>
      <c r="CO68" s="1910"/>
      <c r="CP68" s="1911"/>
      <c r="CQ68" s="1650"/>
      <c r="CR68" s="960"/>
      <c r="CS68" s="1910"/>
      <c r="CT68" s="1911"/>
      <c r="CU68" s="1650"/>
      <c r="CV68" s="960"/>
      <c r="CW68" s="1910"/>
      <c r="CX68" s="1911"/>
      <c r="CY68" s="1650"/>
      <c r="CZ68" s="960"/>
      <c r="DA68" s="1910"/>
      <c r="DB68" s="1911"/>
      <c r="DC68" s="985"/>
      <c r="DD68" s="2022"/>
      <c r="DE68" s="1650"/>
      <c r="DF68" s="960"/>
      <c r="DG68" s="1912"/>
      <c r="DH68" s="1913"/>
      <c r="DI68" s="964"/>
      <c r="DJ68" s="987"/>
      <c r="DK68" s="985"/>
      <c r="DL68" s="1985"/>
      <c r="DM68" s="985"/>
      <c r="DN68" s="1985"/>
      <c r="DO68" s="985"/>
      <c r="DP68" s="2023"/>
      <c r="DQ68" s="965"/>
      <c r="DR68" s="962"/>
      <c r="DS68" s="1650"/>
      <c r="DT68" s="960"/>
      <c r="DU68" s="1910"/>
      <c r="DV68" s="1911"/>
      <c r="DW68" s="952">
        <v>32</v>
      </c>
      <c r="DX68" s="959" t="s">
        <v>1492</v>
      </c>
      <c r="DY68" s="1650">
        <f>10000-5000</f>
        <v>5000</v>
      </c>
      <c r="DZ68" s="960"/>
      <c r="EA68" s="2198">
        <v>5000</v>
      </c>
      <c r="EB68" s="1911"/>
      <c r="EC68" s="985"/>
      <c r="ED68" s="2023"/>
      <c r="EE68" s="965"/>
      <c r="EF68" s="959"/>
      <c r="EG68" s="985"/>
      <c r="EH68" s="2022"/>
      <c r="EI68" s="1650"/>
      <c r="EJ68" s="960"/>
      <c r="EK68" s="2203"/>
      <c r="EL68" s="1911"/>
      <c r="EM68" s="2202">
        <f t="shared" si="49"/>
        <v>25000</v>
      </c>
      <c r="EN68" s="1585">
        <f t="shared" si="50"/>
        <v>0</v>
      </c>
      <c r="EO68" s="1585">
        <f t="shared" si="51"/>
        <v>0</v>
      </c>
      <c r="EP68" s="1585">
        <f t="shared" si="52"/>
        <v>25000</v>
      </c>
      <c r="EQ68" s="988">
        <f t="shared" si="16"/>
        <v>16500</v>
      </c>
      <c r="ER68" s="1775">
        <f t="shared" si="17"/>
        <v>0</v>
      </c>
      <c r="ES68" s="1775">
        <f t="shared" si="18"/>
        <v>0</v>
      </c>
      <c r="ET68" s="992">
        <f t="shared" si="20"/>
        <v>16500</v>
      </c>
    </row>
    <row r="69" spans="1:150" ht="25.5" customHeight="1" x14ac:dyDescent="0.25">
      <c r="A69" s="952">
        <v>32</v>
      </c>
      <c r="B69" s="954"/>
      <c r="C69" s="1650"/>
      <c r="D69" s="960"/>
      <c r="E69" s="1910"/>
      <c r="F69" s="1911"/>
      <c r="G69" s="985"/>
      <c r="H69" s="1985"/>
      <c r="I69" s="985"/>
      <c r="J69" s="1985"/>
      <c r="K69" s="985"/>
      <c r="L69" s="2023"/>
      <c r="M69" s="965"/>
      <c r="N69" s="995"/>
      <c r="O69" s="985"/>
      <c r="P69" s="2022"/>
      <c r="Q69" s="1650"/>
      <c r="R69" s="960"/>
      <c r="S69" s="1910"/>
      <c r="T69" s="1911"/>
      <c r="U69" s="1650"/>
      <c r="V69" s="960"/>
      <c r="W69" s="1910"/>
      <c r="X69" s="1911"/>
      <c r="Y69" s="1650"/>
      <c r="Z69" s="960"/>
      <c r="AA69" s="2054"/>
      <c r="AB69" s="1913"/>
      <c r="AC69" s="964"/>
      <c r="AD69" s="959"/>
      <c r="AE69" s="1650"/>
      <c r="AF69" s="960"/>
      <c r="AG69" s="1910"/>
      <c r="AH69" s="1911"/>
      <c r="AI69" s="1650"/>
      <c r="AJ69" s="960"/>
      <c r="AK69" s="1910"/>
      <c r="AL69" s="1911"/>
      <c r="AM69" s="985"/>
      <c r="AN69" s="2023"/>
      <c r="AO69" s="1865"/>
      <c r="AP69" s="1000"/>
      <c r="AQ69" s="1001"/>
      <c r="AR69" s="2090"/>
      <c r="AS69" s="1545"/>
      <c r="AT69" s="2090"/>
      <c r="AU69" s="1650"/>
      <c r="AV69" s="960"/>
      <c r="AW69" s="1912"/>
      <c r="AX69" s="1913"/>
      <c r="AY69" s="965"/>
      <c r="AZ69" s="959"/>
      <c r="BA69" s="1650"/>
      <c r="BB69" s="960"/>
      <c r="BC69" s="1910"/>
      <c r="BD69" s="1911"/>
      <c r="BE69" s="952">
        <v>32</v>
      </c>
      <c r="BF69" s="2322" t="s">
        <v>2117</v>
      </c>
      <c r="BG69" s="1650">
        <v>8504</v>
      </c>
      <c r="BH69" s="960"/>
      <c r="BI69" s="1910">
        <v>16200</v>
      </c>
      <c r="BJ69" s="1911"/>
      <c r="BK69" s="1650"/>
      <c r="BL69" s="960"/>
      <c r="BM69" s="1910"/>
      <c r="BN69" s="1911"/>
      <c r="BO69" s="985"/>
      <c r="BP69" s="1985"/>
      <c r="BQ69" s="985"/>
      <c r="BR69" s="2022"/>
      <c r="BS69" s="1650"/>
      <c r="BT69" s="960"/>
      <c r="BU69" s="1910"/>
      <c r="BV69" s="1911"/>
      <c r="BW69" s="985"/>
      <c r="BX69" s="2022"/>
      <c r="BY69" s="1650"/>
      <c r="BZ69" s="960"/>
      <c r="CA69" s="1910"/>
      <c r="CB69" s="1911"/>
      <c r="CC69" s="1723"/>
      <c r="CD69" s="2113"/>
      <c r="CE69" s="952">
        <v>32</v>
      </c>
      <c r="CF69" s="980" t="s">
        <v>1493</v>
      </c>
      <c r="CG69" s="1650">
        <v>6000</v>
      </c>
      <c r="CH69" s="960"/>
      <c r="CI69" s="1910">
        <v>6000</v>
      </c>
      <c r="CJ69" s="1911"/>
      <c r="CK69" s="952">
        <v>32</v>
      </c>
      <c r="CL69" s="980" t="s">
        <v>1494</v>
      </c>
      <c r="CM69" s="1650"/>
      <c r="CN69" s="960"/>
      <c r="CO69" s="1910"/>
      <c r="CP69" s="1911"/>
      <c r="CQ69" s="1650"/>
      <c r="CR69" s="960"/>
      <c r="CS69" s="1910"/>
      <c r="CT69" s="1911"/>
      <c r="CU69" s="1650"/>
      <c r="CV69" s="960"/>
      <c r="CW69" s="1910"/>
      <c r="CX69" s="1911"/>
      <c r="CY69" s="1650"/>
      <c r="CZ69" s="960"/>
      <c r="DA69" s="1910"/>
      <c r="DB69" s="1911"/>
      <c r="DC69" s="985"/>
      <c r="DD69" s="2022"/>
      <c r="DE69" s="1650"/>
      <c r="DF69" s="960"/>
      <c r="DG69" s="1912"/>
      <c r="DH69" s="1913"/>
      <c r="DI69" s="964"/>
      <c r="DJ69" s="987"/>
      <c r="DK69" s="985"/>
      <c r="DL69" s="1985"/>
      <c r="DM69" s="985"/>
      <c r="DN69" s="1985"/>
      <c r="DO69" s="985"/>
      <c r="DP69" s="2023"/>
      <c r="DQ69" s="965"/>
      <c r="DR69" s="962"/>
      <c r="DS69" s="1650"/>
      <c r="DT69" s="960"/>
      <c r="DU69" s="1910"/>
      <c r="DV69" s="1911"/>
      <c r="DW69" s="952">
        <v>33</v>
      </c>
      <c r="DX69" s="987" t="s">
        <v>1495</v>
      </c>
      <c r="DY69" s="1650"/>
      <c r="DZ69" s="960">
        <v>3000</v>
      </c>
      <c r="EA69" s="1910"/>
      <c r="EB69" s="2199">
        <v>3000</v>
      </c>
      <c r="EC69" s="985"/>
      <c r="ED69" s="2023"/>
      <c r="EE69" s="965"/>
      <c r="EF69" s="959"/>
      <c r="EG69" s="985"/>
      <c r="EH69" s="2022"/>
      <c r="EI69" s="1650"/>
      <c r="EJ69" s="960"/>
      <c r="EK69" s="2203"/>
      <c r="EL69" s="1911"/>
      <c r="EM69" s="2202">
        <f t="shared" si="49"/>
        <v>22200</v>
      </c>
      <c r="EN69" s="1585">
        <f t="shared" si="50"/>
        <v>3000</v>
      </c>
      <c r="EO69" s="1585">
        <f t="shared" si="51"/>
        <v>0</v>
      </c>
      <c r="EP69" s="1585">
        <f t="shared" si="52"/>
        <v>25200</v>
      </c>
      <c r="EQ69" s="988">
        <f t="shared" si="16"/>
        <v>14504</v>
      </c>
      <c r="ER69" s="1775">
        <f t="shared" si="17"/>
        <v>3000</v>
      </c>
      <c r="ES69" s="1775">
        <f t="shared" si="18"/>
        <v>0</v>
      </c>
      <c r="ET69" s="992">
        <f t="shared" si="20"/>
        <v>17504</v>
      </c>
    </row>
    <row r="70" spans="1:150" ht="26.4" x14ac:dyDescent="0.25">
      <c r="A70" s="952">
        <v>33</v>
      </c>
      <c r="B70" s="954"/>
      <c r="C70" s="1650"/>
      <c r="D70" s="960"/>
      <c r="E70" s="1910"/>
      <c r="F70" s="1911"/>
      <c r="G70" s="985"/>
      <c r="H70" s="1985"/>
      <c r="I70" s="985"/>
      <c r="J70" s="1985"/>
      <c r="K70" s="985"/>
      <c r="L70" s="2023"/>
      <c r="M70" s="965"/>
      <c r="N70" s="995"/>
      <c r="O70" s="985"/>
      <c r="P70" s="2022"/>
      <c r="Q70" s="1650"/>
      <c r="R70" s="960"/>
      <c r="S70" s="1910"/>
      <c r="T70" s="1911"/>
      <c r="U70" s="1650"/>
      <c r="V70" s="960"/>
      <c r="W70" s="1910"/>
      <c r="X70" s="1911"/>
      <c r="Y70" s="1650"/>
      <c r="Z70" s="960"/>
      <c r="AA70" s="2054"/>
      <c r="AB70" s="1913"/>
      <c r="AC70" s="964"/>
      <c r="AD70" s="959"/>
      <c r="AE70" s="1650"/>
      <c r="AF70" s="960"/>
      <c r="AG70" s="1910"/>
      <c r="AH70" s="1911"/>
      <c r="AI70" s="1650"/>
      <c r="AJ70" s="960"/>
      <c r="AK70" s="1910"/>
      <c r="AL70" s="1911"/>
      <c r="AM70" s="985"/>
      <c r="AN70" s="2023"/>
      <c r="AO70" s="1865"/>
      <c r="AP70" s="1000"/>
      <c r="AQ70" s="1001"/>
      <c r="AR70" s="2090"/>
      <c r="AS70" s="1545"/>
      <c r="AT70" s="2090"/>
      <c r="AU70" s="1650"/>
      <c r="AV70" s="960"/>
      <c r="AW70" s="1912"/>
      <c r="AX70" s="1913"/>
      <c r="AY70" s="965"/>
      <c r="AZ70" s="959"/>
      <c r="BA70" s="1650"/>
      <c r="BB70" s="960"/>
      <c r="BC70" s="1910"/>
      <c r="BD70" s="1911"/>
      <c r="BE70" s="952">
        <v>33</v>
      </c>
      <c r="BF70" s="1138" t="s">
        <v>1496</v>
      </c>
      <c r="BG70" s="1650">
        <f>190621-1955</f>
        <v>188666</v>
      </c>
      <c r="BH70" s="960"/>
      <c r="BI70" s="1910"/>
      <c r="BJ70" s="1911">
        <f>149204+697-1011</f>
        <v>148890</v>
      </c>
      <c r="BK70" s="1650"/>
      <c r="BL70" s="960"/>
      <c r="BM70" s="1910"/>
      <c r="BN70" s="1911"/>
      <c r="BO70" s="985"/>
      <c r="BP70" s="1985"/>
      <c r="BQ70" s="985"/>
      <c r="BR70" s="2022"/>
      <c r="BS70" s="1650"/>
      <c r="BT70" s="960"/>
      <c r="BU70" s="1910"/>
      <c r="BV70" s="1911"/>
      <c r="BW70" s="985"/>
      <c r="BX70" s="2022"/>
      <c r="BY70" s="1650"/>
      <c r="BZ70" s="960"/>
      <c r="CA70" s="1910"/>
      <c r="CB70" s="1911"/>
      <c r="CC70" s="1723"/>
      <c r="CD70" s="2113"/>
      <c r="CE70" s="952">
        <v>33</v>
      </c>
      <c r="CF70" s="980" t="s">
        <v>1497</v>
      </c>
      <c r="CG70" s="1650"/>
      <c r="CH70" s="960"/>
      <c r="CI70" s="1910"/>
      <c r="CJ70" s="1911"/>
      <c r="CK70" s="952">
        <v>33</v>
      </c>
      <c r="CL70" s="980" t="s">
        <v>1498</v>
      </c>
      <c r="CM70" s="1650"/>
      <c r="CN70" s="960"/>
      <c r="CO70" s="1910"/>
      <c r="CP70" s="1911"/>
      <c r="CQ70" s="1650"/>
      <c r="CR70" s="960"/>
      <c r="CS70" s="1910"/>
      <c r="CT70" s="1911"/>
      <c r="CU70" s="1650"/>
      <c r="CV70" s="960"/>
      <c r="CW70" s="1910"/>
      <c r="CX70" s="1911"/>
      <c r="CY70" s="1650"/>
      <c r="CZ70" s="960"/>
      <c r="DA70" s="1910"/>
      <c r="DB70" s="1911"/>
      <c r="DC70" s="985"/>
      <c r="DD70" s="2022"/>
      <c r="DE70" s="1650"/>
      <c r="DF70" s="960"/>
      <c r="DG70" s="1912"/>
      <c r="DH70" s="1913"/>
      <c r="DI70" s="964"/>
      <c r="DJ70" s="987"/>
      <c r="DK70" s="985"/>
      <c r="DL70" s="1985"/>
      <c r="DM70" s="985"/>
      <c r="DN70" s="1985"/>
      <c r="DO70" s="985"/>
      <c r="DP70" s="2023"/>
      <c r="DQ70" s="965"/>
      <c r="DR70" s="962"/>
      <c r="DS70" s="1650"/>
      <c r="DT70" s="960"/>
      <c r="DU70" s="1910"/>
      <c r="DV70" s="1911"/>
      <c r="DW70" s="952">
        <v>34</v>
      </c>
      <c r="DX70" s="959" t="s">
        <v>1376</v>
      </c>
      <c r="DY70" s="1650">
        <v>27500</v>
      </c>
      <c r="DZ70" s="960"/>
      <c r="EA70" s="2198">
        <v>27500</v>
      </c>
      <c r="EB70" s="1911"/>
      <c r="EC70" s="985"/>
      <c r="ED70" s="2023"/>
      <c r="EE70" s="965"/>
      <c r="EF70" s="959"/>
      <c r="EG70" s="985"/>
      <c r="EH70" s="2022"/>
      <c r="EI70" s="1650"/>
      <c r="EJ70" s="960"/>
      <c r="EK70" s="2203"/>
      <c r="EL70" s="1911"/>
      <c r="EM70" s="2202">
        <f t="shared" si="49"/>
        <v>27500</v>
      </c>
      <c r="EN70" s="1585">
        <f t="shared" si="50"/>
        <v>148890</v>
      </c>
      <c r="EO70" s="1585">
        <f t="shared" si="51"/>
        <v>0</v>
      </c>
      <c r="EP70" s="1585">
        <f t="shared" si="52"/>
        <v>176390</v>
      </c>
      <c r="EQ70" s="988">
        <f t="shared" ref="EQ70:EQ107" si="53">SUM(C70+Q70+U70+Y70+AE70+AI70+AM70+AO70+AU70+BA70+BG70+BK70+BQ70+BS70+CC70+CG70+CM70+CQ70+CU70+CY70+DE70+DS70+DY70+EI70)</f>
        <v>216166</v>
      </c>
      <c r="ER70" s="1775">
        <f t="shared" ref="ER70:ER107" si="54">SUM(D70+I70+K70+O70+R70+V70+Z70+AF70+AJ70+AP70+AV70+BB70+BH70+BL70+BO70+BT70+BW70+CH70+CN70+CR70+CV70+CZ70+DC70+DF70+DM70+DO70+DT70+DZ70+EC70+EG70+EJ70+G70)</f>
        <v>0</v>
      </c>
      <c r="ES70" s="1775">
        <f t="shared" ref="ES70:ES107" si="55">SUM(AQ70)</f>
        <v>0</v>
      </c>
      <c r="ET70" s="992">
        <f t="shared" si="20"/>
        <v>216166</v>
      </c>
    </row>
    <row r="71" spans="1:150" ht="26.4" x14ac:dyDescent="0.25">
      <c r="A71" s="952">
        <v>34</v>
      </c>
      <c r="B71" s="954"/>
      <c r="C71" s="1650"/>
      <c r="D71" s="960"/>
      <c r="E71" s="1910"/>
      <c r="F71" s="1911"/>
      <c r="G71" s="985"/>
      <c r="H71" s="1985"/>
      <c r="I71" s="985"/>
      <c r="J71" s="1985"/>
      <c r="K71" s="985"/>
      <c r="L71" s="2023"/>
      <c r="M71" s="965"/>
      <c r="N71" s="995"/>
      <c r="O71" s="985"/>
      <c r="P71" s="2022"/>
      <c r="Q71" s="1650"/>
      <c r="R71" s="960"/>
      <c r="S71" s="1910"/>
      <c r="T71" s="1911"/>
      <c r="U71" s="1650"/>
      <c r="V71" s="960"/>
      <c r="W71" s="1910"/>
      <c r="X71" s="1911"/>
      <c r="Y71" s="1650"/>
      <c r="Z71" s="960"/>
      <c r="AA71" s="2054"/>
      <c r="AB71" s="1913"/>
      <c r="AC71" s="964"/>
      <c r="AD71" s="959"/>
      <c r="AE71" s="1650"/>
      <c r="AF71" s="960"/>
      <c r="AG71" s="1910"/>
      <c r="AH71" s="1911"/>
      <c r="AI71" s="1650"/>
      <c r="AJ71" s="960"/>
      <c r="AK71" s="1910"/>
      <c r="AL71" s="1911"/>
      <c r="AM71" s="985"/>
      <c r="AN71" s="2023"/>
      <c r="AO71" s="1865"/>
      <c r="AP71" s="1000"/>
      <c r="AQ71" s="1001"/>
      <c r="AR71" s="2090"/>
      <c r="AS71" s="1545"/>
      <c r="AT71" s="2090"/>
      <c r="AU71" s="1650"/>
      <c r="AV71" s="960"/>
      <c r="AW71" s="1912"/>
      <c r="AX71" s="1913"/>
      <c r="AY71" s="965"/>
      <c r="AZ71" s="959"/>
      <c r="BA71" s="1650"/>
      <c r="BB71" s="960"/>
      <c r="BC71" s="1910"/>
      <c r="BD71" s="1911"/>
      <c r="BE71" s="952">
        <v>34</v>
      </c>
      <c r="BF71" s="954" t="s">
        <v>1499</v>
      </c>
      <c r="BG71" s="1650">
        <f>51468-528</f>
        <v>50940</v>
      </c>
      <c r="BH71" s="960"/>
      <c r="BI71" s="1910"/>
      <c r="BJ71" s="1911">
        <f>40285+188-273</f>
        <v>40200</v>
      </c>
      <c r="BK71" s="1650"/>
      <c r="BL71" s="960"/>
      <c r="BM71" s="1910"/>
      <c r="BN71" s="1911"/>
      <c r="BO71" s="985"/>
      <c r="BP71" s="1985"/>
      <c r="BQ71" s="985"/>
      <c r="BR71" s="2022"/>
      <c r="BS71" s="1650"/>
      <c r="BT71" s="960"/>
      <c r="BU71" s="1910"/>
      <c r="BV71" s="1911"/>
      <c r="BW71" s="985"/>
      <c r="BX71" s="2022"/>
      <c r="BY71" s="1650"/>
      <c r="BZ71" s="960"/>
      <c r="CA71" s="1910"/>
      <c r="CB71" s="1911"/>
      <c r="CC71" s="1723"/>
      <c r="CD71" s="2113"/>
      <c r="CE71" s="952">
        <v>34</v>
      </c>
      <c r="CF71" s="980" t="s">
        <v>1500</v>
      </c>
      <c r="CG71" s="1650">
        <v>6000</v>
      </c>
      <c r="CH71" s="960"/>
      <c r="CI71" s="1910">
        <v>6000</v>
      </c>
      <c r="CJ71" s="1911"/>
      <c r="CK71" s="952">
        <v>34</v>
      </c>
      <c r="CL71" s="980" t="s">
        <v>1501</v>
      </c>
      <c r="CM71" s="1650"/>
      <c r="CN71" s="960"/>
      <c r="CO71" s="1910"/>
      <c r="CP71" s="1911"/>
      <c r="CQ71" s="1650"/>
      <c r="CR71" s="960"/>
      <c r="CS71" s="1910"/>
      <c r="CT71" s="1911"/>
      <c r="CU71" s="1650"/>
      <c r="CV71" s="960"/>
      <c r="CW71" s="1910"/>
      <c r="CX71" s="1911"/>
      <c r="CY71" s="1650"/>
      <c r="CZ71" s="960"/>
      <c r="DA71" s="1910"/>
      <c r="DB71" s="1911"/>
      <c r="DC71" s="985"/>
      <c r="DD71" s="2022"/>
      <c r="DE71" s="1650"/>
      <c r="DF71" s="960"/>
      <c r="DG71" s="1912"/>
      <c r="DH71" s="1913"/>
      <c r="DI71" s="964"/>
      <c r="DJ71" s="987"/>
      <c r="DK71" s="985"/>
      <c r="DL71" s="1985"/>
      <c r="DM71" s="985"/>
      <c r="DN71" s="1985"/>
      <c r="DO71" s="985"/>
      <c r="DP71" s="2023"/>
      <c r="DQ71" s="965"/>
      <c r="DR71" s="962"/>
      <c r="DS71" s="1650"/>
      <c r="DT71" s="960"/>
      <c r="DU71" s="1910"/>
      <c r="DV71" s="1911"/>
      <c r="DW71" s="952">
        <v>35</v>
      </c>
      <c r="DX71" s="1016" t="s">
        <v>1502</v>
      </c>
      <c r="DY71" s="1650"/>
      <c r="DZ71" s="960"/>
      <c r="EA71" s="1910"/>
      <c r="EB71" s="1911"/>
      <c r="EC71" s="985"/>
      <c r="ED71" s="2023"/>
      <c r="EE71" s="965"/>
      <c r="EF71" s="959"/>
      <c r="EG71" s="985"/>
      <c r="EH71" s="2022"/>
      <c r="EI71" s="1650"/>
      <c r="EJ71" s="960"/>
      <c r="EK71" s="2203"/>
      <c r="EL71" s="1911"/>
      <c r="EM71" s="2202">
        <f t="shared" si="49"/>
        <v>6000</v>
      </c>
      <c r="EN71" s="1585">
        <f t="shared" si="50"/>
        <v>40200</v>
      </c>
      <c r="EO71" s="1585">
        <f t="shared" si="51"/>
        <v>0</v>
      </c>
      <c r="EP71" s="1585">
        <f t="shared" si="52"/>
        <v>46200</v>
      </c>
      <c r="EQ71" s="988">
        <f t="shared" si="53"/>
        <v>56940</v>
      </c>
      <c r="ER71" s="1775">
        <f t="shared" si="54"/>
        <v>0</v>
      </c>
      <c r="ES71" s="1775">
        <f t="shared" si="55"/>
        <v>0</v>
      </c>
      <c r="ET71" s="992">
        <f t="shared" ref="ET71:ET136" si="56">SUM(EQ71:ES71)</f>
        <v>56940</v>
      </c>
    </row>
    <row r="72" spans="1:150" x14ac:dyDescent="0.25">
      <c r="A72" s="952">
        <v>35</v>
      </c>
      <c r="B72" s="954"/>
      <c r="C72" s="1650"/>
      <c r="D72" s="960"/>
      <c r="E72" s="1910"/>
      <c r="F72" s="1911"/>
      <c r="G72" s="985"/>
      <c r="H72" s="1985"/>
      <c r="I72" s="985"/>
      <c r="J72" s="1985"/>
      <c r="K72" s="985"/>
      <c r="L72" s="2023"/>
      <c r="M72" s="965"/>
      <c r="N72" s="995"/>
      <c r="O72" s="985"/>
      <c r="P72" s="2022"/>
      <c r="Q72" s="1650"/>
      <c r="R72" s="960"/>
      <c r="S72" s="1910"/>
      <c r="T72" s="1911"/>
      <c r="U72" s="1650"/>
      <c r="V72" s="960"/>
      <c r="W72" s="1910"/>
      <c r="X72" s="1911"/>
      <c r="Y72" s="1650"/>
      <c r="Z72" s="960"/>
      <c r="AA72" s="2054"/>
      <c r="AB72" s="1913"/>
      <c r="AC72" s="964"/>
      <c r="AD72" s="959"/>
      <c r="AE72" s="1650"/>
      <c r="AF72" s="960"/>
      <c r="AG72" s="1910"/>
      <c r="AH72" s="1911"/>
      <c r="AI72" s="1650"/>
      <c r="AJ72" s="960"/>
      <c r="AK72" s="1910"/>
      <c r="AL72" s="1911"/>
      <c r="AM72" s="985"/>
      <c r="AN72" s="2023"/>
      <c r="AO72" s="1865"/>
      <c r="AP72" s="1000"/>
      <c r="AQ72" s="1001"/>
      <c r="AR72" s="2090"/>
      <c r="AS72" s="1545"/>
      <c r="AT72" s="2090"/>
      <c r="AU72" s="1650"/>
      <c r="AV72" s="960"/>
      <c r="AW72" s="1912"/>
      <c r="AX72" s="1913"/>
      <c r="AY72" s="965"/>
      <c r="AZ72" s="959"/>
      <c r="BA72" s="1650"/>
      <c r="BB72" s="960"/>
      <c r="BC72" s="1910"/>
      <c r="BD72" s="1911"/>
      <c r="BE72" s="952">
        <v>35</v>
      </c>
      <c r="BF72" s="954"/>
      <c r="BG72" s="1650"/>
      <c r="BH72" s="960"/>
      <c r="BI72" s="1910"/>
      <c r="BJ72" s="1911"/>
      <c r="BK72" s="1650"/>
      <c r="BL72" s="960"/>
      <c r="BM72" s="1910"/>
      <c r="BN72" s="1911"/>
      <c r="BO72" s="985"/>
      <c r="BP72" s="1985"/>
      <c r="BQ72" s="985"/>
      <c r="BR72" s="2022"/>
      <c r="BS72" s="1650"/>
      <c r="BT72" s="960"/>
      <c r="BU72" s="1910"/>
      <c r="BV72" s="1911"/>
      <c r="BW72" s="985"/>
      <c r="BX72" s="2022"/>
      <c r="BY72" s="1650"/>
      <c r="BZ72" s="960"/>
      <c r="CA72" s="1910"/>
      <c r="CB72" s="1911"/>
      <c r="CC72" s="1723"/>
      <c r="CD72" s="2113"/>
      <c r="CE72" s="952">
        <v>35</v>
      </c>
      <c r="CF72" s="1016" t="s">
        <v>1503</v>
      </c>
      <c r="CG72" s="1650">
        <v>1700</v>
      </c>
      <c r="CH72" s="960"/>
      <c r="CI72" s="1910">
        <v>2000</v>
      </c>
      <c r="CJ72" s="1911"/>
      <c r="CK72" s="952">
        <v>35</v>
      </c>
      <c r="CL72" s="980" t="s">
        <v>1504</v>
      </c>
      <c r="CM72" s="1650"/>
      <c r="CN72" s="960"/>
      <c r="CO72" s="1910"/>
      <c r="CP72" s="1911"/>
      <c r="CQ72" s="1650"/>
      <c r="CR72" s="960"/>
      <c r="CS72" s="1910"/>
      <c r="CT72" s="1911"/>
      <c r="CU72" s="1650"/>
      <c r="CV72" s="960"/>
      <c r="CW72" s="1910"/>
      <c r="CX72" s="1911"/>
      <c r="CY72" s="1650"/>
      <c r="CZ72" s="960"/>
      <c r="DA72" s="1910"/>
      <c r="DB72" s="1911"/>
      <c r="DC72" s="985"/>
      <c r="DD72" s="2022"/>
      <c r="DE72" s="1650"/>
      <c r="DF72" s="960"/>
      <c r="DG72" s="1912"/>
      <c r="DH72" s="1913"/>
      <c r="DI72" s="964"/>
      <c r="DJ72" s="987"/>
      <c r="DK72" s="985"/>
      <c r="DL72" s="1985"/>
      <c r="DM72" s="985"/>
      <c r="DN72" s="1985"/>
      <c r="DO72" s="985"/>
      <c r="DP72" s="2023"/>
      <c r="DQ72" s="965"/>
      <c r="DR72" s="962"/>
      <c r="DS72" s="1650"/>
      <c r="DT72" s="960"/>
      <c r="DU72" s="1912"/>
      <c r="DV72" s="1913"/>
      <c r="DW72" s="965"/>
      <c r="DX72" s="1025" t="s">
        <v>1505</v>
      </c>
      <c r="DY72" s="1650"/>
      <c r="DZ72" s="960">
        <v>6858</v>
      </c>
      <c r="EA72" s="1910"/>
      <c r="EB72" s="2199">
        <v>6858</v>
      </c>
      <c r="EC72" s="985"/>
      <c r="ED72" s="2023"/>
      <c r="EE72" s="965"/>
      <c r="EF72" s="959"/>
      <c r="EG72" s="985"/>
      <c r="EH72" s="2022"/>
      <c r="EI72" s="1650"/>
      <c r="EJ72" s="960"/>
      <c r="EK72" s="2203"/>
      <c r="EL72" s="1911"/>
      <c r="EM72" s="2202">
        <f t="shared" si="49"/>
        <v>2000</v>
      </c>
      <c r="EN72" s="1585">
        <f t="shared" si="50"/>
        <v>6858</v>
      </c>
      <c r="EO72" s="1585">
        <f t="shared" si="51"/>
        <v>0</v>
      </c>
      <c r="EP72" s="1585">
        <f t="shared" si="52"/>
        <v>8858</v>
      </c>
      <c r="EQ72" s="988">
        <f t="shared" si="53"/>
        <v>1700</v>
      </c>
      <c r="ER72" s="1775">
        <f t="shared" si="54"/>
        <v>6858</v>
      </c>
      <c r="ES72" s="1775">
        <f t="shared" si="55"/>
        <v>0</v>
      </c>
      <c r="ET72" s="992">
        <f t="shared" si="56"/>
        <v>8558</v>
      </c>
    </row>
    <row r="73" spans="1:150" ht="26.4" x14ac:dyDescent="0.25">
      <c r="A73" s="952">
        <v>36</v>
      </c>
      <c r="B73" s="959"/>
      <c r="C73" s="1651"/>
      <c r="D73" s="1026"/>
      <c r="E73" s="1912"/>
      <c r="F73" s="1913"/>
      <c r="G73" s="1680"/>
      <c r="H73" s="1986"/>
      <c r="I73" s="1680"/>
      <c r="J73" s="1986"/>
      <c r="K73" s="1680"/>
      <c r="L73" s="2023"/>
      <c r="M73" s="965"/>
      <c r="N73" s="995"/>
      <c r="O73" s="1680"/>
      <c r="P73" s="2023"/>
      <c r="Q73" s="1651"/>
      <c r="R73" s="1026"/>
      <c r="S73" s="1912"/>
      <c r="T73" s="1913"/>
      <c r="U73" s="1651"/>
      <c r="V73" s="1026"/>
      <c r="W73" s="1912"/>
      <c r="X73" s="1913"/>
      <c r="Y73" s="1651"/>
      <c r="Z73" s="1026"/>
      <c r="AA73" s="2054"/>
      <c r="AB73" s="1913"/>
      <c r="AC73" s="964"/>
      <c r="AD73" s="959"/>
      <c r="AE73" s="1651"/>
      <c r="AF73" s="1026"/>
      <c r="AG73" s="1912"/>
      <c r="AH73" s="1913"/>
      <c r="AI73" s="1651"/>
      <c r="AJ73" s="1026"/>
      <c r="AK73" s="1912"/>
      <c r="AL73" s="1913"/>
      <c r="AM73" s="1680"/>
      <c r="AN73" s="2023"/>
      <c r="AO73" s="1865"/>
      <c r="AP73" s="1000"/>
      <c r="AQ73" s="1001"/>
      <c r="AR73" s="2090"/>
      <c r="AS73" s="1545"/>
      <c r="AT73" s="2090"/>
      <c r="AU73" s="1651"/>
      <c r="AV73" s="1026"/>
      <c r="AW73" s="1912"/>
      <c r="AX73" s="1913"/>
      <c r="AY73" s="965"/>
      <c r="AZ73" s="959"/>
      <c r="BA73" s="1651"/>
      <c r="BB73" s="1026"/>
      <c r="BC73" s="1912"/>
      <c r="BD73" s="1913"/>
      <c r="BE73" s="952">
        <v>36</v>
      </c>
      <c r="BF73" s="954" t="s">
        <v>2286</v>
      </c>
      <c r="BG73" s="1651"/>
      <c r="BH73" s="1026"/>
      <c r="BI73" s="1912"/>
      <c r="BJ73" s="1913">
        <v>10000</v>
      </c>
      <c r="BK73" s="1651"/>
      <c r="BL73" s="1026"/>
      <c r="BM73" s="1912"/>
      <c r="BN73" s="1913"/>
      <c r="BO73" s="1680"/>
      <c r="BP73" s="1986"/>
      <c r="BQ73" s="1680"/>
      <c r="BR73" s="2023"/>
      <c r="BS73" s="1651"/>
      <c r="BT73" s="1026"/>
      <c r="BU73" s="1912"/>
      <c r="BV73" s="1913"/>
      <c r="BW73" s="1680"/>
      <c r="BX73" s="2023"/>
      <c r="BY73" s="1651"/>
      <c r="BZ73" s="1026"/>
      <c r="CA73" s="1912"/>
      <c r="CB73" s="1913"/>
      <c r="CC73" s="1723"/>
      <c r="CD73" s="2113"/>
      <c r="CE73" s="952">
        <v>36</v>
      </c>
      <c r="CF73" s="980" t="s">
        <v>1506</v>
      </c>
      <c r="CG73" s="1651"/>
      <c r="CH73" s="1026"/>
      <c r="CI73" s="1912"/>
      <c r="CJ73" s="1913"/>
      <c r="CK73" s="952">
        <v>36</v>
      </c>
      <c r="CL73" s="980" t="s">
        <v>1507</v>
      </c>
      <c r="CM73" s="1651"/>
      <c r="CN73" s="1026"/>
      <c r="CO73" s="1912"/>
      <c r="CP73" s="1913"/>
      <c r="CQ73" s="1651"/>
      <c r="CR73" s="1026"/>
      <c r="CS73" s="1912"/>
      <c r="CT73" s="1913"/>
      <c r="CU73" s="1651"/>
      <c r="CV73" s="1026"/>
      <c r="CW73" s="1912"/>
      <c r="CX73" s="1913"/>
      <c r="CY73" s="1651"/>
      <c r="CZ73" s="1026"/>
      <c r="DA73" s="1912"/>
      <c r="DB73" s="1913"/>
      <c r="DC73" s="1680"/>
      <c r="DD73" s="2023"/>
      <c r="DE73" s="1651"/>
      <c r="DF73" s="1026"/>
      <c r="DG73" s="1912"/>
      <c r="DH73" s="1913"/>
      <c r="DI73" s="964"/>
      <c r="DJ73" s="987"/>
      <c r="DK73" s="1680"/>
      <c r="DL73" s="1986"/>
      <c r="DM73" s="1680"/>
      <c r="DN73" s="1986"/>
      <c r="DO73" s="1680"/>
      <c r="DP73" s="2023"/>
      <c r="DQ73" s="965"/>
      <c r="DR73" s="962"/>
      <c r="DS73" s="1651"/>
      <c r="DT73" s="1026"/>
      <c r="DU73" s="1912"/>
      <c r="DV73" s="1913"/>
      <c r="DW73" s="965"/>
      <c r="DX73" s="1027" t="s">
        <v>2234</v>
      </c>
      <c r="DY73" s="1651"/>
      <c r="DZ73" s="1026"/>
      <c r="EA73" s="1912"/>
      <c r="EB73" s="1913">
        <v>1500</v>
      </c>
      <c r="EC73" s="1680"/>
      <c r="ED73" s="2023"/>
      <c r="EE73" s="965"/>
      <c r="EF73" s="959"/>
      <c r="EG73" s="1680"/>
      <c r="EH73" s="2023"/>
      <c r="EI73" s="1651"/>
      <c r="EJ73" s="1026"/>
      <c r="EK73" s="2204"/>
      <c r="EL73" s="1913"/>
      <c r="EM73" s="2202">
        <f t="shared" si="49"/>
        <v>0</v>
      </c>
      <c r="EN73" s="1585">
        <f t="shared" si="50"/>
        <v>11500</v>
      </c>
      <c r="EO73" s="1585">
        <f t="shared" si="51"/>
        <v>0</v>
      </c>
      <c r="EP73" s="1585">
        <f t="shared" si="52"/>
        <v>11500</v>
      </c>
      <c r="EQ73" s="988">
        <f t="shared" si="53"/>
        <v>0</v>
      </c>
      <c r="ER73" s="1775">
        <f t="shared" si="54"/>
        <v>0</v>
      </c>
      <c r="ES73" s="1775">
        <f t="shared" si="55"/>
        <v>0</v>
      </c>
      <c r="ET73" s="992">
        <f t="shared" si="56"/>
        <v>0</v>
      </c>
    </row>
    <row r="74" spans="1:150" ht="26.4" x14ac:dyDescent="0.25">
      <c r="A74" s="965"/>
      <c r="B74" s="959"/>
      <c r="C74" s="1651"/>
      <c r="D74" s="1026"/>
      <c r="E74" s="1912"/>
      <c r="F74" s="1913"/>
      <c r="G74" s="1680"/>
      <c r="H74" s="1986"/>
      <c r="I74" s="1680"/>
      <c r="J74" s="1986"/>
      <c r="K74" s="1680"/>
      <c r="L74" s="2023"/>
      <c r="M74" s="965"/>
      <c r="N74" s="995"/>
      <c r="O74" s="1680"/>
      <c r="P74" s="2023"/>
      <c r="Q74" s="1651"/>
      <c r="R74" s="1026"/>
      <c r="S74" s="1912"/>
      <c r="T74" s="1913"/>
      <c r="U74" s="1651"/>
      <c r="V74" s="1026"/>
      <c r="W74" s="1912"/>
      <c r="X74" s="1913"/>
      <c r="Y74" s="1651"/>
      <c r="Z74" s="1026"/>
      <c r="AA74" s="2054"/>
      <c r="AB74" s="1913"/>
      <c r="AC74" s="964"/>
      <c r="AD74" s="959"/>
      <c r="AE74" s="1651"/>
      <c r="AF74" s="1026"/>
      <c r="AG74" s="1912"/>
      <c r="AH74" s="1913"/>
      <c r="AI74" s="1651"/>
      <c r="AJ74" s="1026"/>
      <c r="AK74" s="1912"/>
      <c r="AL74" s="1913"/>
      <c r="AM74" s="1680"/>
      <c r="AN74" s="2023"/>
      <c r="AO74" s="1865"/>
      <c r="AP74" s="1000"/>
      <c r="AQ74" s="1001"/>
      <c r="AR74" s="2090"/>
      <c r="AS74" s="1545"/>
      <c r="AT74" s="2090"/>
      <c r="AU74" s="1651"/>
      <c r="AV74" s="1026"/>
      <c r="AW74" s="1912"/>
      <c r="AX74" s="1913"/>
      <c r="AY74" s="965"/>
      <c r="AZ74" s="959"/>
      <c r="BA74" s="1651"/>
      <c r="BB74" s="1026"/>
      <c r="BC74" s="1912"/>
      <c r="BD74" s="1913"/>
      <c r="BE74" s="952">
        <v>37</v>
      </c>
      <c r="BF74" s="1028"/>
      <c r="BG74" s="1651"/>
      <c r="BH74" s="1026"/>
      <c r="BI74" s="1912"/>
      <c r="BJ74" s="1913"/>
      <c r="BK74" s="1651"/>
      <c r="BL74" s="1026"/>
      <c r="BM74" s="1912"/>
      <c r="BN74" s="1913"/>
      <c r="BO74" s="1680"/>
      <c r="BP74" s="1986"/>
      <c r="BQ74" s="1680"/>
      <c r="BR74" s="2023"/>
      <c r="BS74" s="1651"/>
      <c r="BT74" s="1026"/>
      <c r="BU74" s="1912"/>
      <c r="BV74" s="1913"/>
      <c r="BW74" s="1680"/>
      <c r="BX74" s="2023"/>
      <c r="BY74" s="1651"/>
      <c r="BZ74" s="1026"/>
      <c r="CA74" s="1912"/>
      <c r="CB74" s="1913"/>
      <c r="CC74" s="1748"/>
      <c r="CD74" s="2155"/>
      <c r="CE74" s="952">
        <v>37</v>
      </c>
      <c r="CF74" s="980" t="s">
        <v>1508</v>
      </c>
      <c r="CG74" s="1651">
        <v>600</v>
      </c>
      <c r="CH74" s="1026"/>
      <c r="CI74" s="1912">
        <v>600</v>
      </c>
      <c r="CJ74" s="1913"/>
      <c r="CK74" s="952">
        <v>37</v>
      </c>
      <c r="CL74" s="981" t="s">
        <v>1330</v>
      </c>
      <c r="CM74" s="1651"/>
      <c r="CN74" s="1026"/>
      <c r="CO74" s="1912"/>
      <c r="CP74" s="1913"/>
      <c r="CQ74" s="1651"/>
      <c r="CR74" s="1026"/>
      <c r="CS74" s="1912"/>
      <c r="CT74" s="1913"/>
      <c r="CU74" s="1651"/>
      <c r="CV74" s="1026"/>
      <c r="CW74" s="1912"/>
      <c r="CX74" s="1913"/>
      <c r="CY74" s="1651"/>
      <c r="CZ74" s="1026"/>
      <c r="DA74" s="1912"/>
      <c r="DB74" s="1913"/>
      <c r="DC74" s="1680"/>
      <c r="DD74" s="2023"/>
      <c r="DE74" s="1651"/>
      <c r="DF74" s="1026"/>
      <c r="DG74" s="1912"/>
      <c r="DH74" s="1913"/>
      <c r="DI74" s="964"/>
      <c r="DJ74" s="987"/>
      <c r="DK74" s="1680"/>
      <c r="DL74" s="1986"/>
      <c r="DM74" s="1680"/>
      <c r="DN74" s="1986"/>
      <c r="DO74" s="1680"/>
      <c r="DP74" s="2023"/>
      <c r="DQ74" s="965"/>
      <c r="DR74" s="962"/>
      <c r="DS74" s="1651"/>
      <c r="DT74" s="1026"/>
      <c r="DU74" s="1912"/>
      <c r="DV74" s="1913"/>
      <c r="DW74" s="965"/>
      <c r="DX74" s="1027" t="s">
        <v>2296</v>
      </c>
      <c r="DY74" s="1651"/>
      <c r="DZ74" s="1026"/>
      <c r="EA74" s="1912"/>
      <c r="EB74" s="1913"/>
      <c r="EC74" s="1680"/>
      <c r="ED74" s="2023"/>
      <c r="EE74" s="965"/>
      <c r="EF74" s="959"/>
      <c r="EG74" s="1680"/>
      <c r="EH74" s="2023"/>
      <c r="EI74" s="1651"/>
      <c r="EJ74" s="1026"/>
      <c r="EK74" s="2204"/>
      <c r="EL74" s="1913"/>
      <c r="EM74" s="2202">
        <f t="shared" si="49"/>
        <v>600</v>
      </c>
      <c r="EN74" s="1585">
        <f t="shared" si="50"/>
        <v>0</v>
      </c>
      <c r="EO74" s="1585">
        <f t="shared" si="51"/>
        <v>0</v>
      </c>
      <c r="EP74" s="1585">
        <f t="shared" si="52"/>
        <v>600</v>
      </c>
      <c r="EQ74" s="988">
        <f t="shared" si="53"/>
        <v>600</v>
      </c>
      <c r="ER74" s="1775">
        <f t="shared" si="54"/>
        <v>0</v>
      </c>
      <c r="ES74" s="1775">
        <f t="shared" si="55"/>
        <v>0</v>
      </c>
      <c r="ET74" s="992">
        <f t="shared" si="56"/>
        <v>600</v>
      </c>
    </row>
    <row r="75" spans="1:150" ht="26.4" x14ac:dyDescent="0.25">
      <c r="A75" s="965"/>
      <c r="B75" s="959"/>
      <c r="C75" s="1651"/>
      <c r="D75" s="1026"/>
      <c r="E75" s="1912"/>
      <c r="F75" s="1913"/>
      <c r="G75" s="1680"/>
      <c r="H75" s="1986"/>
      <c r="I75" s="1680"/>
      <c r="J75" s="1986"/>
      <c r="K75" s="1680"/>
      <c r="L75" s="2023"/>
      <c r="M75" s="965"/>
      <c r="N75" s="995"/>
      <c r="O75" s="1680"/>
      <c r="P75" s="2023"/>
      <c r="Q75" s="1651"/>
      <c r="R75" s="1026"/>
      <c r="S75" s="1912"/>
      <c r="T75" s="1913"/>
      <c r="U75" s="1651"/>
      <c r="V75" s="1026"/>
      <c r="W75" s="1912"/>
      <c r="X75" s="1913"/>
      <c r="Y75" s="1651"/>
      <c r="Z75" s="1026"/>
      <c r="AA75" s="2054"/>
      <c r="AB75" s="1913"/>
      <c r="AC75" s="964"/>
      <c r="AD75" s="959"/>
      <c r="AE75" s="1651"/>
      <c r="AF75" s="1026"/>
      <c r="AG75" s="1912"/>
      <c r="AH75" s="1913"/>
      <c r="AI75" s="1651"/>
      <c r="AJ75" s="1026"/>
      <c r="AK75" s="1912"/>
      <c r="AL75" s="1913"/>
      <c r="AM75" s="1680"/>
      <c r="AN75" s="2023"/>
      <c r="AO75" s="1865"/>
      <c r="AP75" s="1000"/>
      <c r="AQ75" s="1001"/>
      <c r="AR75" s="2090"/>
      <c r="AS75" s="1545"/>
      <c r="AT75" s="2090"/>
      <c r="AU75" s="1651"/>
      <c r="AV75" s="1026"/>
      <c r="AW75" s="1912"/>
      <c r="AX75" s="1913"/>
      <c r="AY75" s="965"/>
      <c r="AZ75" s="959"/>
      <c r="BA75" s="1651"/>
      <c r="BB75" s="1026"/>
      <c r="BC75" s="1912"/>
      <c r="BD75" s="1913"/>
      <c r="BE75" s="952">
        <v>38</v>
      </c>
      <c r="BF75" s="987"/>
      <c r="BG75" s="1651"/>
      <c r="BH75" s="1026"/>
      <c r="BI75" s="1912"/>
      <c r="BJ75" s="1913"/>
      <c r="BK75" s="1651"/>
      <c r="BL75" s="1026"/>
      <c r="BM75" s="1912"/>
      <c r="BN75" s="1913"/>
      <c r="BO75" s="1680"/>
      <c r="BP75" s="1986"/>
      <c r="BQ75" s="1680"/>
      <c r="BR75" s="2023"/>
      <c r="BS75" s="1651"/>
      <c r="BT75" s="1026"/>
      <c r="BU75" s="1912"/>
      <c r="BV75" s="1913"/>
      <c r="BW75" s="1680"/>
      <c r="BX75" s="2023"/>
      <c r="BY75" s="1651"/>
      <c r="BZ75" s="1026"/>
      <c r="CA75" s="1912"/>
      <c r="CB75" s="1913"/>
      <c r="CC75" s="1723"/>
      <c r="CD75" s="2113"/>
      <c r="CE75" s="952">
        <v>38</v>
      </c>
      <c r="CF75" s="980" t="s">
        <v>1509</v>
      </c>
      <c r="CG75" s="1651"/>
      <c r="CH75" s="1026"/>
      <c r="CI75" s="1912"/>
      <c r="CJ75" s="1913"/>
      <c r="CK75" s="952">
        <v>38</v>
      </c>
      <c r="CL75" s="980" t="s">
        <v>1510</v>
      </c>
      <c r="CM75" s="1651"/>
      <c r="CN75" s="1026"/>
      <c r="CO75" s="1912"/>
      <c r="CP75" s="1913"/>
      <c r="CQ75" s="1651"/>
      <c r="CR75" s="1026"/>
      <c r="CS75" s="1912"/>
      <c r="CT75" s="1913"/>
      <c r="CU75" s="1651"/>
      <c r="CV75" s="1026"/>
      <c r="CW75" s="1912"/>
      <c r="CX75" s="1913"/>
      <c r="CY75" s="1651"/>
      <c r="CZ75" s="1026"/>
      <c r="DA75" s="1912"/>
      <c r="DB75" s="1913"/>
      <c r="DC75" s="1680"/>
      <c r="DD75" s="2023"/>
      <c r="DE75" s="1651"/>
      <c r="DF75" s="1026"/>
      <c r="DG75" s="1912"/>
      <c r="DH75" s="1913"/>
      <c r="DI75" s="964"/>
      <c r="DJ75" s="987"/>
      <c r="DK75" s="1680"/>
      <c r="DL75" s="1986"/>
      <c r="DM75" s="1680"/>
      <c r="DN75" s="1986"/>
      <c r="DO75" s="1680"/>
      <c r="DP75" s="2023"/>
      <c r="DQ75" s="965"/>
      <c r="DR75" s="962"/>
      <c r="DS75" s="1651"/>
      <c r="DT75" s="1026"/>
      <c r="DU75" s="1912"/>
      <c r="DV75" s="1913"/>
      <c r="DW75" s="965"/>
      <c r="DX75" s="1027" t="s">
        <v>2297</v>
      </c>
      <c r="DY75" s="1651"/>
      <c r="DZ75" s="1026"/>
      <c r="EA75" s="1912"/>
      <c r="EB75" s="1913">
        <v>5000</v>
      </c>
      <c r="EC75" s="1680"/>
      <c r="ED75" s="2023"/>
      <c r="EE75" s="965"/>
      <c r="EF75" s="959"/>
      <c r="EG75" s="1680"/>
      <c r="EH75" s="2023"/>
      <c r="EI75" s="1651"/>
      <c r="EJ75" s="1026"/>
      <c r="EK75" s="2204"/>
      <c r="EL75" s="1913"/>
      <c r="EM75" s="2202">
        <f t="shared" si="49"/>
        <v>0</v>
      </c>
      <c r="EN75" s="1585">
        <f t="shared" si="50"/>
        <v>5000</v>
      </c>
      <c r="EO75" s="1585">
        <f t="shared" si="51"/>
        <v>0</v>
      </c>
      <c r="EP75" s="1585">
        <f t="shared" si="52"/>
        <v>5000</v>
      </c>
      <c r="EQ75" s="988">
        <f t="shared" si="53"/>
        <v>0</v>
      </c>
      <c r="ER75" s="1775">
        <f t="shared" si="54"/>
        <v>0</v>
      </c>
      <c r="ES75" s="1775">
        <f t="shared" si="55"/>
        <v>0</v>
      </c>
      <c r="ET75" s="992">
        <f t="shared" si="56"/>
        <v>0</v>
      </c>
    </row>
    <row r="76" spans="1:150" ht="26.4" x14ac:dyDescent="0.25">
      <c r="A76" s="965"/>
      <c r="B76" s="959"/>
      <c r="C76" s="1651"/>
      <c r="D76" s="1026"/>
      <c r="E76" s="1912"/>
      <c r="F76" s="1913"/>
      <c r="G76" s="1680"/>
      <c r="H76" s="1986"/>
      <c r="I76" s="1680"/>
      <c r="J76" s="1986"/>
      <c r="K76" s="1680"/>
      <c r="L76" s="2023"/>
      <c r="M76" s="965"/>
      <c r="N76" s="995"/>
      <c r="O76" s="1680"/>
      <c r="P76" s="2023"/>
      <c r="Q76" s="1651"/>
      <c r="R76" s="1026"/>
      <c r="S76" s="1912"/>
      <c r="T76" s="1913"/>
      <c r="U76" s="1651"/>
      <c r="V76" s="1026"/>
      <c r="W76" s="1912"/>
      <c r="X76" s="1913"/>
      <c r="Y76" s="1651"/>
      <c r="Z76" s="1026"/>
      <c r="AA76" s="2054"/>
      <c r="AB76" s="1913"/>
      <c r="AC76" s="964"/>
      <c r="AD76" s="959"/>
      <c r="AE76" s="1651"/>
      <c r="AF76" s="1026"/>
      <c r="AG76" s="1912"/>
      <c r="AH76" s="1913"/>
      <c r="AI76" s="1651"/>
      <c r="AJ76" s="1026"/>
      <c r="AK76" s="1912"/>
      <c r="AL76" s="1913"/>
      <c r="AM76" s="1680"/>
      <c r="AN76" s="2023"/>
      <c r="AO76" s="1865"/>
      <c r="AP76" s="1000"/>
      <c r="AQ76" s="1001"/>
      <c r="AR76" s="2090"/>
      <c r="AS76" s="1545"/>
      <c r="AT76" s="2090"/>
      <c r="AU76" s="1651"/>
      <c r="AV76" s="1026"/>
      <c r="AW76" s="1912"/>
      <c r="AX76" s="1913"/>
      <c r="AY76" s="965"/>
      <c r="AZ76" s="959"/>
      <c r="BA76" s="1651"/>
      <c r="BB76" s="1026"/>
      <c r="BC76" s="1912"/>
      <c r="BD76" s="1913"/>
      <c r="BE76" s="952">
        <v>39</v>
      </c>
      <c r="BF76" s="987"/>
      <c r="BG76" s="1651"/>
      <c r="BH76" s="1026"/>
      <c r="BI76" s="1912"/>
      <c r="BJ76" s="1913"/>
      <c r="BK76" s="1651"/>
      <c r="BL76" s="1026"/>
      <c r="BM76" s="1912"/>
      <c r="BN76" s="1913"/>
      <c r="BO76" s="1680"/>
      <c r="BP76" s="1986"/>
      <c r="BQ76" s="1680"/>
      <c r="BR76" s="2023"/>
      <c r="BS76" s="1651"/>
      <c r="BT76" s="1026"/>
      <c r="BU76" s="1912"/>
      <c r="BV76" s="1913"/>
      <c r="BW76" s="1680"/>
      <c r="BX76" s="2023"/>
      <c r="BY76" s="1651"/>
      <c r="BZ76" s="1026"/>
      <c r="CA76" s="1912"/>
      <c r="CB76" s="1913"/>
      <c r="CC76" s="1723"/>
      <c r="CD76" s="2113"/>
      <c r="CE76" s="952">
        <v>39</v>
      </c>
      <c r="CF76" s="980" t="s">
        <v>1511</v>
      </c>
      <c r="CG76" s="1651">
        <v>400</v>
      </c>
      <c r="CH76" s="1026"/>
      <c r="CI76" s="1912"/>
      <c r="CJ76" s="1913"/>
      <c r="CK76" s="952">
        <v>40</v>
      </c>
      <c r="CL76" s="980" t="s">
        <v>1512</v>
      </c>
      <c r="CM76" s="1651"/>
      <c r="CN76" s="1026"/>
      <c r="CO76" s="1912"/>
      <c r="CP76" s="1913"/>
      <c r="CQ76" s="1651"/>
      <c r="CR76" s="1026"/>
      <c r="CS76" s="1912"/>
      <c r="CT76" s="1913"/>
      <c r="CU76" s="1651"/>
      <c r="CV76" s="1026"/>
      <c r="CW76" s="1912"/>
      <c r="CX76" s="1913"/>
      <c r="CY76" s="1651"/>
      <c r="CZ76" s="1026"/>
      <c r="DA76" s="1912"/>
      <c r="DB76" s="1913"/>
      <c r="DC76" s="1680"/>
      <c r="DD76" s="2023"/>
      <c r="DE76" s="1651"/>
      <c r="DF76" s="1026"/>
      <c r="DG76" s="1912"/>
      <c r="DH76" s="1913"/>
      <c r="DI76" s="964"/>
      <c r="DJ76" s="987"/>
      <c r="DK76" s="1680"/>
      <c r="DL76" s="1986"/>
      <c r="DM76" s="1680"/>
      <c r="DN76" s="1986"/>
      <c r="DO76" s="1680"/>
      <c r="DP76" s="2023"/>
      <c r="DQ76" s="965"/>
      <c r="DR76" s="962"/>
      <c r="DS76" s="1651"/>
      <c r="DT76" s="1026"/>
      <c r="DU76" s="1912"/>
      <c r="DV76" s="1913"/>
      <c r="DW76" s="965"/>
      <c r="DX76" s="1027" t="s">
        <v>2298</v>
      </c>
      <c r="DY76" s="1651"/>
      <c r="DZ76" s="1026"/>
      <c r="EA76" s="1912"/>
      <c r="EB76" s="1913">
        <v>2000</v>
      </c>
      <c r="EC76" s="1680"/>
      <c r="ED76" s="2023"/>
      <c r="EE76" s="965"/>
      <c r="EF76" s="959"/>
      <c r="EG76" s="1680"/>
      <c r="EH76" s="2023"/>
      <c r="EI76" s="1651"/>
      <c r="EJ76" s="1026"/>
      <c r="EK76" s="2204"/>
      <c r="EL76" s="1913"/>
      <c r="EM76" s="2202">
        <f t="shared" si="49"/>
        <v>0</v>
      </c>
      <c r="EN76" s="1585">
        <f t="shared" si="50"/>
        <v>2000</v>
      </c>
      <c r="EO76" s="1585">
        <f t="shared" si="51"/>
        <v>0</v>
      </c>
      <c r="EP76" s="1585">
        <f t="shared" si="52"/>
        <v>2000</v>
      </c>
      <c r="EQ76" s="988">
        <f t="shared" si="53"/>
        <v>400</v>
      </c>
      <c r="ER76" s="1775">
        <f t="shared" si="54"/>
        <v>0</v>
      </c>
      <c r="ES76" s="1775">
        <f t="shared" si="55"/>
        <v>0</v>
      </c>
      <c r="ET76" s="992">
        <f t="shared" si="56"/>
        <v>400</v>
      </c>
    </row>
    <row r="77" spans="1:150" ht="26.4" x14ac:dyDescent="0.25">
      <c r="A77" s="965"/>
      <c r="B77" s="959"/>
      <c r="C77" s="1651"/>
      <c r="D77" s="1026"/>
      <c r="E77" s="1912"/>
      <c r="F77" s="1913"/>
      <c r="G77" s="1680"/>
      <c r="H77" s="1986"/>
      <c r="I77" s="1680"/>
      <c r="J77" s="1986"/>
      <c r="K77" s="1680"/>
      <c r="L77" s="2023"/>
      <c r="M77" s="965"/>
      <c r="N77" s="995"/>
      <c r="O77" s="1680"/>
      <c r="P77" s="2023"/>
      <c r="Q77" s="1651"/>
      <c r="R77" s="1026"/>
      <c r="S77" s="1912"/>
      <c r="T77" s="1913"/>
      <c r="U77" s="1651"/>
      <c r="V77" s="1026"/>
      <c r="W77" s="1912"/>
      <c r="X77" s="1913"/>
      <c r="Y77" s="1651"/>
      <c r="Z77" s="1026"/>
      <c r="AA77" s="2054"/>
      <c r="AB77" s="1913"/>
      <c r="AC77" s="964"/>
      <c r="AD77" s="959"/>
      <c r="AE77" s="1651"/>
      <c r="AF77" s="1026"/>
      <c r="AG77" s="1912"/>
      <c r="AH77" s="1913"/>
      <c r="AI77" s="1651"/>
      <c r="AJ77" s="1026"/>
      <c r="AK77" s="1912"/>
      <c r="AL77" s="1913"/>
      <c r="AM77" s="1680"/>
      <c r="AN77" s="2023"/>
      <c r="AO77" s="1865"/>
      <c r="AP77" s="1000"/>
      <c r="AQ77" s="1001"/>
      <c r="AR77" s="2090"/>
      <c r="AS77" s="1545"/>
      <c r="AT77" s="2090"/>
      <c r="AU77" s="1651"/>
      <c r="AV77" s="1026"/>
      <c r="AW77" s="1912"/>
      <c r="AX77" s="1913"/>
      <c r="AY77" s="965"/>
      <c r="AZ77" s="959"/>
      <c r="BA77" s="1651"/>
      <c r="BB77" s="1026"/>
      <c r="BC77" s="1912"/>
      <c r="BD77" s="1913"/>
      <c r="BE77" s="952">
        <v>40</v>
      </c>
      <c r="BF77" s="987"/>
      <c r="BG77" s="1651"/>
      <c r="BH77" s="1026"/>
      <c r="BI77" s="1912"/>
      <c r="BJ77" s="1913"/>
      <c r="BK77" s="1651"/>
      <c r="BL77" s="1026"/>
      <c r="BM77" s="1912"/>
      <c r="BN77" s="1913"/>
      <c r="BO77" s="1680"/>
      <c r="BP77" s="1986"/>
      <c r="BQ77" s="1680"/>
      <c r="BR77" s="2023"/>
      <c r="BS77" s="1651"/>
      <c r="BT77" s="1026"/>
      <c r="BU77" s="1912"/>
      <c r="BV77" s="1913"/>
      <c r="BW77" s="1680"/>
      <c r="BX77" s="2023"/>
      <c r="BY77" s="1651"/>
      <c r="BZ77" s="1026"/>
      <c r="CA77" s="1912"/>
      <c r="CB77" s="1913"/>
      <c r="CC77" s="1723"/>
      <c r="CD77" s="2113"/>
      <c r="CE77" s="952">
        <v>40</v>
      </c>
      <c r="CF77" s="954" t="s">
        <v>1513</v>
      </c>
      <c r="CG77" s="1651">
        <v>3500</v>
      </c>
      <c r="CH77" s="1026"/>
      <c r="CI77" s="1912"/>
      <c r="CJ77" s="1913"/>
      <c r="CK77" s="952">
        <v>41</v>
      </c>
      <c r="CL77" s="980" t="s">
        <v>1514</v>
      </c>
      <c r="CM77" s="1651"/>
      <c r="CN77" s="1026"/>
      <c r="CO77" s="1912"/>
      <c r="CP77" s="1913"/>
      <c r="CQ77" s="1651"/>
      <c r="CR77" s="1026"/>
      <c r="CS77" s="1912"/>
      <c r="CT77" s="1913"/>
      <c r="CU77" s="1651"/>
      <c r="CV77" s="1026"/>
      <c r="CW77" s="1912"/>
      <c r="CX77" s="1913"/>
      <c r="CY77" s="1651"/>
      <c r="CZ77" s="1026"/>
      <c r="DA77" s="1912"/>
      <c r="DB77" s="1913"/>
      <c r="DC77" s="1680"/>
      <c r="DD77" s="2023"/>
      <c r="DE77" s="1651"/>
      <c r="DF77" s="1026"/>
      <c r="DG77" s="1912"/>
      <c r="DH77" s="1913"/>
      <c r="DI77" s="964"/>
      <c r="DJ77" s="987"/>
      <c r="DK77" s="1680"/>
      <c r="DL77" s="1986"/>
      <c r="DM77" s="1680"/>
      <c r="DN77" s="1986"/>
      <c r="DO77" s="1680"/>
      <c r="DP77" s="2023"/>
      <c r="DQ77" s="965"/>
      <c r="DR77" s="962"/>
      <c r="DS77" s="1651"/>
      <c r="DT77" s="1026"/>
      <c r="DU77" s="1912"/>
      <c r="DV77" s="1913"/>
      <c r="DW77" s="965"/>
      <c r="DX77" s="1027" t="s">
        <v>2299</v>
      </c>
      <c r="DY77" s="1651"/>
      <c r="DZ77" s="1026"/>
      <c r="EA77" s="1912"/>
      <c r="EB77" s="1913">
        <v>2000</v>
      </c>
      <c r="EC77" s="1680"/>
      <c r="ED77" s="2023"/>
      <c r="EE77" s="965"/>
      <c r="EF77" s="959"/>
      <c r="EG77" s="1680"/>
      <c r="EH77" s="2023"/>
      <c r="EI77" s="1651"/>
      <c r="EJ77" s="1026"/>
      <c r="EK77" s="2204"/>
      <c r="EL77" s="1913"/>
      <c r="EM77" s="2202">
        <f t="shared" si="49"/>
        <v>0</v>
      </c>
      <c r="EN77" s="1585">
        <f t="shared" si="50"/>
        <v>2000</v>
      </c>
      <c r="EO77" s="1585">
        <f t="shared" si="51"/>
        <v>0</v>
      </c>
      <c r="EP77" s="1585">
        <f t="shared" si="52"/>
        <v>2000</v>
      </c>
      <c r="EQ77" s="988">
        <f t="shared" si="53"/>
        <v>3500</v>
      </c>
      <c r="ER77" s="1775">
        <f t="shared" si="54"/>
        <v>0</v>
      </c>
      <c r="ES77" s="1775">
        <f t="shared" si="55"/>
        <v>0</v>
      </c>
      <c r="ET77" s="992">
        <f t="shared" si="56"/>
        <v>3500</v>
      </c>
    </row>
    <row r="78" spans="1:150" x14ac:dyDescent="0.25">
      <c r="A78" s="965"/>
      <c r="B78" s="959"/>
      <c r="C78" s="1651"/>
      <c r="D78" s="1026"/>
      <c r="E78" s="1912"/>
      <c r="F78" s="1913"/>
      <c r="G78" s="1680"/>
      <c r="H78" s="1986"/>
      <c r="I78" s="1680"/>
      <c r="J78" s="1986"/>
      <c r="K78" s="1680"/>
      <c r="L78" s="2023"/>
      <c r="M78" s="965"/>
      <c r="N78" s="995"/>
      <c r="O78" s="1680"/>
      <c r="P78" s="2023"/>
      <c r="Q78" s="1651"/>
      <c r="R78" s="1026"/>
      <c r="S78" s="1912"/>
      <c r="T78" s="1913"/>
      <c r="U78" s="1651"/>
      <c r="V78" s="1026"/>
      <c r="W78" s="1912"/>
      <c r="X78" s="1913"/>
      <c r="Y78" s="1651"/>
      <c r="Z78" s="1026"/>
      <c r="AA78" s="2054"/>
      <c r="AB78" s="1913"/>
      <c r="AC78" s="964"/>
      <c r="AD78" s="959"/>
      <c r="AE78" s="1651"/>
      <c r="AF78" s="1026"/>
      <c r="AG78" s="1912"/>
      <c r="AH78" s="1913"/>
      <c r="AI78" s="1651"/>
      <c r="AJ78" s="1026"/>
      <c r="AK78" s="1912"/>
      <c r="AL78" s="1913"/>
      <c r="AM78" s="1680"/>
      <c r="AN78" s="2023"/>
      <c r="AO78" s="1865"/>
      <c r="AP78" s="1000"/>
      <c r="AQ78" s="1001"/>
      <c r="AR78" s="2090"/>
      <c r="AS78" s="1545"/>
      <c r="AT78" s="2090"/>
      <c r="AU78" s="1651"/>
      <c r="AV78" s="1026"/>
      <c r="AW78" s="1912"/>
      <c r="AX78" s="1913"/>
      <c r="AY78" s="965"/>
      <c r="AZ78" s="959"/>
      <c r="BA78" s="1651"/>
      <c r="BB78" s="1026"/>
      <c r="BC78" s="1912"/>
      <c r="BD78" s="1913"/>
      <c r="BE78" s="952">
        <v>41</v>
      </c>
      <c r="BF78" s="954"/>
      <c r="BG78" s="1651"/>
      <c r="BH78" s="1026"/>
      <c r="BI78" s="1912"/>
      <c r="BJ78" s="1913"/>
      <c r="BK78" s="1651"/>
      <c r="BL78" s="1026"/>
      <c r="BM78" s="1912"/>
      <c r="BN78" s="1913"/>
      <c r="BO78" s="1680"/>
      <c r="BP78" s="1986"/>
      <c r="BQ78" s="1680"/>
      <c r="BR78" s="2023"/>
      <c r="BS78" s="1651"/>
      <c r="BT78" s="1026"/>
      <c r="BU78" s="1912"/>
      <c r="BV78" s="1913"/>
      <c r="BW78" s="1680"/>
      <c r="BX78" s="2023"/>
      <c r="BY78" s="1651"/>
      <c r="BZ78" s="1026"/>
      <c r="CA78" s="1912"/>
      <c r="CB78" s="1913"/>
      <c r="CC78" s="1723"/>
      <c r="CD78" s="2113"/>
      <c r="CE78" s="952">
        <v>41</v>
      </c>
      <c r="CF78" s="959"/>
      <c r="CG78" s="1651"/>
      <c r="CH78" s="1026"/>
      <c r="CI78" s="1912"/>
      <c r="CJ78" s="1913"/>
      <c r="CK78" s="952">
        <v>42</v>
      </c>
      <c r="CL78" s="980" t="s">
        <v>1515</v>
      </c>
      <c r="CM78" s="1651"/>
      <c r="CN78" s="1026"/>
      <c r="CO78" s="1912"/>
      <c r="CP78" s="1913"/>
      <c r="CQ78" s="1651"/>
      <c r="CR78" s="1026"/>
      <c r="CS78" s="1912"/>
      <c r="CT78" s="1913"/>
      <c r="CU78" s="1651"/>
      <c r="CV78" s="1026"/>
      <c r="CW78" s="1912"/>
      <c r="CX78" s="1913"/>
      <c r="CY78" s="1651"/>
      <c r="CZ78" s="1026"/>
      <c r="DA78" s="1912"/>
      <c r="DB78" s="1913"/>
      <c r="DC78" s="1680"/>
      <c r="DD78" s="2023"/>
      <c r="DE78" s="1651"/>
      <c r="DF78" s="1026"/>
      <c r="DG78" s="1912"/>
      <c r="DH78" s="1913"/>
      <c r="DI78" s="964"/>
      <c r="DJ78" s="987"/>
      <c r="DK78" s="1680"/>
      <c r="DL78" s="1986"/>
      <c r="DM78" s="1680"/>
      <c r="DN78" s="1986"/>
      <c r="DO78" s="1680"/>
      <c r="DP78" s="2023"/>
      <c r="DQ78" s="965"/>
      <c r="DR78" s="962"/>
      <c r="DS78" s="1651"/>
      <c r="DT78" s="1026"/>
      <c r="DU78" s="1912"/>
      <c r="DV78" s="1913"/>
      <c r="DW78" s="965"/>
      <c r="DX78" s="1027" t="s">
        <v>2300</v>
      </c>
      <c r="DY78" s="1651"/>
      <c r="DZ78" s="1026"/>
      <c r="EA78" s="1912"/>
      <c r="EB78" s="1913">
        <v>1000</v>
      </c>
      <c r="EC78" s="1680"/>
      <c r="ED78" s="2023"/>
      <c r="EE78" s="965"/>
      <c r="EF78" s="959"/>
      <c r="EG78" s="1680"/>
      <c r="EH78" s="2023"/>
      <c r="EI78" s="1651"/>
      <c r="EJ78" s="1026"/>
      <c r="EK78" s="2204"/>
      <c r="EL78" s="1913"/>
      <c r="EM78" s="2202">
        <f t="shared" si="49"/>
        <v>0</v>
      </c>
      <c r="EN78" s="1585">
        <f t="shared" si="50"/>
        <v>1000</v>
      </c>
      <c r="EO78" s="1585">
        <f t="shared" si="51"/>
        <v>0</v>
      </c>
      <c r="EP78" s="1585">
        <f t="shared" si="52"/>
        <v>1000</v>
      </c>
      <c r="EQ78" s="988">
        <f t="shared" si="53"/>
        <v>0</v>
      </c>
      <c r="ER78" s="1775">
        <f t="shared" si="54"/>
        <v>0</v>
      </c>
      <c r="ES78" s="1775">
        <f t="shared" si="55"/>
        <v>0</v>
      </c>
      <c r="ET78" s="992">
        <f t="shared" si="56"/>
        <v>0</v>
      </c>
    </row>
    <row r="79" spans="1:150" x14ac:dyDescent="0.25">
      <c r="A79" s="965"/>
      <c r="B79" s="959"/>
      <c r="C79" s="1651"/>
      <c r="D79" s="1026"/>
      <c r="E79" s="1912"/>
      <c r="F79" s="1913"/>
      <c r="G79" s="1680"/>
      <c r="H79" s="1986"/>
      <c r="I79" s="1680"/>
      <c r="J79" s="1986"/>
      <c r="K79" s="1680"/>
      <c r="L79" s="2023"/>
      <c r="M79" s="965"/>
      <c r="N79" s="995"/>
      <c r="O79" s="1680"/>
      <c r="P79" s="2023"/>
      <c r="Q79" s="1651"/>
      <c r="R79" s="1026"/>
      <c r="S79" s="1912"/>
      <c r="T79" s="1913"/>
      <c r="U79" s="1651"/>
      <c r="V79" s="1026"/>
      <c r="W79" s="1912"/>
      <c r="X79" s="1913"/>
      <c r="Y79" s="1651"/>
      <c r="Z79" s="1026"/>
      <c r="AA79" s="2054"/>
      <c r="AB79" s="1913"/>
      <c r="AC79" s="964"/>
      <c r="AD79" s="959"/>
      <c r="AE79" s="1651"/>
      <c r="AF79" s="1026"/>
      <c r="AG79" s="1912"/>
      <c r="AH79" s="1913"/>
      <c r="AI79" s="1651"/>
      <c r="AJ79" s="1026"/>
      <c r="AK79" s="1912"/>
      <c r="AL79" s="1913"/>
      <c r="AM79" s="1680"/>
      <c r="AN79" s="2023"/>
      <c r="AO79" s="1865"/>
      <c r="AP79" s="1000"/>
      <c r="AQ79" s="1001"/>
      <c r="AR79" s="2090"/>
      <c r="AS79" s="1545"/>
      <c r="AT79" s="2090"/>
      <c r="AU79" s="1651"/>
      <c r="AV79" s="1026"/>
      <c r="AW79" s="1912"/>
      <c r="AX79" s="1913"/>
      <c r="AY79" s="965"/>
      <c r="AZ79" s="959"/>
      <c r="BA79" s="1651"/>
      <c r="BB79" s="1026"/>
      <c r="BC79" s="1912"/>
      <c r="BD79" s="1913"/>
      <c r="BE79" s="952">
        <v>42</v>
      </c>
      <c r="BF79" s="987"/>
      <c r="BG79" s="1651"/>
      <c r="BH79" s="1026"/>
      <c r="BI79" s="1912"/>
      <c r="BJ79" s="1913"/>
      <c r="BK79" s="1651"/>
      <c r="BL79" s="1026"/>
      <c r="BM79" s="1912"/>
      <c r="BN79" s="1913"/>
      <c r="BO79" s="1680"/>
      <c r="BP79" s="1986"/>
      <c r="BQ79" s="1680"/>
      <c r="BR79" s="2023"/>
      <c r="BS79" s="1651"/>
      <c r="BT79" s="1026"/>
      <c r="BU79" s="1912"/>
      <c r="BV79" s="1913"/>
      <c r="BW79" s="1680"/>
      <c r="BX79" s="2023"/>
      <c r="BY79" s="1651"/>
      <c r="BZ79" s="1026"/>
      <c r="CA79" s="1912"/>
      <c r="CB79" s="1913"/>
      <c r="CC79" s="1743"/>
      <c r="CD79" s="2150"/>
      <c r="CE79" s="965"/>
      <c r="CF79" s="959"/>
      <c r="CG79" s="1651"/>
      <c r="CH79" s="1026"/>
      <c r="CI79" s="1912"/>
      <c r="CJ79" s="1913"/>
      <c r="CK79" s="952">
        <v>43</v>
      </c>
      <c r="CL79" s="980" t="s">
        <v>1516</v>
      </c>
      <c r="CM79" s="1651"/>
      <c r="CN79" s="1026"/>
      <c r="CO79" s="1912"/>
      <c r="CP79" s="1913"/>
      <c r="CQ79" s="1651"/>
      <c r="CR79" s="1026"/>
      <c r="CS79" s="1912"/>
      <c r="CT79" s="1913"/>
      <c r="CU79" s="1651"/>
      <c r="CV79" s="1026"/>
      <c r="CW79" s="1912"/>
      <c r="CX79" s="1913"/>
      <c r="CY79" s="1651"/>
      <c r="CZ79" s="1026"/>
      <c r="DA79" s="1912"/>
      <c r="DB79" s="1913"/>
      <c r="DC79" s="1680"/>
      <c r="DD79" s="2023"/>
      <c r="DE79" s="1651"/>
      <c r="DF79" s="1026"/>
      <c r="DG79" s="1912"/>
      <c r="DH79" s="1913"/>
      <c r="DI79" s="964"/>
      <c r="DJ79" s="987"/>
      <c r="DK79" s="1680"/>
      <c r="DL79" s="1986"/>
      <c r="DM79" s="1680"/>
      <c r="DN79" s="1986"/>
      <c r="DO79" s="1680"/>
      <c r="DP79" s="2023"/>
      <c r="DQ79" s="965"/>
      <c r="DR79" s="962"/>
      <c r="DS79" s="1651"/>
      <c r="DT79" s="1026"/>
      <c r="DU79" s="1912"/>
      <c r="DV79" s="1913"/>
      <c r="DW79" s="965"/>
      <c r="DX79" s="1027" t="s">
        <v>2301</v>
      </c>
      <c r="DY79" s="1651"/>
      <c r="DZ79" s="1026"/>
      <c r="EA79" s="1912"/>
      <c r="EB79" s="1913">
        <v>1500</v>
      </c>
      <c r="EC79" s="1680"/>
      <c r="ED79" s="2023"/>
      <c r="EE79" s="965"/>
      <c r="EF79" s="959"/>
      <c r="EG79" s="1680"/>
      <c r="EH79" s="2023"/>
      <c r="EI79" s="1651"/>
      <c r="EJ79" s="1026"/>
      <c r="EK79" s="2204"/>
      <c r="EL79" s="1913"/>
      <c r="EM79" s="2202">
        <f t="shared" si="49"/>
        <v>0</v>
      </c>
      <c r="EN79" s="1585">
        <f t="shared" si="50"/>
        <v>1500</v>
      </c>
      <c r="EO79" s="1585">
        <f t="shared" si="51"/>
        <v>0</v>
      </c>
      <c r="EP79" s="1585">
        <f t="shared" si="52"/>
        <v>1500</v>
      </c>
      <c r="EQ79" s="988">
        <f t="shared" si="53"/>
        <v>0</v>
      </c>
      <c r="ER79" s="1775">
        <f t="shared" si="54"/>
        <v>0</v>
      </c>
      <c r="ES79" s="1775">
        <f t="shared" si="55"/>
        <v>0</v>
      </c>
      <c r="ET79" s="992">
        <f t="shared" si="56"/>
        <v>0</v>
      </c>
    </row>
    <row r="80" spans="1:150" x14ac:dyDescent="0.25">
      <c r="A80" s="965"/>
      <c r="B80" s="959"/>
      <c r="C80" s="1651"/>
      <c r="D80" s="1026"/>
      <c r="E80" s="1912"/>
      <c r="F80" s="1913"/>
      <c r="G80" s="1680"/>
      <c r="H80" s="1986"/>
      <c r="I80" s="1680"/>
      <c r="J80" s="1986"/>
      <c r="K80" s="1680"/>
      <c r="L80" s="2023"/>
      <c r="M80" s="965"/>
      <c r="N80" s="995"/>
      <c r="O80" s="1680"/>
      <c r="P80" s="2023"/>
      <c r="Q80" s="1651"/>
      <c r="R80" s="1026"/>
      <c r="S80" s="1912"/>
      <c r="T80" s="1913"/>
      <c r="U80" s="1651"/>
      <c r="V80" s="1026"/>
      <c r="W80" s="1912"/>
      <c r="X80" s="1913"/>
      <c r="Y80" s="1651"/>
      <c r="Z80" s="1026"/>
      <c r="AA80" s="2054"/>
      <c r="AB80" s="1913"/>
      <c r="AC80" s="964"/>
      <c r="AD80" s="959"/>
      <c r="AE80" s="1651"/>
      <c r="AF80" s="1026"/>
      <c r="AG80" s="1912"/>
      <c r="AH80" s="1913"/>
      <c r="AI80" s="1651"/>
      <c r="AJ80" s="1026"/>
      <c r="AK80" s="1912"/>
      <c r="AL80" s="1913"/>
      <c r="AM80" s="1680"/>
      <c r="AN80" s="2023"/>
      <c r="AO80" s="1865"/>
      <c r="AP80" s="1000"/>
      <c r="AQ80" s="1001"/>
      <c r="AR80" s="2090"/>
      <c r="AS80" s="1545"/>
      <c r="AT80" s="2090"/>
      <c r="AU80" s="1651"/>
      <c r="AV80" s="1026"/>
      <c r="AW80" s="1912"/>
      <c r="AX80" s="1913"/>
      <c r="AY80" s="965"/>
      <c r="AZ80" s="959"/>
      <c r="BA80" s="1651"/>
      <c r="BB80" s="1026"/>
      <c r="BC80" s="1912"/>
      <c r="BD80" s="1913"/>
      <c r="BE80" s="952">
        <v>43</v>
      </c>
      <c r="BF80" s="954"/>
      <c r="BG80" s="1651"/>
      <c r="BH80" s="1026"/>
      <c r="BI80" s="1912"/>
      <c r="BJ80" s="1913"/>
      <c r="BK80" s="1651"/>
      <c r="BL80" s="1026"/>
      <c r="BM80" s="1912"/>
      <c r="BN80" s="1913"/>
      <c r="BO80" s="1680"/>
      <c r="BP80" s="1986"/>
      <c r="BQ80" s="1680"/>
      <c r="BR80" s="2023"/>
      <c r="BS80" s="1651"/>
      <c r="BT80" s="1026"/>
      <c r="BU80" s="1912"/>
      <c r="BV80" s="1913"/>
      <c r="BW80" s="1680"/>
      <c r="BX80" s="2023"/>
      <c r="BY80" s="1651"/>
      <c r="BZ80" s="1026"/>
      <c r="CA80" s="1912"/>
      <c r="CB80" s="1913"/>
      <c r="CC80" s="1743"/>
      <c r="CD80" s="2150"/>
      <c r="CE80" s="965"/>
      <c r="CF80" s="959"/>
      <c r="CG80" s="1651"/>
      <c r="CH80" s="1026"/>
      <c r="CI80" s="1912"/>
      <c r="CJ80" s="1913"/>
      <c r="CK80" s="952">
        <v>45</v>
      </c>
      <c r="CL80" s="980" t="s">
        <v>1517</v>
      </c>
      <c r="CM80" s="1651"/>
      <c r="CN80" s="1026"/>
      <c r="CO80" s="1912"/>
      <c r="CP80" s="1913"/>
      <c r="CQ80" s="1651"/>
      <c r="CR80" s="1026"/>
      <c r="CS80" s="1912"/>
      <c r="CT80" s="1913"/>
      <c r="CU80" s="1651"/>
      <c r="CV80" s="1026"/>
      <c r="CW80" s="1912"/>
      <c r="CX80" s="1913"/>
      <c r="CY80" s="1651"/>
      <c r="CZ80" s="1026"/>
      <c r="DA80" s="1912"/>
      <c r="DB80" s="1913"/>
      <c r="DC80" s="1680"/>
      <c r="DD80" s="2023"/>
      <c r="DE80" s="1651"/>
      <c r="DF80" s="1026"/>
      <c r="DG80" s="1912"/>
      <c r="DH80" s="1913"/>
      <c r="DI80" s="964"/>
      <c r="DJ80" s="987"/>
      <c r="DK80" s="1680"/>
      <c r="DL80" s="1986"/>
      <c r="DM80" s="1680"/>
      <c r="DN80" s="1986"/>
      <c r="DO80" s="1680"/>
      <c r="DP80" s="2023"/>
      <c r="DQ80" s="965"/>
      <c r="DR80" s="962"/>
      <c r="DS80" s="1651"/>
      <c r="DT80" s="1026"/>
      <c r="DU80" s="1912"/>
      <c r="DV80" s="1913"/>
      <c r="DW80" s="965"/>
      <c r="DX80" s="1027" t="s">
        <v>2302</v>
      </c>
      <c r="DY80" s="1651"/>
      <c r="DZ80" s="1026"/>
      <c r="EA80" s="1912"/>
      <c r="EB80" s="1913">
        <v>2000</v>
      </c>
      <c r="EC80" s="1680"/>
      <c r="ED80" s="2023"/>
      <c r="EE80" s="965"/>
      <c r="EF80" s="959"/>
      <c r="EG80" s="1680"/>
      <c r="EH80" s="2023"/>
      <c r="EI80" s="1651"/>
      <c r="EJ80" s="1026"/>
      <c r="EK80" s="2204"/>
      <c r="EL80" s="1913"/>
      <c r="EM80" s="2202">
        <f t="shared" si="49"/>
        <v>0</v>
      </c>
      <c r="EN80" s="1585">
        <f t="shared" si="50"/>
        <v>2000</v>
      </c>
      <c r="EO80" s="1585">
        <f t="shared" si="51"/>
        <v>0</v>
      </c>
      <c r="EP80" s="1585">
        <f t="shared" si="52"/>
        <v>2000</v>
      </c>
      <c r="EQ80" s="988">
        <f t="shared" si="53"/>
        <v>0</v>
      </c>
      <c r="ER80" s="1775">
        <f t="shared" si="54"/>
        <v>0</v>
      </c>
      <c r="ES80" s="1775">
        <f t="shared" si="55"/>
        <v>0</v>
      </c>
      <c r="ET80" s="992">
        <f t="shared" si="56"/>
        <v>0</v>
      </c>
    </row>
    <row r="81" spans="1:150" ht="26.4" x14ac:dyDescent="0.25">
      <c r="A81" s="965"/>
      <c r="B81" s="959"/>
      <c r="C81" s="1651"/>
      <c r="D81" s="1026"/>
      <c r="E81" s="1912"/>
      <c r="F81" s="1913"/>
      <c r="G81" s="1680"/>
      <c r="H81" s="1986"/>
      <c r="I81" s="1680"/>
      <c r="J81" s="1986"/>
      <c r="K81" s="1680"/>
      <c r="L81" s="2023"/>
      <c r="M81" s="965"/>
      <c r="N81" s="995"/>
      <c r="O81" s="1680"/>
      <c r="P81" s="2023"/>
      <c r="Q81" s="1651"/>
      <c r="R81" s="1026"/>
      <c r="S81" s="1912"/>
      <c r="T81" s="1913"/>
      <c r="U81" s="1651"/>
      <c r="V81" s="1026"/>
      <c r="W81" s="1912"/>
      <c r="X81" s="1913"/>
      <c r="Y81" s="1651"/>
      <c r="Z81" s="1026"/>
      <c r="AA81" s="2054"/>
      <c r="AB81" s="1913"/>
      <c r="AC81" s="964"/>
      <c r="AD81" s="959"/>
      <c r="AE81" s="1651"/>
      <c r="AF81" s="1026"/>
      <c r="AG81" s="1912"/>
      <c r="AH81" s="1913"/>
      <c r="AI81" s="1651"/>
      <c r="AJ81" s="1026"/>
      <c r="AK81" s="1912"/>
      <c r="AL81" s="1913"/>
      <c r="AM81" s="1680"/>
      <c r="AN81" s="2023"/>
      <c r="AO81" s="1865"/>
      <c r="AP81" s="1000"/>
      <c r="AQ81" s="1001"/>
      <c r="AR81" s="2090"/>
      <c r="AS81" s="1545"/>
      <c r="AT81" s="2090"/>
      <c r="AU81" s="1651"/>
      <c r="AV81" s="1026"/>
      <c r="AW81" s="1912"/>
      <c r="AX81" s="1913"/>
      <c r="AY81" s="965"/>
      <c r="AZ81" s="959"/>
      <c r="BA81" s="1651"/>
      <c r="BB81" s="1026"/>
      <c r="BC81" s="1912"/>
      <c r="BD81" s="1913"/>
      <c r="BE81" s="952">
        <v>44</v>
      </c>
      <c r="BF81" s="987"/>
      <c r="BG81" s="1651"/>
      <c r="BH81" s="1026"/>
      <c r="BI81" s="1912"/>
      <c r="BJ81" s="1913"/>
      <c r="BK81" s="1651"/>
      <c r="BL81" s="1026"/>
      <c r="BM81" s="1912"/>
      <c r="BN81" s="1913"/>
      <c r="BO81" s="1680"/>
      <c r="BP81" s="1986"/>
      <c r="BQ81" s="1680"/>
      <c r="BR81" s="2023"/>
      <c r="BS81" s="1651"/>
      <c r="BT81" s="1026"/>
      <c r="BU81" s="1912"/>
      <c r="BV81" s="1913"/>
      <c r="BW81" s="1680"/>
      <c r="BX81" s="2023"/>
      <c r="BY81" s="1651"/>
      <c r="BZ81" s="1026"/>
      <c r="CA81" s="1912"/>
      <c r="CB81" s="1913"/>
      <c r="CC81" s="1743"/>
      <c r="CD81" s="2150"/>
      <c r="CE81" s="965"/>
      <c r="CF81" s="959"/>
      <c r="CG81" s="1651"/>
      <c r="CH81" s="1026"/>
      <c r="CI81" s="1912"/>
      <c r="CJ81" s="1913"/>
      <c r="CK81" s="952">
        <v>46</v>
      </c>
      <c r="CL81" s="987" t="s">
        <v>1518</v>
      </c>
      <c r="CM81" s="1651"/>
      <c r="CN81" s="1026"/>
      <c r="CO81" s="1912"/>
      <c r="CP81" s="1913"/>
      <c r="CQ81" s="1651"/>
      <c r="CR81" s="1026"/>
      <c r="CS81" s="1912"/>
      <c r="CT81" s="1913"/>
      <c r="CU81" s="1651"/>
      <c r="CV81" s="1026"/>
      <c r="CW81" s="1912"/>
      <c r="CX81" s="1913"/>
      <c r="CY81" s="1651"/>
      <c r="CZ81" s="1026"/>
      <c r="DA81" s="1912"/>
      <c r="DB81" s="1913"/>
      <c r="DC81" s="1680"/>
      <c r="DD81" s="2023"/>
      <c r="DE81" s="1651"/>
      <c r="DF81" s="1026"/>
      <c r="DG81" s="1912"/>
      <c r="DH81" s="1913"/>
      <c r="DI81" s="964"/>
      <c r="DJ81" s="987"/>
      <c r="DK81" s="1680"/>
      <c r="DL81" s="1986"/>
      <c r="DM81" s="1680"/>
      <c r="DN81" s="1986"/>
      <c r="DO81" s="1680"/>
      <c r="DP81" s="2023"/>
      <c r="DQ81" s="965"/>
      <c r="DR81" s="962"/>
      <c r="DS81" s="1651"/>
      <c r="DT81" s="1026"/>
      <c r="DU81" s="1912"/>
      <c r="DV81" s="1913"/>
      <c r="DW81" s="965"/>
      <c r="DX81" s="1027" t="s">
        <v>2304</v>
      </c>
      <c r="DY81" s="1651"/>
      <c r="DZ81" s="1026"/>
      <c r="EA81" s="1912"/>
      <c r="EB81" s="1913">
        <v>5000</v>
      </c>
      <c r="EC81" s="1680"/>
      <c r="ED81" s="2023"/>
      <c r="EE81" s="965"/>
      <c r="EF81" s="959"/>
      <c r="EG81" s="1680"/>
      <c r="EH81" s="2023"/>
      <c r="EI81" s="1651"/>
      <c r="EJ81" s="1026"/>
      <c r="EK81" s="2204"/>
      <c r="EL81" s="1913"/>
      <c r="EM81" s="2202">
        <f t="shared" si="49"/>
        <v>0</v>
      </c>
      <c r="EN81" s="1585">
        <f t="shared" si="50"/>
        <v>5000</v>
      </c>
      <c r="EO81" s="1585">
        <f t="shared" si="51"/>
        <v>0</v>
      </c>
      <c r="EP81" s="1586">
        <f t="shared" si="52"/>
        <v>5000</v>
      </c>
      <c r="EQ81" s="999">
        <f t="shared" si="53"/>
        <v>0</v>
      </c>
      <c r="ER81" s="1776">
        <f t="shared" si="54"/>
        <v>0</v>
      </c>
      <c r="ES81" s="1776">
        <f t="shared" si="55"/>
        <v>0</v>
      </c>
      <c r="ET81" s="1055">
        <f t="shared" si="56"/>
        <v>0</v>
      </c>
    </row>
    <row r="82" spans="1:150" x14ac:dyDescent="0.25">
      <c r="A82" s="965"/>
      <c r="B82" s="959"/>
      <c r="C82" s="1651"/>
      <c r="D82" s="1026"/>
      <c r="E82" s="1912"/>
      <c r="F82" s="1913"/>
      <c r="G82" s="1680"/>
      <c r="H82" s="1986"/>
      <c r="I82" s="1680"/>
      <c r="J82" s="1986"/>
      <c r="K82" s="1680"/>
      <c r="L82" s="2023"/>
      <c r="M82" s="965"/>
      <c r="N82" s="995"/>
      <c r="O82" s="1680"/>
      <c r="P82" s="2023"/>
      <c r="Q82" s="1651"/>
      <c r="R82" s="1026"/>
      <c r="S82" s="1912"/>
      <c r="T82" s="1913"/>
      <c r="U82" s="1651"/>
      <c r="V82" s="1026"/>
      <c r="W82" s="1912"/>
      <c r="X82" s="1913"/>
      <c r="Y82" s="1651"/>
      <c r="Z82" s="1026"/>
      <c r="AA82" s="2054"/>
      <c r="AB82" s="1913"/>
      <c r="AC82" s="964"/>
      <c r="AD82" s="959"/>
      <c r="AE82" s="1651"/>
      <c r="AF82" s="1026"/>
      <c r="AG82" s="1912"/>
      <c r="AH82" s="1913"/>
      <c r="AI82" s="1651"/>
      <c r="AJ82" s="1026"/>
      <c r="AK82" s="1912"/>
      <c r="AL82" s="1913"/>
      <c r="AM82" s="1680"/>
      <c r="AN82" s="2023"/>
      <c r="AO82" s="1865"/>
      <c r="AP82" s="1000"/>
      <c r="AQ82" s="1001"/>
      <c r="AR82" s="2090"/>
      <c r="AS82" s="1545"/>
      <c r="AT82" s="2090"/>
      <c r="AU82" s="1651"/>
      <c r="AV82" s="1026"/>
      <c r="AW82" s="1912"/>
      <c r="AX82" s="1913"/>
      <c r="AY82" s="965"/>
      <c r="AZ82" s="959"/>
      <c r="BA82" s="1651"/>
      <c r="BB82" s="1026"/>
      <c r="BC82" s="1912"/>
      <c r="BD82" s="1913"/>
      <c r="BE82" s="952">
        <v>45</v>
      </c>
      <c r="BF82" s="987"/>
      <c r="BG82" s="1651"/>
      <c r="BH82" s="1026"/>
      <c r="BI82" s="1912"/>
      <c r="BJ82" s="1913"/>
      <c r="BK82" s="1651"/>
      <c r="BL82" s="1026"/>
      <c r="BM82" s="1912"/>
      <c r="BN82" s="1913"/>
      <c r="BO82" s="1680"/>
      <c r="BP82" s="1986"/>
      <c r="BQ82" s="1680"/>
      <c r="BR82" s="2023"/>
      <c r="BS82" s="1651"/>
      <c r="BT82" s="1026"/>
      <c r="BU82" s="1912"/>
      <c r="BV82" s="1913"/>
      <c r="BW82" s="1680"/>
      <c r="BX82" s="2023"/>
      <c r="BY82" s="1651"/>
      <c r="BZ82" s="1026"/>
      <c r="CA82" s="1912"/>
      <c r="CB82" s="1913"/>
      <c r="CC82" s="1743"/>
      <c r="CD82" s="2150"/>
      <c r="CE82" s="965"/>
      <c r="CF82" s="959"/>
      <c r="CG82" s="1651"/>
      <c r="CH82" s="1026"/>
      <c r="CI82" s="1912"/>
      <c r="CJ82" s="1913"/>
      <c r="CK82" s="952">
        <v>47</v>
      </c>
      <c r="CL82" s="981" t="s">
        <v>1330</v>
      </c>
      <c r="CM82" s="1651"/>
      <c r="CN82" s="1026"/>
      <c r="CO82" s="1912"/>
      <c r="CP82" s="1913"/>
      <c r="CQ82" s="1651"/>
      <c r="CR82" s="1026"/>
      <c r="CS82" s="1912"/>
      <c r="CT82" s="1913"/>
      <c r="CU82" s="1651"/>
      <c r="CV82" s="1026"/>
      <c r="CW82" s="1912"/>
      <c r="CX82" s="1913"/>
      <c r="CY82" s="1651"/>
      <c r="CZ82" s="1026"/>
      <c r="DA82" s="1912"/>
      <c r="DB82" s="1913"/>
      <c r="DC82" s="1680"/>
      <c r="DD82" s="2023"/>
      <c r="DE82" s="1651"/>
      <c r="DF82" s="1026"/>
      <c r="DG82" s="1912"/>
      <c r="DH82" s="1913"/>
      <c r="DI82" s="964"/>
      <c r="DJ82" s="987"/>
      <c r="DK82" s="1680"/>
      <c r="DL82" s="1986"/>
      <c r="DM82" s="1680"/>
      <c r="DN82" s="1986"/>
      <c r="DO82" s="1680"/>
      <c r="DP82" s="2023"/>
      <c r="DQ82" s="965"/>
      <c r="DR82" s="962"/>
      <c r="DS82" s="1651"/>
      <c r="DT82" s="1026"/>
      <c r="DU82" s="1912"/>
      <c r="DV82" s="1913"/>
      <c r="DW82" s="965"/>
      <c r="DX82" s="1027" t="s">
        <v>2311</v>
      </c>
      <c r="DY82" s="1651"/>
      <c r="DZ82" s="1026"/>
      <c r="EA82" s="1912"/>
      <c r="EB82" s="1913">
        <v>5000</v>
      </c>
      <c r="EC82" s="1680"/>
      <c r="ED82" s="2023"/>
      <c r="EE82" s="965"/>
      <c r="EF82" s="959"/>
      <c r="EG82" s="1680"/>
      <c r="EH82" s="2023"/>
      <c r="EI82" s="1651"/>
      <c r="EJ82" s="1026"/>
      <c r="EK82" s="2204"/>
      <c r="EL82" s="1913"/>
      <c r="EM82" s="2202">
        <f t="shared" si="49"/>
        <v>0</v>
      </c>
      <c r="EN82" s="1585">
        <f t="shared" si="50"/>
        <v>5000</v>
      </c>
      <c r="EO82" s="1585">
        <f t="shared" si="51"/>
        <v>0</v>
      </c>
      <c r="EP82" s="1585">
        <f t="shared" si="52"/>
        <v>5000</v>
      </c>
      <c r="EQ82" s="988">
        <f t="shared" si="53"/>
        <v>0</v>
      </c>
      <c r="ER82" s="1775">
        <f t="shared" si="54"/>
        <v>0</v>
      </c>
      <c r="ES82" s="1775">
        <f t="shared" si="55"/>
        <v>0</v>
      </c>
      <c r="ET82" s="992">
        <f t="shared" si="56"/>
        <v>0</v>
      </c>
    </row>
    <row r="83" spans="1:150" ht="26.4" x14ac:dyDescent="0.25">
      <c r="A83" s="965"/>
      <c r="B83" s="959"/>
      <c r="C83" s="1651"/>
      <c r="D83" s="1026"/>
      <c r="E83" s="1912"/>
      <c r="F83" s="1913"/>
      <c r="G83" s="1680"/>
      <c r="H83" s="1986"/>
      <c r="I83" s="1680"/>
      <c r="J83" s="1986"/>
      <c r="K83" s="1680"/>
      <c r="L83" s="2023"/>
      <c r="M83" s="965"/>
      <c r="N83" s="995"/>
      <c r="O83" s="1680"/>
      <c r="P83" s="2023"/>
      <c r="Q83" s="1651"/>
      <c r="R83" s="1026"/>
      <c r="S83" s="1912"/>
      <c r="T83" s="1913"/>
      <c r="U83" s="1651"/>
      <c r="V83" s="1026"/>
      <c r="W83" s="1912"/>
      <c r="X83" s="1913"/>
      <c r="Y83" s="1651"/>
      <c r="Z83" s="1026"/>
      <c r="AA83" s="2054"/>
      <c r="AB83" s="1913"/>
      <c r="AC83" s="964"/>
      <c r="AD83" s="959"/>
      <c r="AE83" s="1651"/>
      <c r="AF83" s="1026"/>
      <c r="AG83" s="1912"/>
      <c r="AH83" s="1913"/>
      <c r="AI83" s="1651"/>
      <c r="AJ83" s="1026"/>
      <c r="AK83" s="1912"/>
      <c r="AL83" s="1913"/>
      <c r="AM83" s="1680"/>
      <c r="AN83" s="2023"/>
      <c r="AO83" s="1865"/>
      <c r="AP83" s="1000"/>
      <c r="AQ83" s="1001"/>
      <c r="AR83" s="2090"/>
      <c r="AS83" s="1545"/>
      <c r="AT83" s="2090"/>
      <c r="AU83" s="1651"/>
      <c r="AV83" s="1026"/>
      <c r="AW83" s="1912"/>
      <c r="AX83" s="1913"/>
      <c r="AY83" s="965"/>
      <c r="AZ83" s="959"/>
      <c r="BA83" s="1651"/>
      <c r="BB83" s="1026"/>
      <c r="BC83" s="1912"/>
      <c r="BD83" s="1913"/>
      <c r="BE83" s="952">
        <v>46</v>
      </c>
      <c r="BF83" s="987"/>
      <c r="BG83" s="1651"/>
      <c r="BH83" s="1026"/>
      <c r="BI83" s="1912"/>
      <c r="BJ83" s="1913"/>
      <c r="BK83" s="1651"/>
      <c r="BL83" s="1026"/>
      <c r="BM83" s="1912"/>
      <c r="BN83" s="1913"/>
      <c r="BO83" s="1680"/>
      <c r="BP83" s="1986"/>
      <c r="BQ83" s="1680"/>
      <c r="BR83" s="2023"/>
      <c r="BS83" s="1651"/>
      <c r="BT83" s="1026"/>
      <c r="BU83" s="1912"/>
      <c r="BV83" s="1913"/>
      <c r="BW83" s="1680"/>
      <c r="BX83" s="2023"/>
      <c r="BY83" s="1651"/>
      <c r="BZ83" s="1026"/>
      <c r="CA83" s="1912"/>
      <c r="CB83" s="1913"/>
      <c r="CC83" s="1743"/>
      <c r="CD83" s="2150"/>
      <c r="CE83" s="965"/>
      <c r="CF83" s="959"/>
      <c r="CG83" s="1651"/>
      <c r="CH83" s="1026"/>
      <c r="CI83" s="1912"/>
      <c r="CJ83" s="1913"/>
      <c r="CK83" s="952">
        <v>48</v>
      </c>
      <c r="CL83" s="980" t="s">
        <v>1519</v>
      </c>
      <c r="CM83" s="1651"/>
      <c r="CN83" s="1026"/>
      <c r="CO83" s="1912"/>
      <c r="CP83" s="1913"/>
      <c r="CQ83" s="1651"/>
      <c r="CR83" s="1026"/>
      <c r="CS83" s="1912"/>
      <c r="CT83" s="1913"/>
      <c r="CU83" s="1651"/>
      <c r="CV83" s="1026"/>
      <c r="CW83" s="1912"/>
      <c r="CX83" s="1913"/>
      <c r="CY83" s="1651"/>
      <c r="CZ83" s="1026"/>
      <c r="DA83" s="1912"/>
      <c r="DB83" s="1913"/>
      <c r="DC83" s="1680"/>
      <c r="DD83" s="2023"/>
      <c r="DE83" s="1651"/>
      <c r="DF83" s="1026"/>
      <c r="DG83" s="1912"/>
      <c r="DH83" s="1913"/>
      <c r="DI83" s="964"/>
      <c r="DJ83" s="987"/>
      <c r="DK83" s="1680"/>
      <c r="DL83" s="1986"/>
      <c r="DM83" s="1680"/>
      <c r="DN83" s="1986"/>
      <c r="DO83" s="1680"/>
      <c r="DP83" s="2023"/>
      <c r="DQ83" s="965"/>
      <c r="DR83" s="962"/>
      <c r="DS83" s="1651"/>
      <c r="DT83" s="1026"/>
      <c r="DU83" s="1912"/>
      <c r="DV83" s="1913"/>
      <c r="DW83" s="965"/>
      <c r="DX83" s="1027" t="s">
        <v>2312</v>
      </c>
      <c r="DY83" s="1651"/>
      <c r="DZ83" s="1026"/>
      <c r="EA83" s="1912"/>
      <c r="EB83" s="1913">
        <v>5000</v>
      </c>
      <c r="EC83" s="1680"/>
      <c r="ED83" s="2023"/>
      <c r="EE83" s="965"/>
      <c r="EF83" s="959"/>
      <c r="EG83" s="1680"/>
      <c r="EH83" s="2023"/>
      <c r="EI83" s="1651"/>
      <c r="EJ83" s="1026"/>
      <c r="EK83" s="2204"/>
      <c r="EL83" s="1913"/>
      <c r="EM83" s="2202">
        <f t="shared" si="49"/>
        <v>0</v>
      </c>
      <c r="EN83" s="1585">
        <f t="shared" si="50"/>
        <v>5000</v>
      </c>
      <c r="EO83" s="1585">
        <f t="shared" si="51"/>
        <v>0</v>
      </c>
      <c r="EP83" s="1585">
        <f t="shared" si="52"/>
        <v>5000</v>
      </c>
      <c r="EQ83" s="988">
        <f t="shared" si="53"/>
        <v>0</v>
      </c>
      <c r="ER83" s="1775">
        <f t="shared" si="54"/>
        <v>0</v>
      </c>
      <c r="ES83" s="1775">
        <f t="shared" si="55"/>
        <v>0</v>
      </c>
      <c r="ET83" s="992">
        <f t="shared" si="56"/>
        <v>0</v>
      </c>
    </row>
    <row r="84" spans="1:150" ht="26.4" x14ac:dyDescent="0.25">
      <c r="A84" s="965"/>
      <c r="B84" s="959"/>
      <c r="C84" s="1651"/>
      <c r="D84" s="1026"/>
      <c r="E84" s="1912"/>
      <c r="F84" s="1913"/>
      <c r="G84" s="1680"/>
      <c r="H84" s="1986"/>
      <c r="I84" s="1680"/>
      <c r="J84" s="1986"/>
      <c r="K84" s="1680"/>
      <c r="L84" s="2023"/>
      <c r="M84" s="965"/>
      <c r="N84" s="995"/>
      <c r="O84" s="1680"/>
      <c r="P84" s="2023"/>
      <c r="Q84" s="1651"/>
      <c r="R84" s="1026"/>
      <c r="S84" s="1912"/>
      <c r="T84" s="1913"/>
      <c r="U84" s="1651"/>
      <c r="V84" s="1026"/>
      <c r="W84" s="1912"/>
      <c r="X84" s="1913"/>
      <c r="Y84" s="1651"/>
      <c r="Z84" s="1026"/>
      <c r="AA84" s="2054"/>
      <c r="AB84" s="1913"/>
      <c r="AC84" s="964"/>
      <c r="AD84" s="959"/>
      <c r="AE84" s="1651"/>
      <c r="AF84" s="1026"/>
      <c r="AG84" s="1912"/>
      <c r="AH84" s="1913"/>
      <c r="AI84" s="1651"/>
      <c r="AJ84" s="1026"/>
      <c r="AK84" s="1912"/>
      <c r="AL84" s="1913"/>
      <c r="AM84" s="1680"/>
      <c r="AN84" s="2023"/>
      <c r="AO84" s="1865"/>
      <c r="AP84" s="1000"/>
      <c r="AQ84" s="1001"/>
      <c r="AR84" s="2090"/>
      <c r="AS84" s="1545"/>
      <c r="AT84" s="2090"/>
      <c r="AU84" s="1651"/>
      <c r="AV84" s="1026"/>
      <c r="AW84" s="1912"/>
      <c r="AX84" s="1913"/>
      <c r="AY84" s="965"/>
      <c r="AZ84" s="959"/>
      <c r="BA84" s="1651"/>
      <c r="BB84" s="1026"/>
      <c r="BC84" s="1912"/>
      <c r="BD84" s="1913"/>
      <c r="BE84" s="952">
        <v>47</v>
      </c>
      <c r="BF84" s="1029"/>
      <c r="BG84" s="1651"/>
      <c r="BH84" s="1026"/>
      <c r="BI84" s="1912"/>
      <c r="BJ84" s="1913"/>
      <c r="BK84" s="1651"/>
      <c r="BL84" s="1026"/>
      <c r="BM84" s="1912"/>
      <c r="BN84" s="1913"/>
      <c r="BO84" s="1680"/>
      <c r="BP84" s="1986"/>
      <c r="BQ84" s="1680"/>
      <c r="BR84" s="2023"/>
      <c r="BS84" s="1651"/>
      <c r="BT84" s="1026"/>
      <c r="BU84" s="1912"/>
      <c r="BV84" s="1913"/>
      <c r="BW84" s="1680"/>
      <c r="BX84" s="2023"/>
      <c r="BY84" s="1651"/>
      <c r="BZ84" s="1026"/>
      <c r="CA84" s="1912"/>
      <c r="CB84" s="1913"/>
      <c r="CC84" s="1743"/>
      <c r="CD84" s="2150"/>
      <c r="CE84" s="965"/>
      <c r="CF84" s="959"/>
      <c r="CG84" s="1651"/>
      <c r="CH84" s="1026"/>
      <c r="CI84" s="1912"/>
      <c r="CJ84" s="1913"/>
      <c r="CK84" s="952">
        <v>49</v>
      </c>
      <c r="CL84" s="980" t="s">
        <v>1520</v>
      </c>
      <c r="CM84" s="1651"/>
      <c r="CN84" s="1026"/>
      <c r="CO84" s="1912"/>
      <c r="CP84" s="1913"/>
      <c r="CQ84" s="1651"/>
      <c r="CR84" s="1026"/>
      <c r="CS84" s="1912"/>
      <c r="CT84" s="1913"/>
      <c r="CU84" s="1651"/>
      <c r="CV84" s="1026"/>
      <c r="CW84" s="1912"/>
      <c r="CX84" s="1913"/>
      <c r="CY84" s="1651"/>
      <c r="CZ84" s="1026"/>
      <c r="DA84" s="1912"/>
      <c r="DB84" s="1913"/>
      <c r="DC84" s="1680"/>
      <c r="DD84" s="2023"/>
      <c r="DE84" s="1651"/>
      <c r="DF84" s="1026"/>
      <c r="DG84" s="1912"/>
      <c r="DH84" s="1913"/>
      <c r="DI84" s="964"/>
      <c r="DJ84" s="987"/>
      <c r="DK84" s="1680"/>
      <c r="DL84" s="1986"/>
      <c r="DM84" s="1680"/>
      <c r="DN84" s="1986"/>
      <c r="DO84" s="1680"/>
      <c r="DP84" s="2023"/>
      <c r="DQ84" s="965"/>
      <c r="DR84" s="962"/>
      <c r="DS84" s="1651"/>
      <c r="DT84" s="1026"/>
      <c r="DU84" s="1912"/>
      <c r="DV84" s="1913"/>
      <c r="DW84" s="965"/>
      <c r="DX84" s="1027" t="s">
        <v>2313</v>
      </c>
      <c r="DY84" s="1651"/>
      <c r="DZ84" s="1026"/>
      <c r="EA84" s="1912"/>
      <c r="EB84" s="1913">
        <v>1000</v>
      </c>
      <c r="EC84" s="1680"/>
      <c r="ED84" s="2023"/>
      <c r="EE84" s="965"/>
      <c r="EF84" s="959"/>
      <c r="EG84" s="1680"/>
      <c r="EH84" s="2023"/>
      <c r="EI84" s="1651"/>
      <c r="EJ84" s="1026"/>
      <c r="EK84" s="2204"/>
      <c r="EL84" s="1913"/>
      <c r="EM84" s="2202">
        <f t="shared" si="49"/>
        <v>0</v>
      </c>
      <c r="EN84" s="1585">
        <f t="shared" si="50"/>
        <v>1000</v>
      </c>
      <c r="EO84" s="1585">
        <f t="shared" si="51"/>
        <v>0</v>
      </c>
      <c r="EP84" s="1585">
        <f t="shared" si="52"/>
        <v>1000</v>
      </c>
      <c r="EQ84" s="988">
        <f t="shared" si="53"/>
        <v>0</v>
      </c>
      <c r="ER84" s="1775">
        <f t="shared" si="54"/>
        <v>0</v>
      </c>
      <c r="ES84" s="1775">
        <f t="shared" si="55"/>
        <v>0</v>
      </c>
      <c r="ET84" s="992">
        <f t="shared" si="56"/>
        <v>0</v>
      </c>
    </row>
    <row r="85" spans="1:150" x14ac:dyDescent="0.25">
      <c r="A85" s="965"/>
      <c r="B85" s="959"/>
      <c r="C85" s="1651"/>
      <c r="D85" s="1026"/>
      <c r="E85" s="1912"/>
      <c r="F85" s="1913"/>
      <c r="G85" s="1680"/>
      <c r="H85" s="1986"/>
      <c r="I85" s="1680"/>
      <c r="J85" s="1986"/>
      <c r="K85" s="1680"/>
      <c r="L85" s="2023"/>
      <c r="M85" s="965"/>
      <c r="N85" s="995"/>
      <c r="O85" s="1680"/>
      <c r="P85" s="2023"/>
      <c r="Q85" s="1651"/>
      <c r="R85" s="1026"/>
      <c r="S85" s="1912"/>
      <c r="T85" s="1913"/>
      <c r="U85" s="1651"/>
      <c r="V85" s="1026"/>
      <c r="W85" s="1912"/>
      <c r="X85" s="1913"/>
      <c r="Y85" s="1651"/>
      <c r="Z85" s="1026"/>
      <c r="AA85" s="2054"/>
      <c r="AB85" s="1913"/>
      <c r="AC85" s="964"/>
      <c r="AD85" s="959"/>
      <c r="AE85" s="1651"/>
      <c r="AF85" s="1026"/>
      <c r="AG85" s="1912"/>
      <c r="AH85" s="1913"/>
      <c r="AI85" s="1651"/>
      <c r="AJ85" s="1026"/>
      <c r="AK85" s="1912"/>
      <c r="AL85" s="1913"/>
      <c r="AM85" s="1680"/>
      <c r="AN85" s="2023"/>
      <c r="AO85" s="1865"/>
      <c r="AP85" s="1000"/>
      <c r="AQ85" s="1001"/>
      <c r="AR85" s="2090"/>
      <c r="AS85" s="1545"/>
      <c r="AT85" s="2090"/>
      <c r="AU85" s="1651"/>
      <c r="AV85" s="1026"/>
      <c r="AW85" s="1912"/>
      <c r="AX85" s="1913"/>
      <c r="AY85" s="965"/>
      <c r="AZ85" s="959"/>
      <c r="BA85" s="1651"/>
      <c r="BB85" s="1026"/>
      <c r="BC85" s="1912"/>
      <c r="BD85" s="1913"/>
      <c r="BE85" s="952">
        <v>48</v>
      </c>
      <c r="BF85" s="995"/>
      <c r="BG85" s="1651"/>
      <c r="BH85" s="1026"/>
      <c r="BI85" s="1912"/>
      <c r="BJ85" s="1913"/>
      <c r="BK85" s="1651"/>
      <c r="BL85" s="1026"/>
      <c r="BM85" s="1912"/>
      <c r="BN85" s="1913"/>
      <c r="BO85" s="1680"/>
      <c r="BP85" s="1986"/>
      <c r="BQ85" s="1680"/>
      <c r="BR85" s="2023"/>
      <c r="BS85" s="1651"/>
      <c r="BT85" s="1026"/>
      <c r="BU85" s="1912"/>
      <c r="BV85" s="1913"/>
      <c r="BW85" s="1680"/>
      <c r="BX85" s="2023"/>
      <c r="BY85" s="1651"/>
      <c r="BZ85" s="1026"/>
      <c r="CA85" s="1912"/>
      <c r="CB85" s="1913"/>
      <c r="CC85" s="1743"/>
      <c r="CD85" s="2150"/>
      <c r="CE85" s="965"/>
      <c r="CF85" s="959"/>
      <c r="CG85" s="1651"/>
      <c r="CH85" s="1026"/>
      <c r="CI85" s="1912"/>
      <c r="CJ85" s="1913"/>
      <c r="CK85" s="952">
        <v>50</v>
      </c>
      <c r="CL85" s="980" t="s">
        <v>1521</v>
      </c>
      <c r="CM85" s="1651"/>
      <c r="CN85" s="1026"/>
      <c r="CO85" s="1912"/>
      <c r="CP85" s="1913"/>
      <c r="CQ85" s="1651"/>
      <c r="CR85" s="1026"/>
      <c r="CS85" s="1912"/>
      <c r="CT85" s="1913"/>
      <c r="CU85" s="1651"/>
      <c r="CV85" s="1026"/>
      <c r="CW85" s="1912"/>
      <c r="CX85" s="1913"/>
      <c r="CY85" s="1651"/>
      <c r="CZ85" s="1026"/>
      <c r="DA85" s="1912"/>
      <c r="DB85" s="1913"/>
      <c r="DC85" s="1680"/>
      <c r="DD85" s="2023"/>
      <c r="DE85" s="1651">
        <v>600</v>
      </c>
      <c r="DF85" s="1026"/>
      <c r="DG85" s="1912">
        <v>264</v>
      </c>
      <c r="DH85" s="1913"/>
      <c r="DI85" s="964"/>
      <c r="DJ85" s="987"/>
      <c r="DK85" s="1680"/>
      <c r="DL85" s="1986"/>
      <c r="DM85" s="1680"/>
      <c r="DN85" s="1986"/>
      <c r="DO85" s="1680"/>
      <c r="DP85" s="2023"/>
      <c r="DQ85" s="965"/>
      <c r="DR85" s="962"/>
      <c r="DS85" s="1651"/>
      <c r="DT85" s="1026"/>
      <c r="DU85" s="1912"/>
      <c r="DV85" s="1913"/>
      <c r="DW85" s="965"/>
      <c r="DX85" s="1027"/>
      <c r="DY85" s="1651"/>
      <c r="DZ85" s="1026"/>
      <c r="EA85" s="1912"/>
      <c r="EB85" s="1913"/>
      <c r="EC85" s="1680"/>
      <c r="ED85" s="2023"/>
      <c r="EE85" s="965"/>
      <c r="EF85" s="959"/>
      <c r="EG85" s="1680"/>
      <c r="EH85" s="2023"/>
      <c r="EI85" s="1651"/>
      <c r="EJ85" s="1026"/>
      <c r="EK85" s="2204"/>
      <c r="EL85" s="1913"/>
      <c r="EM85" s="2202">
        <f t="shared" si="49"/>
        <v>264</v>
      </c>
      <c r="EN85" s="1585">
        <f t="shared" si="50"/>
        <v>0</v>
      </c>
      <c r="EO85" s="1585">
        <f t="shared" si="51"/>
        <v>0</v>
      </c>
      <c r="EP85" s="1585">
        <f t="shared" si="52"/>
        <v>264</v>
      </c>
      <c r="EQ85" s="988">
        <f t="shared" si="53"/>
        <v>600</v>
      </c>
      <c r="ER85" s="1775">
        <f t="shared" si="54"/>
        <v>0</v>
      </c>
      <c r="ES85" s="1775">
        <f t="shared" si="55"/>
        <v>0</v>
      </c>
      <c r="ET85" s="992">
        <f t="shared" si="56"/>
        <v>600</v>
      </c>
    </row>
    <row r="86" spans="1:150" x14ac:dyDescent="0.25">
      <c r="A86" s="965"/>
      <c r="B86" s="959"/>
      <c r="C86" s="1651"/>
      <c r="D86" s="1026"/>
      <c r="E86" s="1912"/>
      <c r="F86" s="1913"/>
      <c r="G86" s="1680"/>
      <c r="H86" s="1986"/>
      <c r="I86" s="1680"/>
      <c r="J86" s="1986"/>
      <c r="K86" s="1680"/>
      <c r="L86" s="2023"/>
      <c r="M86" s="965"/>
      <c r="N86" s="995"/>
      <c r="O86" s="1680"/>
      <c r="P86" s="2023"/>
      <c r="Q86" s="1651"/>
      <c r="R86" s="1026"/>
      <c r="S86" s="1912"/>
      <c r="T86" s="1913"/>
      <c r="U86" s="1651"/>
      <c r="V86" s="1026"/>
      <c r="W86" s="1912"/>
      <c r="X86" s="1913"/>
      <c r="Y86" s="1651"/>
      <c r="Z86" s="1026"/>
      <c r="AA86" s="2054"/>
      <c r="AB86" s="1913"/>
      <c r="AC86" s="964"/>
      <c r="AD86" s="959"/>
      <c r="AE86" s="1651"/>
      <c r="AF86" s="1026"/>
      <c r="AG86" s="1912"/>
      <c r="AH86" s="1913"/>
      <c r="AI86" s="1651"/>
      <c r="AJ86" s="1026"/>
      <c r="AK86" s="1912"/>
      <c r="AL86" s="1913"/>
      <c r="AM86" s="1680"/>
      <c r="AN86" s="2023"/>
      <c r="AO86" s="1865"/>
      <c r="AP86" s="1000"/>
      <c r="AQ86" s="1001"/>
      <c r="AR86" s="2090"/>
      <c r="AS86" s="1545"/>
      <c r="AT86" s="2090"/>
      <c r="AU86" s="1651"/>
      <c r="AV86" s="1026"/>
      <c r="AW86" s="1912"/>
      <c r="AX86" s="1913"/>
      <c r="AY86" s="965"/>
      <c r="AZ86" s="959"/>
      <c r="BA86" s="1651"/>
      <c r="BB86" s="1026"/>
      <c r="BC86" s="1912"/>
      <c r="BD86" s="1913"/>
      <c r="BE86" s="952">
        <v>49</v>
      </c>
      <c r="BF86" s="995"/>
      <c r="BG86" s="1651"/>
      <c r="BH86" s="1026"/>
      <c r="BI86" s="1912"/>
      <c r="BJ86" s="1913"/>
      <c r="BK86" s="1651"/>
      <c r="BL86" s="1026"/>
      <c r="BM86" s="1912"/>
      <c r="BN86" s="1913"/>
      <c r="BO86" s="1680"/>
      <c r="BP86" s="1986"/>
      <c r="BQ86" s="1680"/>
      <c r="BR86" s="2023"/>
      <c r="BS86" s="1651"/>
      <c r="BT86" s="1026"/>
      <c r="BU86" s="1912"/>
      <c r="BV86" s="1913"/>
      <c r="BW86" s="1680"/>
      <c r="BX86" s="2023"/>
      <c r="BY86" s="1651"/>
      <c r="BZ86" s="1026"/>
      <c r="CA86" s="1912"/>
      <c r="CB86" s="1913"/>
      <c r="CC86" s="1743"/>
      <c r="CD86" s="2150"/>
      <c r="CE86" s="965"/>
      <c r="CF86" s="959"/>
      <c r="CG86" s="1651"/>
      <c r="CH86" s="1026"/>
      <c r="CI86" s="1912"/>
      <c r="CJ86" s="1913"/>
      <c r="CK86" s="952">
        <v>51</v>
      </c>
      <c r="CL86" s="980" t="s">
        <v>1522</v>
      </c>
      <c r="CM86" s="1651"/>
      <c r="CN86" s="1026"/>
      <c r="CO86" s="1912"/>
      <c r="CP86" s="1913"/>
      <c r="CQ86" s="1651"/>
      <c r="CR86" s="1026"/>
      <c r="CS86" s="1912"/>
      <c r="CT86" s="1913"/>
      <c r="CU86" s="1651"/>
      <c r="CV86" s="1026"/>
      <c r="CW86" s="1912"/>
      <c r="CX86" s="1913"/>
      <c r="CY86" s="1651"/>
      <c r="CZ86" s="1026"/>
      <c r="DA86" s="1912"/>
      <c r="DB86" s="1913"/>
      <c r="DC86" s="1680"/>
      <c r="DD86" s="2023"/>
      <c r="DE86" s="1651">
        <v>38000</v>
      </c>
      <c r="DF86" s="1026"/>
      <c r="DG86" s="1912">
        <v>28826</v>
      </c>
      <c r="DH86" s="1913"/>
      <c r="DI86" s="964"/>
      <c r="DJ86" s="987"/>
      <c r="DK86" s="1680"/>
      <c r="DL86" s="1986"/>
      <c r="DM86" s="1680"/>
      <c r="DN86" s="1986"/>
      <c r="DO86" s="1680"/>
      <c r="DP86" s="2023"/>
      <c r="DQ86" s="965"/>
      <c r="DR86" s="962"/>
      <c r="DS86" s="1651"/>
      <c r="DT86" s="1026"/>
      <c r="DU86" s="1912"/>
      <c r="DV86" s="1913"/>
      <c r="DW86" s="965"/>
      <c r="DX86" s="1027"/>
      <c r="DY86" s="1651"/>
      <c r="DZ86" s="1026"/>
      <c r="EA86" s="1912"/>
      <c r="EB86" s="1913"/>
      <c r="EC86" s="1680"/>
      <c r="ED86" s="2023"/>
      <c r="EE86" s="965"/>
      <c r="EF86" s="959"/>
      <c r="EG86" s="1680"/>
      <c r="EH86" s="2023"/>
      <c r="EI86" s="1651"/>
      <c r="EJ86" s="1026"/>
      <c r="EK86" s="2204"/>
      <c r="EL86" s="1913"/>
      <c r="EM86" s="2202">
        <f t="shared" si="49"/>
        <v>28826</v>
      </c>
      <c r="EN86" s="1585">
        <f t="shared" si="50"/>
        <v>0</v>
      </c>
      <c r="EO86" s="1585">
        <f t="shared" si="51"/>
        <v>0</v>
      </c>
      <c r="EP86" s="1585">
        <f t="shared" si="52"/>
        <v>28826</v>
      </c>
      <c r="EQ86" s="988">
        <f t="shared" si="53"/>
        <v>38000</v>
      </c>
      <c r="ER86" s="1775">
        <f t="shared" si="54"/>
        <v>0</v>
      </c>
      <c r="ES86" s="1775">
        <f t="shared" si="55"/>
        <v>0</v>
      </c>
      <c r="ET86" s="992">
        <f t="shared" si="56"/>
        <v>38000</v>
      </c>
    </row>
    <row r="87" spans="1:150" x14ac:dyDescent="0.25">
      <c r="A87" s="965"/>
      <c r="B87" s="959"/>
      <c r="C87" s="1651"/>
      <c r="D87" s="1026"/>
      <c r="E87" s="1912"/>
      <c r="F87" s="1913"/>
      <c r="G87" s="1680"/>
      <c r="H87" s="1986"/>
      <c r="I87" s="1680"/>
      <c r="J87" s="1986"/>
      <c r="K87" s="1680"/>
      <c r="L87" s="2023"/>
      <c r="M87" s="965"/>
      <c r="N87" s="995"/>
      <c r="O87" s="1680"/>
      <c r="P87" s="2023"/>
      <c r="Q87" s="1651"/>
      <c r="R87" s="1026"/>
      <c r="S87" s="1912"/>
      <c r="T87" s="1913"/>
      <c r="U87" s="1651"/>
      <c r="V87" s="1026"/>
      <c r="W87" s="1912"/>
      <c r="X87" s="1913"/>
      <c r="Y87" s="1651"/>
      <c r="Z87" s="1026"/>
      <c r="AA87" s="2054"/>
      <c r="AB87" s="1913"/>
      <c r="AC87" s="964"/>
      <c r="AD87" s="959"/>
      <c r="AE87" s="1651"/>
      <c r="AF87" s="1026"/>
      <c r="AG87" s="1912"/>
      <c r="AH87" s="1913"/>
      <c r="AI87" s="1651"/>
      <c r="AJ87" s="1026"/>
      <c r="AK87" s="1912"/>
      <c r="AL87" s="1913"/>
      <c r="AM87" s="1680"/>
      <c r="AN87" s="2023"/>
      <c r="AO87" s="1865"/>
      <c r="AP87" s="1000"/>
      <c r="AQ87" s="1001"/>
      <c r="AR87" s="2090"/>
      <c r="AS87" s="1545"/>
      <c r="AT87" s="2090"/>
      <c r="AU87" s="1651"/>
      <c r="AV87" s="1026"/>
      <c r="AW87" s="1912"/>
      <c r="AX87" s="1913"/>
      <c r="AY87" s="965"/>
      <c r="AZ87" s="959"/>
      <c r="BA87" s="1651"/>
      <c r="BB87" s="1026"/>
      <c r="BC87" s="1912"/>
      <c r="BD87" s="1913"/>
      <c r="BE87" s="952">
        <v>50</v>
      </c>
      <c r="BF87" s="995"/>
      <c r="BG87" s="1651"/>
      <c r="BH87" s="1026"/>
      <c r="BI87" s="1912"/>
      <c r="BJ87" s="1913"/>
      <c r="BK87" s="1651"/>
      <c r="BL87" s="1026"/>
      <c r="BM87" s="1912"/>
      <c r="BN87" s="1913"/>
      <c r="BO87" s="1680"/>
      <c r="BP87" s="1986"/>
      <c r="BQ87" s="1680"/>
      <c r="BR87" s="2023"/>
      <c r="BS87" s="1651"/>
      <c r="BT87" s="1026"/>
      <c r="BU87" s="1912"/>
      <c r="BV87" s="1913"/>
      <c r="BW87" s="1680"/>
      <c r="BX87" s="2023"/>
      <c r="BY87" s="1651"/>
      <c r="BZ87" s="1026"/>
      <c r="CA87" s="1912"/>
      <c r="CB87" s="1913"/>
      <c r="CC87" s="1743"/>
      <c r="CD87" s="2150"/>
      <c r="CE87" s="965"/>
      <c r="CF87" s="959"/>
      <c r="CG87" s="1651"/>
      <c r="CH87" s="1026"/>
      <c r="CI87" s="1912"/>
      <c r="CJ87" s="1913"/>
      <c r="CK87" s="952">
        <v>52</v>
      </c>
      <c r="CL87" s="980" t="s">
        <v>1523</v>
      </c>
      <c r="CM87" s="1651"/>
      <c r="CN87" s="1026"/>
      <c r="CO87" s="1912"/>
      <c r="CP87" s="1913"/>
      <c r="CQ87" s="1651"/>
      <c r="CR87" s="1026"/>
      <c r="CS87" s="1912"/>
      <c r="CT87" s="1913"/>
      <c r="CU87" s="1651"/>
      <c r="CV87" s="1026"/>
      <c r="CW87" s="1912"/>
      <c r="CX87" s="1913"/>
      <c r="CY87" s="1651"/>
      <c r="CZ87" s="1026"/>
      <c r="DA87" s="1912"/>
      <c r="DB87" s="1913"/>
      <c r="DC87" s="1680"/>
      <c r="DD87" s="2023"/>
      <c r="DE87" s="1651"/>
      <c r="DF87" s="1026">
        <v>196262</v>
      </c>
      <c r="DG87" s="1912"/>
      <c r="DH87" s="1913">
        <v>201757</v>
      </c>
      <c r="DI87" s="964"/>
      <c r="DJ87" s="987"/>
      <c r="DK87" s="1680"/>
      <c r="DL87" s="1986"/>
      <c r="DM87" s="1680"/>
      <c r="DN87" s="1986"/>
      <c r="DO87" s="1680"/>
      <c r="DP87" s="2023"/>
      <c r="DQ87" s="965"/>
      <c r="DR87" s="962"/>
      <c r="DS87" s="1651"/>
      <c r="DT87" s="1026"/>
      <c r="DU87" s="1912"/>
      <c r="DV87" s="1913"/>
      <c r="DW87" s="965"/>
      <c r="DX87" s="1027"/>
      <c r="DY87" s="1651"/>
      <c r="DZ87" s="1026"/>
      <c r="EA87" s="1912"/>
      <c r="EB87" s="1913"/>
      <c r="EC87" s="1680"/>
      <c r="ED87" s="2023"/>
      <c r="EE87" s="965"/>
      <c r="EF87" s="959"/>
      <c r="EG87" s="1680"/>
      <c r="EH87" s="2023"/>
      <c r="EI87" s="1651"/>
      <c r="EJ87" s="1026"/>
      <c r="EK87" s="2204"/>
      <c r="EL87" s="1913"/>
      <c r="EM87" s="2202">
        <f t="shared" si="49"/>
        <v>0</v>
      </c>
      <c r="EN87" s="1585">
        <f t="shared" si="50"/>
        <v>201757</v>
      </c>
      <c r="EO87" s="1585">
        <f t="shared" si="51"/>
        <v>0</v>
      </c>
      <c r="EP87" s="1585">
        <f t="shared" si="52"/>
        <v>201757</v>
      </c>
      <c r="EQ87" s="988">
        <f t="shared" si="53"/>
        <v>0</v>
      </c>
      <c r="ER87" s="1775">
        <f t="shared" si="54"/>
        <v>196262</v>
      </c>
      <c r="ES87" s="1775">
        <f t="shared" si="55"/>
        <v>0</v>
      </c>
      <c r="ET87" s="992">
        <f t="shared" si="56"/>
        <v>196262</v>
      </c>
    </row>
    <row r="88" spans="1:150" ht="26.4" x14ac:dyDescent="0.25">
      <c r="A88" s="965"/>
      <c r="B88" s="959"/>
      <c r="C88" s="1651"/>
      <c r="D88" s="1026"/>
      <c r="E88" s="1912"/>
      <c r="F88" s="1913"/>
      <c r="G88" s="1680"/>
      <c r="H88" s="1986"/>
      <c r="I88" s="1680"/>
      <c r="J88" s="1986"/>
      <c r="K88" s="1680"/>
      <c r="L88" s="2023"/>
      <c r="M88" s="965"/>
      <c r="N88" s="995"/>
      <c r="O88" s="1680"/>
      <c r="P88" s="2023"/>
      <c r="Q88" s="1651"/>
      <c r="R88" s="1026"/>
      <c r="S88" s="1912"/>
      <c r="T88" s="1913"/>
      <c r="U88" s="1651"/>
      <c r="V88" s="1026"/>
      <c r="W88" s="1912"/>
      <c r="X88" s="1913"/>
      <c r="Y88" s="1651"/>
      <c r="Z88" s="1026"/>
      <c r="AA88" s="2054"/>
      <c r="AB88" s="1913"/>
      <c r="AC88" s="964"/>
      <c r="AD88" s="959"/>
      <c r="AE88" s="1651"/>
      <c r="AF88" s="1026"/>
      <c r="AG88" s="1912"/>
      <c r="AH88" s="1913"/>
      <c r="AI88" s="1651"/>
      <c r="AJ88" s="1026"/>
      <c r="AK88" s="1912"/>
      <c r="AL88" s="1913"/>
      <c r="AM88" s="1680"/>
      <c r="AN88" s="2023"/>
      <c r="AO88" s="1865"/>
      <c r="AP88" s="1000"/>
      <c r="AQ88" s="1001"/>
      <c r="AR88" s="2090"/>
      <c r="AS88" s="1545"/>
      <c r="AT88" s="2090"/>
      <c r="AU88" s="1651"/>
      <c r="AV88" s="1026"/>
      <c r="AW88" s="1912"/>
      <c r="AX88" s="1913"/>
      <c r="AY88" s="965"/>
      <c r="AZ88" s="959"/>
      <c r="BA88" s="1651"/>
      <c r="BB88" s="1026"/>
      <c r="BC88" s="1912"/>
      <c r="BD88" s="1913"/>
      <c r="BE88" s="952">
        <v>51</v>
      </c>
      <c r="BF88" s="995"/>
      <c r="BG88" s="1651"/>
      <c r="BH88" s="1026"/>
      <c r="BI88" s="1912"/>
      <c r="BJ88" s="1913"/>
      <c r="BK88" s="1651"/>
      <c r="BL88" s="1026"/>
      <c r="BM88" s="1912"/>
      <c r="BN88" s="1913"/>
      <c r="BO88" s="1680"/>
      <c r="BP88" s="1986"/>
      <c r="BQ88" s="1680"/>
      <c r="BR88" s="2023"/>
      <c r="BS88" s="1651"/>
      <c r="BT88" s="1026"/>
      <c r="BU88" s="1912"/>
      <c r="BV88" s="1913"/>
      <c r="BW88" s="1680"/>
      <c r="BX88" s="2023"/>
      <c r="BY88" s="1651"/>
      <c r="BZ88" s="1026"/>
      <c r="CA88" s="1912"/>
      <c r="CB88" s="1913"/>
      <c r="CC88" s="1743"/>
      <c r="CD88" s="2150"/>
      <c r="CE88" s="965"/>
      <c r="CF88" s="959"/>
      <c r="CG88" s="1651"/>
      <c r="CH88" s="1026"/>
      <c r="CI88" s="1912"/>
      <c r="CJ88" s="1913"/>
      <c r="CK88" s="952">
        <v>53</v>
      </c>
      <c r="CL88" s="980" t="s">
        <v>1524</v>
      </c>
      <c r="CM88" s="1651"/>
      <c r="CN88" s="1026"/>
      <c r="CO88" s="1912"/>
      <c r="CP88" s="1913"/>
      <c r="CQ88" s="1651"/>
      <c r="CR88" s="1026"/>
      <c r="CS88" s="1912"/>
      <c r="CT88" s="1913"/>
      <c r="CU88" s="1651"/>
      <c r="CV88" s="1026"/>
      <c r="CW88" s="1912"/>
      <c r="CX88" s="1913"/>
      <c r="CY88" s="1651"/>
      <c r="CZ88" s="1026"/>
      <c r="DA88" s="1912"/>
      <c r="DB88" s="1913"/>
      <c r="DC88" s="1680"/>
      <c r="DD88" s="2023"/>
      <c r="DE88" s="1651"/>
      <c r="DF88" s="1026">
        <v>24920</v>
      </c>
      <c r="DG88" s="1912"/>
      <c r="DH88" s="1913">
        <v>25618</v>
      </c>
      <c r="DI88" s="964"/>
      <c r="DJ88" s="987"/>
      <c r="DK88" s="1680"/>
      <c r="DL88" s="1986"/>
      <c r="DM88" s="1680"/>
      <c r="DN88" s="1986"/>
      <c r="DO88" s="1680"/>
      <c r="DP88" s="2023"/>
      <c r="DQ88" s="965"/>
      <c r="DR88" s="962"/>
      <c r="DS88" s="1651"/>
      <c r="DT88" s="1026"/>
      <c r="DU88" s="1912"/>
      <c r="DV88" s="1913"/>
      <c r="DW88" s="965"/>
      <c r="DX88" s="1027"/>
      <c r="DY88" s="1651"/>
      <c r="DZ88" s="1026"/>
      <c r="EA88" s="1912"/>
      <c r="EB88" s="1913"/>
      <c r="EC88" s="1680"/>
      <c r="ED88" s="2023"/>
      <c r="EE88" s="965"/>
      <c r="EF88" s="959"/>
      <c r="EG88" s="1680"/>
      <c r="EH88" s="2023"/>
      <c r="EI88" s="1651"/>
      <c r="EJ88" s="1026"/>
      <c r="EK88" s="2204"/>
      <c r="EL88" s="1913"/>
      <c r="EM88" s="2202">
        <f t="shared" si="49"/>
        <v>0</v>
      </c>
      <c r="EN88" s="1585">
        <f t="shared" si="50"/>
        <v>25618</v>
      </c>
      <c r="EO88" s="1585">
        <f t="shared" si="51"/>
        <v>0</v>
      </c>
      <c r="EP88" s="1585">
        <f t="shared" si="52"/>
        <v>25618</v>
      </c>
      <c r="EQ88" s="988">
        <f t="shared" si="53"/>
        <v>0</v>
      </c>
      <c r="ER88" s="1775">
        <f t="shared" si="54"/>
        <v>24920</v>
      </c>
      <c r="ES88" s="1775">
        <f t="shared" si="55"/>
        <v>0</v>
      </c>
      <c r="ET88" s="992">
        <f t="shared" si="56"/>
        <v>24920</v>
      </c>
    </row>
    <row r="89" spans="1:150" x14ac:dyDescent="0.25">
      <c r="A89" s="965"/>
      <c r="B89" s="959"/>
      <c r="C89" s="1651"/>
      <c r="D89" s="1026"/>
      <c r="E89" s="1912"/>
      <c r="F89" s="1913"/>
      <c r="G89" s="1680"/>
      <c r="H89" s="1986"/>
      <c r="I89" s="1680"/>
      <c r="J89" s="1986"/>
      <c r="K89" s="1680"/>
      <c r="L89" s="2023"/>
      <c r="M89" s="965"/>
      <c r="N89" s="995"/>
      <c r="O89" s="1680"/>
      <c r="P89" s="2023"/>
      <c r="Q89" s="1651"/>
      <c r="R89" s="1026"/>
      <c r="S89" s="1912"/>
      <c r="T89" s="1913"/>
      <c r="U89" s="1651"/>
      <c r="V89" s="1026"/>
      <c r="W89" s="1912"/>
      <c r="X89" s="1913"/>
      <c r="Y89" s="1651"/>
      <c r="Z89" s="1026"/>
      <c r="AA89" s="2054"/>
      <c r="AB89" s="1913"/>
      <c r="AC89" s="964"/>
      <c r="AD89" s="959"/>
      <c r="AE89" s="1651"/>
      <c r="AF89" s="1026"/>
      <c r="AG89" s="1912"/>
      <c r="AH89" s="1913"/>
      <c r="AI89" s="1651"/>
      <c r="AJ89" s="1026"/>
      <c r="AK89" s="1912"/>
      <c r="AL89" s="1913"/>
      <c r="AM89" s="1680"/>
      <c r="AN89" s="2023"/>
      <c r="AO89" s="1865"/>
      <c r="AP89" s="1000"/>
      <c r="AQ89" s="1001"/>
      <c r="AR89" s="2090"/>
      <c r="AS89" s="1545"/>
      <c r="AT89" s="2090"/>
      <c r="AU89" s="1651"/>
      <c r="AV89" s="1026"/>
      <c r="AW89" s="1912"/>
      <c r="AX89" s="1913"/>
      <c r="AY89" s="965"/>
      <c r="AZ89" s="959"/>
      <c r="BA89" s="1651"/>
      <c r="BB89" s="1026"/>
      <c r="BC89" s="1912"/>
      <c r="BD89" s="1913"/>
      <c r="BE89" s="952">
        <v>52</v>
      </c>
      <c r="BF89" s="995"/>
      <c r="BG89" s="1651"/>
      <c r="BH89" s="1026"/>
      <c r="BI89" s="1912"/>
      <c r="BJ89" s="1913"/>
      <c r="BK89" s="1651"/>
      <c r="BL89" s="1026"/>
      <c r="BM89" s="1912"/>
      <c r="BN89" s="1913"/>
      <c r="BO89" s="1680"/>
      <c r="BP89" s="1986"/>
      <c r="BQ89" s="1680"/>
      <c r="BR89" s="2023"/>
      <c r="BS89" s="1651"/>
      <c r="BT89" s="1026"/>
      <c r="BU89" s="1912"/>
      <c r="BV89" s="1913"/>
      <c r="BW89" s="1680"/>
      <c r="BX89" s="2023"/>
      <c r="BY89" s="1651"/>
      <c r="BZ89" s="1026"/>
      <c r="CA89" s="1912"/>
      <c r="CB89" s="1913"/>
      <c r="CC89" s="1743"/>
      <c r="CD89" s="2150"/>
      <c r="CE89" s="965"/>
      <c r="CF89" s="959"/>
      <c r="CG89" s="1651"/>
      <c r="CH89" s="1026"/>
      <c r="CI89" s="1912"/>
      <c r="CJ89" s="1913"/>
      <c r="CK89" s="952">
        <v>54</v>
      </c>
      <c r="CL89" s="980" t="s">
        <v>1330</v>
      </c>
      <c r="CM89" s="1651"/>
      <c r="CN89" s="1026"/>
      <c r="CO89" s="1912"/>
      <c r="CP89" s="1913"/>
      <c r="CQ89" s="1651"/>
      <c r="CR89" s="1026"/>
      <c r="CS89" s="1912"/>
      <c r="CT89" s="1913"/>
      <c r="CU89" s="1651"/>
      <c r="CV89" s="1026"/>
      <c r="CW89" s="1912"/>
      <c r="CX89" s="1913"/>
      <c r="CY89" s="1651"/>
      <c r="CZ89" s="1026"/>
      <c r="DA89" s="1912"/>
      <c r="DB89" s="1913"/>
      <c r="DC89" s="1680"/>
      <c r="DD89" s="2023"/>
      <c r="DE89" s="1651"/>
      <c r="DF89" s="1026"/>
      <c r="DG89" s="1912"/>
      <c r="DH89" s="1913"/>
      <c r="DI89" s="964"/>
      <c r="DJ89" s="987"/>
      <c r="DK89" s="1680"/>
      <c r="DL89" s="1986"/>
      <c r="DM89" s="1680"/>
      <c r="DN89" s="1986"/>
      <c r="DO89" s="1680"/>
      <c r="DP89" s="2023"/>
      <c r="DQ89" s="965"/>
      <c r="DR89" s="962"/>
      <c r="DS89" s="1651"/>
      <c r="DT89" s="1026"/>
      <c r="DU89" s="1912"/>
      <c r="DV89" s="1913"/>
      <c r="DW89" s="965"/>
      <c r="DX89" s="1027"/>
      <c r="DY89" s="1651"/>
      <c r="DZ89" s="1026"/>
      <c r="EA89" s="1912"/>
      <c r="EB89" s="1913"/>
      <c r="EC89" s="1680"/>
      <c r="ED89" s="2023"/>
      <c r="EE89" s="965"/>
      <c r="EF89" s="959"/>
      <c r="EG89" s="1680"/>
      <c r="EH89" s="2023"/>
      <c r="EI89" s="1651"/>
      <c r="EJ89" s="1026"/>
      <c r="EK89" s="2204"/>
      <c r="EL89" s="1913"/>
      <c r="EM89" s="2202">
        <f t="shared" si="49"/>
        <v>0</v>
      </c>
      <c r="EN89" s="1585">
        <f t="shared" si="50"/>
        <v>0</v>
      </c>
      <c r="EO89" s="1585">
        <f t="shared" si="51"/>
        <v>0</v>
      </c>
      <c r="EP89" s="1585">
        <f t="shared" si="52"/>
        <v>0</v>
      </c>
      <c r="EQ89" s="988">
        <f t="shared" si="53"/>
        <v>0</v>
      </c>
      <c r="ER89" s="1775">
        <f t="shared" si="54"/>
        <v>0</v>
      </c>
      <c r="ES89" s="1775">
        <f t="shared" si="55"/>
        <v>0</v>
      </c>
      <c r="ET89" s="992">
        <f t="shared" si="56"/>
        <v>0</v>
      </c>
    </row>
    <row r="90" spans="1:150" x14ac:dyDescent="0.25">
      <c r="A90" s="965"/>
      <c r="B90" s="959"/>
      <c r="C90" s="1651"/>
      <c r="D90" s="1026"/>
      <c r="E90" s="1912"/>
      <c r="F90" s="1913"/>
      <c r="G90" s="1680"/>
      <c r="H90" s="1986"/>
      <c r="I90" s="1680"/>
      <c r="J90" s="1986"/>
      <c r="K90" s="1680"/>
      <c r="L90" s="2023"/>
      <c r="M90" s="965"/>
      <c r="N90" s="995"/>
      <c r="O90" s="1680"/>
      <c r="P90" s="2023"/>
      <c r="Q90" s="1651"/>
      <c r="R90" s="1026"/>
      <c r="S90" s="1912"/>
      <c r="T90" s="1913"/>
      <c r="U90" s="1651"/>
      <c r="V90" s="1026"/>
      <c r="W90" s="1912"/>
      <c r="X90" s="1913"/>
      <c r="Y90" s="1651"/>
      <c r="Z90" s="1026"/>
      <c r="AA90" s="2054"/>
      <c r="AB90" s="1913"/>
      <c r="AC90" s="964"/>
      <c r="AD90" s="959"/>
      <c r="AE90" s="1651"/>
      <c r="AF90" s="1026"/>
      <c r="AG90" s="1912"/>
      <c r="AH90" s="1913"/>
      <c r="AI90" s="1651"/>
      <c r="AJ90" s="1026"/>
      <c r="AK90" s="1912"/>
      <c r="AL90" s="1913"/>
      <c r="AM90" s="1680"/>
      <c r="AN90" s="2023"/>
      <c r="AO90" s="1865"/>
      <c r="AP90" s="1000"/>
      <c r="AQ90" s="1001"/>
      <c r="AR90" s="2090"/>
      <c r="AS90" s="1545"/>
      <c r="AT90" s="2090"/>
      <c r="AU90" s="1651"/>
      <c r="AV90" s="1026"/>
      <c r="AW90" s="1912"/>
      <c r="AX90" s="1913"/>
      <c r="AY90" s="965"/>
      <c r="AZ90" s="959"/>
      <c r="BA90" s="1651"/>
      <c r="BB90" s="1026"/>
      <c r="BC90" s="1912"/>
      <c r="BD90" s="1913"/>
      <c r="BE90" s="952">
        <v>53</v>
      </c>
      <c r="BF90" s="987"/>
      <c r="BG90" s="1651"/>
      <c r="BH90" s="1026"/>
      <c r="BI90" s="1912"/>
      <c r="BJ90" s="1913"/>
      <c r="BK90" s="1651"/>
      <c r="BL90" s="1026"/>
      <c r="BM90" s="1912"/>
      <c r="BN90" s="1913"/>
      <c r="BO90" s="1680"/>
      <c r="BP90" s="1986"/>
      <c r="BQ90" s="1680"/>
      <c r="BR90" s="2023"/>
      <c r="BS90" s="1651"/>
      <c r="BT90" s="1026"/>
      <c r="BU90" s="1912"/>
      <c r="BV90" s="1913"/>
      <c r="BW90" s="1680"/>
      <c r="BX90" s="2023"/>
      <c r="BY90" s="1651"/>
      <c r="BZ90" s="1026"/>
      <c r="CA90" s="1912"/>
      <c r="CB90" s="1913"/>
      <c r="CC90" s="1743"/>
      <c r="CD90" s="2150"/>
      <c r="CE90" s="965"/>
      <c r="CF90" s="959"/>
      <c r="CG90" s="1651"/>
      <c r="CH90" s="1026"/>
      <c r="CI90" s="1912"/>
      <c r="CJ90" s="1913"/>
      <c r="CK90" s="952">
        <v>55</v>
      </c>
      <c r="CL90" s="980" t="s">
        <v>1525</v>
      </c>
      <c r="CM90" s="1651"/>
      <c r="CN90" s="1026"/>
      <c r="CO90" s="1912"/>
      <c r="CP90" s="1913"/>
      <c r="CQ90" s="1651"/>
      <c r="CR90" s="1026"/>
      <c r="CS90" s="1912"/>
      <c r="CT90" s="1913"/>
      <c r="CU90" s="1651"/>
      <c r="CV90" s="1026"/>
      <c r="CW90" s="1912"/>
      <c r="CX90" s="1913"/>
      <c r="CY90" s="1651"/>
      <c r="CZ90" s="1026"/>
      <c r="DA90" s="1912"/>
      <c r="DB90" s="1913"/>
      <c r="DC90" s="1680"/>
      <c r="DD90" s="2023"/>
      <c r="DE90" s="1651">
        <v>4000</v>
      </c>
      <c r="DF90" s="1026"/>
      <c r="DG90" s="2319">
        <v>4000</v>
      </c>
      <c r="DH90" s="1913"/>
      <c r="DI90" s="964"/>
      <c r="DJ90" s="987"/>
      <c r="DK90" s="1680"/>
      <c r="DL90" s="1986"/>
      <c r="DM90" s="1680"/>
      <c r="DN90" s="1986"/>
      <c r="DO90" s="1680"/>
      <c r="DP90" s="2023"/>
      <c r="DQ90" s="965"/>
      <c r="DR90" s="962"/>
      <c r="DS90" s="1651"/>
      <c r="DT90" s="1026"/>
      <c r="DU90" s="1912"/>
      <c r="DV90" s="1913"/>
      <c r="DW90" s="965"/>
      <c r="DX90" s="1027"/>
      <c r="DY90" s="1651"/>
      <c r="DZ90" s="1026"/>
      <c r="EA90" s="1912"/>
      <c r="EB90" s="1913"/>
      <c r="EC90" s="1680"/>
      <c r="ED90" s="2023"/>
      <c r="EE90" s="965"/>
      <c r="EF90" s="959"/>
      <c r="EG90" s="1680"/>
      <c r="EH90" s="2023"/>
      <c r="EI90" s="1651"/>
      <c r="EJ90" s="1026"/>
      <c r="EK90" s="2204"/>
      <c r="EL90" s="1913"/>
      <c r="EM90" s="2202">
        <f t="shared" si="49"/>
        <v>4000</v>
      </c>
      <c r="EN90" s="1585">
        <f t="shared" si="50"/>
        <v>0</v>
      </c>
      <c r="EO90" s="1585">
        <f t="shared" si="51"/>
        <v>0</v>
      </c>
      <c r="EP90" s="1585">
        <f t="shared" si="52"/>
        <v>4000</v>
      </c>
      <c r="EQ90" s="988">
        <f t="shared" si="53"/>
        <v>4000</v>
      </c>
      <c r="ER90" s="1775">
        <f t="shared" si="54"/>
        <v>0</v>
      </c>
      <c r="ES90" s="1775">
        <f t="shared" si="55"/>
        <v>0</v>
      </c>
      <c r="ET90" s="992">
        <f t="shared" si="56"/>
        <v>4000</v>
      </c>
    </row>
    <row r="91" spans="1:150" x14ac:dyDescent="0.25">
      <c r="A91" s="965"/>
      <c r="B91" s="959"/>
      <c r="C91" s="1651"/>
      <c r="D91" s="1026"/>
      <c r="E91" s="1912"/>
      <c r="F91" s="1913"/>
      <c r="G91" s="1680"/>
      <c r="H91" s="1986"/>
      <c r="I91" s="1680"/>
      <c r="J91" s="1986"/>
      <c r="K91" s="1680"/>
      <c r="L91" s="2023"/>
      <c r="M91" s="965"/>
      <c r="N91" s="995"/>
      <c r="O91" s="1680"/>
      <c r="P91" s="2023"/>
      <c r="Q91" s="1651"/>
      <c r="R91" s="1026"/>
      <c r="S91" s="1912"/>
      <c r="T91" s="1913"/>
      <c r="U91" s="1651"/>
      <c r="V91" s="1026"/>
      <c r="W91" s="1912"/>
      <c r="X91" s="1913"/>
      <c r="Y91" s="1651"/>
      <c r="Z91" s="1026"/>
      <c r="AA91" s="2054"/>
      <c r="AB91" s="1913"/>
      <c r="AC91" s="964"/>
      <c r="AD91" s="959"/>
      <c r="AE91" s="1651"/>
      <c r="AF91" s="1026"/>
      <c r="AG91" s="1912"/>
      <c r="AH91" s="1913"/>
      <c r="AI91" s="1651"/>
      <c r="AJ91" s="1026"/>
      <c r="AK91" s="1912"/>
      <c r="AL91" s="1913"/>
      <c r="AM91" s="1680"/>
      <c r="AN91" s="2023"/>
      <c r="AO91" s="1865"/>
      <c r="AP91" s="1000"/>
      <c r="AQ91" s="1001"/>
      <c r="AR91" s="2090"/>
      <c r="AS91" s="1545"/>
      <c r="AT91" s="2090"/>
      <c r="AU91" s="1651"/>
      <c r="AV91" s="1026"/>
      <c r="AW91" s="1912"/>
      <c r="AX91" s="1913"/>
      <c r="AY91" s="965"/>
      <c r="AZ91" s="959"/>
      <c r="BA91" s="1651"/>
      <c r="BB91" s="1026"/>
      <c r="BC91" s="1912"/>
      <c r="BD91" s="1913"/>
      <c r="BE91" s="952">
        <v>54</v>
      </c>
      <c r="BF91" s="959"/>
      <c r="BG91" s="1651"/>
      <c r="BH91" s="1026"/>
      <c r="BI91" s="1912"/>
      <c r="BJ91" s="1913"/>
      <c r="BK91" s="1651"/>
      <c r="BL91" s="1026"/>
      <c r="BM91" s="1912"/>
      <c r="BN91" s="1913"/>
      <c r="BO91" s="1680"/>
      <c r="BP91" s="1986"/>
      <c r="BQ91" s="1680"/>
      <c r="BR91" s="2023"/>
      <c r="BS91" s="1651"/>
      <c r="BT91" s="1026"/>
      <c r="BU91" s="1912"/>
      <c r="BV91" s="1913"/>
      <c r="BW91" s="1680"/>
      <c r="BX91" s="2023"/>
      <c r="BY91" s="1651"/>
      <c r="BZ91" s="1026"/>
      <c r="CA91" s="1912"/>
      <c r="CB91" s="1913"/>
      <c r="CC91" s="1743"/>
      <c r="CD91" s="2150"/>
      <c r="CE91" s="965"/>
      <c r="CF91" s="959"/>
      <c r="CG91" s="1651"/>
      <c r="CH91" s="1026"/>
      <c r="CI91" s="1912"/>
      <c r="CJ91" s="1913"/>
      <c r="CK91" s="952">
        <v>56</v>
      </c>
      <c r="CL91" s="959"/>
      <c r="CM91" s="1651"/>
      <c r="CN91" s="1026"/>
      <c r="CO91" s="1912">
        <f>'kiadás 11601'!B10</f>
        <v>33900</v>
      </c>
      <c r="CP91" s="1913">
        <f>'kiadás 11601'!B30</f>
        <v>77124</v>
      </c>
      <c r="CQ91" s="1651"/>
      <c r="CR91" s="1026"/>
      <c r="CS91" s="1912"/>
      <c r="CT91" s="1913"/>
      <c r="CU91" s="1651"/>
      <c r="CV91" s="1026"/>
      <c r="CW91" s="1912"/>
      <c r="CX91" s="1913"/>
      <c r="CY91" s="1654"/>
      <c r="CZ91" s="977"/>
      <c r="DA91" s="2026">
        <f>kiadás11602!C24</f>
        <v>2929791</v>
      </c>
      <c r="DB91" s="1919">
        <f>kiadás11602!C39</f>
        <v>325649</v>
      </c>
      <c r="DC91" s="1680"/>
      <c r="DD91" s="2023"/>
      <c r="DE91" s="1651"/>
      <c r="DF91" s="1026"/>
      <c r="DG91" s="1912"/>
      <c r="DH91" s="1913"/>
      <c r="DI91" s="964"/>
      <c r="DJ91" s="987"/>
      <c r="DK91" s="1680"/>
      <c r="DL91" s="1986">
        <f>'kiadás 11603'!B13</f>
        <v>1455</v>
      </c>
      <c r="DM91" s="1680"/>
      <c r="DN91" s="1986">
        <f>'kiadás 11604 '!D68</f>
        <v>103691</v>
      </c>
      <c r="DO91" s="1680"/>
      <c r="DP91" s="2023">
        <f>kiadás11605projektek!D61</f>
        <v>20130</v>
      </c>
      <c r="DQ91" s="965"/>
      <c r="DR91" s="962"/>
      <c r="DS91" s="1651"/>
      <c r="DT91" s="1026"/>
      <c r="DU91" s="1912"/>
      <c r="DV91" s="1913"/>
      <c r="DW91" s="965"/>
      <c r="DX91" s="1027"/>
      <c r="DY91" s="1651"/>
      <c r="DZ91" s="1026"/>
      <c r="EA91" s="1912"/>
      <c r="EB91" s="1913"/>
      <c r="EC91" s="1680"/>
      <c r="ED91" s="2023"/>
      <c r="EE91" s="965"/>
      <c r="EF91" s="959"/>
      <c r="EG91" s="1680"/>
      <c r="EH91" s="2023"/>
      <c r="EI91" s="1651"/>
      <c r="EJ91" s="1026"/>
      <c r="EK91" s="2204"/>
      <c r="EL91" s="1913"/>
      <c r="EM91" s="2202">
        <f t="shared" si="49"/>
        <v>2963691</v>
      </c>
      <c r="EN91" s="1585">
        <f t="shared" si="50"/>
        <v>528049</v>
      </c>
      <c r="EO91" s="1585">
        <f t="shared" si="51"/>
        <v>0</v>
      </c>
      <c r="EP91" s="1585">
        <f t="shared" si="52"/>
        <v>3491740</v>
      </c>
      <c r="EQ91" s="988">
        <f t="shared" si="53"/>
        <v>0</v>
      </c>
      <c r="ER91" s="1775">
        <f t="shared" si="54"/>
        <v>0</v>
      </c>
      <c r="ES91" s="1775">
        <f t="shared" si="55"/>
        <v>0</v>
      </c>
      <c r="ET91" s="992">
        <f t="shared" si="56"/>
        <v>0</v>
      </c>
    </row>
    <row r="92" spans="1:150" ht="19.95" customHeight="1" thickBot="1" x14ac:dyDescent="0.3">
      <c r="A92" s="968"/>
      <c r="B92" s="969" t="s">
        <v>1526</v>
      </c>
      <c r="C92" s="1656">
        <f t="shared" ref="C92:L92" si="57">SUM(C37:C91)</f>
        <v>8460</v>
      </c>
      <c r="D92" s="1642">
        <f t="shared" si="57"/>
        <v>6425</v>
      </c>
      <c r="E92" s="1926">
        <f t="shared" si="57"/>
        <v>4790</v>
      </c>
      <c r="F92" s="1927">
        <f t="shared" si="57"/>
        <v>5560</v>
      </c>
      <c r="G92" s="1058">
        <f t="shared" si="57"/>
        <v>0</v>
      </c>
      <c r="H92" s="1992">
        <f t="shared" si="57"/>
        <v>0</v>
      </c>
      <c r="I92" s="1058">
        <f t="shared" si="57"/>
        <v>3353</v>
      </c>
      <c r="J92" s="1992">
        <f t="shared" si="57"/>
        <v>3353</v>
      </c>
      <c r="K92" s="1058">
        <f t="shared" si="57"/>
        <v>200</v>
      </c>
      <c r="L92" s="1992">
        <f t="shared" si="57"/>
        <v>200</v>
      </c>
      <c r="M92" s="968"/>
      <c r="N92" s="969" t="s">
        <v>1526</v>
      </c>
      <c r="O92" s="1058">
        <f t="shared" ref="O92:AB92" si="58">SUM(O37:O91)</f>
        <v>400</v>
      </c>
      <c r="P92" s="1992">
        <f t="shared" si="58"/>
        <v>0</v>
      </c>
      <c r="Q92" s="1656">
        <f t="shared" si="58"/>
        <v>1200</v>
      </c>
      <c r="R92" s="1642">
        <f t="shared" si="58"/>
        <v>89</v>
      </c>
      <c r="S92" s="1926">
        <f t="shared" si="58"/>
        <v>600</v>
      </c>
      <c r="T92" s="1927">
        <f t="shared" si="58"/>
        <v>11392</v>
      </c>
      <c r="U92" s="1656">
        <f t="shared" si="58"/>
        <v>12710</v>
      </c>
      <c r="V92" s="1642">
        <f t="shared" si="58"/>
        <v>500</v>
      </c>
      <c r="W92" s="1926">
        <f t="shared" si="58"/>
        <v>13300</v>
      </c>
      <c r="X92" s="1927">
        <f t="shared" si="58"/>
        <v>16890</v>
      </c>
      <c r="Y92" s="1656">
        <f t="shared" si="58"/>
        <v>22680</v>
      </c>
      <c r="Z92" s="1642">
        <f t="shared" si="58"/>
        <v>35932</v>
      </c>
      <c r="AA92" s="1926">
        <f t="shared" si="58"/>
        <v>22680</v>
      </c>
      <c r="AB92" s="1927">
        <f t="shared" si="58"/>
        <v>40934</v>
      </c>
      <c r="AC92" s="970"/>
      <c r="AD92" s="969" t="s">
        <v>1526</v>
      </c>
      <c r="AE92" s="1656">
        <f t="shared" ref="AE92:AX92" si="59">SUM(AE37:AE91)</f>
        <v>0</v>
      </c>
      <c r="AF92" s="1642">
        <f t="shared" si="59"/>
        <v>0</v>
      </c>
      <c r="AG92" s="1926">
        <f t="shared" si="59"/>
        <v>0</v>
      </c>
      <c r="AH92" s="1927">
        <f t="shared" si="59"/>
        <v>0</v>
      </c>
      <c r="AI92" s="1656">
        <f t="shared" si="59"/>
        <v>0</v>
      </c>
      <c r="AJ92" s="1642">
        <f t="shared" si="59"/>
        <v>0</v>
      </c>
      <c r="AK92" s="1926">
        <f t="shared" si="59"/>
        <v>0</v>
      </c>
      <c r="AL92" s="1927">
        <f t="shared" si="59"/>
        <v>0</v>
      </c>
      <c r="AM92" s="1058">
        <f t="shared" si="59"/>
        <v>0</v>
      </c>
      <c r="AN92" s="1992">
        <f t="shared" si="59"/>
        <v>0</v>
      </c>
      <c r="AO92" s="1656">
        <f t="shared" si="59"/>
        <v>0</v>
      </c>
      <c r="AP92" s="1854">
        <f t="shared" si="59"/>
        <v>0</v>
      </c>
      <c r="AQ92" s="1030">
        <f t="shared" si="59"/>
        <v>0</v>
      </c>
      <c r="AR92" s="1926">
        <f t="shared" si="59"/>
        <v>5</v>
      </c>
      <c r="AS92" s="2096">
        <f t="shared" si="59"/>
        <v>0</v>
      </c>
      <c r="AT92" s="2097">
        <f t="shared" si="59"/>
        <v>0</v>
      </c>
      <c r="AU92" s="1656">
        <f t="shared" si="59"/>
        <v>0</v>
      </c>
      <c r="AV92" s="1642">
        <f t="shared" si="59"/>
        <v>0</v>
      </c>
      <c r="AW92" s="1926">
        <f t="shared" si="59"/>
        <v>0</v>
      </c>
      <c r="AX92" s="1927">
        <f t="shared" si="59"/>
        <v>0</v>
      </c>
      <c r="AY92" s="968"/>
      <c r="AZ92" s="969" t="s">
        <v>1526</v>
      </c>
      <c r="BA92" s="1656">
        <f t="shared" ref="BA92:BD92" si="60">SUM(BA37:BA91)</f>
        <v>0</v>
      </c>
      <c r="BB92" s="1642">
        <f t="shared" si="60"/>
        <v>2050</v>
      </c>
      <c r="BC92" s="1926">
        <f t="shared" si="60"/>
        <v>0</v>
      </c>
      <c r="BD92" s="1927">
        <f t="shared" si="60"/>
        <v>1000</v>
      </c>
      <c r="BE92" s="968"/>
      <c r="BF92" s="969" t="s">
        <v>1526</v>
      </c>
      <c r="BG92" s="1656">
        <f t="shared" ref="BG92:CD92" si="61">SUM(BG37:BG91)</f>
        <v>1105948</v>
      </c>
      <c r="BH92" s="1642">
        <f t="shared" si="61"/>
        <v>0</v>
      </c>
      <c r="BI92" s="1926">
        <f t="shared" si="61"/>
        <v>752333</v>
      </c>
      <c r="BJ92" s="1927">
        <f t="shared" si="61"/>
        <v>355767</v>
      </c>
      <c r="BK92" s="1656">
        <f t="shared" si="61"/>
        <v>58189</v>
      </c>
      <c r="BL92" s="1642">
        <f t="shared" si="61"/>
        <v>0</v>
      </c>
      <c r="BM92" s="1926">
        <f t="shared" si="61"/>
        <v>114780</v>
      </c>
      <c r="BN92" s="1927">
        <f t="shared" si="61"/>
        <v>0</v>
      </c>
      <c r="BO92" s="1058">
        <f t="shared" si="61"/>
        <v>0</v>
      </c>
      <c r="BP92" s="1992">
        <f t="shared" si="61"/>
        <v>20000</v>
      </c>
      <c r="BQ92" s="1058">
        <f t="shared" si="61"/>
        <v>300</v>
      </c>
      <c r="BR92" s="1992">
        <f t="shared" si="61"/>
        <v>300</v>
      </c>
      <c r="BS92" s="1656">
        <f t="shared" si="61"/>
        <v>144246</v>
      </c>
      <c r="BT92" s="1642">
        <f t="shared" si="61"/>
        <v>2642</v>
      </c>
      <c r="BU92" s="1926">
        <f t="shared" si="61"/>
        <v>167734</v>
      </c>
      <c r="BV92" s="1927">
        <f t="shared" si="61"/>
        <v>2642</v>
      </c>
      <c r="BW92" s="1058">
        <f t="shared" si="61"/>
        <v>15000</v>
      </c>
      <c r="BX92" s="1992">
        <f t="shared" si="61"/>
        <v>8200</v>
      </c>
      <c r="BY92" s="1656">
        <f t="shared" si="61"/>
        <v>0</v>
      </c>
      <c r="BZ92" s="1642">
        <f t="shared" si="61"/>
        <v>0</v>
      </c>
      <c r="CA92" s="1926">
        <f t="shared" si="61"/>
        <v>0</v>
      </c>
      <c r="CB92" s="1927">
        <f t="shared" si="61"/>
        <v>0</v>
      </c>
      <c r="CC92" s="1705">
        <f t="shared" si="61"/>
        <v>3500</v>
      </c>
      <c r="CD92" s="1992">
        <f t="shared" si="61"/>
        <v>3800</v>
      </c>
      <c r="CE92" s="968"/>
      <c r="CF92" s="969" t="s">
        <v>1526</v>
      </c>
      <c r="CG92" s="1656">
        <f t="shared" ref="CG92:CJ92" si="62">SUM(CG37:CG91)</f>
        <v>31450</v>
      </c>
      <c r="CH92" s="1642">
        <f t="shared" si="62"/>
        <v>1200</v>
      </c>
      <c r="CI92" s="1926">
        <f t="shared" si="62"/>
        <v>37150</v>
      </c>
      <c r="CJ92" s="1927">
        <f t="shared" si="62"/>
        <v>1200</v>
      </c>
      <c r="CK92" s="952"/>
      <c r="CL92" s="969" t="s">
        <v>1526</v>
      </c>
      <c r="CM92" s="1656">
        <f t="shared" ref="CM92:DH92" si="63">SUM(CM37:CM91)</f>
        <v>0</v>
      </c>
      <c r="CN92" s="1642">
        <f t="shared" si="63"/>
        <v>0</v>
      </c>
      <c r="CO92" s="1926">
        <f t="shared" si="63"/>
        <v>33900</v>
      </c>
      <c r="CP92" s="1927">
        <f t="shared" si="63"/>
        <v>77124</v>
      </c>
      <c r="CQ92" s="1656">
        <f t="shared" si="63"/>
        <v>0</v>
      </c>
      <c r="CR92" s="1642">
        <f t="shared" si="63"/>
        <v>0</v>
      </c>
      <c r="CS92" s="1926">
        <f t="shared" si="63"/>
        <v>0</v>
      </c>
      <c r="CT92" s="1927">
        <f t="shared" si="63"/>
        <v>0</v>
      </c>
      <c r="CU92" s="1656">
        <f t="shared" si="63"/>
        <v>0</v>
      </c>
      <c r="CV92" s="1642">
        <f t="shared" si="63"/>
        <v>0</v>
      </c>
      <c r="CW92" s="1926">
        <f t="shared" si="63"/>
        <v>0</v>
      </c>
      <c r="CX92" s="1927">
        <f t="shared" si="63"/>
        <v>0</v>
      </c>
      <c r="CY92" s="1656">
        <f t="shared" si="63"/>
        <v>0</v>
      </c>
      <c r="CZ92" s="1642">
        <f t="shared" si="63"/>
        <v>0</v>
      </c>
      <c r="DA92" s="1926">
        <f t="shared" si="63"/>
        <v>2929791</v>
      </c>
      <c r="DB92" s="1927">
        <f t="shared" si="63"/>
        <v>325649</v>
      </c>
      <c r="DC92" s="1058">
        <f t="shared" si="63"/>
        <v>0</v>
      </c>
      <c r="DD92" s="1992">
        <f t="shared" si="63"/>
        <v>0</v>
      </c>
      <c r="DE92" s="1656">
        <f t="shared" si="63"/>
        <v>42600</v>
      </c>
      <c r="DF92" s="1642">
        <f t="shared" si="63"/>
        <v>221182</v>
      </c>
      <c r="DG92" s="1926">
        <f t="shared" si="63"/>
        <v>33090</v>
      </c>
      <c r="DH92" s="1927">
        <f t="shared" si="63"/>
        <v>227375</v>
      </c>
      <c r="DI92" s="970"/>
      <c r="DJ92" s="969" t="s">
        <v>1526</v>
      </c>
      <c r="DK92" s="1058">
        <f t="shared" ref="DK92:DL92" si="64">SUM(DK37:DK91)</f>
        <v>0</v>
      </c>
      <c r="DL92" s="1992">
        <f t="shared" si="64"/>
        <v>1455</v>
      </c>
      <c r="DM92" s="1058">
        <f t="shared" ref="DM92:DP92" si="65">SUM(DM37:DM91)</f>
        <v>0</v>
      </c>
      <c r="DN92" s="1992">
        <f t="shared" si="65"/>
        <v>103691</v>
      </c>
      <c r="DO92" s="1058">
        <f t="shared" si="65"/>
        <v>0</v>
      </c>
      <c r="DP92" s="1992">
        <f t="shared" si="65"/>
        <v>20130</v>
      </c>
      <c r="DQ92" s="968"/>
      <c r="DR92" s="972" t="s">
        <v>1526</v>
      </c>
      <c r="DS92" s="1656">
        <f t="shared" ref="DS92:DV92" si="66">SUM(DS37:DS91)</f>
        <v>6000</v>
      </c>
      <c r="DT92" s="1642">
        <f t="shared" si="66"/>
        <v>700</v>
      </c>
      <c r="DU92" s="1926">
        <f t="shared" si="66"/>
        <v>0</v>
      </c>
      <c r="DV92" s="1927">
        <f t="shared" si="66"/>
        <v>10000</v>
      </c>
      <c r="DW92" s="968"/>
      <c r="DX92" s="969" t="s">
        <v>1526</v>
      </c>
      <c r="DY92" s="1656">
        <f t="shared" ref="DY92:ED92" si="67">SUM(DY37:DY91)</f>
        <v>73930</v>
      </c>
      <c r="DZ92" s="1642">
        <f t="shared" si="67"/>
        <v>28638</v>
      </c>
      <c r="EA92" s="1926">
        <f t="shared" si="67"/>
        <v>59930</v>
      </c>
      <c r="EB92" s="1927">
        <f t="shared" si="67"/>
        <v>53782</v>
      </c>
      <c r="EC92" s="1058">
        <f t="shared" si="67"/>
        <v>1000</v>
      </c>
      <c r="ED92" s="1992">
        <f t="shared" si="67"/>
        <v>1000</v>
      </c>
      <c r="EE92" s="968"/>
      <c r="EF92" s="969" t="s">
        <v>1526</v>
      </c>
      <c r="EG92" s="1058">
        <f t="shared" ref="EG92:EO92" si="68">SUM(EG37:EG91)</f>
        <v>143716</v>
      </c>
      <c r="EH92" s="1992">
        <f t="shared" si="68"/>
        <v>132644</v>
      </c>
      <c r="EI92" s="1656">
        <f t="shared" si="68"/>
        <v>0</v>
      </c>
      <c r="EJ92" s="1642">
        <f t="shared" si="68"/>
        <v>0</v>
      </c>
      <c r="EK92" s="1926">
        <f t="shared" si="68"/>
        <v>0</v>
      </c>
      <c r="EL92" s="1927">
        <f t="shared" si="68"/>
        <v>0</v>
      </c>
      <c r="EM92" s="1927">
        <f t="shared" si="68"/>
        <v>4174183</v>
      </c>
      <c r="EN92" s="1927">
        <f t="shared" si="68"/>
        <v>1419988</v>
      </c>
      <c r="EO92" s="1927">
        <f t="shared" si="68"/>
        <v>0</v>
      </c>
      <c r="EP92" s="2214">
        <f t="shared" si="52"/>
        <v>5594171</v>
      </c>
      <c r="EQ92" s="1708">
        <f t="shared" si="53"/>
        <v>1511213</v>
      </c>
      <c r="ER92" s="1784">
        <f t="shared" si="54"/>
        <v>463027</v>
      </c>
      <c r="ES92" s="1784">
        <f t="shared" si="55"/>
        <v>0</v>
      </c>
      <c r="ET92" s="1647">
        <f t="shared" si="56"/>
        <v>1974240</v>
      </c>
    </row>
    <row r="93" spans="1:150" ht="19.95" customHeight="1" x14ac:dyDescent="0.25">
      <c r="A93" s="1031"/>
      <c r="B93" s="1032" t="s">
        <v>1527</v>
      </c>
      <c r="C93" s="1657"/>
      <c r="D93" s="1034"/>
      <c r="E93" s="1928"/>
      <c r="F93" s="1929"/>
      <c r="G93" s="1152"/>
      <c r="H93" s="1993"/>
      <c r="I93" s="1152"/>
      <c r="J93" s="1993"/>
      <c r="K93" s="1152"/>
      <c r="L93" s="1975"/>
      <c r="M93" s="1031"/>
      <c r="N93" s="1032" t="s">
        <v>1527</v>
      </c>
      <c r="O93" s="1152"/>
      <c r="P93" s="1975"/>
      <c r="Q93" s="1657"/>
      <c r="R93" s="1034"/>
      <c r="S93" s="1928"/>
      <c r="T93" s="1929"/>
      <c r="U93" s="1657"/>
      <c r="V93" s="1034"/>
      <c r="W93" s="1928"/>
      <c r="X93" s="1929"/>
      <c r="Y93" s="1657"/>
      <c r="Z93" s="1034"/>
      <c r="AA93" s="2062"/>
      <c r="AB93" s="1929"/>
      <c r="AC93" s="1033"/>
      <c r="AD93" s="1032" t="s">
        <v>1527</v>
      </c>
      <c r="AE93" s="1657"/>
      <c r="AF93" s="1034"/>
      <c r="AG93" s="1928"/>
      <c r="AH93" s="1929"/>
      <c r="AI93" s="1657"/>
      <c r="AJ93" s="1034"/>
      <c r="AK93" s="1928"/>
      <c r="AL93" s="1929"/>
      <c r="AM93" s="1152"/>
      <c r="AN93" s="1975"/>
      <c r="AO93" s="1702"/>
      <c r="AP93" s="1154"/>
      <c r="AQ93" s="1155"/>
      <c r="AR93" s="2098"/>
      <c r="AS93" s="1421"/>
      <c r="AT93" s="2098"/>
      <c r="AU93" s="1657"/>
      <c r="AV93" s="1034"/>
      <c r="AW93" s="1928"/>
      <c r="AX93" s="1929"/>
      <c r="AY93" s="1031"/>
      <c r="AZ93" s="1032" t="s">
        <v>2118</v>
      </c>
      <c r="BA93" s="1657"/>
      <c r="BB93" s="1034"/>
      <c r="BC93" s="1928"/>
      <c r="BD93" s="1929">
        <v>5000</v>
      </c>
      <c r="BE93" s="1031"/>
      <c r="BF93" s="1032" t="s">
        <v>1527</v>
      </c>
      <c r="BG93" s="1657"/>
      <c r="BH93" s="1034"/>
      <c r="BI93" s="1928"/>
      <c r="BJ93" s="1929"/>
      <c r="BK93" s="1657"/>
      <c r="BL93" s="1034"/>
      <c r="BM93" s="1928"/>
      <c r="BN93" s="1929"/>
      <c r="BO93" s="1152"/>
      <c r="BP93" s="1993"/>
      <c r="BQ93" s="1152"/>
      <c r="BR93" s="1975"/>
      <c r="BS93" s="1657"/>
      <c r="BT93" s="1034"/>
      <c r="BU93" s="1928"/>
      <c r="BV93" s="1929"/>
      <c r="BW93" s="1152"/>
      <c r="BX93" s="1975"/>
      <c r="BY93" s="1657"/>
      <c r="BZ93" s="1034"/>
      <c r="CA93" s="1928"/>
      <c r="CB93" s="1929"/>
      <c r="CC93" s="1749"/>
      <c r="CD93" s="2156"/>
      <c r="CE93" s="1031"/>
      <c r="CF93" s="1032" t="s">
        <v>1527</v>
      </c>
      <c r="CG93" s="1657"/>
      <c r="CH93" s="1034"/>
      <c r="CI93" s="1928"/>
      <c r="CJ93" s="1929"/>
      <c r="CK93" s="1031"/>
      <c r="CL93" s="1032" t="s">
        <v>1527</v>
      </c>
      <c r="CM93" s="1657"/>
      <c r="CN93" s="1034"/>
      <c r="CO93" s="1928"/>
      <c r="CP93" s="1929"/>
      <c r="CQ93" s="1657"/>
      <c r="CR93" s="1034"/>
      <c r="CS93" s="1928"/>
      <c r="CT93" s="1929"/>
      <c r="CU93" s="1657"/>
      <c r="CV93" s="1034"/>
      <c r="CW93" s="1928"/>
      <c r="CX93" s="1929"/>
      <c r="CY93" s="1657"/>
      <c r="CZ93" s="1034"/>
      <c r="DA93" s="1928"/>
      <c r="DB93" s="1929"/>
      <c r="DC93" s="1152"/>
      <c r="DD93" s="1975"/>
      <c r="DE93" s="1657"/>
      <c r="DF93" s="1034"/>
      <c r="DG93" s="1928"/>
      <c r="DH93" s="1929"/>
      <c r="DI93" s="1033"/>
      <c r="DJ93" s="1032" t="s">
        <v>1527</v>
      </c>
      <c r="DK93" s="1152"/>
      <c r="DL93" s="1993"/>
      <c r="DM93" s="1152"/>
      <c r="DN93" s="1993"/>
      <c r="DO93" s="1152"/>
      <c r="DP93" s="1975"/>
      <c r="DQ93" s="1031"/>
      <c r="DR93" s="1035" t="s">
        <v>1527</v>
      </c>
      <c r="DS93" s="1657"/>
      <c r="DT93" s="1034"/>
      <c r="DU93" s="1928"/>
      <c r="DV93" s="1929"/>
      <c r="DW93" s="1031"/>
      <c r="DX93" s="1032" t="s">
        <v>1527</v>
      </c>
      <c r="DY93" s="1657"/>
      <c r="DZ93" s="1034"/>
      <c r="EA93" s="1928"/>
      <c r="EB93" s="1929"/>
      <c r="EC93" s="1152"/>
      <c r="ED93" s="1975"/>
      <c r="EE93" s="1031"/>
      <c r="EF93" s="1032" t="s">
        <v>1527</v>
      </c>
      <c r="EG93" s="1152"/>
      <c r="EH93" s="1975"/>
      <c r="EI93" s="1657"/>
      <c r="EJ93" s="1034"/>
      <c r="EK93" s="2215"/>
      <c r="EL93" s="1929"/>
      <c r="EM93" s="2216"/>
      <c r="EN93" s="1597">
        <v>5000</v>
      </c>
      <c r="EO93" s="1597"/>
      <c r="EP93" s="1597">
        <f t="shared" ref="EP93" si="69">SUM(EM93:EO93)</f>
        <v>5000</v>
      </c>
      <c r="EQ93" s="1162">
        <f t="shared" si="53"/>
        <v>0</v>
      </c>
      <c r="ER93" s="1785">
        <f t="shared" si="54"/>
        <v>0</v>
      </c>
      <c r="ES93" s="1785">
        <f t="shared" si="55"/>
        <v>0</v>
      </c>
      <c r="ET93" s="1070">
        <f t="shared" si="56"/>
        <v>0</v>
      </c>
    </row>
    <row r="94" spans="1:150" x14ac:dyDescent="0.25">
      <c r="A94" s="965">
        <v>1</v>
      </c>
      <c r="B94" s="1036"/>
      <c r="C94" s="1043"/>
      <c r="D94" s="1039"/>
      <c r="E94" s="1930"/>
      <c r="F94" s="1931"/>
      <c r="G94" s="1072"/>
      <c r="H94" s="1994"/>
      <c r="I94" s="1072"/>
      <c r="J94" s="1994"/>
      <c r="K94" s="1072"/>
      <c r="L94" s="2029"/>
      <c r="M94" s="965">
        <v>1</v>
      </c>
      <c r="N94" s="1037" t="s">
        <v>1528</v>
      </c>
      <c r="O94" s="1072"/>
      <c r="P94" s="2029"/>
      <c r="Q94" s="1043"/>
      <c r="R94" s="1039">
        <v>0</v>
      </c>
      <c r="S94" s="1930"/>
      <c r="T94" s="1931"/>
      <c r="U94" s="1043"/>
      <c r="V94" s="1039"/>
      <c r="W94" s="1930"/>
      <c r="X94" s="1931"/>
      <c r="Y94" s="1043"/>
      <c r="Z94" s="1039"/>
      <c r="AA94" s="2063"/>
      <c r="AB94" s="1931"/>
      <c r="AC94" s="964">
        <v>1</v>
      </c>
      <c r="AD94" s="1037"/>
      <c r="AE94" s="1043"/>
      <c r="AF94" s="1039"/>
      <c r="AG94" s="1930"/>
      <c r="AH94" s="1931"/>
      <c r="AI94" s="1043"/>
      <c r="AJ94" s="1039"/>
      <c r="AK94" s="1930"/>
      <c r="AL94" s="1931"/>
      <c r="AM94" s="1072"/>
      <c r="AN94" s="2029"/>
      <c r="AO94" s="1869"/>
      <c r="AP94" s="1075"/>
      <c r="AQ94" s="1076"/>
      <c r="AR94" s="2099"/>
      <c r="AS94" s="1444"/>
      <c r="AT94" s="2099"/>
      <c r="AU94" s="1043"/>
      <c r="AV94" s="1039"/>
      <c r="AW94" s="1930"/>
      <c r="AX94" s="1931"/>
      <c r="AY94" s="965">
        <v>1</v>
      </c>
      <c r="AZ94" s="1037" t="s">
        <v>1529</v>
      </c>
      <c r="BA94" s="1043"/>
      <c r="BB94" s="1039">
        <v>10000</v>
      </c>
      <c r="BC94" s="1930"/>
      <c r="BD94" s="1931">
        <v>10000</v>
      </c>
      <c r="BE94" s="965">
        <v>1</v>
      </c>
      <c r="BF94" s="1040"/>
      <c r="BG94" s="1043"/>
      <c r="BH94" s="1039"/>
      <c r="BI94" s="1930"/>
      <c r="BJ94" s="1931"/>
      <c r="BK94" s="1043"/>
      <c r="BL94" s="1039"/>
      <c r="BM94" s="1930"/>
      <c r="BN94" s="1931"/>
      <c r="BO94" s="1072"/>
      <c r="BP94" s="1994"/>
      <c r="BQ94" s="1072"/>
      <c r="BR94" s="2029"/>
      <c r="BS94" s="1043"/>
      <c r="BT94" s="1039"/>
      <c r="BU94" s="1930"/>
      <c r="BV94" s="1931"/>
      <c r="BW94" s="1072"/>
      <c r="BX94" s="2029"/>
      <c r="BY94" s="1043"/>
      <c r="BZ94" s="1039"/>
      <c r="CA94" s="1930"/>
      <c r="CB94" s="1931"/>
      <c r="CC94" s="1750"/>
      <c r="CD94" s="2157"/>
      <c r="CE94" s="965">
        <v>1</v>
      </c>
      <c r="CF94" s="1040"/>
      <c r="CG94" s="1043"/>
      <c r="CH94" s="1039"/>
      <c r="CI94" s="1930"/>
      <c r="CJ94" s="1931"/>
      <c r="CK94" s="965">
        <v>1</v>
      </c>
      <c r="CL94" s="1040"/>
      <c r="CM94" s="1043"/>
      <c r="CN94" s="1039"/>
      <c r="CO94" s="1930"/>
      <c r="CP94" s="1931"/>
      <c r="CQ94" s="1043"/>
      <c r="CR94" s="1039"/>
      <c r="CS94" s="1930"/>
      <c r="CT94" s="1931"/>
      <c r="CU94" s="1043"/>
      <c r="CV94" s="1039"/>
      <c r="CW94" s="1930"/>
      <c r="CX94" s="1931"/>
      <c r="CY94" s="1043"/>
      <c r="CZ94" s="1039"/>
      <c r="DA94" s="1930"/>
      <c r="DB94" s="1931"/>
      <c r="DC94" s="1072"/>
      <c r="DD94" s="2029"/>
      <c r="DE94" s="1043"/>
      <c r="DF94" s="1039"/>
      <c r="DG94" s="1930"/>
      <c r="DH94" s="1931"/>
      <c r="DI94" s="964">
        <v>1</v>
      </c>
      <c r="DJ94" s="1040"/>
      <c r="DK94" s="1072"/>
      <c r="DL94" s="1994"/>
      <c r="DM94" s="1072"/>
      <c r="DN94" s="1994"/>
      <c r="DO94" s="1072"/>
      <c r="DP94" s="2029"/>
      <c r="DQ94" s="965">
        <v>1</v>
      </c>
      <c r="DR94" s="1042"/>
      <c r="DS94" s="1043"/>
      <c r="DT94" s="1039"/>
      <c r="DU94" s="1930"/>
      <c r="DV94" s="1931"/>
      <c r="DW94" s="965">
        <v>1</v>
      </c>
      <c r="DX94" s="1040"/>
      <c r="DY94" s="1043"/>
      <c r="DZ94" s="1039"/>
      <c r="EA94" s="1930"/>
      <c r="EB94" s="1931"/>
      <c r="EC94" s="1072"/>
      <c r="ED94" s="2029"/>
      <c r="EE94" s="965">
        <v>1</v>
      </c>
      <c r="EF94" s="1040"/>
      <c r="EG94" s="1072"/>
      <c r="EH94" s="2029"/>
      <c r="EI94" s="1043"/>
      <c r="EJ94" s="1039"/>
      <c r="EK94" s="2217"/>
      <c r="EL94" s="1931"/>
      <c r="EM94" s="2202">
        <f t="shared" ref="EM94:EM108" si="70">E94+S94+W94+AA94+AG94+AK94+AN94+AR94+AW94+BC94+BI94+BM94+BR94+BU94+CA94+CD94+CI94+CO94+CS94+CW94+DA94+DG94+DU94+EA94+EK94</f>
        <v>0</v>
      </c>
      <c r="EN94" s="1585">
        <f t="shared" ref="EN94:EN108" si="71">F94+H94+J94+L94+P94+T94+X94+AB94+AH94+AL94+AS94+AX94+BD94+BJ94+BN94+BP94+BV94+BX94+CB94+CJ94+CP94+CT94+CX94+DB94+DD94+DH94+DN94+DP94+DV94+EB94+ED94+EH94+EL94+DL94</f>
        <v>10000</v>
      </c>
      <c r="EO94" s="1585">
        <f t="shared" ref="EO94:EO108" si="72">AQ94</f>
        <v>0</v>
      </c>
      <c r="EP94" s="1597">
        <f t="shared" si="52"/>
        <v>10000</v>
      </c>
      <c r="EQ94" s="1162">
        <f t="shared" si="53"/>
        <v>0</v>
      </c>
      <c r="ER94" s="1785">
        <f t="shared" si="54"/>
        <v>10000</v>
      </c>
      <c r="ES94" s="1785">
        <f t="shared" si="55"/>
        <v>0</v>
      </c>
      <c r="ET94" s="1070">
        <f t="shared" si="56"/>
        <v>10000</v>
      </c>
    </row>
    <row r="95" spans="1:150" x14ac:dyDescent="0.25">
      <c r="A95" s="965">
        <v>2</v>
      </c>
      <c r="B95" s="1040"/>
      <c r="C95" s="1043"/>
      <c r="D95" s="1039"/>
      <c r="E95" s="1930"/>
      <c r="F95" s="1931"/>
      <c r="G95" s="1072"/>
      <c r="H95" s="1994"/>
      <c r="I95" s="1072"/>
      <c r="J95" s="1994"/>
      <c r="K95" s="1072"/>
      <c r="L95" s="2029"/>
      <c r="M95" s="965">
        <v>2</v>
      </c>
      <c r="N95" s="1037"/>
      <c r="O95" s="1072"/>
      <c r="P95" s="2029"/>
      <c r="Q95" s="1043"/>
      <c r="R95" s="1039"/>
      <c r="S95" s="1930"/>
      <c r="T95" s="1931"/>
      <c r="U95" s="1043"/>
      <c r="V95" s="1039"/>
      <c r="W95" s="1930"/>
      <c r="X95" s="1931"/>
      <c r="Y95" s="1043"/>
      <c r="Z95" s="1039"/>
      <c r="AA95" s="2063"/>
      <c r="AB95" s="1931"/>
      <c r="AC95" s="964">
        <v>2</v>
      </c>
      <c r="AD95" s="1040"/>
      <c r="AE95" s="1043"/>
      <c r="AF95" s="1039"/>
      <c r="AG95" s="1930"/>
      <c r="AH95" s="1931"/>
      <c r="AI95" s="1043"/>
      <c r="AJ95" s="1039"/>
      <c r="AK95" s="1930"/>
      <c r="AL95" s="1931"/>
      <c r="AM95" s="1072"/>
      <c r="AN95" s="2029"/>
      <c r="AO95" s="1718"/>
      <c r="AP95" s="1075"/>
      <c r="AQ95" s="1076"/>
      <c r="AR95" s="2099"/>
      <c r="AS95" s="1444"/>
      <c r="AT95" s="2099"/>
      <c r="AU95" s="1043"/>
      <c r="AV95" s="1039"/>
      <c r="AW95" s="1930"/>
      <c r="AX95" s="1931"/>
      <c r="AY95" s="965">
        <v>2</v>
      </c>
      <c r="AZ95" s="1037" t="s">
        <v>1530</v>
      </c>
      <c r="BA95" s="1043">
        <f>30000-5000</f>
        <v>25000</v>
      </c>
      <c r="BB95" s="1039"/>
      <c r="BC95" s="1930">
        <v>20000</v>
      </c>
      <c r="BD95" s="1931"/>
      <c r="BE95" s="965">
        <v>2</v>
      </c>
      <c r="BF95" s="1040"/>
      <c r="BG95" s="1043"/>
      <c r="BH95" s="1039"/>
      <c r="BI95" s="1930"/>
      <c r="BJ95" s="1931"/>
      <c r="BK95" s="1043"/>
      <c r="BL95" s="1039"/>
      <c r="BM95" s="1930"/>
      <c r="BN95" s="1931"/>
      <c r="BO95" s="1072"/>
      <c r="BP95" s="1994"/>
      <c r="BQ95" s="1072"/>
      <c r="BR95" s="2029"/>
      <c r="BS95" s="1043"/>
      <c r="BT95" s="1039"/>
      <c r="BU95" s="1930"/>
      <c r="BV95" s="1931"/>
      <c r="BW95" s="1072"/>
      <c r="BX95" s="2029"/>
      <c r="BY95" s="1043"/>
      <c r="BZ95" s="1039"/>
      <c r="CA95" s="1930"/>
      <c r="CB95" s="1931"/>
      <c r="CC95" s="1750"/>
      <c r="CD95" s="2157"/>
      <c r="CE95" s="965">
        <v>2</v>
      </c>
      <c r="CF95" s="1040"/>
      <c r="CG95" s="1043"/>
      <c r="CH95" s="1039"/>
      <c r="CI95" s="1930"/>
      <c r="CJ95" s="1931"/>
      <c r="CK95" s="965">
        <v>2</v>
      </c>
      <c r="CL95" s="1040"/>
      <c r="CM95" s="1043"/>
      <c r="CN95" s="1039"/>
      <c r="CO95" s="1930"/>
      <c r="CP95" s="1931"/>
      <c r="CQ95" s="1043"/>
      <c r="CR95" s="1039"/>
      <c r="CS95" s="1930"/>
      <c r="CT95" s="1931"/>
      <c r="CU95" s="1043"/>
      <c r="CV95" s="1039"/>
      <c r="CW95" s="1930"/>
      <c r="CX95" s="1931"/>
      <c r="CY95" s="1043"/>
      <c r="CZ95" s="1039"/>
      <c r="DA95" s="1930"/>
      <c r="DB95" s="1931"/>
      <c r="DC95" s="1072"/>
      <c r="DD95" s="2029"/>
      <c r="DE95" s="1043"/>
      <c r="DF95" s="1039"/>
      <c r="DG95" s="1930"/>
      <c r="DH95" s="1931"/>
      <c r="DI95" s="964">
        <v>2</v>
      </c>
      <c r="DJ95" s="1040"/>
      <c r="DK95" s="1072"/>
      <c r="DL95" s="1994"/>
      <c r="DM95" s="1072"/>
      <c r="DN95" s="1994"/>
      <c r="DO95" s="1072"/>
      <c r="DP95" s="2029"/>
      <c r="DQ95" s="965">
        <v>2</v>
      </c>
      <c r="DR95" s="1042"/>
      <c r="DS95" s="1043"/>
      <c r="DT95" s="1039"/>
      <c r="DU95" s="1930"/>
      <c r="DV95" s="1931"/>
      <c r="DW95" s="965">
        <v>2</v>
      </c>
      <c r="DX95" s="1040"/>
      <c r="DY95" s="1043"/>
      <c r="DZ95" s="1039"/>
      <c r="EA95" s="1930"/>
      <c r="EB95" s="1931"/>
      <c r="EC95" s="1072"/>
      <c r="ED95" s="2029"/>
      <c r="EE95" s="965">
        <v>2</v>
      </c>
      <c r="EF95" s="1040"/>
      <c r="EG95" s="1072"/>
      <c r="EH95" s="2029"/>
      <c r="EI95" s="1043"/>
      <c r="EJ95" s="1039"/>
      <c r="EK95" s="2217"/>
      <c r="EL95" s="1931"/>
      <c r="EM95" s="2202">
        <f t="shared" si="70"/>
        <v>20000</v>
      </c>
      <c r="EN95" s="1585">
        <f t="shared" si="71"/>
        <v>0</v>
      </c>
      <c r="EO95" s="1585">
        <f t="shared" si="72"/>
        <v>0</v>
      </c>
      <c r="EP95" s="1597">
        <f t="shared" si="52"/>
        <v>20000</v>
      </c>
      <c r="EQ95" s="1162">
        <f t="shared" si="53"/>
        <v>25000</v>
      </c>
      <c r="ER95" s="1785">
        <f t="shared" si="54"/>
        <v>0</v>
      </c>
      <c r="ES95" s="1785">
        <f t="shared" si="55"/>
        <v>0</v>
      </c>
      <c r="ET95" s="1070">
        <f t="shared" si="56"/>
        <v>25000</v>
      </c>
    </row>
    <row r="96" spans="1:150" x14ac:dyDescent="0.25">
      <c r="A96" s="965">
        <v>3</v>
      </c>
      <c r="B96" s="1040"/>
      <c r="C96" s="1043"/>
      <c r="D96" s="1039"/>
      <c r="E96" s="1930"/>
      <c r="F96" s="1931"/>
      <c r="G96" s="1072"/>
      <c r="H96" s="1994"/>
      <c r="I96" s="1072"/>
      <c r="J96" s="1994"/>
      <c r="K96" s="1072"/>
      <c r="L96" s="2029"/>
      <c r="M96" s="965">
        <v>3</v>
      </c>
      <c r="N96" s="1037"/>
      <c r="O96" s="1072"/>
      <c r="P96" s="2029"/>
      <c r="Q96" s="1043"/>
      <c r="R96" s="1039"/>
      <c r="S96" s="1930"/>
      <c r="T96" s="1931"/>
      <c r="U96" s="1043"/>
      <c r="V96" s="1039"/>
      <c r="W96" s="1930"/>
      <c r="X96" s="1931"/>
      <c r="Y96" s="1043"/>
      <c r="Z96" s="1039"/>
      <c r="AA96" s="2063"/>
      <c r="AB96" s="1931"/>
      <c r="AC96" s="964">
        <v>3</v>
      </c>
      <c r="AD96" s="1040"/>
      <c r="AE96" s="1043"/>
      <c r="AF96" s="1039"/>
      <c r="AG96" s="1930"/>
      <c r="AH96" s="1931"/>
      <c r="AI96" s="1043"/>
      <c r="AJ96" s="1039"/>
      <c r="AK96" s="1930"/>
      <c r="AL96" s="1931"/>
      <c r="AM96" s="1072"/>
      <c r="AN96" s="2029"/>
      <c r="AO96" s="1718"/>
      <c r="AP96" s="1075"/>
      <c r="AQ96" s="1076"/>
      <c r="AR96" s="2099"/>
      <c r="AS96" s="1444"/>
      <c r="AT96" s="2099"/>
      <c r="AU96" s="1043"/>
      <c r="AV96" s="1039"/>
      <c r="AW96" s="1930"/>
      <c r="AX96" s="1931"/>
      <c r="AY96" s="965">
        <v>3</v>
      </c>
      <c r="AZ96" s="1037" t="s">
        <v>1531</v>
      </c>
      <c r="BA96" s="1043">
        <f>1000-500</f>
        <v>500</v>
      </c>
      <c r="BB96" s="1039"/>
      <c r="BC96" s="1930">
        <v>2000</v>
      </c>
      <c r="BD96" s="1931"/>
      <c r="BE96" s="965">
        <v>3</v>
      </c>
      <c r="BF96" s="1040"/>
      <c r="BG96" s="1043"/>
      <c r="BH96" s="1039"/>
      <c r="BI96" s="1930"/>
      <c r="BJ96" s="1931"/>
      <c r="BK96" s="1043"/>
      <c r="BL96" s="1039"/>
      <c r="BM96" s="1930"/>
      <c r="BN96" s="1931"/>
      <c r="BO96" s="1072"/>
      <c r="BP96" s="1994"/>
      <c r="BQ96" s="1072"/>
      <c r="BR96" s="2029"/>
      <c r="BS96" s="1043"/>
      <c r="BT96" s="1039"/>
      <c r="BU96" s="1930"/>
      <c r="BV96" s="1931"/>
      <c r="BW96" s="1072"/>
      <c r="BX96" s="2029"/>
      <c r="BY96" s="1043"/>
      <c r="BZ96" s="1039"/>
      <c r="CA96" s="1930"/>
      <c r="CB96" s="1931"/>
      <c r="CC96" s="1750"/>
      <c r="CD96" s="2157"/>
      <c r="CE96" s="965">
        <v>3</v>
      </c>
      <c r="CF96" s="1040"/>
      <c r="CG96" s="1043"/>
      <c r="CH96" s="1039"/>
      <c r="CI96" s="1930"/>
      <c r="CJ96" s="1931"/>
      <c r="CK96" s="965">
        <v>3</v>
      </c>
      <c r="CL96" s="1040"/>
      <c r="CM96" s="1043"/>
      <c r="CN96" s="1039"/>
      <c r="CO96" s="1930"/>
      <c r="CP96" s="1931"/>
      <c r="CQ96" s="1043"/>
      <c r="CR96" s="1039"/>
      <c r="CS96" s="1930"/>
      <c r="CT96" s="1931"/>
      <c r="CU96" s="1043"/>
      <c r="CV96" s="1039"/>
      <c r="CW96" s="1930"/>
      <c r="CX96" s="1931"/>
      <c r="CY96" s="1043"/>
      <c r="CZ96" s="1039"/>
      <c r="DA96" s="1930"/>
      <c r="DB96" s="1931"/>
      <c r="DC96" s="1072"/>
      <c r="DD96" s="2029"/>
      <c r="DE96" s="1043"/>
      <c r="DF96" s="1039"/>
      <c r="DG96" s="1930"/>
      <c r="DH96" s="1931"/>
      <c r="DI96" s="964">
        <v>3</v>
      </c>
      <c r="DJ96" s="1040"/>
      <c r="DK96" s="1072"/>
      <c r="DL96" s="1994"/>
      <c r="DM96" s="1072"/>
      <c r="DN96" s="1994"/>
      <c r="DO96" s="1072"/>
      <c r="DP96" s="2029"/>
      <c r="DQ96" s="965">
        <v>3</v>
      </c>
      <c r="DR96" s="1042"/>
      <c r="DS96" s="1043"/>
      <c r="DT96" s="1039"/>
      <c r="DU96" s="1930"/>
      <c r="DV96" s="1931"/>
      <c r="DW96" s="965">
        <v>3</v>
      </c>
      <c r="DX96" s="1040"/>
      <c r="DY96" s="1043"/>
      <c r="DZ96" s="1039"/>
      <c r="EA96" s="1930"/>
      <c r="EB96" s="1931"/>
      <c r="EC96" s="1072"/>
      <c r="ED96" s="2029"/>
      <c r="EE96" s="965">
        <v>3</v>
      </c>
      <c r="EF96" s="1040"/>
      <c r="EG96" s="1072"/>
      <c r="EH96" s="2029"/>
      <c r="EI96" s="1043"/>
      <c r="EJ96" s="1039"/>
      <c r="EK96" s="2217"/>
      <c r="EL96" s="1931"/>
      <c r="EM96" s="2202">
        <f t="shared" si="70"/>
        <v>2000</v>
      </c>
      <c r="EN96" s="1585">
        <f t="shared" si="71"/>
        <v>0</v>
      </c>
      <c r="EO96" s="1585">
        <f t="shared" si="72"/>
        <v>0</v>
      </c>
      <c r="EP96" s="1597">
        <f t="shared" si="52"/>
        <v>2000</v>
      </c>
      <c r="EQ96" s="1162">
        <f t="shared" si="53"/>
        <v>500</v>
      </c>
      <c r="ER96" s="1785">
        <f t="shared" si="54"/>
        <v>0</v>
      </c>
      <c r="ES96" s="1785">
        <f t="shared" si="55"/>
        <v>0</v>
      </c>
      <c r="ET96" s="1070">
        <f t="shared" si="56"/>
        <v>500</v>
      </c>
    </row>
    <row r="97" spans="1:150" x14ac:dyDescent="0.25">
      <c r="A97" s="965">
        <v>4</v>
      </c>
      <c r="B97" s="1040"/>
      <c r="C97" s="1043"/>
      <c r="D97" s="1039"/>
      <c r="E97" s="1930"/>
      <c r="F97" s="1931"/>
      <c r="G97" s="1072"/>
      <c r="H97" s="1994"/>
      <c r="I97" s="1072"/>
      <c r="J97" s="1994"/>
      <c r="K97" s="1072"/>
      <c r="L97" s="2029"/>
      <c r="M97" s="965">
        <v>4</v>
      </c>
      <c r="N97" s="1037"/>
      <c r="O97" s="1072"/>
      <c r="P97" s="2029"/>
      <c r="Q97" s="1043"/>
      <c r="R97" s="1039"/>
      <c r="S97" s="1930"/>
      <c r="T97" s="1931"/>
      <c r="U97" s="1043"/>
      <c r="V97" s="1039"/>
      <c r="W97" s="1930"/>
      <c r="X97" s="1931"/>
      <c r="Y97" s="1043"/>
      <c r="Z97" s="1039"/>
      <c r="AA97" s="2063"/>
      <c r="AB97" s="1931"/>
      <c r="AC97" s="964">
        <v>4</v>
      </c>
      <c r="AD97" s="1040"/>
      <c r="AE97" s="1043"/>
      <c r="AF97" s="1039"/>
      <c r="AG97" s="1930"/>
      <c r="AH97" s="1931"/>
      <c r="AI97" s="1043"/>
      <c r="AJ97" s="1039"/>
      <c r="AK97" s="1930"/>
      <c r="AL97" s="1931"/>
      <c r="AM97" s="1072"/>
      <c r="AN97" s="2029"/>
      <c r="AO97" s="1718"/>
      <c r="AP97" s="1075"/>
      <c r="AQ97" s="1076"/>
      <c r="AR97" s="2099"/>
      <c r="AS97" s="1444"/>
      <c r="AT97" s="2099"/>
      <c r="AU97" s="1043"/>
      <c r="AV97" s="1039"/>
      <c r="AW97" s="1930"/>
      <c r="AX97" s="1931"/>
      <c r="AY97" s="965">
        <v>4</v>
      </c>
      <c r="AZ97" s="1037" t="s">
        <v>1532</v>
      </c>
      <c r="BA97" s="1043">
        <f>6000-1000</f>
        <v>5000</v>
      </c>
      <c r="BB97" s="1039"/>
      <c r="BC97" s="1930">
        <v>5000</v>
      </c>
      <c r="BD97" s="1931"/>
      <c r="BE97" s="965">
        <v>4</v>
      </c>
      <c r="BF97" s="1040"/>
      <c r="BG97" s="1043"/>
      <c r="BH97" s="1039"/>
      <c r="BI97" s="1930"/>
      <c r="BJ97" s="1931"/>
      <c r="BK97" s="1043"/>
      <c r="BL97" s="1039"/>
      <c r="BM97" s="1930"/>
      <c r="BN97" s="1931"/>
      <c r="BO97" s="1072"/>
      <c r="BP97" s="1994"/>
      <c r="BQ97" s="1072"/>
      <c r="BR97" s="2029"/>
      <c r="BS97" s="1043"/>
      <c r="BT97" s="1039"/>
      <c r="BU97" s="1930"/>
      <c r="BV97" s="1931"/>
      <c r="BW97" s="1072"/>
      <c r="BX97" s="2029"/>
      <c r="BY97" s="1043"/>
      <c r="BZ97" s="1039"/>
      <c r="CA97" s="1930"/>
      <c r="CB97" s="1931"/>
      <c r="CC97" s="1750"/>
      <c r="CD97" s="2157"/>
      <c r="CE97" s="965">
        <v>4</v>
      </c>
      <c r="CF97" s="1040"/>
      <c r="CG97" s="1043"/>
      <c r="CH97" s="1039"/>
      <c r="CI97" s="1930"/>
      <c r="CJ97" s="1931"/>
      <c r="CK97" s="965"/>
      <c r="CL97" s="1040"/>
      <c r="CM97" s="1043"/>
      <c r="CN97" s="1039"/>
      <c r="CO97" s="1930"/>
      <c r="CP97" s="1931"/>
      <c r="CQ97" s="1043"/>
      <c r="CR97" s="1039"/>
      <c r="CS97" s="1930"/>
      <c r="CT97" s="1931"/>
      <c r="CU97" s="1043"/>
      <c r="CV97" s="1039"/>
      <c r="CW97" s="1930"/>
      <c r="CX97" s="1931"/>
      <c r="CY97" s="1043"/>
      <c r="CZ97" s="1039"/>
      <c r="DA97" s="1930"/>
      <c r="DB97" s="1931"/>
      <c r="DC97" s="1072"/>
      <c r="DD97" s="2029"/>
      <c r="DE97" s="1043"/>
      <c r="DF97" s="1039"/>
      <c r="DG97" s="1930"/>
      <c r="DH97" s="1931"/>
      <c r="DI97" s="964"/>
      <c r="DJ97" s="1040"/>
      <c r="DK97" s="1072"/>
      <c r="DL97" s="1994"/>
      <c r="DM97" s="1072"/>
      <c r="DN97" s="1994"/>
      <c r="DO97" s="1072"/>
      <c r="DP97" s="2029"/>
      <c r="DQ97" s="965">
        <v>4</v>
      </c>
      <c r="DR97" s="1042"/>
      <c r="DS97" s="1043"/>
      <c r="DT97" s="1039"/>
      <c r="DU97" s="1930"/>
      <c r="DV97" s="1931"/>
      <c r="DW97" s="965"/>
      <c r="DX97" s="1040"/>
      <c r="DY97" s="1043"/>
      <c r="DZ97" s="1039"/>
      <c r="EA97" s="1930"/>
      <c r="EB97" s="1931"/>
      <c r="EC97" s="1072"/>
      <c r="ED97" s="2029"/>
      <c r="EE97" s="965">
        <v>4</v>
      </c>
      <c r="EF97" s="1040"/>
      <c r="EG97" s="1072"/>
      <c r="EH97" s="2029"/>
      <c r="EI97" s="1043"/>
      <c r="EJ97" s="1039"/>
      <c r="EK97" s="2217"/>
      <c r="EL97" s="1931"/>
      <c r="EM97" s="2202">
        <f t="shared" si="70"/>
        <v>5000</v>
      </c>
      <c r="EN97" s="1585">
        <f t="shared" si="71"/>
        <v>0</v>
      </c>
      <c r="EO97" s="1585">
        <f t="shared" si="72"/>
        <v>0</v>
      </c>
      <c r="EP97" s="1597">
        <f t="shared" si="52"/>
        <v>5000</v>
      </c>
      <c r="EQ97" s="1162">
        <f t="shared" si="53"/>
        <v>5000</v>
      </c>
      <c r="ER97" s="1785">
        <f t="shared" si="54"/>
        <v>0</v>
      </c>
      <c r="ES97" s="1785">
        <f t="shared" si="55"/>
        <v>0</v>
      </c>
      <c r="ET97" s="1070">
        <f t="shared" si="56"/>
        <v>5000</v>
      </c>
    </row>
    <row r="98" spans="1:150" x14ac:dyDescent="0.25">
      <c r="A98" s="965">
        <v>5</v>
      </c>
      <c r="B98" s="1040"/>
      <c r="C98" s="1043"/>
      <c r="D98" s="1039"/>
      <c r="E98" s="1930"/>
      <c r="F98" s="1931"/>
      <c r="G98" s="1072"/>
      <c r="H98" s="1994"/>
      <c r="I98" s="1072"/>
      <c r="J98" s="1994"/>
      <c r="K98" s="1072"/>
      <c r="L98" s="2029"/>
      <c r="M98" s="965">
        <v>5</v>
      </c>
      <c r="N98" s="1037"/>
      <c r="O98" s="1072"/>
      <c r="P98" s="2029"/>
      <c r="Q98" s="1043"/>
      <c r="R98" s="1039"/>
      <c r="S98" s="1930"/>
      <c r="T98" s="1931"/>
      <c r="U98" s="1043"/>
      <c r="V98" s="1039"/>
      <c r="W98" s="1930"/>
      <c r="X98" s="1931"/>
      <c r="Y98" s="1043"/>
      <c r="Z98" s="1039"/>
      <c r="AA98" s="2063"/>
      <c r="AB98" s="1931"/>
      <c r="AC98" s="964">
        <v>5</v>
      </c>
      <c r="AD98" s="1040"/>
      <c r="AE98" s="1043"/>
      <c r="AF98" s="1039"/>
      <c r="AG98" s="1930"/>
      <c r="AH98" s="1931"/>
      <c r="AI98" s="1043"/>
      <c r="AJ98" s="1039"/>
      <c r="AK98" s="1930"/>
      <c r="AL98" s="1931"/>
      <c r="AM98" s="1072"/>
      <c r="AN98" s="2029"/>
      <c r="AO98" s="1718"/>
      <c r="AP98" s="1075"/>
      <c r="AQ98" s="1076"/>
      <c r="AR98" s="2099"/>
      <c r="AS98" s="1444"/>
      <c r="AT98" s="2099"/>
      <c r="AU98" s="1043"/>
      <c r="AV98" s="1039"/>
      <c r="AW98" s="1930"/>
      <c r="AX98" s="1931"/>
      <c r="AY98" s="965">
        <v>5</v>
      </c>
      <c r="AZ98" s="1037" t="s">
        <v>1533</v>
      </c>
      <c r="BA98" s="1043">
        <f>2000-1000</f>
        <v>1000</v>
      </c>
      <c r="BB98" s="1039"/>
      <c r="BC98" s="1930">
        <v>3000</v>
      </c>
      <c r="BD98" s="1931"/>
      <c r="BE98" s="965">
        <v>5</v>
      </c>
      <c r="BF98" s="1040"/>
      <c r="BG98" s="1043"/>
      <c r="BH98" s="1039"/>
      <c r="BI98" s="1930"/>
      <c r="BJ98" s="1931"/>
      <c r="BK98" s="1043"/>
      <c r="BL98" s="1039"/>
      <c r="BM98" s="1930"/>
      <c r="BN98" s="1931"/>
      <c r="BO98" s="1072"/>
      <c r="BP98" s="1994"/>
      <c r="BQ98" s="1072"/>
      <c r="BR98" s="2029"/>
      <c r="BS98" s="1043"/>
      <c r="BT98" s="1039"/>
      <c r="BU98" s="1930"/>
      <c r="BV98" s="1931"/>
      <c r="BW98" s="1072"/>
      <c r="BX98" s="2029"/>
      <c r="BY98" s="1043"/>
      <c r="BZ98" s="1039"/>
      <c r="CA98" s="1930"/>
      <c r="CB98" s="1931"/>
      <c r="CC98" s="1750"/>
      <c r="CD98" s="2157"/>
      <c r="CE98" s="965">
        <v>5</v>
      </c>
      <c r="CF98" s="1040"/>
      <c r="CG98" s="1043"/>
      <c r="CH98" s="1039"/>
      <c r="CI98" s="1930"/>
      <c r="CJ98" s="1931"/>
      <c r="CK98" s="965"/>
      <c r="CL98" s="1040"/>
      <c r="CM98" s="1043"/>
      <c r="CN98" s="1039"/>
      <c r="CO98" s="1930"/>
      <c r="CP98" s="1931"/>
      <c r="CQ98" s="1043"/>
      <c r="CR98" s="1039"/>
      <c r="CS98" s="1930"/>
      <c r="CT98" s="1931"/>
      <c r="CU98" s="1043"/>
      <c r="CV98" s="1039"/>
      <c r="CW98" s="1930"/>
      <c r="CX98" s="1931"/>
      <c r="CY98" s="1043"/>
      <c r="CZ98" s="1039"/>
      <c r="DA98" s="1930"/>
      <c r="DB98" s="1931"/>
      <c r="DC98" s="1072"/>
      <c r="DD98" s="2029"/>
      <c r="DE98" s="1043"/>
      <c r="DF98" s="1039"/>
      <c r="DG98" s="1930"/>
      <c r="DH98" s="1931"/>
      <c r="DI98" s="964"/>
      <c r="DJ98" s="1040"/>
      <c r="DK98" s="1072"/>
      <c r="DL98" s="1994"/>
      <c r="DM98" s="1072"/>
      <c r="DN98" s="1994"/>
      <c r="DO98" s="1072"/>
      <c r="DP98" s="2029"/>
      <c r="DQ98" s="965">
        <v>5</v>
      </c>
      <c r="DR98" s="1042"/>
      <c r="DS98" s="1043"/>
      <c r="DT98" s="1039"/>
      <c r="DU98" s="1930"/>
      <c r="DV98" s="1931"/>
      <c r="DW98" s="965"/>
      <c r="DX98" s="1040"/>
      <c r="DY98" s="1043"/>
      <c r="DZ98" s="1039"/>
      <c r="EA98" s="1930"/>
      <c r="EB98" s="1931"/>
      <c r="EC98" s="1072"/>
      <c r="ED98" s="2029"/>
      <c r="EE98" s="965">
        <v>5</v>
      </c>
      <c r="EF98" s="1040"/>
      <c r="EG98" s="1072"/>
      <c r="EH98" s="2029"/>
      <c r="EI98" s="1043"/>
      <c r="EJ98" s="1039"/>
      <c r="EK98" s="2217"/>
      <c r="EL98" s="1931"/>
      <c r="EM98" s="2202">
        <f t="shared" si="70"/>
        <v>3000</v>
      </c>
      <c r="EN98" s="1585">
        <f t="shared" si="71"/>
        <v>0</v>
      </c>
      <c r="EO98" s="1585">
        <f t="shared" si="72"/>
        <v>0</v>
      </c>
      <c r="EP98" s="1597">
        <f t="shared" si="52"/>
        <v>3000</v>
      </c>
      <c r="EQ98" s="1162">
        <f t="shared" si="53"/>
        <v>1000</v>
      </c>
      <c r="ER98" s="1785">
        <f t="shared" si="54"/>
        <v>0</v>
      </c>
      <c r="ES98" s="1785">
        <f t="shared" si="55"/>
        <v>0</v>
      </c>
      <c r="ET98" s="1070">
        <f t="shared" si="56"/>
        <v>1000</v>
      </c>
    </row>
    <row r="99" spans="1:150" x14ac:dyDescent="0.25">
      <c r="A99" s="965"/>
      <c r="B99" s="1040"/>
      <c r="C99" s="1043"/>
      <c r="D99" s="1039"/>
      <c r="E99" s="1930"/>
      <c r="F99" s="1931"/>
      <c r="G99" s="1072"/>
      <c r="H99" s="1994"/>
      <c r="I99" s="1072"/>
      <c r="J99" s="1994"/>
      <c r="K99" s="1072"/>
      <c r="L99" s="2029"/>
      <c r="M99" s="965"/>
      <c r="N99" s="1037"/>
      <c r="O99" s="1072"/>
      <c r="P99" s="2029"/>
      <c r="Q99" s="1043"/>
      <c r="R99" s="1039"/>
      <c r="S99" s="1930"/>
      <c r="T99" s="1931"/>
      <c r="U99" s="1043"/>
      <c r="V99" s="1039"/>
      <c r="W99" s="1930"/>
      <c r="X99" s="1931"/>
      <c r="Y99" s="1043"/>
      <c r="Z99" s="1039"/>
      <c r="AA99" s="2063"/>
      <c r="AB99" s="1931"/>
      <c r="AC99" s="964"/>
      <c r="AD99" s="1040"/>
      <c r="AE99" s="1043"/>
      <c r="AF99" s="1039"/>
      <c r="AG99" s="1930"/>
      <c r="AH99" s="1931"/>
      <c r="AI99" s="1043"/>
      <c r="AJ99" s="1039"/>
      <c r="AK99" s="1930"/>
      <c r="AL99" s="1931"/>
      <c r="AM99" s="1072"/>
      <c r="AN99" s="2029"/>
      <c r="AO99" s="1718"/>
      <c r="AP99" s="1075"/>
      <c r="AQ99" s="1076"/>
      <c r="AR99" s="2099"/>
      <c r="AS99" s="1444"/>
      <c r="AT99" s="2099"/>
      <c r="AU99" s="1043"/>
      <c r="AV99" s="1039"/>
      <c r="AW99" s="1930"/>
      <c r="AX99" s="1931"/>
      <c r="AY99" s="965">
        <v>6</v>
      </c>
      <c r="AZ99" s="1037" t="s">
        <v>1534</v>
      </c>
      <c r="BA99" s="1043">
        <f>10000-3000</f>
        <v>7000</v>
      </c>
      <c r="BB99" s="1039"/>
      <c r="BC99" s="1930">
        <v>7000</v>
      </c>
      <c r="BD99" s="1931"/>
      <c r="BE99" s="965"/>
      <c r="BF99" s="1040"/>
      <c r="BG99" s="1043"/>
      <c r="BH99" s="1039"/>
      <c r="BI99" s="1930"/>
      <c r="BJ99" s="1931"/>
      <c r="BK99" s="1043"/>
      <c r="BL99" s="1039"/>
      <c r="BM99" s="1930"/>
      <c r="BN99" s="1931"/>
      <c r="BO99" s="1072"/>
      <c r="BP99" s="1994"/>
      <c r="BQ99" s="1072"/>
      <c r="BR99" s="2029"/>
      <c r="BS99" s="1043"/>
      <c r="BT99" s="1039"/>
      <c r="BU99" s="1930"/>
      <c r="BV99" s="1931"/>
      <c r="BW99" s="1072"/>
      <c r="BX99" s="2029"/>
      <c r="BY99" s="1043"/>
      <c r="BZ99" s="1039"/>
      <c r="CA99" s="1930"/>
      <c r="CB99" s="1931"/>
      <c r="CC99" s="1750"/>
      <c r="CD99" s="2157"/>
      <c r="CE99" s="965"/>
      <c r="CF99" s="1040"/>
      <c r="CG99" s="1043"/>
      <c r="CH99" s="1039"/>
      <c r="CI99" s="1930"/>
      <c r="CJ99" s="1931"/>
      <c r="CK99" s="965"/>
      <c r="CL99" s="1040"/>
      <c r="CM99" s="1043"/>
      <c r="CN99" s="1039"/>
      <c r="CO99" s="1930"/>
      <c r="CP99" s="1931"/>
      <c r="CQ99" s="1043"/>
      <c r="CR99" s="1039"/>
      <c r="CS99" s="1930"/>
      <c r="CT99" s="1931"/>
      <c r="CU99" s="1043"/>
      <c r="CV99" s="1039"/>
      <c r="CW99" s="1930"/>
      <c r="CX99" s="1931"/>
      <c r="CY99" s="1043"/>
      <c r="CZ99" s="1039"/>
      <c r="DA99" s="1930"/>
      <c r="DB99" s="1931"/>
      <c r="DC99" s="1072"/>
      <c r="DD99" s="2029"/>
      <c r="DE99" s="1043"/>
      <c r="DF99" s="1039"/>
      <c r="DG99" s="1930"/>
      <c r="DH99" s="1931"/>
      <c r="DI99" s="964"/>
      <c r="DJ99" s="1040"/>
      <c r="DK99" s="1072"/>
      <c r="DL99" s="1994"/>
      <c r="DM99" s="1072"/>
      <c r="DN99" s="1994"/>
      <c r="DO99" s="1072"/>
      <c r="DP99" s="2029"/>
      <c r="DQ99" s="965"/>
      <c r="DR99" s="1042"/>
      <c r="DS99" s="1043"/>
      <c r="DT99" s="1039"/>
      <c r="DU99" s="1930"/>
      <c r="DV99" s="1931"/>
      <c r="DW99" s="965"/>
      <c r="DX99" s="1040"/>
      <c r="DY99" s="1043"/>
      <c r="DZ99" s="1039"/>
      <c r="EA99" s="1930"/>
      <c r="EB99" s="1931"/>
      <c r="EC99" s="1072"/>
      <c r="ED99" s="2029"/>
      <c r="EE99" s="965"/>
      <c r="EF99" s="1040"/>
      <c r="EG99" s="1072"/>
      <c r="EH99" s="2029"/>
      <c r="EI99" s="1043"/>
      <c r="EJ99" s="1039"/>
      <c r="EK99" s="2217"/>
      <c r="EL99" s="1931"/>
      <c r="EM99" s="2202">
        <f t="shared" si="70"/>
        <v>7000</v>
      </c>
      <c r="EN99" s="1585">
        <f t="shared" si="71"/>
        <v>0</v>
      </c>
      <c r="EO99" s="1585">
        <f t="shared" si="72"/>
        <v>0</v>
      </c>
      <c r="EP99" s="1597">
        <f t="shared" si="52"/>
        <v>7000</v>
      </c>
      <c r="EQ99" s="1162">
        <f t="shared" si="53"/>
        <v>7000</v>
      </c>
      <c r="ER99" s="1785">
        <f t="shared" si="54"/>
        <v>0</v>
      </c>
      <c r="ES99" s="1785">
        <f t="shared" si="55"/>
        <v>0</v>
      </c>
      <c r="ET99" s="1070">
        <f t="shared" si="56"/>
        <v>7000</v>
      </c>
    </row>
    <row r="100" spans="1:150" x14ac:dyDescent="0.25">
      <c r="A100" s="965"/>
      <c r="B100" s="1040"/>
      <c r="C100" s="1043"/>
      <c r="D100" s="1039"/>
      <c r="E100" s="1930"/>
      <c r="F100" s="1931"/>
      <c r="G100" s="1072"/>
      <c r="H100" s="1994"/>
      <c r="I100" s="1072"/>
      <c r="J100" s="1994"/>
      <c r="K100" s="1072"/>
      <c r="L100" s="2029"/>
      <c r="M100" s="965"/>
      <c r="N100" s="1037"/>
      <c r="O100" s="1072"/>
      <c r="P100" s="2029"/>
      <c r="Q100" s="1043"/>
      <c r="R100" s="1039"/>
      <c r="S100" s="1930"/>
      <c r="T100" s="1931"/>
      <c r="U100" s="1043"/>
      <c r="V100" s="1039"/>
      <c r="W100" s="1930"/>
      <c r="X100" s="1931"/>
      <c r="Y100" s="1043"/>
      <c r="Z100" s="1039"/>
      <c r="AA100" s="2063"/>
      <c r="AB100" s="1931"/>
      <c r="AC100" s="964"/>
      <c r="AD100" s="1040"/>
      <c r="AE100" s="1043"/>
      <c r="AF100" s="1039"/>
      <c r="AG100" s="1930"/>
      <c r="AH100" s="1931"/>
      <c r="AI100" s="1043"/>
      <c r="AJ100" s="1039"/>
      <c r="AK100" s="1930"/>
      <c r="AL100" s="1931"/>
      <c r="AM100" s="1072"/>
      <c r="AN100" s="2029"/>
      <c r="AO100" s="1718"/>
      <c r="AP100" s="1075"/>
      <c r="AQ100" s="1076"/>
      <c r="AR100" s="2099"/>
      <c r="AS100" s="1444"/>
      <c r="AT100" s="2099"/>
      <c r="AU100" s="1043"/>
      <c r="AV100" s="1039"/>
      <c r="AW100" s="1930"/>
      <c r="AX100" s="1931"/>
      <c r="AY100" s="965">
        <v>7</v>
      </c>
      <c r="AZ100" s="1037" t="s">
        <v>1535</v>
      </c>
      <c r="BA100" s="1043"/>
      <c r="BB100" s="1039">
        <f>500-300</f>
        <v>200</v>
      </c>
      <c r="BC100" s="1930"/>
      <c r="BD100" s="1931">
        <v>200</v>
      </c>
      <c r="BE100" s="965"/>
      <c r="BF100" s="1040"/>
      <c r="BG100" s="1043"/>
      <c r="BH100" s="1039"/>
      <c r="BI100" s="1930"/>
      <c r="BJ100" s="1931"/>
      <c r="BK100" s="1043"/>
      <c r="BL100" s="1039"/>
      <c r="BM100" s="1930"/>
      <c r="BN100" s="1931"/>
      <c r="BO100" s="1072"/>
      <c r="BP100" s="1994"/>
      <c r="BQ100" s="1072"/>
      <c r="BR100" s="2029"/>
      <c r="BS100" s="1043"/>
      <c r="BT100" s="1039"/>
      <c r="BU100" s="1930"/>
      <c r="BV100" s="1931"/>
      <c r="BW100" s="1072"/>
      <c r="BX100" s="2029"/>
      <c r="BY100" s="1043"/>
      <c r="BZ100" s="1039"/>
      <c r="CA100" s="1930"/>
      <c r="CB100" s="1931"/>
      <c r="CC100" s="1750"/>
      <c r="CD100" s="2157"/>
      <c r="CE100" s="965"/>
      <c r="CF100" s="1040"/>
      <c r="CG100" s="1043"/>
      <c r="CH100" s="1039"/>
      <c r="CI100" s="1930"/>
      <c r="CJ100" s="1931"/>
      <c r="CK100" s="965"/>
      <c r="CL100" s="1040"/>
      <c r="CM100" s="1043"/>
      <c r="CN100" s="1039"/>
      <c r="CO100" s="1930"/>
      <c r="CP100" s="1931"/>
      <c r="CQ100" s="1043"/>
      <c r="CR100" s="1039"/>
      <c r="CS100" s="1930"/>
      <c r="CT100" s="1931"/>
      <c r="CU100" s="1043"/>
      <c r="CV100" s="1039"/>
      <c r="CW100" s="1930"/>
      <c r="CX100" s="1931"/>
      <c r="CY100" s="1043"/>
      <c r="CZ100" s="1039"/>
      <c r="DA100" s="1930"/>
      <c r="DB100" s="1931"/>
      <c r="DC100" s="1072"/>
      <c r="DD100" s="2029"/>
      <c r="DE100" s="1043"/>
      <c r="DF100" s="1039"/>
      <c r="DG100" s="1930"/>
      <c r="DH100" s="1931"/>
      <c r="DI100" s="964"/>
      <c r="DJ100" s="1040"/>
      <c r="DK100" s="1072"/>
      <c r="DL100" s="1994"/>
      <c r="DM100" s="1072"/>
      <c r="DN100" s="1994"/>
      <c r="DO100" s="1072"/>
      <c r="DP100" s="2029"/>
      <c r="DQ100" s="965"/>
      <c r="DR100" s="1042"/>
      <c r="DS100" s="1043"/>
      <c r="DT100" s="1039"/>
      <c r="DU100" s="1930"/>
      <c r="DV100" s="1931"/>
      <c r="DW100" s="965"/>
      <c r="DX100" s="1040"/>
      <c r="DY100" s="1043"/>
      <c r="DZ100" s="1039"/>
      <c r="EA100" s="1930"/>
      <c r="EB100" s="1931"/>
      <c r="EC100" s="1072"/>
      <c r="ED100" s="2029"/>
      <c r="EE100" s="965"/>
      <c r="EF100" s="1040"/>
      <c r="EG100" s="1072"/>
      <c r="EH100" s="2029"/>
      <c r="EI100" s="1043"/>
      <c r="EJ100" s="1039"/>
      <c r="EK100" s="2217"/>
      <c r="EL100" s="1931"/>
      <c r="EM100" s="2202">
        <f t="shared" si="70"/>
        <v>0</v>
      </c>
      <c r="EN100" s="1585">
        <f t="shared" si="71"/>
        <v>200</v>
      </c>
      <c r="EO100" s="1585">
        <f t="shared" si="72"/>
        <v>0</v>
      </c>
      <c r="EP100" s="1597">
        <f t="shared" si="52"/>
        <v>200</v>
      </c>
      <c r="EQ100" s="1162">
        <f t="shared" si="53"/>
        <v>0</v>
      </c>
      <c r="ER100" s="1785">
        <f t="shared" si="54"/>
        <v>200</v>
      </c>
      <c r="ES100" s="1785">
        <f t="shared" si="55"/>
        <v>0</v>
      </c>
      <c r="ET100" s="1070">
        <f t="shared" si="56"/>
        <v>200</v>
      </c>
    </row>
    <row r="101" spans="1:150" x14ac:dyDescent="0.25">
      <c r="A101" s="965"/>
      <c r="B101" s="1040"/>
      <c r="C101" s="1043"/>
      <c r="D101" s="1039"/>
      <c r="E101" s="1930"/>
      <c r="F101" s="1931"/>
      <c r="G101" s="1072"/>
      <c r="H101" s="1994"/>
      <c r="I101" s="1072"/>
      <c r="J101" s="1994"/>
      <c r="K101" s="1072"/>
      <c r="L101" s="2029"/>
      <c r="M101" s="965"/>
      <c r="N101" s="1037"/>
      <c r="O101" s="1072"/>
      <c r="P101" s="2029"/>
      <c r="Q101" s="1043"/>
      <c r="R101" s="1039"/>
      <c r="S101" s="1930"/>
      <c r="T101" s="1931"/>
      <c r="U101" s="1043"/>
      <c r="V101" s="1039"/>
      <c r="W101" s="1930"/>
      <c r="X101" s="1931"/>
      <c r="Y101" s="1043"/>
      <c r="Z101" s="1039"/>
      <c r="AA101" s="2063"/>
      <c r="AB101" s="1931"/>
      <c r="AC101" s="964"/>
      <c r="AD101" s="1040"/>
      <c r="AE101" s="1043"/>
      <c r="AF101" s="1039"/>
      <c r="AG101" s="1930"/>
      <c r="AH101" s="1931"/>
      <c r="AI101" s="1043"/>
      <c r="AJ101" s="1039"/>
      <c r="AK101" s="1930"/>
      <c r="AL101" s="1931"/>
      <c r="AM101" s="1072"/>
      <c r="AN101" s="2029"/>
      <c r="AO101" s="1718"/>
      <c r="AP101" s="1075"/>
      <c r="AQ101" s="1076"/>
      <c r="AR101" s="2099"/>
      <c r="AS101" s="1444"/>
      <c r="AT101" s="2099"/>
      <c r="AU101" s="1043"/>
      <c r="AV101" s="1039"/>
      <c r="AW101" s="1930"/>
      <c r="AX101" s="1931"/>
      <c r="AY101" s="965">
        <v>8</v>
      </c>
      <c r="AZ101" s="1037" t="s">
        <v>1536</v>
      </c>
      <c r="BA101" s="1043"/>
      <c r="BB101" s="1039">
        <f>3000-1000</f>
        <v>2000</v>
      </c>
      <c r="BC101" s="1930"/>
      <c r="BD101" s="1931">
        <v>2000</v>
      </c>
      <c r="BE101" s="965"/>
      <c r="BF101" s="1040"/>
      <c r="BG101" s="1043"/>
      <c r="BH101" s="1039"/>
      <c r="BI101" s="1930"/>
      <c r="BJ101" s="1931"/>
      <c r="BK101" s="1043"/>
      <c r="BL101" s="1039"/>
      <c r="BM101" s="1930"/>
      <c r="BN101" s="1931"/>
      <c r="BO101" s="1072"/>
      <c r="BP101" s="1994"/>
      <c r="BQ101" s="1072"/>
      <c r="BR101" s="2029"/>
      <c r="BS101" s="1043"/>
      <c r="BT101" s="1039"/>
      <c r="BU101" s="1930"/>
      <c r="BV101" s="1931"/>
      <c r="BW101" s="1072"/>
      <c r="BX101" s="2029"/>
      <c r="BY101" s="1043"/>
      <c r="BZ101" s="1039"/>
      <c r="CA101" s="1930"/>
      <c r="CB101" s="1931"/>
      <c r="CC101" s="1750"/>
      <c r="CD101" s="2157"/>
      <c r="CE101" s="965"/>
      <c r="CF101" s="1040"/>
      <c r="CG101" s="1043"/>
      <c r="CH101" s="1039"/>
      <c r="CI101" s="1930"/>
      <c r="CJ101" s="1931"/>
      <c r="CK101" s="965"/>
      <c r="CL101" s="1040"/>
      <c r="CM101" s="1043"/>
      <c r="CN101" s="1039"/>
      <c r="CO101" s="1930"/>
      <c r="CP101" s="1931"/>
      <c r="CQ101" s="1043"/>
      <c r="CR101" s="1039"/>
      <c r="CS101" s="1930"/>
      <c r="CT101" s="1931"/>
      <c r="CU101" s="1043"/>
      <c r="CV101" s="1039"/>
      <c r="CW101" s="1930"/>
      <c r="CX101" s="1931"/>
      <c r="CY101" s="1043"/>
      <c r="CZ101" s="1039"/>
      <c r="DA101" s="1930"/>
      <c r="DB101" s="1931"/>
      <c r="DC101" s="1072"/>
      <c r="DD101" s="2029"/>
      <c r="DE101" s="1043"/>
      <c r="DF101" s="1039"/>
      <c r="DG101" s="1930"/>
      <c r="DH101" s="1931"/>
      <c r="DI101" s="964"/>
      <c r="DJ101" s="1040"/>
      <c r="DK101" s="1072"/>
      <c r="DL101" s="1994"/>
      <c r="DM101" s="1072"/>
      <c r="DN101" s="1994"/>
      <c r="DO101" s="1072"/>
      <c r="DP101" s="2029"/>
      <c r="DQ101" s="965"/>
      <c r="DR101" s="1042"/>
      <c r="DS101" s="1043"/>
      <c r="DT101" s="1039"/>
      <c r="DU101" s="1930"/>
      <c r="DV101" s="1931"/>
      <c r="DW101" s="965"/>
      <c r="DX101" s="1040"/>
      <c r="DY101" s="1043"/>
      <c r="DZ101" s="1039"/>
      <c r="EA101" s="1930"/>
      <c r="EB101" s="1931"/>
      <c r="EC101" s="1072"/>
      <c r="ED101" s="2029"/>
      <c r="EE101" s="965"/>
      <c r="EF101" s="1040"/>
      <c r="EG101" s="1072"/>
      <c r="EH101" s="2029"/>
      <c r="EI101" s="1043"/>
      <c r="EJ101" s="1039"/>
      <c r="EK101" s="2217"/>
      <c r="EL101" s="1931"/>
      <c r="EM101" s="2202">
        <f t="shared" si="70"/>
        <v>0</v>
      </c>
      <c r="EN101" s="1585">
        <f t="shared" si="71"/>
        <v>2000</v>
      </c>
      <c r="EO101" s="1585">
        <f t="shared" si="72"/>
        <v>0</v>
      </c>
      <c r="EP101" s="1597">
        <f t="shared" si="52"/>
        <v>2000</v>
      </c>
      <c r="EQ101" s="1162">
        <f t="shared" si="53"/>
        <v>0</v>
      </c>
      <c r="ER101" s="1785">
        <f t="shared" si="54"/>
        <v>2000</v>
      </c>
      <c r="ES101" s="1785">
        <f t="shared" si="55"/>
        <v>0</v>
      </c>
      <c r="ET101" s="1070">
        <f t="shared" si="56"/>
        <v>2000</v>
      </c>
    </row>
    <row r="102" spans="1:150" x14ac:dyDescent="0.25">
      <c r="A102" s="965"/>
      <c r="B102" s="1040"/>
      <c r="C102" s="1043"/>
      <c r="D102" s="1039"/>
      <c r="E102" s="1930"/>
      <c r="F102" s="1931"/>
      <c r="G102" s="1072"/>
      <c r="H102" s="1994"/>
      <c r="I102" s="1072"/>
      <c r="J102" s="1994"/>
      <c r="K102" s="1072"/>
      <c r="L102" s="2029"/>
      <c r="M102" s="965"/>
      <c r="N102" s="1037"/>
      <c r="O102" s="1072"/>
      <c r="P102" s="2029"/>
      <c r="Q102" s="1043"/>
      <c r="R102" s="1039"/>
      <c r="S102" s="1930"/>
      <c r="T102" s="1931"/>
      <c r="U102" s="1043"/>
      <c r="V102" s="1039"/>
      <c r="W102" s="1930"/>
      <c r="X102" s="1931"/>
      <c r="Y102" s="1043"/>
      <c r="Z102" s="1039"/>
      <c r="AA102" s="2063"/>
      <c r="AB102" s="1931"/>
      <c r="AC102" s="964"/>
      <c r="AD102" s="1040"/>
      <c r="AE102" s="1043"/>
      <c r="AF102" s="1039"/>
      <c r="AG102" s="1930"/>
      <c r="AH102" s="1931"/>
      <c r="AI102" s="1043"/>
      <c r="AJ102" s="1039"/>
      <c r="AK102" s="1930"/>
      <c r="AL102" s="1931"/>
      <c r="AM102" s="1072"/>
      <c r="AN102" s="2029"/>
      <c r="AO102" s="1718"/>
      <c r="AP102" s="1075"/>
      <c r="AQ102" s="1076"/>
      <c r="AR102" s="2099"/>
      <c r="AS102" s="1444"/>
      <c r="AT102" s="2099"/>
      <c r="AU102" s="1043"/>
      <c r="AV102" s="1039"/>
      <c r="AW102" s="1930"/>
      <c r="AX102" s="1931"/>
      <c r="AY102" s="965">
        <v>9</v>
      </c>
      <c r="AZ102" s="1037" t="s">
        <v>1537</v>
      </c>
      <c r="BA102" s="1043"/>
      <c r="BB102" s="1039">
        <f>16200-6200</f>
        <v>10000</v>
      </c>
      <c r="BC102" s="1930"/>
      <c r="BD102" s="1931">
        <v>10000</v>
      </c>
      <c r="BE102" s="965"/>
      <c r="BF102" s="1040"/>
      <c r="BG102" s="1043"/>
      <c r="BH102" s="1039"/>
      <c r="BI102" s="1930"/>
      <c r="BJ102" s="1931"/>
      <c r="BK102" s="1043"/>
      <c r="BL102" s="1039"/>
      <c r="BM102" s="1930"/>
      <c r="BN102" s="1931"/>
      <c r="BO102" s="1072"/>
      <c r="BP102" s="1994"/>
      <c r="BQ102" s="1072"/>
      <c r="BR102" s="2029"/>
      <c r="BS102" s="1043"/>
      <c r="BT102" s="1039"/>
      <c r="BU102" s="1930"/>
      <c r="BV102" s="1931"/>
      <c r="BW102" s="1072"/>
      <c r="BX102" s="2029"/>
      <c r="BY102" s="1043"/>
      <c r="BZ102" s="1039"/>
      <c r="CA102" s="1930"/>
      <c r="CB102" s="1931"/>
      <c r="CC102" s="1750"/>
      <c r="CD102" s="2157"/>
      <c r="CE102" s="965"/>
      <c r="CF102" s="1040"/>
      <c r="CG102" s="1043"/>
      <c r="CH102" s="1039"/>
      <c r="CI102" s="1930"/>
      <c r="CJ102" s="1931"/>
      <c r="CK102" s="965"/>
      <c r="CL102" s="1040"/>
      <c r="CM102" s="1043"/>
      <c r="CN102" s="1039"/>
      <c r="CO102" s="1930"/>
      <c r="CP102" s="1931"/>
      <c r="CQ102" s="1043"/>
      <c r="CR102" s="1039"/>
      <c r="CS102" s="1930"/>
      <c r="CT102" s="1931"/>
      <c r="CU102" s="1043"/>
      <c r="CV102" s="1039"/>
      <c r="CW102" s="1930"/>
      <c r="CX102" s="1931"/>
      <c r="CY102" s="1043"/>
      <c r="CZ102" s="1039"/>
      <c r="DA102" s="1930"/>
      <c r="DB102" s="1931"/>
      <c r="DC102" s="1072"/>
      <c r="DD102" s="2029"/>
      <c r="DE102" s="1043"/>
      <c r="DF102" s="1039"/>
      <c r="DG102" s="1930"/>
      <c r="DH102" s="1931"/>
      <c r="DI102" s="964"/>
      <c r="DJ102" s="1040"/>
      <c r="DK102" s="1072"/>
      <c r="DL102" s="1994"/>
      <c r="DM102" s="1072"/>
      <c r="DN102" s="1994"/>
      <c r="DO102" s="1072"/>
      <c r="DP102" s="2029"/>
      <c r="DQ102" s="965"/>
      <c r="DR102" s="1042"/>
      <c r="DS102" s="1043"/>
      <c r="DT102" s="1039"/>
      <c r="DU102" s="1930"/>
      <c r="DV102" s="1931"/>
      <c r="DW102" s="965"/>
      <c r="DX102" s="1040"/>
      <c r="DY102" s="1043"/>
      <c r="DZ102" s="1039"/>
      <c r="EA102" s="1930"/>
      <c r="EB102" s="1931"/>
      <c r="EC102" s="1072"/>
      <c r="ED102" s="2029"/>
      <c r="EE102" s="965"/>
      <c r="EF102" s="1040"/>
      <c r="EG102" s="1072"/>
      <c r="EH102" s="2029"/>
      <c r="EI102" s="1043"/>
      <c r="EJ102" s="1039"/>
      <c r="EK102" s="2217"/>
      <c r="EL102" s="1931"/>
      <c r="EM102" s="2202">
        <f t="shared" si="70"/>
        <v>0</v>
      </c>
      <c r="EN102" s="1585">
        <f t="shared" si="71"/>
        <v>10000</v>
      </c>
      <c r="EO102" s="1585">
        <f t="shared" si="72"/>
        <v>0</v>
      </c>
      <c r="EP102" s="1597">
        <f t="shared" si="52"/>
        <v>10000</v>
      </c>
      <c r="EQ102" s="1162">
        <f t="shared" si="53"/>
        <v>0</v>
      </c>
      <c r="ER102" s="1785">
        <f t="shared" si="54"/>
        <v>10000</v>
      </c>
      <c r="ES102" s="1785">
        <f t="shared" si="55"/>
        <v>0</v>
      </c>
      <c r="ET102" s="1070">
        <f t="shared" si="56"/>
        <v>10000</v>
      </c>
    </row>
    <row r="103" spans="1:150" x14ac:dyDescent="0.25">
      <c r="A103" s="965"/>
      <c r="B103" s="1040"/>
      <c r="C103" s="1043"/>
      <c r="D103" s="1039"/>
      <c r="E103" s="1930"/>
      <c r="F103" s="1931"/>
      <c r="G103" s="1072"/>
      <c r="H103" s="1994"/>
      <c r="I103" s="1072"/>
      <c r="J103" s="1994"/>
      <c r="K103" s="1072"/>
      <c r="L103" s="2029"/>
      <c r="M103" s="965"/>
      <c r="N103" s="1037"/>
      <c r="O103" s="1072"/>
      <c r="P103" s="2029"/>
      <c r="Q103" s="1043"/>
      <c r="R103" s="1039"/>
      <c r="S103" s="1930"/>
      <c r="T103" s="1931"/>
      <c r="U103" s="1043"/>
      <c r="V103" s="1039"/>
      <c r="W103" s="1930"/>
      <c r="X103" s="1931"/>
      <c r="Y103" s="1043"/>
      <c r="Z103" s="1039"/>
      <c r="AA103" s="2063"/>
      <c r="AB103" s="1931"/>
      <c r="AC103" s="964"/>
      <c r="AD103" s="1040"/>
      <c r="AE103" s="1043"/>
      <c r="AF103" s="1039"/>
      <c r="AG103" s="1930"/>
      <c r="AH103" s="1931"/>
      <c r="AI103" s="1043"/>
      <c r="AJ103" s="1039"/>
      <c r="AK103" s="1930"/>
      <c r="AL103" s="1931"/>
      <c r="AM103" s="1072"/>
      <c r="AN103" s="2029"/>
      <c r="AO103" s="1718"/>
      <c r="AP103" s="1075"/>
      <c r="AQ103" s="1076"/>
      <c r="AR103" s="2099"/>
      <c r="AS103" s="1444"/>
      <c r="AT103" s="2099"/>
      <c r="AU103" s="1043"/>
      <c r="AV103" s="1039"/>
      <c r="AW103" s="1930"/>
      <c r="AX103" s="1931"/>
      <c r="AY103" s="965">
        <v>10</v>
      </c>
      <c r="AZ103" s="1037" t="s">
        <v>1538</v>
      </c>
      <c r="BA103" s="1043"/>
      <c r="BB103" s="1039">
        <v>15000</v>
      </c>
      <c r="BC103" s="1930"/>
      <c r="BD103" s="1931">
        <v>15000</v>
      </c>
      <c r="BE103" s="965"/>
      <c r="BF103" s="1040"/>
      <c r="BG103" s="1043"/>
      <c r="BH103" s="1039"/>
      <c r="BI103" s="1930"/>
      <c r="BJ103" s="1931"/>
      <c r="BK103" s="1043"/>
      <c r="BL103" s="1039"/>
      <c r="BM103" s="1930"/>
      <c r="BN103" s="1931"/>
      <c r="BO103" s="1072"/>
      <c r="BP103" s="1994"/>
      <c r="BQ103" s="1072"/>
      <c r="BR103" s="2029"/>
      <c r="BS103" s="1043"/>
      <c r="BT103" s="1039"/>
      <c r="BU103" s="1930"/>
      <c r="BV103" s="1931"/>
      <c r="BW103" s="1072"/>
      <c r="BX103" s="2029"/>
      <c r="BY103" s="1043"/>
      <c r="BZ103" s="1039"/>
      <c r="CA103" s="1930"/>
      <c r="CB103" s="1931"/>
      <c r="CC103" s="1750"/>
      <c r="CD103" s="2157"/>
      <c r="CE103" s="965"/>
      <c r="CF103" s="1040"/>
      <c r="CG103" s="1043"/>
      <c r="CH103" s="1039"/>
      <c r="CI103" s="1930"/>
      <c r="CJ103" s="1931"/>
      <c r="CK103" s="965"/>
      <c r="CL103" s="1040"/>
      <c r="CM103" s="1043"/>
      <c r="CN103" s="1039"/>
      <c r="CO103" s="1930"/>
      <c r="CP103" s="1931"/>
      <c r="CQ103" s="1043"/>
      <c r="CR103" s="1039"/>
      <c r="CS103" s="1930"/>
      <c r="CT103" s="1931"/>
      <c r="CU103" s="1043"/>
      <c r="CV103" s="1039"/>
      <c r="CW103" s="1930"/>
      <c r="CX103" s="1931"/>
      <c r="CY103" s="1043"/>
      <c r="CZ103" s="1039"/>
      <c r="DA103" s="1930"/>
      <c r="DB103" s="1931"/>
      <c r="DC103" s="1072"/>
      <c r="DD103" s="2029"/>
      <c r="DE103" s="1043"/>
      <c r="DF103" s="1039"/>
      <c r="DG103" s="1930"/>
      <c r="DH103" s="1931"/>
      <c r="DI103" s="964"/>
      <c r="DJ103" s="1040"/>
      <c r="DK103" s="1072"/>
      <c r="DL103" s="1994"/>
      <c r="DM103" s="1072"/>
      <c r="DN103" s="1994"/>
      <c r="DO103" s="1072"/>
      <c r="DP103" s="2029"/>
      <c r="DQ103" s="965"/>
      <c r="DR103" s="1042"/>
      <c r="DS103" s="1043"/>
      <c r="DT103" s="1039"/>
      <c r="DU103" s="1930"/>
      <c r="DV103" s="1931"/>
      <c r="DW103" s="965"/>
      <c r="DX103" s="1040"/>
      <c r="DY103" s="1043"/>
      <c r="DZ103" s="1039"/>
      <c r="EA103" s="1930"/>
      <c r="EB103" s="1931"/>
      <c r="EC103" s="1072"/>
      <c r="ED103" s="2029"/>
      <c r="EE103" s="965"/>
      <c r="EF103" s="1040"/>
      <c r="EG103" s="1072"/>
      <c r="EH103" s="2029"/>
      <c r="EI103" s="1043"/>
      <c r="EJ103" s="1039"/>
      <c r="EK103" s="2217"/>
      <c r="EL103" s="1931"/>
      <c r="EM103" s="2202">
        <f t="shared" si="70"/>
        <v>0</v>
      </c>
      <c r="EN103" s="1585">
        <f t="shared" si="71"/>
        <v>15000</v>
      </c>
      <c r="EO103" s="1585">
        <f t="shared" si="72"/>
        <v>0</v>
      </c>
      <c r="EP103" s="1597">
        <f t="shared" si="52"/>
        <v>15000</v>
      </c>
      <c r="EQ103" s="1162">
        <f t="shared" si="53"/>
        <v>0</v>
      </c>
      <c r="ER103" s="1785">
        <f t="shared" si="54"/>
        <v>15000</v>
      </c>
      <c r="ES103" s="1785">
        <f t="shared" si="55"/>
        <v>0</v>
      </c>
      <c r="ET103" s="1070">
        <f t="shared" si="56"/>
        <v>15000</v>
      </c>
    </row>
    <row r="104" spans="1:150" x14ac:dyDescent="0.25">
      <c r="A104" s="965"/>
      <c r="B104" s="1040"/>
      <c r="C104" s="1043"/>
      <c r="D104" s="1039"/>
      <c r="E104" s="1930"/>
      <c r="F104" s="1931"/>
      <c r="G104" s="1072"/>
      <c r="H104" s="1994"/>
      <c r="I104" s="1072"/>
      <c r="J104" s="1994"/>
      <c r="K104" s="1072"/>
      <c r="L104" s="2029"/>
      <c r="M104" s="965"/>
      <c r="N104" s="1037"/>
      <c r="O104" s="1072"/>
      <c r="P104" s="2029"/>
      <c r="Q104" s="1043"/>
      <c r="R104" s="1039"/>
      <c r="S104" s="1930"/>
      <c r="T104" s="1931"/>
      <c r="U104" s="1043"/>
      <c r="V104" s="1039"/>
      <c r="W104" s="1930"/>
      <c r="X104" s="1931"/>
      <c r="Y104" s="1043"/>
      <c r="Z104" s="1039"/>
      <c r="AA104" s="2063"/>
      <c r="AB104" s="1931"/>
      <c r="AC104" s="964"/>
      <c r="AD104" s="1040"/>
      <c r="AE104" s="1043"/>
      <c r="AF104" s="1039"/>
      <c r="AG104" s="1930"/>
      <c r="AH104" s="1931"/>
      <c r="AI104" s="1043"/>
      <c r="AJ104" s="1039"/>
      <c r="AK104" s="1930"/>
      <c r="AL104" s="1931"/>
      <c r="AM104" s="1072"/>
      <c r="AN104" s="2029"/>
      <c r="AO104" s="1718"/>
      <c r="AP104" s="1075"/>
      <c r="AQ104" s="1076"/>
      <c r="AR104" s="2099"/>
      <c r="AS104" s="1444"/>
      <c r="AT104" s="2099"/>
      <c r="AU104" s="1043"/>
      <c r="AV104" s="1039"/>
      <c r="AW104" s="1930"/>
      <c r="AX104" s="1931"/>
      <c r="AY104" s="965">
        <v>11</v>
      </c>
      <c r="AZ104" s="1037" t="s">
        <v>1539</v>
      </c>
      <c r="BA104" s="1043"/>
      <c r="BB104" s="1039">
        <f>5000-3500</f>
        <v>1500</v>
      </c>
      <c r="BC104" s="1930"/>
      <c r="BD104" s="1931">
        <v>1500</v>
      </c>
      <c r="BE104" s="965"/>
      <c r="BF104" s="1040"/>
      <c r="BG104" s="1043"/>
      <c r="BH104" s="1039"/>
      <c r="BI104" s="1930"/>
      <c r="BJ104" s="1931"/>
      <c r="BK104" s="1043"/>
      <c r="BL104" s="1039"/>
      <c r="BM104" s="1930"/>
      <c r="BN104" s="1931"/>
      <c r="BO104" s="1072"/>
      <c r="BP104" s="1994"/>
      <c r="BQ104" s="1072"/>
      <c r="BR104" s="2029"/>
      <c r="BS104" s="1043"/>
      <c r="BT104" s="1039"/>
      <c r="BU104" s="1930"/>
      <c r="BV104" s="1931"/>
      <c r="BW104" s="1072"/>
      <c r="BX104" s="2029"/>
      <c r="BY104" s="1043"/>
      <c r="BZ104" s="1039"/>
      <c r="CA104" s="1930"/>
      <c r="CB104" s="1931"/>
      <c r="CC104" s="1750"/>
      <c r="CD104" s="2157"/>
      <c r="CE104" s="965"/>
      <c r="CF104" s="1040"/>
      <c r="CG104" s="1043"/>
      <c r="CH104" s="1039"/>
      <c r="CI104" s="1930"/>
      <c r="CJ104" s="1931"/>
      <c r="CK104" s="965"/>
      <c r="CL104" s="1040"/>
      <c r="CM104" s="1043"/>
      <c r="CN104" s="1039"/>
      <c r="CO104" s="1930"/>
      <c r="CP104" s="1931"/>
      <c r="CQ104" s="1043"/>
      <c r="CR104" s="1039"/>
      <c r="CS104" s="1930"/>
      <c r="CT104" s="1931"/>
      <c r="CU104" s="1043"/>
      <c r="CV104" s="1039"/>
      <c r="CW104" s="1930"/>
      <c r="CX104" s="1931"/>
      <c r="CY104" s="1043"/>
      <c r="CZ104" s="1039"/>
      <c r="DA104" s="1930"/>
      <c r="DB104" s="1931"/>
      <c r="DC104" s="1072"/>
      <c r="DD104" s="2029"/>
      <c r="DE104" s="1043"/>
      <c r="DF104" s="1039"/>
      <c r="DG104" s="1930"/>
      <c r="DH104" s="1931"/>
      <c r="DI104" s="964"/>
      <c r="DJ104" s="1040"/>
      <c r="DK104" s="1072"/>
      <c r="DL104" s="1994"/>
      <c r="DM104" s="1072"/>
      <c r="DN104" s="1994"/>
      <c r="DO104" s="1072"/>
      <c r="DP104" s="2029"/>
      <c r="DQ104" s="965"/>
      <c r="DR104" s="1042"/>
      <c r="DS104" s="1043"/>
      <c r="DT104" s="1039"/>
      <c r="DU104" s="1930"/>
      <c r="DV104" s="1931"/>
      <c r="DW104" s="965"/>
      <c r="DX104" s="1040"/>
      <c r="DY104" s="1043"/>
      <c r="DZ104" s="1039"/>
      <c r="EA104" s="1930"/>
      <c r="EB104" s="1931"/>
      <c r="EC104" s="1072"/>
      <c r="ED104" s="2029"/>
      <c r="EE104" s="965"/>
      <c r="EF104" s="1040"/>
      <c r="EG104" s="1072"/>
      <c r="EH104" s="2029"/>
      <c r="EI104" s="1043"/>
      <c r="EJ104" s="1039"/>
      <c r="EK104" s="2217"/>
      <c r="EL104" s="1931"/>
      <c r="EM104" s="2202">
        <f t="shared" si="70"/>
        <v>0</v>
      </c>
      <c r="EN104" s="1585">
        <f t="shared" si="71"/>
        <v>1500</v>
      </c>
      <c r="EO104" s="1585">
        <f t="shared" si="72"/>
        <v>0</v>
      </c>
      <c r="EP104" s="1597"/>
      <c r="EQ104" s="1162">
        <f t="shared" si="53"/>
        <v>0</v>
      </c>
      <c r="ER104" s="1785">
        <f t="shared" si="54"/>
        <v>1500</v>
      </c>
      <c r="ES104" s="1785">
        <f t="shared" si="55"/>
        <v>0</v>
      </c>
      <c r="ET104" s="1070">
        <f t="shared" si="56"/>
        <v>1500</v>
      </c>
    </row>
    <row r="105" spans="1:150" ht="26.4" x14ac:dyDescent="0.25">
      <c r="A105" s="965"/>
      <c r="B105" s="1040"/>
      <c r="C105" s="1043"/>
      <c r="D105" s="1039"/>
      <c r="E105" s="1930"/>
      <c r="F105" s="1931"/>
      <c r="G105" s="1072"/>
      <c r="H105" s="1994"/>
      <c r="I105" s="1072"/>
      <c r="J105" s="1994"/>
      <c r="K105" s="1072"/>
      <c r="L105" s="2029"/>
      <c r="M105" s="965"/>
      <c r="N105" s="1037"/>
      <c r="O105" s="1072"/>
      <c r="P105" s="2029"/>
      <c r="Q105" s="1043"/>
      <c r="R105" s="1039"/>
      <c r="S105" s="1930"/>
      <c r="T105" s="1931"/>
      <c r="U105" s="1043"/>
      <c r="V105" s="1039"/>
      <c r="W105" s="1930"/>
      <c r="X105" s="1931"/>
      <c r="Y105" s="1043"/>
      <c r="Z105" s="1039"/>
      <c r="AA105" s="2063"/>
      <c r="AB105" s="1931"/>
      <c r="AC105" s="964"/>
      <c r="AD105" s="1040"/>
      <c r="AE105" s="1043"/>
      <c r="AF105" s="1039"/>
      <c r="AG105" s="1930"/>
      <c r="AH105" s="1931"/>
      <c r="AI105" s="1043"/>
      <c r="AJ105" s="1039"/>
      <c r="AK105" s="1930"/>
      <c r="AL105" s="1931"/>
      <c r="AM105" s="1072"/>
      <c r="AN105" s="2029"/>
      <c r="AO105" s="1718"/>
      <c r="AP105" s="1075"/>
      <c r="AQ105" s="1076"/>
      <c r="AR105" s="2099"/>
      <c r="AS105" s="1444"/>
      <c r="AT105" s="2099"/>
      <c r="AU105" s="1043"/>
      <c r="AV105" s="1039"/>
      <c r="AW105" s="1930"/>
      <c r="AX105" s="1931"/>
      <c r="AY105" s="965">
        <v>12</v>
      </c>
      <c r="AZ105" s="1037" t="s">
        <v>1540</v>
      </c>
      <c r="BA105" s="1043"/>
      <c r="BB105" s="1039">
        <f>2500-1000</f>
        <v>1500</v>
      </c>
      <c r="BC105" s="1930"/>
      <c r="BD105" s="1931">
        <v>2500</v>
      </c>
      <c r="BE105" s="965"/>
      <c r="BF105" s="1040"/>
      <c r="BG105" s="1043"/>
      <c r="BH105" s="1039"/>
      <c r="BI105" s="1930"/>
      <c r="BJ105" s="1931"/>
      <c r="BK105" s="1043"/>
      <c r="BL105" s="1039"/>
      <c r="BM105" s="1930"/>
      <c r="BN105" s="1931"/>
      <c r="BO105" s="1072"/>
      <c r="BP105" s="1994"/>
      <c r="BQ105" s="1072"/>
      <c r="BR105" s="2029"/>
      <c r="BS105" s="1043"/>
      <c r="BT105" s="1039"/>
      <c r="BU105" s="1930"/>
      <c r="BV105" s="1931"/>
      <c r="BW105" s="1072"/>
      <c r="BX105" s="2029"/>
      <c r="BY105" s="1043"/>
      <c r="BZ105" s="1039"/>
      <c r="CA105" s="1930"/>
      <c r="CB105" s="1931"/>
      <c r="CC105" s="1750"/>
      <c r="CD105" s="2157"/>
      <c r="CE105" s="965"/>
      <c r="CF105" s="1040"/>
      <c r="CG105" s="1043"/>
      <c r="CH105" s="1039"/>
      <c r="CI105" s="1930"/>
      <c r="CJ105" s="1931"/>
      <c r="CK105" s="965"/>
      <c r="CL105" s="1040"/>
      <c r="CM105" s="1043"/>
      <c r="CN105" s="1039"/>
      <c r="CO105" s="1930"/>
      <c r="CP105" s="1931"/>
      <c r="CQ105" s="1043"/>
      <c r="CR105" s="1039"/>
      <c r="CS105" s="1930"/>
      <c r="CT105" s="1931"/>
      <c r="CU105" s="1043"/>
      <c r="CV105" s="1039"/>
      <c r="CW105" s="1930"/>
      <c r="CX105" s="1931"/>
      <c r="CY105" s="1043"/>
      <c r="CZ105" s="1039"/>
      <c r="DA105" s="1930"/>
      <c r="DB105" s="1931"/>
      <c r="DC105" s="1072"/>
      <c r="DD105" s="2029"/>
      <c r="DE105" s="1043"/>
      <c r="DF105" s="1039"/>
      <c r="DG105" s="1930"/>
      <c r="DH105" s="1931"/>
      <c r="DI105" s="964"/>
      <c r="DJ105" s="1040"/>
      <c r="DK105" s="1072"/>
      <c r="DL105" s="1994"/>
      <c r="DM105" s="1072"/>
      <c r="DN105" s="1994"/>
      <c r="DO105" s="1072"/>
      <c r="DP105" s="2029"/>
      <c r="DQ105" s="965"/>
      <c r="DR105" s="1042"/>
      <c r="DS105" s="1043"/>
      <c r="DT105" s="1039"/>
      <c r="DU105" s="1930"/>
      <c r="DV105" s="1931"/>
      <c r="DW105" s="965"/>
      <c r="DX105" s="1040"/>
      <c r="DY105" s="1043"/>
      <c r="DZ105" s="1039"/>
      <c r="EA105" s="1930"/>
      <c r="EB105" s="1931"/>
      <c r="EC105" s="1072"/>
      <c r="ED105" s="2029"/>
      <c r="EE105" s="965"/>
      <c r="EF105" s="1040"/>
      <c r="EG105" s="1072"/>
      <c r="EH105" s="2029"/>
      <c r="EI105" s="1043"/>
      <c r="EJ105" s="1039"/>
      <c r="EK105" s="2217"/>
      <c r="EL105" s="1931"/>
      <c r="EM105" s="2202">
        <f t="shared" si="70"/>
        <v>0</v>
      </c>
      <c r="EN105" s="1585">
        <f t="shared" si="71"/>
        <v>2500</v>
      </c>
      <c r="EO105" s="1585">
        <f t="shared" si="72"/>
        <v>0</v>
      </c>
      <c r="EP105" s="1597">
        <f t="shared" si="52"/>
        <v>2500</v>
      </c>
      <c r="EQ105" s="1162">
        <f t="shared" si="53"/>
        <v>0</v>
      </c>
      <c r="ER105" s="1785">
        <f t="shared" si="54"/>
        <v>1500</v>
      </c>
      <c r="ES105" s="1785">
        <f t="shared" si="55"/>
        <v>0</v>
      </c>
      <c r="ET105" s="1070">
        <f t="shared" si="56"/>
        <v>1500</v>
      </c>
    </row>
    <row r="106" spans="1:150" ht="26.4" x14ac:dyDescent="0.25">
      <c r="A106" s="965"/>
      <c r="B106" s="1040"/>
      <c r="C106" s="1043"/>
      <c r="D106" s="1039"/>
      <c r="E106" s="1930"/>
      <c r="F106" s="1931"/>
      <c r="G106" s="1072"/>
      <c r="H106" s="1994"/>
      <c r="I106" s="1072"/>
      <c r="J106" s="1994"/>
      <c r="K106" s="1072"/>
      <c r="L106" s="2029"/>
      <c r="M106" s="965"/>
      <c r="N106" s="1037"/>
      <c r="O106" s="1072"/>
      <c r="P106" s="2029"/>
      <c r="Q106" s="1043"/>
      <c r="R106" s="1039"/>
      <c r="S106" s="1930"/>
      <c r="T106" s="1931"/>
      <c r="U106" s="1043"/>
      <c r="V106" s="1039"/>
      <c r="W106" s="1930"/>
      <c r="X106" s="1931"/>
      <c r="Y106" s="1043"/>
      <c r="Z106" s="1039"/>
      <c r="AA106" s="2063"/>
      <c r="AB106" s="1931"/>
      <c r="AC106" s="964"/>
      <c r="AD106" s="1040"/>
      <c r="AE106" s="1043"/>
      <c r="AF106" s="1039"/>
      <c r="AG106" s="1930"/>
      <c r="AH106" s="1931"/>
      <c r="AI106" s="1043"/>
      <c r="AJ106" s="1039"/>
      <c r="AK106" s="1930"/>
      <c r="AL106" s="1931"/>
      <c r="AM106" s="1072"/>
      <c r="AN106" s="2029"/>
      <c r="AO106" s="1718"/>
      <c r="AP106" s="1075"/>
      <c r="AQ106" s="1076"/>
      <c r="AR106" s="2099"/>
      <c r="AS106" s="1444"/>
      <c r="AT106" s="2099"/>
      <c r="AU106" s="1043"/>
      <c r="AV106" s="1039"/>
      <c r="AW106" s="1930"/>
      <c r="AX106" s="1931"/>
      <c r="AY106" s="965">
        <v>13</v>
      </c>
      <c r="AZ106" s="1037" t="s">
        <v>1541</v>
      </c>
      <c r="BA106" s="1043"/>
      <c r="BB106" s="1039">
        <v>6000</v>
      </c>
      <c r="BC106" s="1930"/>
      <c r="BD106" s="1931">
        <v>6000</v>
      </c>
      <c r="BE106" s="965"/>
      <c r="BF106" s="1040"/>
      <c r="BG106" s="1043"/>
      <c r="BH106" s="1039"/>
      <c r="BI106" s="1930"/>
      <c r="BJ106" s="1931"/>
      <c r="BK106" s="1043"/>
      <c r="BL106" s="1039"/>
      <c r="BM106" s="1930"/>
      <c r="BN106" s="1931"/>
      <c r="BO106" s="1072"/>
      <c r="BP106" s="1994"/>
      <c r="BQ106" s="1072"/>
      <c r="BR106" s="2029"/>
      <c r="BS106" s="1043"/>
      <c r="BT106" s="1039"/>
      <c r="BU106" s="1930"/>
      <c r="BV106" s="1931"/>
      <c r="BW106" s="1072"/>
      <c r="BX106" s="2029"/>
      <c r="BY106" s="1043"/>
      <c r="BZ106" s="1039"/>
      <c r="CA106" s="1930"/>
      <c r="CB106" s="1931"/>
      <c r="CC106" s="1750"/>
      <c r="CD106" s="2157"/>
      <c r="CE106" s="965"/>
      <c r="CF106" s="1040"/>
      <c r="CG106" s="1043"/>
      <c r="CH106" s="1039"/>
      <c r="CI106" s="1930"/>
      <c r="CJ106" s="1931"/>
      <c r="CK106" s="965"/>
      <c r="CL106" s="1040"/>
      <c r="CM106" s="1043"/>
      <c r="CN106" s="1039"/>
      <c r="CO106" s="1930"/>
      <c r="CP106" s="1931"/>
      <c r="CQ106" s="1043"/>
      <c r="CR106" s="1039"/>
      <c r="CS106" s="1930"/>
      <c r="CT106" s="1931"/>
      <c r="CU106" s="1043"/>
      <c r="CV106" s="1039"/>
      <c r="CW106" s="1930"/>
      <c r="CX106" s="1931"/>
      <c r="CY106" s="1043"/>
      <c r="CZ106" s="1039"/>
      <c r="DA106" s="1930"/>
      <c r="DB106" s="1931"/>
      <c r="DC106" s="1072"/>
      <c r="DD106" s="2029"/>
      <c r="DE106" s="1043"/>
      <c r="DF106" s="1039"/>
      <c r="DG106" s="1930"/>
      <c r="DH106" s="1931"/>
      <c r="DI106" s="964"/>
      <c r="DJ106" s="1040"/>
      <c r="DK106" s="1072"/>
      <c r="DL106" s="1994"/>
      <c r="DM106" s="1072"/>
      <c r="DN106" s="1994"/>
      <c r="DO106" s="1072"/>
      <c r="DP106" s="2029"/>
      <c r="DQ106" s="965"/>
      <c r="DR106" s="1042"/>
      <c r="DS106" s="1043"/>
      <c r="DT106" s="1039"/>
      <c r="DU106" s="1930"/>
      <c r="DV106" s="1931"/>
      <c r="DW106" s="965"/>
      <c r="DX106" s="1040"/>
      <c r="DY106" s="1043"/>
      <c r="DZ106" s="1039"/>
      <c r="EA106" s="1930"/>
      <c r="EB106" s="1931"/>
      <c r="EC106" s="1072"/>
      <c r="ED106" s="2029"/>
      <c r="EE106" s="965"/>
      <c r="EF106" s="1040"/>
      <c r="EG106" s="1072"/>
      <c r="EH106" s="2029"/>
      <c r="EI106" s="1043"/>
      <c r="EJ106" s="1039"/>
      <c r="EK106" s="2217"/>
      <c r="EL106" s="1931"/>
      <c r="EM106" s="2202">
        <f t="shared" si="70"/>
        <v>0</v>
      </c>
      <c r="EN106" s="1585">
        <f t="shared" si="71"/>
        <v>6000</v>
      </c>
      <c r="EO106" s="1585">
        <f t="shared" si="72"/>
        <v>0</v>
      </c>
      <c r="EP106" s="1597">
        <f t="shared" si="52"/>
        <v>6000</v>
      </c>
      <c r="EQ106" s="1162">
        <f t="shared" si="53"/>
        <v>0</v>
      </c>
      <c r="ER106" s="1785">
        <f t="shared" si="54"/>
        <v>6000</v>
      </c>
      <c r="ES106" s="1785">
        <f t="shared" si="55"/>
        <v>0</v>
      </c>
      <c r="ET106" s="1070">
        <f t="shared" si="56"/>
        <v>6000</v>
      </c>
    </row>
    <row r="107" spans="1:150" x14ac:dyDescent="0.25">
      <c r="A107" s="965"/>
      <c r="B107" s="1040"/>
      <c r="C107" s="1043"/>
      <c r="D107" s="1039"/>
      <c r="E107" s="1930"/>
      <c r="F107" s="1931"/>
      <c r="G107" s="1072"/>
      <c r="H107" s="1994"/>
      <c r="I107" s="1072"/>
      <c r="J107" s="1994"/>
      <c r="K107" s="1072"/>
      <c r="L107" s="2029"/>
      <c r="M107" s="965"/>
      <c r="N107" s="1037"/>
      <c r="O107" s="1072"/>
      <c r="P107" s="2029"/>
      <c r="Q107" s="1043"/>
      <c r="R107" s="1039"/>
      <c r="S107" s="1930"/>
      <c r="T107" s="1931"/>
      <c r="U107" s="1043"/>
      <c r="V107" s="1039"/>
      <c r="W107" s="1930"/>
      <c r="X107" s="1931"/>
      <c r="Y107" s="1043"/>
      <c r="Z107" s="1039"/>
      <c r="AA107" s="2063"/>
      <c r="AB107" s="1931"/>
      <c r="AC107" s="964"/>
      <c r="AD107" s="1040"/>
      <c r="AE107" s="1043"/>
      <c r="AF107" s="1039"/>
      <c r="AG107" s="1930"/>
      <c r="AH107" s="1931"/>
      <c r="AI107" s="1043"/>
      <c r="AJ107" s="1039"/>
      <c r="AK107" s="1930"/>
      <c r="AL107" s="1931"/>
      <c r="AM107" s="1072"/>
      <c r="AN107" s="2029"/>
      <c r="AO107" s="1718"/>
      <c r="AP107" s="1075"/>
      <c r="AQ107" s="1076"/>
      <c r="AR107" s="2099"/>
      <c r="AS107" s="1444"/>
      <c r="AT107" s="2099"/>
      <c r="AU107" s="1043"/>
      <c r="AV107" s="1039"/>
      <c r="AW107" s="1930"/>
      <c r="AX107" s="1931"/>
      <c r="AY107" s="965">
        <v>14</v>
      </c>
      <c r="AZ107" s="1037" t="s">
        <v>1542</v>
      </c>
      <c r="BA107" s="1043">
        <v>25000</v>
      </c>
      <c r="BB107" s="1039"/>
      <c r="BC107" s="1930">
        <v>25000</v>
      </c>
      <c r="BD107" s="1931"/>
      <c r="BE107" s="965"/>
      <c r="BF107" s="1040"/>
      <c r="BG107" s="1043"/>
      <c r="BH107" s="1039"/>
      <c r="BI107" s="1930"/>
      <c r="BJ107" s="1931"/>
      <c r="BK107" s="1043"/>
      <c r="BL107" s="1039"/>
      <c r="BM107" s="1930"/>
      <c r="BN107" s="1931"/>
      <c r="BO107" s="1072"/>
      <c r="BP107" s="1994"/>
      <c r="BQ107" s="1072"/>
      <c r="BR107" s="2029"/>
      <c r="BS107" s="1043"/>
      <c r="BT107" s="1039"/>
      <c r="BU107" s="1930"/>
      <c r="BV107" s="1931"/>
      <c r="BW107" s="1072"/>
      <c r="BX107" s="2029"/>
      <c r="BY107" s="1043"/>
      <c r="BZ107" s="1039"/>
      <c r="CA107" s="1930"/>
      <c r="CB107" s="1931"/>
      <c r="CC107" s="1750"/>
      <c r="CD107" s="2157"/>
      <c r="CE107" s="965"/>
      <c r="CF107" s="1040"/>
      <c r="CG107" s="1043"/>
      <c r="CH107" s="1039"/>
      <c r="CI107" s="1930"/>
      <c r="CJ107" s="1931"/>
      <c r="CK107" s="965"/>
      <c r="CL107" s="1040"/>
      <c r="CM107" s="1043"/>
      <c r="CN107" s="1039"/>
      <c r="CO107" s="1930"/>
      <c r="CP107" s="1931"/>
      <c r="CQ107" s="1043"/>
      <c r="CR107" s="1039"/>
      <c r="CS107" s="1930"/>
      <c r="CT107" s="1931"/>
      <c r="CU107" s="1043"/>
      <c r="CV107" s="1039"/>
      <c r="CW107" s="1930"/>
      <c r="CX107" s="1931"/>
      <c r="CY107" s="1043"/>
      <c r="CZ107" s="1039"/>
      <c r="DA107" s="1930"/>
      <c r="DB107" s="1931"/>
      <c r="DC107" s="1072"/>
      <c r="DD107" s="2029"/>
      <c r="DE107" s="1043"/>
      <c r="DF107" s="1039"/>
      <c r="DG107" s="1930"/>
      <c r="DH107" s="1931"/>
      <c r="DI107" s="964"/>
      <c r="DJ107" s="1040"/>
      <c r="DK107" s="1072"/>
      <c r="DL107" s="1994"/>
      <c r="DM107" s="1072"/>
      <c r="DN107" s="1994"/>
      <c r="DO107" s="1072"/>
      <c r="DP107" s="2029"/>
      <c r="DQ107" s="965"/>
      <c r="DR107" s="1042"/>
      <c r="DS107" s="1043"/>
      <c r="DT107" s="1039"/>
      <c r="DU107" s="1930"/>
      <c r="DV107" s="1931"/>
      <c r="DW107" s="965"/>
      <c r="DX107" s="1040"/>
      <c r="DY107" s="1043"/>
      <c r="DZ107" s="1039"/>
      <c r="EA107" s="1930"/>
      <c r="EB107" s="1931"/>
      <c r="EC107" s="1072"/>
      <c r="ED107" s="2029"/>
      <c r="EE107" s="965"/>
      <c r="EF107" s="1040"/>
      <c r="EG107" s="1072"/>
      <c r="EH107" s="2029"/>
      <c r="EI107" s="1043"/>
      <c r="EJ107" s="1039"/>
      <c r="EK107" s="2217"/>
      <c r="EL107" s="1931"/>
      <c r="EM107" s="2202">
        <f t="shared" si="70"/>
        <v>25000</v>
      </c>
      <c r="EN107" s="1585">
        <f t="shared" si="71"/>
        <v>0</v>
      </c>
      <c r="EO107" s="1585">
        <f t="shared" si="72"/>
        <v>0</v>
      </c>
      <c r="EP107" s="1597">
        <f t="shared" si="52"/>
        <v>25000</v>
      </c>
      <c r="EQ107" s="1162">
        <f t="shared" si="53"/>
        <v>25000</v>
      </c>
      <c r="ER107" s="1785">
        <f t="shared" si="54"/>
        <v>0</v>
      </c>
      <c r="ES107" s="1785">
        <f t="shared" si="55"/>
        <v>0</v>
      </c>
      <c r="ET107" s="1070">
        <f t="shared" si="56"/>
        <v>25000</v>
      </c>
    </row>
    <row r="108" spans="1:150" ht="26.4" x14ac:dyDescent="0.25">
      <c r="A108" s="965"/>
      <c r="B108" s="1040"/>
      <c r="C108" s="1043"/>
      <c r="D108" s="1039"/>
      <c r="E108" s="1930"/>
      <c r="F108" s="1931"/>
      <c r="G108" s="1072"/>
      <c r="H108" s="1994"/>
      <c r="I108" s="1072"/>
      <c r="J108" s="1994"/>
      <c r="K108" s="1072"/>
      <c r="L108" s="2029"/>
      <c r="M108" s="965"/>
      <c r="N108" s="1037"/>
      <c r="O108" s="1072"/>
      <c r="P108" s="2029"/>
      <c r="Q108" s="1043"/>
      <c r="R108" s="1039"/>
      <c r="S108" s="1930"/>
      <c r="T108" s="1931"/>
      <c r="U108" s="1043"/>
      <c r="V108" s="1039"/>
      <c r="W108" s="1930"/>
      <c r="X108" s="1931"/>
      <c r="Y108" s="1043"/>
      <c r="Z108" s="1039"/>
      <c r="AA108" s="2063"/>
      <c r="AB108" s="1931"/>
      <c r="AC108" s="964"/>
      <c r="AD108" s="1040"/>
      <c r="AE108" s="1043"/>
      <c r="AF108" s="1039"/>
      <c r="AG108" s="1930"/>
      <c r="AH108" s="1931"/>
      <c r="AI108" s="1043"/>
      <c r="AJ108" s="1039"/>
      <c r="AK108" s="1930"/>
      <c r="AL108" s="1931"/>
      <c r="AM108" s="1072"/>
      <c r="AN108" s="2029"/>
      <c r="AO108" s="1718"/>
      <c r="AP108" s="1075"/>
      <c r="AQ108" s="1076"/>
      <c r="AR108" s="2099"/>
      <c r="AS108" s="1444"/>
      <c r="AT108" s="2099"/>
      <c r="AU108" s="1043"/>
      <c r="AV108" s="1039"/>
      <c r="AW108" s="1930"/>
      <c r="AX108" s="1931"/>
      <c r="AY108" s="965">
        <v>15</v>
      </c>
      <c r="AZ108" s="1037" t="s">
        <v>2290</v>
      </c>
      <c r="BA108" s="1043"/>
      <c r="BB108" s="1039">
        <v>27151</v>
      </c>
      <c r="BC108" s="1930"/>
      <c r="BD108" s="1931">
        <v>4000</v>
      </c>
      <c r="BE108" s="965"/>
      <c r="BF108" s="1040"/>
      <c r="BG108" s="1043"/>
      <c r="BH108" s="1039"/>
      <c r="BI108" s="1930"/>
      <c r="BJ108" s="1931"/>
      <c r="BK108" s="1043"/>
      <c r="BL108" s="1039"/>
      <c r="BM108" s="1930"/>
      <c r="BN108" s="1931"/>
      <c r="BO108" s="1072"/>
      <c r="BP108" s="1994"/>
      <c r="BQ108" s="1072"/>
      <c r="BR108" s="2029"/>
      <c r="BS108" s="1043"/>
      <c r="BT108" s="1039"/>
      <c r="BU108" s="1930"/>
      <c r="BV108" s="1931"/>
      <c r="BW108" s="1072"/>
      <c r="BX108" s="2029"/>
      <c r="BY108" s="1043"/>
      <c r="BZ108" s="1039"/>
      <c r="CA108" s="1930"/>
      <c r="CB108" s="1931"/>
      <c r="CC108" s="1751"/>
      <c r="CD108" s="2158"/>
      <c r="CE108" s="965"/>
      <c r="CF108" s="1040"/>
      <c r="CG108" s="1043"/>
      <c r="CH108" s="1039"/>
      <c r="CI108" s="1930"/>
      <c r="CJ108" s="1931"/>
      <c r="CK108" s="965"/>
      <c r="CL108" s="1040"/>
      <c r="CM108" s="1043"/>
      <c r="CN108" s="1039"/>
      <c r="CO108" s="1930"/>
      <c r="CP108" s="1931"/>
      <c r="CQ108" s="1043"/>
      <c r="CR108" s="1039"/>
      <c r="CS108" s="1930"/>
      <c r="CT108" s="1931"/>
      <c r="CU108" s="1043"/>
      <c r="CV108" s="1039"/>
      <c r="CW108" s="1930"/>
      <c r="CX108" s="1931"/>
      <c r="CY108" s="1043"/>
      <c r="CZ108" s="1039"/>
      <c r="DA108" s="1930"/>
      <c r="DB108" s="1931"/>
      <c r="DC108" s="1072"/>
      <c r="DD108" s="2029"/>
      <c r="DE108" s="1043"/>
      <c r="DF108" s="1039"/>
      <c r="DG108" s="1930"/>
      <c r="DH108" s="1931"/>
      <c r="DI108" s="964"/>
      <c r="DJ108" s="1040"/>
      <c r="DK108" s="1072"/>
      <c r="DL108" s="1994"/>
      <c r="DM108" s="1072"/>
      <c r="DN108" s="1994"/>
      <c r="DO108" s="1072"/>
      <c r="DP108" s="2029"/>
      <c r="DQ108" s="965"/>
      <c r="DR108" s="1042"/>
      <c r="DS108" s="1043"/>
      <c r="DT108" s="1039"/>
      <c r="DU108" s="1930"/>
      <c r="DV108" s="1931"/>
      <c r="DW108" s="965"/>
      <c r="DX108" s="1040"/>
      <c r="DY108" s="1043"/>
      <c r="DZ108" s="1039"/>
      <c r="EA108" s="1930"/>
      <c r="EB108" s="1931"/>
      <c r="EC108" s="1072"/>
      <c r="ED108" s="2029"/>
      <c r="EE108" s="965"/>
      <c r="EF108" s="1040"/>
      <c r="EG108" s="1072"/>
      <c r="EH108" s="2029"/>
      <c r="EI108" s="1043"/>
      <c r="EJ108" s="1039"/>
      <c r="EK108" s="1930"/>
      <c r="EL108" s="1931"/>
      <c r="EM108" s="2202">
        <f t="shared" si="70"/>
        <v>0</v>
      </c>
      <c r="EN108" s="1585">
        <f t="shared" si="71"/>
        <v>4000</v>
      </c>
      <c r="EO108" s="1585">
        <f t="shared" si="72"/>
        <v>0</v>
      </c>
      <c r="EP108" s="1597"/>
      <c r="EQ108" s="1162"/>
      <c r="ER108" s="1785"/>
      <c r="ES108" s="1785"/>
      <c r="ET108" s="1070"/>
    </row>
    <row r="109" spans="1:150" ht="19.95" customHeight="1" thickBot="1" x14ac:dyDescent="0.3">
      <c r="A109" s="968"/>
      <c r="B109" s="969" t="s">
        <v>1543</v>
      </c>
      <c r="C109" s="1656">
        <f t="shared" ref="C109:L109" si="73">SUM(C93:C107)</f>
        <v>0</v>
      </c>
      <c r="D109" s="1642">
        <f t="shared" si="73"/>
        <v>0</v>
      </c>
      <c r="E109" s="1926">
        <f t="shared" si="73"/>
        <v>0</v>
      </c>
      <c r="F109" s="1927">
        <f t="shared" si="73"/>
        <v>0</v>
      </c>
      <c r="G109" s="1058">
        <f t="shared" si="73"/>
        <v>0</v>
      </c>
      <c r="H109" s="1992">
        <f t="shared" si="73"/>
        <v>0</v>
      </c>
      <c r="I109" s="1058">
        <f t="shared" si="73"/>
        <v>0</v>
      </c>
      <c r="J109" s="1992">
        <f t="shared" si="73"/>
        <v>0</v>
      </c>
      <c r="K109" s="1058">
        <f t="shared" si="73"/>
        <v>0</v>
      </c>
      <c r="L109" s="1992">
        <f t="shared" si="73"/>
        <v>0</v>
      </c>
      <c r="M109" s="968"/>
      <c r="N109" s="969" t="s">
        <v>1543</v>
      </c>
      <c r="O109" s="1058">
        <f t="shared" ref="O109:AB109" si="74">SUM(O93:O107)</f>
        <v>0</v>
      </c>
      <c r="P109" s="1992">
        <f t="shared" si="74"/>
        <v>0</v>
      </c>
      <c r="Q109" s="1656">
        <f t="shared" si="74"/>
        <v>0</v>
      </c>
      <c r="R109" s="1642">
        <f t="shared" si="74"/>
        <v>0</v>
      </c>
      <c r="S109" s="1926">
        <f t="shared" si="74"/>
        <v>0</v>
      </c>
      <c r="T109" s="1927">
        <f t="shared" si="74"/>
        <v>0</v>
      </c>
      <c r="U109" s="1656">
        <f t="shared" si="74"/>
        <v>0</v>
      </c>
      <c r="V109" s="1642">
        <f t="shared" si="74"/>
        <v>0</v>
      </c>
      <c r="W109" s="1926">
        <f t="shared" si="74"/>
        <v>0</v>
      </c>
      <c r="X109" s="1927">
        <f t="shared" si="74"/>
        <v>0</v>
      </c>
      <c r="Y109" s="1656">
        <f t="shared" si="74"/>
        <v>0</v>
      </c>
      <c r="Z109" s="1642">
        <f t="shared" si="74"/>
        <v>0</v>
      </c>
      <c r="AA109" s="1926">
        <f t="shared" si="74"/>
        <v>0</v>
      </c>
      <c r="AB109" s="1927">
        <f t="shared" si="74"/>
        <v>0</v>
      </c>
      <c r="AC109" s="970"/>
      <c r="AD109" s="969" t="s">
        <v>1544</v>
      </c>
      <c r="AE109" s="1656">
        <f t="shared" ref="AE109:AX109" si="75">SUM(AE93:AE107)</f>
        <v>0</v>
      </c>
      <c r="AF109" s="1642">
        <f t="shared" si="75"/>
        <v>0</v>
      </c>
      <c r="AG109" s="1926">
        <f t="shared" si="75"/>
        <v>0</v>
      </c>
      <c r="AH109" s="1927">
        <f t="shared" si="75"/>
        <v>0</v>
      </c>
      <c r="AI109" s="1656">
        <f t="shared" si="75"/>
        <v>0</v>
      </c>
      <c r="AJ109" s="1642">
        <f t="shared" si="75"/>
        <v>0</v>
      </c>
      <c r="AK109" s="1926">
        <f t="shared" si="75"/>
        <v>0</v>
      </c>
      <c r="AL109" s="1927">
        <f t="shared" si="75"/>
        <v>0</v>
      </c>
      <c r="AM109" s="1058">
        <f t="shared" si="75"/>
        <v>0</v>
      </c>
      <c r="AN109" s="1992">
        <f t="shared" si="75"/>
        <v>0</v>
      </c>
      <c r="AO109" s="1656">
        <f t="shared" si="75"/>
        <v>0</v>
      </c>
      <c r="AP109" s="1854">
        <f t="shared" si="75"/>
        <v>0</v>
      </c>
      <c r="AQ109" s="1030">
        <f t="shared" si="75"/>
        <v>0</v>
      </c>
      <c r="AR109" s="1926">
        <f t="shared" si="75"/>
        <v>0</v>
      </c>
      <c r="AS109" s="2096">
        <f t="shared" si="75"/>
        <v>0</v>
      </c>
      <c r="AT109" s="2097">
        <f t="shared" si="75"/>
        <v>0</v>
      </c>
      <c r="AU109" s="1656">
        <f t="shared" si="75"/>
        <v>0</v>
      </c>
      <c r="AV109" s="1642">
        <f t="shared" si="75"/>
        <v>0</v>
      </c>
      <c r="AW109" s="1926">
        <f t="shared" si="75"/>
        <v>0</v>
      </c>
      <c r="AX109" s="1927">
        <f t="shared" si="75"/>
        <v>0</v>
      </c>
      <c r="AY109" s="968"/>
      <c r="AZ109" s="969" t="s">
        <v>1543</v>
      </c>
      <c r="BA109" s="1656">
        <f t="shared" ref="BA109" si="76">SUM(BA93:BA107)</f>
        <v>63500</v>
      </c>
      <c r="BB109" s="1642">
        <f>SUM(BB93:BB108)</f>
        <v>73351</v>
      </c>
      <c r="BC109" s="2320">
        <f t="shared" ref="BC109:BD109" si="77">SUM(BC93:BC108)</f>
        <v>62000</v>
      </c>
      <c r="BD109" s="1927">
        <f t="shared" si="77"/>
        <v>56200</v>
      </c>
      <c r="BE109" s="968"/>
      <c r="BF109" s="969" t="s">
        <v>1543</v>
      </c>
      <c r="BG109" s="1656">
        <f t="shared" ref="BG109:CD109" si="78">SUM(BG93:BG107)</f>
        <v>0</v>
      </c>
      <c r="BH109" s="1642">
        <f t="shared" si="78"/>
        <v>0</v>
      </c>
      <c r="BI109" s="1926">
        <f t="shared" si="78"/>
        <v>0</v>
      </c>
      <c r="BJ109" s="1927">
        <f t="shared" si="78"/>
        <v>0</v>
      </c>
      <c r="BK109" s="1656">
        <f t="shared" si="78"/>
        <v>0</v>
      </c>
      <c r="BL109" s="1642">
        <f t="shared" si="78"/>
        <v>0</v>
      </c>
      <c r="BM109" s="1926">
        <f t="shared" si="78"/>
        <v>0</v>
      </c>
      <c r="BN109" s="1927">
        <f t="shared" si="78"/>
        <v>0</v>
      </c>
      <c r="BO109" s="1058">
        <f t="shared" si="78"/>
        <v>0</v>
      </c>
      <c r="BP109" s="1992">
        <f t="shared" si="78"/>
        <v>0</v>
      </c>
      <c r="BQ109" s="1058">
        <f t="shared" si="78"/>
        <v>0</v>
      </c>
      <c r="BR109" s="1992">
        <f t="shared" si="78"/>
        <v>0</v>
      </c>
      <c r="BS109" s="1656">
        <f t="shared" si="78"/>
        <v>0</v>
      </c>
      <c r="BT109" s="1642">
        <f t="shared" si="78"/>
        <v>0</v>
      </c>
      <c r="BU109" s="1926">
        <f t="shared" si="78"/>
        <v>0</v>
      </c>
      <c r="BV109" s="1927">
        <f t="shared" si="78"/>
        <v>0</v>
      </c>
      <c r="BW109" s="1058">
        <f t="shared" si="78"/>
        <v>0</v>
      </c>
      <c r="BX109" s="1992">
        <f t="shared" si="78"/>
        <v>0</v>
      </c>
      <c r="BY109" s="1656">
        <f t="shared" si="78"/>
        <v>0</v>
      </c>
      <c r="BZ109" s="1642">
        <f t="shared" si="78"/>
        <v>0</v>
      </c>
      <c r="CA109" s="1926">
        <f t="shared" si="78"/>
        <v>0</v>
      </c>
      <c r="CB109" s="1927">
        <f t="shared" si="78"/>
        <v>0</v>
      </c>
      <c r="CC109" s="1705">
        <f t="shared" si="78"/>
        <v>0</v>
      </c>
      <c r="CD109" s="2159">
        <f t="shared" si="78"/>
        <v>0</v>
      </c>
      <c r="CE109" s="968"/>
      <c r="CF109" s="969" t="s">
        <v>1543</v>
      </c>
      <c r="CG109" s="1656">
        <f t="shared" ref="CG109:CJ109" si="79">SUM(CG93:CG107)</f>
        <v>0</v>
      </c>
      <c r="CH109" s="1642">
        <f t="shared" si="79"/>
        <v>0</v>
      </c>
      <c r="CI109" s="1926">
        <f t="shared" si="79"/>
        <v>0</v>
      </c>
      <c r="CJ109" s="1927">
        <f t="shared" si="79"/>
        <v>0</v>
      </c>
      <c r="CK109" s="968"/>
      <c r="CL109" s="969" t="s">
        <v>1543</v>
      </c>
      <c r="CM109" s="1656">
        <f t="shared" ref="CM109:DH109" si="80">SUM(CM93:CM107)</f>
        <v>0</v>
      </c>
      <c r="CN109" s="1642">
        <f t="shared" si="80"/>
        <v>0</v>
      </c>
      <c r="CO109" s="1926">
        <f t="shared" si="80"/>
        <v>0</v>
      </c>
      <c r="CP109" s="1927">
        <f t="shared" si="80"/>
        <v>0</v>
      </c>
      <c r="CQ109" s="1656">
        <f t="shared" si="80"/>
        <v>0</v>
      </c>
      <c r="CR109" s="1642">
        <f t="shared" si="80"/>
        <v>0</v>
      </c>
      <c r="CS109" s="1926">
        <f t="shared" si="80"/>
        <v>0</v>
      </c>
      <c r="CT109" s="1927">
        <f t="shared" si="80"/>
        <v>0</v>
      </c>
      <c r="CU109" s="1656">
        <f t="shared" si="80"/>
        <v>0</v>
      </c>
      <c r="CV109" s="1642">
        <f t="shared" si="80"/>
        <v>0</v>
      </c>
      <c r="CW109" s="1926">
        <f t="shared" si="80"/>
        <v>0</v>
      </c>
      <c r="CX109" s="1927">
        <f t="shared" si="80"/>
        <v>0</v>
      </c>
      <c r="CY109" s="1656">
        <f t="shared" si="80"/>
        <v>0</v>
      </c>
      <c r="CZ109" s="1642">
        <f t="shared" si="80"/>
        <v>0</v>
      </c>
      <c r="DA109" s="1926">
        <f t="shared" si="80"/>
        <v>0</v>
      </c>
      <c r="DB109" s="1927">
        <f t="shared" si="80"/>
        <v>0</v>
      </c>
      <c r="DC109" s="1058">
        <f t="shared" si="80"/>
        <v>0</v>
      </c>
      <c r="DD109" s="1992">
        <f t="shared" si="80"/>
        <v>0</v>
      </c>
      <c r="DE109" s="1656">
        <f t="shared" si="80"/>
        <v>0</v>
      </c>
      <c r="DF109" s="1642">
        <f t="shared" si="80"/>
        <v>0</v>
      </c>
      <c r="DG109" s="1926">
        <f t="shared" si="80"/>
        <v>0</v>
      </c>
      <c r="DH109" s="1927">
        <f t="shared" si="80"/>
        <v>0</v>
      </c>
      <c r="DI109" s="970"/>
      <c r="DJ109" s="969" t="s">
        <v>1543</v>
      </c>
      <c r="DK109" s="1058">
        <f t="shared" ref="DK109:DL109" si="81">SUM(DK93:DK107)</f>
        <v>0</v>
      </c>
      <c r="DL109" s="1992">
        <f t="shared" si="81"/>
        <v>0</v>
      </c>
      <c r="DM109" s="1058">
        <f t="shared" ref="DM109:DP109" si="82">SUM(DM93:DM107)</f>
        <v>0</v>
      </c>
      <c r="DN109" s="1992">
        <f t="shared" si="82"/>
        <v>0</v>
      </c>
      <c r="DO109" s="1058">
        <f t="shared" si="82"/>
        <v>0</v>
      </c>
      <c r="DP109" s="1992">
        <f t="shared" si="82"/>
        <v>0</v>
      </c>
      <c r="DQ109" s="968"/>
      <c r="DR109" s="972" t="s">
        <v>1543</v>
      </c>
      <c r="DS109" s="1656">
        <f t="shared" ref="DS109:DV109" si="83">SUM(DS93:DS107)</f>
        <v>0</v>
      </c>
      <c r="DT109" s="1642">
        <f t="shared" si="83"/>
        <v>0</v>
      </c>
      <c r="DU109" s="1926">
        <f t="shared" si="83"/>
        <v>0</v>
      </c>
      <c r="DV109" s="1927">
        <f t="shared" si="83"/>
        <v>0</v>
      </c>
      <c r="DW109" s="968"/>
      <c r="DX109" s="969" t="s">
        <v>1543</v>
      </c>
      <c r="DY109" s="1656">
        <f t="shared" ref="DY109:ED109" si="84">SUM(DY93:DY107)</f>
        <v>0</v>
      </c>
      <c r="DZ109" s="1642">
        <f t="shared" si="84"/>
        <v>0</v>
      </c>
      <c r="EA109" s="1926">
        <f t="shared" si="84"/>
        <v>0</v>
      </c>
      <c r="EB109" s="1927">
        <f t="shared" si="84"/>
        <v>0</v>
      </c>
      <c r="EC109" s="1058">
        <f t="shared" si="84"/>
        <v>0</v>
      </c>
      <c r="ED109" s="1992">
        <f t="shared" si="84"/>
        <v>0</v>
      </c>
      <c r="EE109" s="968"/>
      <c r="EF109" s="969" t="s">
        <v>1543</v>
      </c>
      <c r="EG109" s="1058">
        <f t="shared" ref="EG109:EL109" si="85">SUM(EG93:EG107)</f>
        <v>0</v>
      </c>
      <c r="EH109" s="1992">
        <f t="shared" si="85"/>
        <v>0</v>
      </c>
      <c r="EI109" s="1656">
        <f t="shared" si="85"/>
        <v>0</v>
      </c>
      <c r="EJ109" s="1642">
        <f t="shared" si="85"/>
        <v>0</v>
      </c>
      <c r="EK109" s="1926">
        <f t="shared" si="85"/>
        <v>0</v>
      </c>
      <c r="EL109" s="1927">
        <f t="shared" si="85"/>
        <v>0</v>
      </c>
      <c r="EM109" s="1927">
        <f>SUM(EM93:EM108)</f>
        <v>62000</v>
      </c>
      <c r="EN109" s="1927">
        <f>SUM(EN93:EN108)</f>
        <v>56200</v>
      </c>
      <c r="EO109" s="1927">
        <f>SUM(EO93:EO108)</f>
        <v>0</v>
      </c>
      <c r="EP109" s="1962">
        <f t="shared" si="52"/>
        <v>118200</v>
      </c>
      <c r="EQ109" s="1707">
        <f t="shared" ref="EQ109:EQ124" si="86">SUM(C109+Q109+U109+Y109+AE109+AI109+AM109+AO109+AU109+BA109+BG109+BK109+BQ109+BS109+CC109+CG109+CM109+CQ109+CU109+CY109+DE109+DS109+DY109+EI109)</f>
        <v>63500</v>
      </c>
      <c r="ER109" s="1786">
        <f t="shared" ref="ER109:ER124" si="87">SUM(D109+I109+K109+O109+R109+V109+Z109+AF109+AJ109+AP109+AV109+BB109+BH109+BL109+BO109+BT109+BW109+CH109+CN109+CR109+CV109+CZ109+DC109+DF109+DM109+DO109+DT109+DZ109+EC109+EG109+EJ109+G109)</f>
        <v>73351</v>
      </c>
      <c r="ES109" s="1786">
        <f t="shared" ref="ES109:ES124" si="88">SUM(AQ109)</f>
        <v>0</v>
      </c>
      <c r="ET109" s="1061">
        <f t="shared" si="56"/>
        <v>136851</v>
      </c>
    </row>
    <row r="110" spans="1:150" ht="19.95" customHeight="1" x14ac:dyDescent="0.25">
      <c r="A110" s="973"/>
      <c r="B110" s="974" t="s">
        <v>1545</v>
      </c>
      <c r="C110" s="1658"/>
      <c r="D110" s="1627"/>
      <c r="E110" s="1932"/>
      <c r="F110" s="1933"/>
      <c r="G110" s="1685"/>
      <c r="H110" s="1995"/>
      <c r="I110" s="1685"/>
      <c r="J110" s="1995"/>
      <c r="K110" s="1685"/>
      <c r="L110" s="2030"/>
      <c r="M110" s="973"/>
      <c r="N110" s="974" t="s">
        <v>1545</v>
      </c>
      <c r="O110" s="1685"/>
      <c r="P110" s="2030"/>
      <c r="Q110" s="1658"/>
      <c r="R110" s="1627"/>
      <c r="S110" s="1932"/>
      <c r="T110" s="1933"/>
      <c r="U110" s="1658"/>
      <c r="V110" s="1627"/>
      <c r="W110" s="1932"/>
      <c r="X110" s="1933"/>
      <c r="Y110" s="1658"/>
      <c r="Z110" s="1627"/>
      <c r="AA110" s="2064"/>
      <c r="AB110" s="1933"/>
      <c r="AC110" s="975"/>
      <c r="AD110" s="974" t="s">
        <v>1545</v>
      </c>
      <c r="AE110" s="1658"/>
      <c r="AF110" s="1627"/>
      <c r="AG110" s="1932"/>
      <c r="AH110" s="1933"/>
      <c r="AI110" s="1658"/>
      <c r="AJ110" s="1627"/>
      <c r="AK110" s="1932"/>
      <c r="AL110" s="1933"/>
      <c r="AM110" s="1685"/>
      <c r="AN110" s="2030"/>
      <c r="AO110" s="1870"/>
      <c r="AP110" s="1268"/>
      <c r="AQ110" s="1719"/>
      <c r="AR110" s="2100"/>
      <c r="AS110" s="1498"/>
      <c r="AT110" s="2100"/>
      <c r="AU110" s="1658"/>
      <c r="AV110" s="1627"/>
      <c r="AW110" s="1932"/>
      <c r="AX110" s="1933"/>
      <c r="AY110" s="973"/>
      <c r="AZ110" s="974" t="s">
        <v>1545</v>
      </c>
      <c r="BA110" s="1658"/>
      <c r="BB110" s="1627"/>
      <c r="BC110" s="1932"/>
      <c r="BD110" s="1933"/>
      <c r="BE110" s="973"/>
      <c r="BF110" s="974" t="s">
        <v>1545</v>
      </c>
      <c r="BG110" s="1658"/>
      <c r="BH110" s="1627"/>
      <c r="BI110" s="1932"/>
      <c r="BJ110" s="1933"/>
      <c r="BK110" s="1658"/>
      <c r="BL110" s="1627"/>
      <c r="BM110" s="1932"/>
      <c r="BN110" s="1933"/>
      <c r="BO110" s="1685"/>
      <c r="BP110" s="1995"/>
      <c r="BQ110" s="1685"/>
      <c r="BR110" s="2030"/>
      <c r="BS110" s="1658"/>
      <c r="BT110" s="1627"/>
      <c r="BU110" s="1932"/>
      <c r="BV110" s="1933"/>
      <c r="BW110" s="1685"/>
      <c r="BX110" s="2030"/>
      <c r="BY110" s="1658"/>
      <c r="BZ110" s="1627"/>
      <c r="CA110" s="1932"/>
      <c r="CB110" s="1933"/>
      <c r="CC110" s="1752"/>
      <c r="CD110" s="2160"/>
      <c r="CE110" s="973"/>
      <c r="CF110" s="974" t="s">
        <v>1545</v>
      </c>
      <c r="CG110" s="1658"/>
      <c r="CH110" s="1627"/>
      <c r="CI110" s="1932"/>
      <c r="CJ110" s="1933"/>
      <c r="CK110" s="973"/>
      <c r="CL110" s="974" t="s">
        <v>1545</v>
      </c>
      <c r="CM110" s="1658"/>
      <c r="CN110" s="1627"/>
      <c r="CO110" s="1932"/>
      <c r="CP110" s="1933"/>
      <c r="CQ110" s="1658"/>
      <c r="CR110" s="1627"/>
      <c r="CS110" s="1932"/>
      <c r="CT110" s="1933"/>
      <c r="CU110" s="1658"/>
      <c r="CV110" s="1627"/>
      <c r="CW110" s="1932"/>
      <c r="CX110" s="1933"/>
      <c r="CY110" s="1658"/>
      <c r="CZ110" s="1627"/>
      <c r="DA110" s="1932"/>
      <c r="DB110" s="1933"/>
      <c r="DC110" s="1685"/>
      <c r="DD110" s="2030"/>
      <c r="DE110" s="1658"/>
      <c r="DF110" s="1627"/>
      <c r="DG110" s="1932"/>
      <c r="DH110" s="1933"/>
      <c r="DI110" s="975"/>
      <c r="DJ110" s="974" t="s">
        <v>1545</v>
      </c>
      <c r="DK110" s="1685"/>
      <c r="DL110" s="1995"/>
      <c r="DM110" s="1685"/>
      <c r="DN110" s="1995"/>
      <c r="DO110" s="1685"/>
      <c r="DP110" s="2030"/>
      <c r="DQ110" s="973"/>
      <c r="DR110" s="976" t="s">
        <v>1545</v>
      </c>
      <c r="DS110" s="1658"/>
      <c r="DT110" s="1627"/>
      <c r="DU110" s="1932"/>
      <c r="DV110" s="1933"/>
      <c r="DW110" s="973"/>
      <c r="DX110" s="974" t="s">
        <v>1545</v>
      </c>
      <c r="DY110" s="1658"/>
      <c r="DZ110" s="1627"/>
      <c r="EA110" s="1932"/>
      <c r="EB110" s="1933"/>
      <c r="EC110" s="1685"/>
      <c r="ED110" s="2030"/>
      <c r="EE110" s="973"/>
      <c r="EF110" s="974" t="s">
        <v>1545</v>
      </c>
      <c r="EG110" s="1685"/>
      <c r="EH110" s="2030"/>
      <c r="EI110" s="1658"/>
      <c r="EJ110" s="1627"/>
      <c r="EK110" s="2218"/>
      <c r="EL110" s="1933"/>
      <c r="EM110" s="2202"/>
      <c r="EN110" s="1585"/>
      <c r="EO110" s="1585"/>
      <c r="EP110" s="1585">
        <f t="shared" ref="EP110" si="89">SUM(EM110:EO110)</f>
        <v>0</v>
      </c>
      <c r="EQ110" s="988">
        <f t="shared" si="86"/>
        <v>0</v>
      </c>
      <c r="ER110" s="1775">
        <f t="shared" si="87"/>
        <v>0</v>
      </c>
      <c r="ES110" s="1775">
        <f t="shared" si="88"/>
        <v>0</v>
      </c>
      <c r="ET110" s="992">
        <f t="shared" si="56"/>
        <v>0</v>
      </c>
    </row>
    <row r="111" spans="1:150" s="368" customFormat="1" x14ac:dyDescent="0.25">
      <c r="A111" s="984">
        <v>1</v>
      </c>
      <c r="B111" s="1045"/>
      <c r="C111" s="1659"/>
      <c r="D111" s="1046"/>
      <c r="E111" s="1934"/>
      <c r="F111" s="1935"/>
      <c r="G111" s="1047"/>
      <c r="H111" s="1996"/>
      <c r="I111" s="1047"/>
      <c r="J111" s="1996"/>
      <c r="K111" s="1047"/>
      <c r="L111" s="2031"/>
      <c r="M111" s="984">
        <v>1</v>
      </c>
      <c r="N111" s="980" t="s">
        <v>1546</v>
      </c>
      <c r="O111" s="985">
        <v>7263</v>
      </c>
      <c r="P111" s="2027">
        <v>7263</v>
      </c>
      <c r="Q111" s="1659"/>
      <c r="R111" s="1046"/>
      <c r="S111" s="1934"/>
      <c r="T111" s="1935"/>
      <c r="U111" s="1659"/>
      <c r="V111" s="1046"/>
      <c r="W111" s="1934"/>
      <c r="X111" s="1935"/>
      <c r="Y111" s="1659"/>
      <c r="Z111" s="1046"/>
      <c r="AA111" s="2065"/>
      <c r="AB111" s="1935"/>
      <c r="AC111" s="986">
        <v>1</v>
      </c>
      <c r="AD111" s="980" t="s">
        <v>1547</v>
      </c>
      <c r="AE111" s="1659"/>
      <c r="AF111" s="1046"/>
      <c r="AG111" s="1934"/>
      <c r="AH111" s="1935"/>
      <c r="AI111" s="1659"/>
      <c r="AJ111" s="1046"/>
      <c r="AK111" s="1934"/>
      <c r="AL111" s="1935"/>
      <c r="AM111" s="985">
        <v>7000</v>
      </c>
      <c r="AN111" s="2022">
        <v>5504</v>
      </c>
      <c r="AO111" s="1871"/>
      <c r="AP111" s="1048"/>
      <c r="AQ111" s="1049"/>
      <c r="AR111" s="2101"/>
      <c r="AS111" s="1553"/>
      <c r="AT111" s="2101"/>
      <c r="AU111" s="1659"/>
      <c r="AV111" s="1046"/>
      <c r="AW111" s="1934"/>
      <c r="AX111" s="1935"/>
      <c r="AY111" s="984">
        <v>1</v>
      </c>
      <c r="AZ111" s="980" t="s">
        <v>1548</v>
      </c>
      <c r="BA111" s="1650">
        <v>5000</v>
      </c>
      <c r="BB111" s="1046"/>
      <c r="BC111" s="1934">
        <v>5000</v>
      </c>
      <c r="BD111" s="1935"/>
      <c r="BE111" s="984">
        <v>1</v>
      </c>
      <c r="BF111" s="980"/>
      <c r="BG111" s="1659"/>
      <c r="BH111" s="1046"/>
      <c r="BI111" s="1934"/>
      <c r="BJ111" s="1935"/>
      <c r="BK111" s="1659"/>
      <c r="BL111" s="1046"/>
      <c r="BM111" s="1934"/>
      <c r="BN111" s="1935"/>
      <c r="BO111" s="1047"/>
      <c r="BP111" s="1996"/>
      <c r="BQ111" s="1047"/>
      <c r="BR111" s="2031"/>
      <c r="BS111" s="1659"/>
      <c r="BT111" s="1046"/>
      <c r="BU111" s="1934"/>
      <c r="BV111" s="1935"/>
      <c r="BW111" s="1047"/>
      <c r="BX111" s="2031"/>
      <c r="BY111" s="1659"/>
      <c r="BZ111" s="1046"/>
      <c r="CA111" s="1934"/>
      <c r="CB111" s="1935"/>
      <c r="CC111" s="1753"/>
      <c r="CD111" s="2161"/>
      <c r="CE111" s="984">
        <v>1</v>
      </c>
      <c r="CF111" s="980" t="s">
        <v>1549</v>
      </c>
      <c r="CG111" s="1650">
        <v>60000</v>
      </c>
      <c r="CH111" s="1046"/>
      <c r="CI111" s="2190">
        <v>65000</v>
      </c>
      <c r="CJ111" s="2191"/>
      <c r="CK111" s="984">
        <v>1</v>
      </c>
      <c r="CL111" s="1045"/>
      <c r="CM111" s="1659"/>
      <c r="CN111" s="1046"/>
      <c r="CO111" s="1934"/>
      <c r="CP111" s="1935"/>
      <c r="CQ111" s="1659"/>
      <c r="CR111" s="1046"/>
      <c r="CS111" s="1934"/>
      <c r="CT111" s="1935"/>
      <c r="CU111" s="1659"/>
      <c r="CV111" s="1046"/>
      <c r="CW111" s="1934"/>
      <c r="CX111" s="1935"/>
      <c r="CY111" s="1659"/>
      <c r="CZ111" s="1046"/>
      <c r="DA111" s="1934"/>
      <c r="DB111" s="1935"/>
      <c r="DC111" s="1047"/>
      <c r="DD111" s="2031"/>
      <c r="DE111" s="1659"/>
      <c r="DF111" s="1046"/>
      <c r="DG111" s="1934"/>
      <c r="DH111" s="1935"/>
      <c r="DI111" s="986">
        <v>1</v>
      </c>
      <c r="DJ111" s="980"/>
      <c r="DK111" s="1047"/>
      <c r="DL111" s="1996"/>
      <c r="DM111" s="1047"/>
      <c r="DN111" s="1996"/>
      <c r="DO111" s="1047"/>
      <c r="DP111" s="2031"/>
      <c r="DQ111" s="984">
        <v>1</v>
      </c>
      <c r="DR111" s="1050"/>
      <c r="DS111" s="1659"/>
      <c r="DT111" s="1046"/>
      <c r="DU111" s="1934"/>
      <c r="DV111" s="1935"/>
      <c r="DW111" s="984">
        <v>1</v>
      </c>
      <c r="DX111" s="1045"/>
      <c r="DY111" s="1659"/>
      <c r="DZ111" s="1046"/>
      <c r="EA111" s="1934"/>
      <c r="EB111" s="1935"/>
      <c r="EC111" s="1047"/>
      <c r="ED111" s="2031"/>
      <c r="EE111" s="984">
        <v>1</v>
      </c>
      <c r="EF111" s="1045"/>
      <c r="EG111" s="1047"/>
      <c r="EH111" s="2031"/>
      <c r="EI111" s="1659"/>
      <c r="EJ111" s="1046"/>
      <c r="EK111" s="2219"/>
      <c r="EL111" s="1935"/>
      <c r="EM111" s="2202">
        <f t="shared" ref="EM111:EM115" si="90">E111+S111+W111+AA111+AG111+AK111+AN111+AR111+AW111+BC111+BI111+BM111+BR111+BU111+CA111+CD111+CI111+CO111+CS111+CW111+DA111+DG111+DU111+EA111+EK111</f>
        <v>75504</v>
      </c>
      <c r="EN111" s="1585">
        <f t="shared" ref="EN111:EN115" si="91">F111+H111+J111+L111+P111+T111+X111+AB111+AH111+AL111+AS111+AX111+BD111+BJ111+BN111+BP111+BV111+BX111+CB111+CJ111+CP111+CT111+CX111+DB111+DD111+DH111+DN111+DP111+DV111+EB111+ED111+EH111+EL111+DL111</f>
        <v>7263</v>
      </c>
      <c r="EO111" s="1585">
        <f t="shared" ref="EO111:EO115" si="92">AQ111</f>
        <v>0</v>
      </c>
      <c r="EP111" s="1585">
        <f t="shared" si="52"/>
        <v>82767</v>
      </c>
      <c r="EQ111" s="988">
        <f t="shared" si="86"/>
        <v>72000</v>
      </c>
      <c r="ER111" s="1775">
        <f t="shared" si="87"/>
        <v>7263</v>
      </c>
      <c r="ES111" s="1775">
        <f t="shared" si="88"/>
        <v>0</v>
      </c>
      <c r="ET111" s="992">
        <f t="shared" si="56"/>
        <v>79263</v>
      </c>
    </row>
    <row r="112" spans="1:150" s="368" customFormat="1" x14ac:dyDescent="0.25">
      <c r="A112" s="984">
        <v>2</v>
      </c>
      <c r="B112" s="996"/>
      <c r="C112" s="1660"/>
      <c r="D112" s="1051"/>
      <c r="E112" s="1936"/>
      <c r="F112" s="1937"/>
      <c r="G112" s="1052"/>
      <c r="H112" s="1997"/>
      <c r="I112" s="1052"/>
      <c r="J112" s="1997"/>
      <c r="K112" s="1052"/>
      <c r="L112" s="2032"/>
      <c r="M112" s="984">
        <v>2</v>
      </c>
      <c r="N112" s="987" t="s">
        <v>1550</v>
      </c>
      <c r="O112" s="1680">
        <v>6000</v>
      </c>
      <c r="P112" s="2114"/>
      <c r="Q112" s="1660"/>
      <c r="R112" s="1051"/>
      <c r="S112" s="1936"/>
      <c r="T112" s="1937"/>
      <c r="U112" s="1660"/>
      <c r="V112" s="1051"/>
      <c r="W112" s="1936"/>
      <c r="X112" s="1937"/>
      <c r="Y112" s="1660"/>
      <c r="Z112" s="1051"/>
      <c r="AA112" s="2066"/>
      <c r="AB112" s="1937"/>
      <c r="AC112" s="986">
        <v>2</v>
      </c>
      <c r="AD112" s="956" t="s">
        <v>2129</v>
      </c>
      <c r="AE112" s="1660"/>
      <c r="AF112" s="1051"/>
      <c r="AG112" s="1936"/>
      <c r="AH112" s="1937"/>
      <c r="AI112" s="1660"/>
      <c r="AJ112" s="1051"/>
      <c r="AK112" s="1936"/>
      <c r="AL112" s="1937"/>
      <c r="AM112" s="1052"/>
      <c r="AN112" s="2032"/>
      <c r="AO112" s="1872"/>
      <c r="AP112" s="1000"/>
      <c r="AQ112" s="1053"/>
      <c r="AR112" s="2090">
        <v>28585</v>
      </c>
      <c r="AS112" s="1554"/>
      <c r="AT112" s="2102"/>
      <c r="AU112" s="1660"/>
      <c r="AV112" s="1051"/>
      <c r="AW112" s="1936"/>
      <c r="AX112" s="1937"/>
      <c r="AY112" s="984">
        <v>2</v>
      </c>
      <c r="AZ112" s="996"/>
      <c r="BA112" s="1660"/>
      <c r="BB112" s="1051"/>
      <c r="BC112" s="1936"/>
      <c r="BD112" s="1937"/>
      <c r="BE112" s="984">
        <v>2</v>
      </c>
      <c r="BF112" s="987"/>
      <c r="BG112" s="1660"/>
      <c r="BH112" s="1051"/>
      <c r="BI112" s="1936"/>
      <c r="BJ112" s="1937"/>
      <c r="BK112" s="1660"/>
      <c r="BL112" s="1051"/>
      <c r="BM112" s="1936"/>
      <c r="BN112" s="1937"/>
      <c r="BO112" s="1052"/>
      <c r="BP112" s="1997"/>
      <c r="BQ112" s="1052"/>
      <c r="BR112" s="2032"/>
      <c r="BS112" s="1660"/>
      <c r="BT112" s="1051"/>
      <c r="BU112" s="1936"/>
      <c r="BV112" s="1937"/>
      <c r="BW112" s="1052"/>
      <c r="BX112" s="2032"/>
      <c r="BY112" s="1660"/>
      <c r="BZ112" s="1051"/>
      <c r="CA112" s="1936"/>
      <c r="CB112" s="1937"/>
      <c r="CC112" s="1754"/>
      <c r="CD112" s="2162"/>
      <c r="CE112" s="984">
        <v>2</v>
      </c>
      <c r="CF112" s="987" t="s">
        <v>1551</v>
      </c>
      <c r="CG112" s="1651">
        <f>53000-8543</f>
        <v>44457</v>
      </c>
      <c r="CH112" s="1051"/>
      <c r="CI112" s="2192">
        <v>65000</v>
      </c>
      <c r="CJ112" s="2193"/>
      <c r="CK112" s="984">
        <v>2</v>
      </c>
      <c r="CL112" s="996"/>
      <c r="CM112" s="1660"/>
      <c r="CN112" s="1051"/>
      <c r="CO112" s="1936"/>
      <c r="CP112" s="1937"/>
      <c r="CQ112" s="1660"/>
      <c r="CR112" s="1051"/>
      <c r="CS112" s="1936"/>
      <c r="CT112" s="1937"/>
      <c r="CU112" s="1660"/>
      <c r="CV112" s="1051"/>
      <c r="CW112" s="1936"/>
      <c r="CX112" s="1937"/>
      <c r="CY112" s="1660"/>
      <c r="CZ112" s="1051"/>
      <c r="DA112" s="1936"/>
      <c r="DB112" s="1937"/>
      <c r="DC112" s="1052"/>
      <c r="DD112" s="2032"/>
      <c r="DE112" s="1660"/>
      <c r="DF112" s="1051"/>
      <c r="DG112" s="1936"/>
      <c r="DH112" s="1937"/>
      <c r="DI112" s="986">
        <v>2</v>
      </c>
      <c r="DJ112" s="987"/>
      <c r="DK112" s="1052"/>
      <c r="DL112" s="1997"/>
      <c r="DM112" s="1052"/>
      <c r="DN112" s="1997"/>
      <c r="DO112" s="1052"/>
      <c r="DP112" s="2032"/>
      <c r="DQ112" s="984">
        <v>2</v>
      </c>
      <c r="DR112" s="1054"/>
      <c r="DS112" s="1660"/>
      <c r="DT112" s="1051"/>
      <c r="DU112" s="1936"/>
      <c r="DV112" s="1937"/>
      <c r="DW112" s="984">
        <v>2</v>
      </c>
      <c r="DX112" s="996"/>
      <c r="DY112" s="1660"/>
      <c r="DZ112" s="1051"/>
      <c r="EA112" s="1936"/>
      <c r="EB112" s="1937"/>
      <c r="EC112" s="1052"/>
      <c r="ED112" s="2032"/>
      <c r="EE112" s="984">
        <v>2</v>
      </c>
      <c r="EF112" s="996"/>
      <c r="EG112" s="1052"/>
      <c r="EH112" s="2032"/>
      <c r="EI112" s="1660"/>
      <c r="EJ112" s="1051"/>
      <c r="EK112" s="2220"/>
      <c r="EL112" s="1937"/>
      <c r="EM112" s="2202">
        <f t="shared" si="90"/>
        <v>93585</v>
      </c>
      <c r="EN112" s="1585">
        <f t="shared" si="91"/>
        <v>0</v>
      </c>
      <c r="EO112" s="1585">
        <f t="shared" si="92"/>
        <v>0</v>
      </c>
      <c r="EP112" s="1586">
        <f t="shared" si="52"/>
        <v>93585</v>
      </c>
      <c r="EQ112" s="999">
        <f t="shared" si="86"/>
        <v>44457</v>
      </c>
      <c r="ER112" s="1776">
        <f t="shared" si="87"/>
        <v>6000</v>
      </c>
      <c r="ES112" s="1776">
        <f t="shared" si="88"/>
        <v>0</v>
      </c>
      <c r="ET112" s="1055">
        <f t="shared" si="56"/>
        <v>50457</v>
      </c>
    </row>
    <row r="113" spans="1:150" s="368" customFormat="1" x14ac:dyDescent="0.25">
      <c r="A113" s="984">
        <v>3</v>
      </c>
      <c r="B113" s="996"/>
      <c r="C113" s="1660"/>
      <c r="D113" s="1051"/>
      <c r="E113" s="1936"/>
      <c r="F113" s="1937"/>
      <c r="G113" s="1052"/>
      <c r="H113" s="1997"/>
      <c r="I113" s="1052"/>
      <c r="J113" s="1997"/>
      <c r="K113" s="1052"/>
      <c r="L113" s="2032"/>
      <c r="M113" s="984">
        <v>3</v>
      </c>
      <c r="N113" s="987" t="s">
        <v>1552</v>
      </c>
      <c r="O113" s="1680"/>
      <c r="P113" s="2114"/>
      <c r="Q113" s="1660"/>
      <c r="R113" s="1051"/>
      <c r="S113" s="1936"/>
      <c r="T113" s="1937"/>
      <c r="U113" s="1660"/>
      <c r="V113" s="1051"/>
      <c r="W113" s="1936"/>
      <c r="X113" s="1937"/>
      <c r="Y113" s="1660"/>
      <c r="Z113" s="1051"/>
      <c r="AA113" s="2066"/>
      <c r="AB113" s="1937"/>
      <c r="AC113" s="986">
        <v>3</v>
      </c>
      <c r="AD113" s="987" t="s">
        <v>2347</v>
      </c>
      <c r="AE113" s="1660"/>
      <c r="AF113" s="1051"/>
      <c r="AG113" s="1936"/>
      <c r="AH113" s="1937"/>
      <c r="AI113" s="1660"/>
      <c r="AJ113" s="1051"/>
      <c r="AK113" s="1936"/>
      <c r="AL113" s="1937"/>
      <c r="AM113" s="1052"/>
      <c r="AN113" s="2032"/>
      <c r="AO113" s="1872"/>
      <c r="AP113" s="1000"/>
      <c r="AQ113" s="1053"/>
      <c r="AR113" s="2090">
        <v>132</v>
      </c>
      <c r="AS113" s="1554"/>
      <c r="AT113" s="2102"/>
      <c r="AU113" s="1660"/>
      <c r="AV113" s="1051"/>
      <c r="AW113" s="1936"/>
      <c r="AX113" s="1937"/>
      <c r="AY113" s="984">
        <v>3</v>
      </c>
      <c r="AZ113" s="996"/>
      <c r="BA113" s="1660"/>
      <c r="BB113" s="1051"/>
      <c r="BC113" s="1936"/>
      <c r="BD113" s="1937"/>
      <c r="BE113" s="984">
        <v>3</v>
      </c>
      <c r="BF113" s="987"/>
      <c r="BG113" s="1660"/>
      <c r="BH113" s="1051"/>
      <c r="BI113" s="1936"/>
      <c r="BJ113" s="1937"/>
      <c r="BK113" s="1660"/>
      <c r="BL113" s="1051"/>
      <c r="BM113" s="1936"/>
      <c r="BN113" s="1937"/>
      <c r="BO113" s="1052"/>
      <c r="BP113" s="1997"/>
      <c r="BQ113" s="1052"/>
      <c r="BR113" s="2032"/>
      <c r="BS113" s="1660"/>
      <c r="BT113" s="1051"/>
      <c r="BU113" s="1936"/>
      <c r="BV113" s="1937"/>
      <c r="BW113" s="1052"/>
      <c r="BX113" s="2032"/>
      <c r="BY113" s="1660"/>
      <c r="BZ113" s="1051"/>
      <c r="CA113" s="1936"/>
      <c r="CB113" s="1937"/>
      <c r="CC113" s="1754"/>
      <c r="CD113" s="2162"/>
      <c r="CE113" s="984">
        <v>3</v>
      </c>
      <c r="CF113" s="996"/>
      <c r="CG113" s="1660"/>
      <c r="CH113" s="1051"/>
      <c r="CI113" s="2192"/>
      <c r="CJ113" s="2193"/>
      <c r="CK113" s="984">
        <v>3</v>
      </c>
      <c r="CL113" s="996"/>
      <c r="CM113" s="1660"/>
      <c r="CN113" s="1051"/>
      <c r="CO113" s="1936"/>
      <c r="CP113" s="1937"/>
      <c r="CQ113" s="1660"/>
      <c r="CR113" s="1051"/>
      <c r="CS113" s="1936"/>
      <c r="CT113" s="1937"/>
      <c r="CU113" s="1660"/>
      <c r="CV113" s="1051"/>
      <c r="CW113" s="1936"/>
      <c r="CX113" s="1937"/>
      <c r="CY113" s="1660"/>
      <c r="CZ113" s="1051"/>
      <c r="DA113" s="1936"/>
      <c r="DB113" s="1937"/>
      <c r="DC113" s="1052"/>
      <c r="DD113" s="2032"/>
      <c r="DE113" s="1660"/>
      <c r="DF113" s="1051"/>
      <c r="DG113" s="1936"/>
      <c r="DH113" s="1937"/>
      <c r="DI113" s="986">
        <v>3</v>
      </c>
      <c r="DJ113" s="987"/>
      <c r="DK113" s="1052"/>
      <c r="DL113" s="1997"/>
      <c r="DM113" s="1052"/>
      <c r="DN113" s="1997"/>
      <c r="DO113" s="1052"/>
      <c r="DP113" s="2032"/>
      <c r="DQ113" s="984">
        <v>3</v>
      </c>
      <c r="DR113" s="1054"/>
      <c r="DS113" s="1660"/>
      <c r="DT113" s="1051"/>
      <c r="DU113" s="1936"/>
      <c r="DV113" s="1937"/>
      <c r="DW113" s="984">
        <v>3</v>
      </c>
      <c r="DX113" s="996"/>
      <c r="DY113" s="1660"/>
      <c r="DZ113" s="1051"/>
      <c r="EA113" s="1936"/>
      <c r="EB113" s="1937"/>
      <c r="EC113" s="1052"/>
      <c r="ED113" s="2032"/>
      <c r="EE113" s="984">
        <v>3</v>
      </c>
      <c r="EF113" s="996"/>
      <c r="EG113" s="1052"/>
      <c r="EH113" s="2032"/>
      <c r="EI113" s="1660"/>
      <c r="EJ113" s="1051"/>
      <c r="EK113" s="2220"/>
      <c r="EL113" s="1937"/>
      <c r="EM113" s="2202">
        <f t="shared" si="90"/>
        <v>132</v>
      </c>
      <c r="EN113" s="1585">
        <f t="shared" si="91"/>
        <v>0</v>
      </c>
      <c r="EO113" s="1585">
        <f t="shared" si="92"/>
        <v>0</v>
      </c>
      <c r="EP113" s="1586">
        <f t="shared" si="52"/>
        <v>132</v>
      </c>
      <c r="EQ113" s="999">
        <f t="shared" si="86"/>
        <v>0</v>
      </c>
      <c r="ER113" s="1776">
        <f t="shared" si="87"/>
        <v>0</v>
      </c>
      <c r="ES113" s="1776">
        <f t="shared" si="88"/>
        <v>0</v>
      </c>
      <c r="ET113" s="1055">
        <f t="shared" si="56"/>
        <v>0</v>
      </c>
    </row>
    <row r="114" spans="1:150" s="368" customFormat="1" x14ac:dyDescent="0.25">
      <c r="A114" s="984">
        <v>4</v>
      </c>
      <c r="B114" s="1045"/>
      <c r="C114" s="1659"/>
      <c r="D114" s="1046"/>
      <c r="E114" s="1934"/>
      <c r="F114" s="1935"/>
      <c r="G114" s="1047"/>
      <c r="H114" s="1996"/>
      <c r="I114" s="1047"/>
      <c r="J114" s="1996"/>
      <c r="K114" s="1047"/>
      <c r="L114" s="2031"/>
      <c r="M114" s="984">
        <v>4</v>
      </c>
      <c r="N114" s="980" t="s">
        <v>2124</v>
      </c>
      <c r="O114" s="985">
        <v>7607</v>
      </c>
      <c r="P114" s="2027">
        <v>7607</v>
      </c>
      <c r="Q114" s="1659"/>
      <c r="R114" s="1046"/>
      <c r="S114" s="1934"/>
      <c r="T114" s="1935"/>
      <c r="U114" s="1659"/>
      <c r="V114" s="1046"/>
      <c r="W114" s="1934"/>
      <c r="X114" s="1935"/>
      <c r="Y114" s="1659"/>
      <c r="Z114" s="1046"/>
      <c r="AA114" s="2066"/>
      <c r="AB114" s="1937"/>
      <c r="AC114" s="998"/>
      <c r="AD114" s="987"/>
      <c r="AE114" s="1659"/>
      <c r="AF114" s="1046"/>
      <c r="AG114" s="1934"/>
      <c r="AH114" s="1935"/>
      <c r="AI114" s="1659"/>
      <c r="AJ114" s="1046"/>
      <c r="AK114" s="1934"/>
      <c r="AL114" s="1935"/>
      <c r="AM114" s="1047"/>
      <c r="AN114" s="2032"/>
      <c r="AO114" s="1872"/>
      <c r="AP114" s="1000"/>
      <c r="AQ114" s="1053"/>
      <c r="AR114" s="2102"/>
      <c r="AS114" s="1554"/>
      <c r="AT114" s="2102"/>
      <c r="AU114" s="1659"/>
      <c r="AV114" s="1046"/>
      <c r="AW114" s="1936"/>
      <c r="AX114" s="1937"/>
      <c r="AY114" s="1002"/>
      <c r="AZ114" s="996"/>
      <c r="BA114" s="1659"/>
      <c r="BB114" s="1046"/>
      <c r="BC114" s="1936"/>
      <c r="BD114" s="1937"/>
      <c r="BE114" s="1002"/>
      <c r="BF114" s="987"/>
      <c r="BG114" s="1659"/>
      <c r="BH114" s="1046"/>
      <c r="BI114" s="1934"/>
      <c r="BJ114" s="1935"/>
      <c r="BK114" s="1659"/>
      <c r="BL114" s="1046"/>
      <c r="BM114" s="1934"/>
      <c r="BN114" s="1935"/>
      <c r="BO114" s="1047"/>
      <c r="BP114" s="1996"/>
      <c r="BQ114" s="1047"/>
      <c r="BR114" s="2031"/>
      <c r="BS114" s="1659"/>
      <c r="BT114" s="1046"/>
      <c r="BU114" s="1934"/>
      <c r="BV114" s="1935"/>
      <c r="BW114" s="1047"/>
      <c r="BX114" s="2031"/>
      <c r="BY114" s="1659"/>
      <c r="BZ114" s="1046"/>
      <c r="CA114" s="1934"/>
      <c r="CB114" s="1935"/>
      <c r="CC114" s="1754"/>
      <c r="CD114" s="2162"/>
      <c r="CE114" s="984">
        <v>4</v>
      </c>
      <c r="CF114" s="1045"/>
      <c r="CG114" s="1659"/>
      <c r="CH114" s="1046"/>
      <c r="CI114" s="1936"/>
      <c r="CJ114" s="1937"/>
      <c r="CK114" s="1002"/>
      <c r="CL114" s="996"/>
      <c r="CM114" s="1659"/>
      <c r="CN114" s="1046"/>
      <c r="CO114" s="1934"/>
      <c r="CP114" s="1935"/>
      <c r="CQ114" s="1659"/>
      <c r="CR114" s="1046"/>
      <c r="CS114" s="1934"/>
      <c r="CT114" s="1935"/>
      <c r="CU114" s="1659"/>
      <c r="CV114" s="1046"/>
      <c r="CW114" s="1934"/>
      <c r="CX114" s="1935"/>
      <c r="CY114" s="1659"/>
      <c r="CZ114" s="1046"/>
      <c r="DA114" s="1934"/>
      <c r="DB114" s="1935"/>
      <c r="DC114" s="1047"/>
      <c r="DD114" s="2031"/>
      <c r="DE114" s="1659"/>
      <c r="DF114" s="1046"/>
      <c r="DG114" s="1934"/>
      <c r="DH114" s="1935"/>
      <c r="DI114" s="986">
        <v>4</v>
      </c>
      <c r="DJ114" s="980"/>
      <c r="DK114" s="1047"/>
      <c r="DL114" s="1996"/>
      <c r="DM114" s="1047"/>
      <c r="DN114" s="1996"/>
      <c r="DO114" s="1047"/>
      <c r="DP114" s="2031"/>
      <c r="DQ114" s="984">
        <v>4</v>
      </c>
      <c r="DR114" s="1050"/>
      <c r="DS114" s="1659"/>
      <c r="DT114" s="1046"/>
      <c r="DU114" s="1936"/>
      <c r="DV114" s="1937"/>
      <c r="DW114" s="1002"/>
      <c r="DX114" s="996"/>
      <c r="DY114" s="1659"/>
      <c r="DZ114" s="1046"/>
      <c r="EA114" s="1934"/>
      <c r="EB114" s="1935"/>
      <c r="EC114" s="1047"/>
      <c r="ED114" s="2031"/>
      <c r="EE114" s="984">
        <v>4</v>
      </c>
      <c r="EF114" s="1045"/>
      <c r="EG114" s="1047"/>
      <c r="EH114" s="2031"/>
      <c r="EI114" s="1659"/>
      <c r="EJ114" s="1046"/>
      <c r="EK114" s="2220"/>
      <c r="EL114" s="1937"/>
      <c r="EM114" s="2202">
        <f t="shared" si="90"/>
        <v>0</v>
      </c>
      <c r="EN114" s="1585">
        <f t="shared" si="91"/>
        <v>7607</v>
      </c>
      <c r="EO114" s="1585">
        <f t="shared" si="92"/>
        <v>0</v>
      </c>
      <c r="EP114" s="1586">
        <f t="shared" si="52"/>
        <v>7607</v>
      </c>
      <c r="EQ114" s="999">
        <f t="shared" si="86"/>
        <v>0</v>
      </c>
      <c r="ER114" s="1776">
        <f t="shared" si="87"/>
        <v>7607</v>
      </c>
      <c r="ES114" s="1776">
        <f t="shared" si="88"/>
        <v>0</v>
      </c>
      <c r="ET114" s="1055">
        <f t="shared" si="56"/>
        <v>7607</v>
      </c>
    </row>
    <row r="115" spans="1:150" s="368" customFormat="1" x14ac:dyDescent="0.25">
      <c r="A115" s="1002">
        <v>5</v>
      </c>
      <c r="B115" s="996"/>
      <c r="C115" s="1660"/>
      <c r="D115" s="1051"/>
      <c r="E115" s="1936"/>
      <c r="F115" s="1937"/>
      <c r="G115" s="1052"/>
      <c r="H115" s="1997"/>
      <c r="I115" s="1052"/>
      <c r="J115" s="1997"/>
      <c r="K115" s="1052"/>
      <c r="L115" s="2032"/>
      <c r="M115" s="1002">
        <v>5</v>
      </c>
      <c r="N115" s="987" t="s">
        <v>2048</v>
      </c>
      <c r="O115" s="1687"/>
      <c r="P115" s="2032"/>
      <c r="Q115" s="1660"/>
      <c r="R115" s="1026">
        <v>3550</v>
      </c>
      <c r="S115" s="1936"/>
      <c r="T115" s="1943">
        <v>2650</v>
      </c>
      <c r="U115" s="1660"/>
      <c r="V115" s="1051"/>
      <c r="W115" s="1936"/>
      <c r="X115" s="1937"/>
      <c r="Y115" s="1660"/>
      <c r="Z115" s="1051"/>
      <c r="AA115" s="2066"/>
      <c r="AB115" s="1937"/>
      <c r="AC115" s="998"/>
      <c r="AD115" s="987"/>
      <c r="AE115" s="1660"/>
      <c r="AF115" s="1051"/>
      <c r="AG115" s="1936"/>
      <c r="AH115" s="1937"/>
      <c r="AI115" s="1660"/>
      <c r="AJ115" s="1051"/>
      <c r="AK115" s="1936"/>
      <c r="AL115" s="1937"/>
      <c r="AM115" s="1052"/>
      <c r="AN115" s="2032"/>
      <c r="AO115" s="1872"/>
      <c r="AP115" s="1000"/>
      <c r="AQ115" s="1053"/>
      <c r="AR115" s="2102"/>
      <c r="AS115" s="1554"/>
      <c r="AT115" s="2102"/>
      <c r="AU115" s="1660"/>
      <c r="AV115" s="1051"/>
      <c r="AW115" s="1936"/>
      <c r="AX115" s="1937"/>
      <c r="AY115" s="1002"/>
      <c r="AZ115" s="996"/>
      <c r="BA115" s="1660"/>
      <c r="BB115" s="1051"/>
      <c r="BC115" s="1936"/>
      <c r="BD115" s="1937"/>
      <c r="BE115" s="1002"/>
      <c r="BF115" s="987"/>
      <c r="BG115" s="1660"/>
      <c r="BH115" s="1051"/>
      <c r="BI115" s="1936"/>
      <c r="BJ115" s="1937"/>
      <c r="BK115" s="1660"/>
      <c r="BL115" s="1051"/>
      <c r="BM115" s="1936"/>
      <c r="BN115" s="1937"/>
      <c r="BO115" s="1052"/>
      <c r="BP115" s="1997"/>
      <c r="BQ115" s="1052"/>
      <c r="BR115" s="2032"/>
      <c r="BS115" s="1660"/>
      <c r="BT115" s="1051"/>
      <c r="BU115" s="1936"/>
      <c r="BV115" s="1937"/>
      <c r="BW115" s="1052"/>
      <c r="BX115" s="2032"/>
      <c r="BY115" s="1660"/>
      <c r="BZ115" s="1051"/>
      <c r="CA115" s="1936"/>
      <c r="CB115" s="1937"/>
      <c r="CC115" s="1754"/>
      <c r="CD115" s="2162"/>
      <c r="CE115" s="1002">
        <v>5</v>
      </c>
      <c r="CF115" s="996"/>
      <c r="CG115" s="1660"/>
      <c r="CH115" s="1051"/>
      <c r="CI115" s="1936"/>
      <c r="CJ115" s="1937"/>
      <c r="CK115" s="1002"/>
      <c r="CL115" s="996"/>
      <c r="CM115" s="1660"/>
      <c r="CN115" s="1051"/>
      <c r="CO115" s="1936"/>
      <c r="CP115" s="1937"/>
      <c r="CQ115" s="1660"/>
      <c r="CR115" s="1051"/>
      <c r="CS115" s="1936"/>
      <c r="CT115" s="1937"/>
      <c r="CU115" s="1660"/>
      <c r="CV115" s="1051"/>
      <c r="CW115" s="1936"/>
      <c r="CX115" s="1937"/>
      <c r="CY115" s="1660"/>
      <c r="CZ115" s="1051"/>
      <c r="DA115" s="1936"/>
      <c r="DB115" s="1937"/>
      <c r="DC115" s="1052"/>
      <c r="DD115" s="2032"/>
      <c r="DE115" s="1660"/>
      <c r="DF115" s="1051"/>
      <c r="DG115" s="1936"/>
      <c r="DH115" s="1937"/>
      <c r="DI115" s="998"/>
      <c r="DJ115" s="987"/>
      <c r="DK115" s="1052"/>
      <c r="DL115" s="1997"/>
      <c r="DM115" s="1052"/>
      <c r="DN115" s="1997"/>
      <c r="DO115" s="1052"/>
      <c r="DP115" s="2032"/>
      <c r="DQ115" s="1002">
        <v>5</v>
      </c>
      <c r="DR115" s="1054"/>
      <c r="DS115" s="1660"/>
      <c r="DT115" s="1051"/>
      <c r="DU115" s="1936"/>
      <c r="DV115" s="1937"/>
      <c r="DW115" s="1002"/>
      <c r="DX115" s="996"/>
      <c r="DY115" s="1660"/>
      <c r="DZ115" s="1051"/>
      <c r="EA115" s="1936"/>
      <c r="EB115" s="1937"/>
      <c r="EC115" s="1052"/>
      <c r="ED115" s="2032"/>
      <c r="EE115" s="1002">
        <v>5</v>
      </c>
      <c r="EF115" s="996"/>
      <c r="EG115" s="1052"/>
      <c r="EH115" s="2032"/>
      <c r="EI115" s="1660"/>
      <c r="EJ115" s="1051"/>
      <c r="EK115" s="2220"/>
      <c r="EL115" s="1937"/>
      <c r="EM115" s="2202">
        <f t="shared" si="90"/>
        <v>0</v>
      </c>
      <c r="EN115" s="1585">
        <f t="shared" si="91"/>
        <v>2650</v>
      </c>
      <c r="EO115" s="1585">
        <f t="shared" si="92"/>
        <v>0</v>
      </c>
      <c r="EP115" s="1586">
        <f t="shared" si="52"/>
        <v>2650</v>
      </c>
      <c r="EQ115" s="999">
        <f t="shared" si="86"/>
        <v>0</v>
      </c>
      <c r="ER115" s="1776">
        <f t="shared" si="87"/>
        <v>3550</v>
      </c>
      <c r="ES115" s="1776">
        <f t="shared" si="88"/>
        <v>0</v>
      </c>
      <c r="ET115" s="1055">
        <f t="shared" si="56"/>
        <v>3550</v>
      </c>
    </row>
    <row r="116" spans="1:150" s="368" customFormat="1" ht="30" customHeight="1" thickBot="1" x14ac:dyDescent="0.3">
      <c r="A116" s="1056"/>
      <c r="B116" s="1057" t="s">
        <v>1553</v>
      </c>
      <c r="C116" s="1656">
        <f t="shared" ref="C116:L116" si="93">SUM(C110:C115)</f>
        <v>0</v>
      </c>
      <c r="D116" s="1642">
        <f t="shared" si="93"/>
        <v>0</v>
      </c>
      <c r="E116" s="1926">
        <f t="shared" si="93"/>
        <v>0</v>
      </c>
      <c r="F116" s="1927">
        <f t="shared" si="93"/>
        <v>0</v>
      </c>
      <c r="G116" s="1058">
        <f t="shared" si="93"/>
        <v>0</v>
      </c>
      <c r="H116" s="1992">
        <f t="shared" si="93"/>
        <v>0</v>
      </c>
      <c r="I116" s="1058">
        <f t="shared" si="93"/>
        <v>0</v>
      </c>
      <c r="J116" s="1992">
        <f t="shared" si="93"/>
        <v>0</v>
      </c>
      <c r="K116" s="1058">
        <f t="shared" si="93"/>
        <v>0</v>
      </c>
      <c r="L116" s="1992">
        <f t="shared" si="93"/>
        <v>0</v>
      </c>
      <c r="M116" s="1056"/>
      <c r="N116" s="1057" t="s">
        <v>1553</v>
      </c>
      <c r="O116" s="1058">
        <f>SUM(O110:O115)</f>
        <v>20870</v>
      </c>
      <c r="P116" s="1992">
        <f t="shared" ref="P116:AB116" si="94">SUM(P110:P115)</f>
        <v>14870</v>
      </c>
      <c r="Q116" s="1656">
        <f t="shared" si="94"/>
        <v>0</v>
      </c>
      <c r="R116" s="1642">
        <f t="shared" si="94"/>
        <v>3550</v>
      </c>
      <c r="S116" s="1926">
        <f t="shared" si="94"/>
        <v>0</v>
      </c>
      <c r="T116" s="1927">
        <f t="shared" si="94"/>
        <v>2650</v>
      </c>
      <c r="U116" s="1656">
        <f t="shared" si="94"/>
        <v>0</v>
      </c>
      <c r="V116" s="1642">
        <f t="shared" si="94"/>
        <v>0</v>
      </c>
      <c r="W116" s="1926">
        <f t="shared" si="94"/>
        <v>0</v>
      </c>
      <c r="X116" s="1927">
        <f t="shared" si="94"/>
        <v>0</v>
      </c>
      <c r="Y116" s="1656">
        <f t="shared" si="94"/>
        <v>0</v>
      </c>
      <c r="Z116" s="1642">
        <f>SUM(Z110:Z115)</f>
        <v>0</v>
      </c>
      <c r="AA116" s="1926">
        <f t="shared" si="94"/>
        <v>0</v>
      </c>
      <c r="AB116" s="1927">
        <f t="shared" si="94"/>
        <v>0</v>
      </c>
      <c r="AC116" s="1059"/>
      <c r="AD116" s="1057" t="s">
        <v>1553</v>
      </c>
      <c r="AE116" s="1656">
        <f t="shared" ref="AE116:AX116" si="95">SUM(AE110:AE115)</f>
        <v>0</v>
      </c>
      <c r="AF116" s="1642">
        <f t="shared" si="95"/>
        <v>0</v>
      </c>
      <c r="AG116" s="1926">
        <f t="shared" si="95"/>
        <v>0</v>
      </c>
      <c r="AH116" s="1927">
        <f t="shared" si="95"/>
        <v>0</v>
      </c>
      <c r="AI116" s="1656">
        <f t="shared" si="95"/>
        <v>0</v>
      </c>
      <c r="AJ116" s="1642">
        <f t="shared" si="95"/>
        <v>0</v>
      </c>
      <c r="AK116" s="1926">
        <f t="shared" si="95"/>
        <v>0</v>
      </c>
      <c r="AL116" s="1927">
        <f t="shared" si="95"/>
        <v>0</v>
      </c>
      <c r="AM116" s="1058">
        <f t="shared" si="95"/>
        <v>7000</v>
      </c>
      <c r="AN116" s="1992">
        <f t="shared" si="95"/>
        <v>5504</v>
      </c>
      <c r="AO116" s="1656">
        <f t="shared" si="95"/>
        <v>0</v>
      </c>
      <c r="AP116" s="1854">
        <f t="shared" si="95"/>
        <v>0</v>
      </c>
      <c r="AQ116" s="1030">
        <f t="shared" si="95"/>
        <v>0</v>
      </c>
      <c r="AR116" s="1926">
        <f t="shared" si="95"/>
        <v>28717</v>
      </c>
      <c r="AS116" s="2096">
        <f t="shared" si="95"/>
        <v>0</v>
      </c>
      <c r="AT116" s="2097">
        <f t="shared" si="95"/>
        <v>0</v>
      </c>
      <c r="AU116" s="1656">
        <f t="shared" si="95"/>
        <v>0</v>
      </c>
      <c r="AV116" s="1642">
        <f t="shared" si="95"/>
        <v>0</v>
      </c>
      <c r="AW116" s="1926">
        <f t="shared" si="95"/>
        <v>0</v>
      </c>
      <c r="AX116" s="1927">
        <f t="shared" si="95"/>
        <v>0</v>
      </c>
      <c r="AY116" s="1056"/>
      <c r="AZ116" s="1057" t="s">
        <v>1553</v>
      </c>
      <c r="BA116" s="1656">
        <f t="shared" ref="BA116:BD116" si="96">SUM(BA110:BA115)</f>
        <v>5000</v>
      </c>
      <c r="BB116" s="1642">
        <f t="shared" si="96"/>
        <v>0</v>
      </c>
      <c r="BC116" s="1926">
        <f t="shared" si="96"/>
        <v>5000</v>
      </c>
      <c r="BD116" s="1927">
        <f t="shared" si="96"/>
        <v>0</v>
      </c>
      <c r="BE116" s="1056"/>
      <c r="BF116" s="1057" t="s">
        <v>1553</v>
      </c>
      <c r="BG116" s="1656">
        <f t="shared" ref="BG116:CD116" si="97">SUM(BG110:BG115)</f>
        <v>0</v>
      </c>
      <c r="BH116" s="1642">
        <f t="shared" si="97"/>
        <v>0</v>
      </c>
      <c r="BI116" s="1926">
        <f t="shared" si="97"/>
        <v>0</v>
      </c>
      <c r="BJ116" s="1927">
        <f t="shared" si="97"/>
        <v>0</v>
      </c>
      <c r="BK116" s="1656">
        <f t="shared" si="97"/>
        <v>0</v>
      </c>
      <c r="BL116" s="1642">
        <f t="shared" si="97"/>
        <v>0</v>
      </c>
      <c r="BM116" s="1926">
        <f t="shared" si="97"/>
        <v>0</v>
      </c>
      <c r="BN116" s="1927">
        <f t="shared" si="97"/>
        <v>0</v>
      </c>
      <c r="BO116" s="1058">
        <f t="shared" si="97"/>
        <v>0</v>
      </c>
      <c r="BP116" s="1992">
        <f t="shared" si="97"/>
        <v>0</v>
      </c>
      <c r="BQ116" s="1058">
        <f t="shared" si="97"/>
        <v>0</v>
      </c>
      <c r="BR116" s="1992">
        <f t="shared" si="97"/>
        <v>0</v>
      </c>
      <c r="BS116" s="1656">
        <f t="shared" si="97"/>
        <v>0</v>
      </c>
      <c r="BT116" s="1642">
        <f t="shared" si="97"/>
        <v>0</v>
      </c>
      <c r="BU116" s="1926">
        <f t="shared" si="97"/>
        <v>0</v>
      </c>
      <c r="BV116" s="1927">
        <f t="shared" si="97"/>
        <v>0</v>
      </c>
      <c r="BW116" s="1058">
        <f t="shared" si="97"/>
        <v>0</v>
      </c>
      <c r="BX116" s="1992">
        <f t="shared" si="97"/>
        <v>0</v>
      </c>
      <c r="BY116" s="1656">
        <f t="shared" si="97"/>
        <v>0</v>
      </c>
      <c r="BZ116" s="1642">
        <f t="shared" si="97"/>
        <v>0</v>
      </c>
      <c r="CA116" s="1926">
        <f t="shared" si="97"/>
        <v>0</v>
      </c>
      <c r="CB116" s="1927">
        <f t="shared" si="97"/>
        <v>0</v>
      </c>
      <c r="CC116" s="1705">
        <f t="shared" si="97"/>
        <v>0</v>
      </c>
      <c r="CD116" s="1992">
        <f t="shared" si="97"/>
        <v>0</v>
      </c>
      <c r="CE116" s="1056"/>
      <c r="CF116" s="1057" t="s">
        <v>1553</v>
      </c>
      <c r="CG116" s="1656">
        <f t="shared" ref="CG116:CJ116" si="98">SUM(CG110:CG115)</f>
        <v>104457</v>
      </c>
      <c r="CH116" s="1642">
        <f t="shared" si="98"/>
        <v>0</v>
      </c>
      <c r="CI116" s="1926">
        <f t="shared" si="98"/>
        <v>130000</v>
      </c>
      <c r="CJ116" s="1927">
        <f t="shared" si="98"/>
        <v>0</v>
      </c>
      <c r="CK116" s="1056"/>
      <c r="CL116" s="1057" t="s">
        <v>1553</v>
      </c>
      <c r="CM116" s="1656">
        <f t="shared" ref="CM116:DH116" si="99">SUM(CM110:CM115)</f>
        <v>0</v>
      </c>
      <c r="CN116" s="1642">
        <f t="shared" si="99"/>
        <v>0</v>
      </c>
      <c r="CO116" s="1926">
        <f t="shared" si="99"/>
        <v>0</v>
      </c>
      <c r="CP116" s="1927">
        <f t="shared" si="99"/>
        <v>0</v>
      </c>
      <c r="CQ116" s="1656">
        <f t="shared" si="99"/>
        <v>0</v>
      </c>
      <c r="CR116" s="1642">
        <f t="shared" si="99"/>
        <v>0</v>
      </c>
      <c r="CS116" s="1926">
        <f t="shared" si="99"/>
        <v>0</v>
      </c>
      <c r="CT116" s="1927">
        <f t="shared" si="99"/>
        <v>0</v>
      </c>
      <c r="CU116" s="1656">
        <f t="shared" si="99"/>
        <v>0</v>
      </c>
      <c r="CV116" s="1642">
        <f t="shared" si="99"/>
        <v>0</v>
      </c>
      <c r="CW116" s="1926">
        <f t="shared" si="99"/>
        <v>0</v>
      </c>
      <c r="CX116" s="1927">
        <f t="shared" si="99"/>
        <v>0</v>
      </c>
      <c r="CY116" s="1656">
        <f t="shared" si="99"/>
        <v>0</v>
      </c>
      <c r="CZ116" s="1642">
        <f t="shared" si="99"/>
        <v>0</v>
      </c>
      <c r="DA116" s="1926">
        <f t="shared" si="99"/>
        <v>0</v>
      </c>
      <c r="DB116" s="1927">
        <f t="shared" si="99"/>
        <v>0</v>
      </c>
      <c r="DC116" s="1058">
        <f t="shared" si="99"/>
        <v>0</v>
      </c>
      <c r="DD116" s="1992">
        <f t="shared" si="99"/>
        <v>0</v>
      </c>
      <c r="DE116" s="1656">
        <f t="shared" si="99"/>
        <v>0</v>
      </c>
      <c r="DF116" s="1642">
        <f t="shared" si="99"/>
        <v>0</v>
      </c>
      <c r="DG116" s="1926">
        <f t="shared" si="99"/>
        <v>0</v>
      </c>
      <c r="DH116" s="1927">
        <f t="shared" si="99"/>
        <v>0</v>
      </c>
      <c r="DI116" s="1059"/>
      <c r="DJ116" s="1057" t="s">
        <v>1553</v>
      </c>
      <c r="DK116" s="1058">
        <f t="shared" ref="DK116:DL116" si="100">SUM(DK110:DK115)</f>
        <v>0</v>
      </c>
      <c r="DL116" s="1992">
        <f t="shared" si="100"/>
        <v>0</v>
      </c>
      <c r="DM116" s="1058">
        <f t="shared" ref="DM116:DP116" si="101">SUM(DM110:DM115)</f>
        <v>0</v>
      </c>
      <c r="DN116" s="1992">
        <f t="shared" si="101"/>
        <v>0</v>
      </c>
      <c r="DO116" s="1058">
        <f t="shared" si="101"/>
        <v>0</v>
      </c>
      <c r="DP116" s="1992">
        <f t="shared" si="101"/>
        <v>0</v>
      </c>
      <c r="DQ116" s="1056"/>
      <c r="DR116" s="1060" t="s">
        <v>1553</v>
      </c>
      <c r="DS116" s="1656">
        <f t="shared" ref="DS116:DV116" si="102">SUM(DS110:DS115)</f>
        <v>0</v>
      </c>
      <c r="DT116" s="1642">
        <f t="shared" si="102"/>
        <v>0</v>
      </c>
      <c r="DU116" s="1926">
        <f t="shared" si="102"/>
        <v>0</v>
      </c>
      <c r="DV116" s="1927">
        <f t="shared" si="102"/>
        <v>0</v>
      </c>
      <c r="DW116" s="1056"/>
      <c r="DX116" s="1057" t="s">
        <v>1553</v>
      </c>
      <c r="DY116" s="1656">
        <f t="shared" ref="DY116:ED116" si="103">SUM(DY110:DY115)</f>
        <v>0</v>
      </c>
      <c r="DZ116" s="1642">
        <f>SUM(DZ110:DZ115)</f>
        <v>0</v>
      </c>
      <c r="EA116" s="1926">
        <f t="shared" ref="EA116:EB116" si="104">SUM(EA110:EA115)</f>
        <v>0</v>
      </c>
      <c r="EB116" s="1927">
        <f t="shared" si="104"/>
        <v>0</v>
      </c>
      <c r="EC116" s="1058">
        <f t="shared" si="103"/>
        <v>0</v>
      </c>
      <c r="ED116" s="1992">
        <f t="shared" si="103"/>
        <v>0</v>
      </c>
      <c r="EE116" s="1056"/>
      <c r="EF116" s="1057" t="s">
        <v>1553</v>
      </c>
      <c r="EG116" s="1058">
        <f t="shared" ref="EG116:EO116" si="105">SUM(EG110:EG115)</f>
        <v>0</v>
      </c>
      <c r="EH116" s="1992">
        <f t="shared" si="105"/>
        <v>0</v>
      </c>
      <c r="EI116" s="1656">
        <f t="shared" si="105"/>
        <v>0</v>
      </c>
      <c r="EJ116" s="1642">
        <f t="shared" si="105"/>
        <v>0</v>
      </c>
      <c r="EK116" s="1926">
        <f t="shared" si="105"/>
        <v>0</v>
      </c>
      <c r="EL116" s="1927">
        <f t="shared" si="105"/>
        <v>0</v>
      </c>
      <c r="EM116" s="1927">
        <f t="shared" si="105"/>
        <v>169221</v>
      </c>
      <c r="EN116" s="1927">
        <f t="shared" si="105"/>
        <v>17520</v>
      </c>
      <c r="EO116" s="1927">
        <f t="shared" si="105"/>
        <v>0</v>
      </c>
      <c r="EP116" s="1962">
        <f t="shared" si="52"/>
        <v>186741</v>
      </c>
      <c r="EQ116" s="1707">
        <f t="shared" si="86"/>
        <v>116457</v>
      </c>
      <c r="ER116" s="1786">
        <f t="shared" si="87"/>
        <v>24420</v>
      </c>
      <c r="ES116" s="1786">
        <f t="shared" si="88"/>
        <v>0</v>
      </c>
      <c r="ET116" s="1061">
        <f t="shared" si="56"/>
        <v>140877</v>
      </c>
    </row>
    <row r="117" spans="1:150" s="368" customFormat="1" ht="19.95" customHeight="1" x14ac:dyDescent="0.25">
      <c r="A117" s="1062"/>
      <c r="B117" s="1063" t="s">
        <v>1554</v>
      </c>
      <c r="C117" s="1661"/>
      <c r="D117" s="1064"/>
      <c r="E117" s="1938"/>
      <c r="F117" s="1939"/>
      <c r="G117" s="1065"/>
      <c r="H117" s="1998"/>
      <c r="I117" s="1065"/>
      <c r="J117" s="1998"/>
      <c r="K117" s="1065"/>
      <c r="L117" s="2033"/>
      <c r="M117" s="1062"/>
      <c r="N117" s="1063" t="s">
        <v>1554</v>
      </c>
      <c r="O117" s="1065"/>
      <c r="P117" s="2033"/>
      <c r="Q117" s="1661"/>
      <c r="R117" s="1064"/>
      <c r="S117" s="1938"/>
      <c r="T117" s="1939"/>
      <c r="U117" s="1661"/>
      <c r="V117" s="1064"/>
      <c r="W117" s="1938"/>
      <c r="X117" s="1939"/>
      <c r="Y117" s="1661"/>
      <c r="Z117" s="1064"/>
      <c r="AA117" s="2067"/>
      <c r="AB117" s="1939"/>
      <c r="AC117" s="1066"/>
      <c r="AD117" s="1063" t="s">
        <v>1554</v>
      </c>
      <c r="AE117" s="1661"/>
      <c r="AF117" s="1064"/>
      <c r="AG117" s="1938"/>
      <c r="AH117" s="1939"/>
      <c r="AI117" s="1661"/>
      <c r="AJ117" s="1064"/>
      <c r="AK117" s="1938"/>
      <c r="AL117" s="1939"/>
      <c r="AM117" s="1065"/>
      <c r="AN117" s="2033"/>
      <c r="AO117" s="1873"/>
      <c r="AP117" s="1067"/>
      <c r="AQ117" s="1068"/>
      <c r="AR117" s="2103"/>
      <c r="AS117" s="1493"/>
      <c r="AT117" s="2103"/>
      <c r="AU117" s="1661"/>
      <c r="AV117" s="1064"/>
      <c r="AW117" s="1938"/>
      <c r="AX117" s="1939"/>
      <c r="AY117" s="1062"/>
      <c r="AZ117" s="1063" t="s">
        <v>1554</v>
      </c>
      <c r="BA117" s="1661"/>
      <c r="BB117" s="1064"/>
      <c r="BC117" s="1938"/>
      <c r="BD117" s="1939"/>
      <c r="BE117" s="1062"/>
      <c r="BF117" s="1063" t="s">
        <v>1554</v>
      </c>
      <c r="BG117" s="1661"/>
      <c r="BH117" s="1064"/>
      <c r="BI117" s="1938"/>
      <c r="BJ117" s="1939"/>
      <c r="BK117" s="1661"/>
      <c r="BL117" s="1064"/>
      <c r="BM117" s="1938"/>
      <c r="BN117" s="1939"/>
      <c r="BO117" s="1065"/>
      <c r="BP117" s="1998"/>
      <c r="BQ117" s="1065"/>
      <c r="BR117" s="2033"/>
      <c r="BS117" s="1661"/>
      <c r="BT117" s="1064"/>
      <c r="BU117" s="1938"/>
      <c r="BV117" s="1939"/>
      <c r="BW117" s="1065"/>
      <c r="BX117" s="2033"/>
      <c r="BY117" s="1661"/>
      <c r="BZ117" s="1064"/>
      <c r="CA117" s="1938"/>
      <c r="CB117" s="1939"/>
      <c r="CC117" s="1755"/>
      <c r="CD117" s="2163"/>
      <c r="CE117" s="1062"/>
      <c r="CF117" s="1063" t="s">
        <v>1554</v>
      </c>
      <c r="CG117" s="1661"/>
      <c r="CH117" s="1064"/>
      <c r="CI117" s="1938"/>
      <c r="CJ117" s="1939"/>
      <c r="CK117" s="1062"/>
      <c r="CL117" s="1063" t="s">
        <v>1554</v>
      </c>
      <c r="CM117" s="1661"/>
      <c r="CN117" s="1064"/>
      <c r="CO117" s="1938"/>
      <c r="CP117" s="1939"/>
      <c r="CQ117" s="1661"/>
      <c r="CR117" s="1064"/>
      <c r="CS117" s="1938"/>
      <c r="CT117" s="1939"/>
      <c r="CU117" s="1661"/>
      <c r="CV117" s="1064"/>
      <c r="CW117" s="1938"/>
      <c r="CX117" s="1939"/>
      <c r="CY117" s="1661"/>
      <c r="CZ117" s="1064"/>
      <c r="DA117" s="1938"/>
      <c r="DB117" s="1939"/>
      <c r="DC117" s="1065"/>
      <c r="DD117" s="2033"/>
      <c r="DE117" s="1661"/>
      <c r="DF117" s="1064"/>
      <c r="DG117" s="1938"/>
      <c r="DH117" s="1939"/>
      <c r="DI117" s="1066"/>
      <c r="DJ117" s="1063" t="s">
        <v>1554</v>
      </c>
      <c r="DK117" s="1065"/>
      <c r="DL117" s="1998"/>
      <c r="DM117" s="1065"/>
      <c r="DN117" s="1998"/>
      <c r="DO117" s="1065"/>
      <c r="DP117" s="2033"/>
      <c r="DQ117" s="1062"/>
      <c r="DR117" s="1069" t="s">
        <v>1554</v>
      </c>
      <c r="DS117" s="1661"/>
      <c r="DT117" s="1064"/>
      <c r="DU117" s="1938"/>
      <c r="DV117" s="1939"/>
      <c r="DW117" s="1062"/>
      <c r="DX117" s="1063" t="s">
        <v>1554</v>
      </c>
      <c r="DY117" s="1661"/>
      <c r="DZ117" s="1064"/>
      <c r="EA117" s="1938"/>
      <c r="EB117" s="1939"/>
      <c r="EC117" s="1065"/>
      <c r="ED117" s="2033"/>
      <c r="EE117" s="1062"/>
      <c r="EF117" s="1063" t="s">
        <v>1554</v>
      </c>
      <c r="EG117" s="1065"/>
      <c r="EH117" s="2033"/>
      <c r="EI117" s="1661"/>
      <c r="EJ117" s="1064"/>
      <c r="EK117" s="2215"/>
      <c r="EL117" s="1929"/>
      <c r="EM117" s="2216"/>
      <c r="EN117" s="1597"/>
      <c r="EO117" s="1597"/>
      <c r="EP117" s="1597">
        <f t="shared" ref="EP117" si="106">SUM(EM117:EO117)</f>
        <v>0</v>
      </c>
      <c r="EQ117" s="1162">
        <f t="shared" si="86"/>
        <v>0</v>
      </c>
      <c r="ER117" s="1787">
        <f t="shared" si="87"/>
        <v>0</v>
      </c>
      <c r="ES117" s="1787">
        <f t="shared" si="88"/>
        <v>0</v>
      </c>
      <c r="ET117" s="1070">
        <f t="shared" si="56"/>
        <v>0</v>
      </c>
    </row>
    <row r="118" spans="1:150" s="368" customFormat="1" x14ac:dyDescent="0.25">
      <c r="A118" s="1002">
        <v>1</v>
      </c>
      <c r="B118" s="1071"/>
      <c r="C118" s="1043"/>
      <c r="D118" s="1039"/>
      <c r="E118" s="1930"/>
      <c r="F118" s="1931"/>
      <c r="G118" s="1072"/>
      <c r="H118" s="1994"/>
      <c r="I118" s="1072"/>
      <c r="J118" s="1994"/>
      <c r="K118" s="1072"/>
      <c r="L118" s="2029"/>
      <c r="M118" s="1002">
        <v>1</v>
      </c>
      <c r="N118" s="1073" t="s">
        <v>1555</v>
      </c>
      <c r="O118" s="1072">
        <f>44900+5000+54100-20000</f>
        <v>84000</v>
      </c>
      <c r="P118" s="2029">
        <f>6845</f>
        <v>6845</v>
      </c>
      <c r="Q118" s="1043"/>
      <c r="R118" s="1039"/>
      <c r="S118" s="1930"/>
      <c r="T118" s="1931"/>
      <c r="U118" s="1043"/>
      <c r="V118" s="1039"/>
      <c r="W118" s="1930"/>
      <c r="X118" s="1931"/>
      <c r="Y118" s="1043"/>
      <c r="Z118" s="1039"/>
      <c r="AA118" s="2063"/>
      <c r="AB118" s="1931"/>
      <c r="AC118" s="998">
        <v>1</v>
      </c>
      <c r="AD118" s="1071"/>
      <c r="AE118" s="1043"/>
      <c r="AF118" s="1039"/>
      <c r="AG118" s="1930"/>
      <c r="AH118" s="1931"/>
      <c r="AI118" s="1043"/>
      <c r="AJ118" s="1039"/>
      <c r="AK118" s="1930"/>
      <c r="AL118" s="1931"/>
      <c r="AM118" s="1072"/>
      <c r="AN118" s="2029"/>
      <c r="AO118" s="1718"/>
      <c r="AP118" s="1075"/>
      <c r="AQ118" s="1076"/>
      <c r="AR118" s="2099"/>
      <c r="AS118" s="1444"/>
      <c r="AT118" s="2099"/>
      <c r="AU118" s="1043"/>
      <c r="AV118" s="1039"/>
      <c r="AW118" s="1930"/>
      <c r="AX118" s="1931"/>
      <c r="AY118" s="1002">
        <v>1</v>
      </c>
      <c r="AZ118" s="1071" t="s">
        <v>1548</v>
      </c>
      <c r="BA118" s="1043"/>
      <c r="BB118" s="1039"/>
      <c r="BC118" s="1930"/>
      <c r="BD118" s="1931"/>
      <c r="BE118" s="1002">
        <v>1</v>
      </c>
      <c r="BF118" s="1073" t="s">
        <v>1556</v>
      </c>
      <c r="BG118" s="1043"/>
      <c r="BH118" s="1039"/>
      <c r="BI118" s="1930"/>
      <c r="BJ118" s="1931"/>
      <c r="BK118" s="1043"/>
      <c r="BL118" s="1039"/>
      <c r="BM118" s="1930"/>
      <c r="BN118" s="1931"/>
      <c r="BO118" s="1072"/>
      <c r="BP118" s="1994"/>
      <c r="BQ118" s="1072"/>
      <c r="BR118" s="2029"/>
      <c r="BS118" s="1043"/>
      <c r="BT118" s="1039"/>
      <c r="BU118" s="1930"/>
      <c r="BV118" s="1931"/>
      <c r="BW118" s="1072"/>
      <c r="BX118" s="2029"/>
      <c r="BY118" s="1043"/>
      <c r="BZ118" s="1039"/>
      <c r="CA118" s="1930"/>
      <c r="CB118" s="1931"/>
      <c r="CC118" s="1750"/>
      <c r="CD118" s="2157"/>
      <c r="CE118" s="1002">
        <v>1</v>
      </c>
      <c r="CF118" s="1071"/>
      <c r="CG118" s="1043"/>
      <c r="CH118" s="1039"/>
      <c r="CI118" s="1930"/>
      <c r="CJ118" s="1931"/>
      <c r="CK118" s="1002">
        <v>1</v>
      </c>
      <c r="CL118" s="1073" t="s">
        <v>1557</v>
      </c>
      <c r="CM118" s="1043"/>
      <c r="CN118" s="1039"/>
      <c r="CO118" s="1930"/>
      <c r="CP118" s="1931"/>
      <c r="CQ118" s="1043"/>
      <c r="CR118" s="1039"/>
      <c r="CS118" s="1930"/>
      <c r="CT118" s="1931"/>
      <c r="CU118" s="1043"/>
      <c r="CV118" s="1039"/>
      <c r="CW118" s="1930"/>
      <c r="CX118" s="1931"/>
      <c r="CY118" s="1043"/>
      <c r="CZ118" s="1039"/>
      <c r="DA118" s="1930"/>
      <c r="DB118" s="1931"/>
      <c r="DC118" s="1072"/>
      <c r="DD118" s="2029"/>
      <c r="DE118" s="1043"/>
      <c r="DF118" s="1039"/>
      <c r="DG118" s="1930"/>
      <c r="DH118" s="1931"/>
      <c r="DI118" s="998">
        <v>1</v>
      </c>
      <c r="DJ118" s="1073"/>
      <c r="DK118" s="1072"/>
      <c r="DL118" s="1994"/>
      <c r="DM118" s="1072"/>
      <c r="DN118" s="1994"/>
      <c r="DO118" s="1072"/>
      <c r="DP118" s="2029"/>
      <c r="DQ118" s="1002">
        <v>1</v>
      </c>
      <c r="DR118" s="1077"/>
      <c r="DS118" s="1043"/>
      <c r="DT118" s="1039"/>
      <c r="DU118" s="1930"/>
      <c r="DV118" s="1931"/>
      <c r="DW118" s="1002">
        <v>1</v>
      </c>
      <c r="DX118" s="1071"/>
      <c r="DY118" s="1043"/>
      <c r="DZ118" s="1039"/>
      <c r="EA118" s="1930"/>
      <c r="EB118" s="1931"/>
      <c r="EC118" s="1072"/>
      <c r="ED118" s="2029"/>
      <c r="EE118" s="1002"/>
      <c r="EF118" s="1071" t="s">
        <v>1558</v>
      </c>
      <c r="EG118" s="1072"/>
      <c r="EH118" s="2029"/>
      <c r="EI118" s="1043"/>
      <c r="EJ118" s="1039"/>
      <c r="EK118" s="2217"/>
      <c r="EL118" s="1931"/>
      <c r="EM118" s="2202">
        <f>E118+S118+W118+AA118+AG118+AK118+AN118+AR118+AW118+BC118+BI118+BM118+BR118+BU118+CA118+CD118+CI118+CO118+CS118+CW118+DA118+DG118+DU118+EA118+EK118+44900</f>
        <v>44900</v>
      </c>
      <c r="EN118" s="1585">
        <f>F118+H118+J118+L118+P118+T118+X118+AB118+AH118+AL118+AS118+AX118+BD118+BJ118+BN118+BP118+BV118+BX118+CB118+CJ118+CP118+CT118+CX118+DB118+DD118+DH118+DN118+DP118+DV118+EB118+ED118+EH118+EL118+DL118-44900</f>
        <v>-38055</v>
      </c>
      <c r="EO118" s="1585">
        <f t="shared" ref="EO118:EO125" si="107">AQ118</f>
        <v>0</v>
      </c>
      <c r="EP118" s="1597">
        <f t="shared" si="52"/>
        <v>6845</v>
      </c>
      <c r="EQ118" s="1162">
        <f t="shared" si="86"/>
        <v>0</v>
      </c>
      <c r="ER118" s="1787">
        <f t="shared" si="87"/>
        <v>84000</v>
      </c>
      <c r="ES118" s="1787">
        <f t="shared" si="88"/>
        <v>0</v>
      </c>
      <c r="ET118" s="1070">
        <f t="shared" si="56"/>
        <v>84000</v>
      </c>
    </row>
    <row r="119" spans="1:150" s="368" customFormat="1" ht="26.4" x14ac:dyDescent="0.25">
      <c r="A119" s="1002">
        <v>2</v>
      </c>
      <c r="B119" s="1071"/>
      <c r="C119" s="1043"/>
      <c r="D119" s="1039"/>
      <c r="E119" s="1930"/>
      <c r="F119" s="1931"/>
      <c r="G119" s="1072"/>
      <c r="H119" s="1994"/>
      <c r="I119" s="1072"/>
      <c r="J119" s="1994"/>
      <c r="K119" s="1072"/>
      <c r="L119" s="2029"/>
      <c r="M119" s="1002">
        <v>2</v>
      </c>
      <c r="N119" s="1073" t="s">
        <v>1559</v>
      </c>
      <c r="O119" s="1072">
        <v>38728</v>
      </c>
      <c r="P119" s="2029"/>
      <c r="Q119" s="1043"/>
      <c r="R119" s="1039"/>
      <c r="S119" s="1930"/>
      <c r="T119" s="1931"/>
      <c r="U119" s="1043"/>
      <c r="V119" s="1039"/>
      <c r="W119" s="1930"/>
      <c r="X119" s="1931"/>
      <c r="Y119" s="1043"/>
      <c r="Z119" s="1039"/>
      <c r="AA119" s="2063"/>
      <c r="AB119" s="1931"/>
      <c r="AC119" s="998">
        <v>2</v>
      </c>
      <c r="AD119" s="1071"/>
      <c r="AE119" s="1043"/>
      <c r="AF119" s="1039"/>
      <c r="AG119" s="1930"/>
      <c r="AH119" s="1931"/>
      <c r="AI119" s="1043"/>
      <c r="AJ119" s="1039"/>
      <c r="AK119" s="1930"/>
      <c r="AL119" s="1931"/>
      <c r="AM119" s="1072"/>
      <c r="AN119" s="2029"/>
      <c r="AO119" s="1718"/>
      <c r="AP119" s="1075"/>
      <c r="AQ119" s="1076"/>
      <c r="AR119" s="2099"/>
      <c r="AS119" s="1444"/>
      <c r="AT119" s="2099"/>
      <c r="AU119" s="1043"/>
      <c r="AV119" s="1039"/>
      <c r="AW119" s="1930"/>
      <c r="AX119" s="1931"/>
      <c r="AY119" s="1002">
        <v>2</v>
      </c>
      <c r="AZ119" s="1071"/>
      <c r="BA119" s="1043"/>
      <c r="BB119" s="1039"/>
      <c r="BC119" s="1930"/>
      <c r="BD119" s="1931"/>
      <c r="BE119" s="1002">
        <v>2</v>
      </c>
      <c r="BF119" s="1073" t="s">
        <v>2126</v>
      </c>
      <c r="BG119" s="1043"/>
      <c r="BH119" s="1039"/>
      <c r="BI119" s="1930"/>
      <c r="BJ119" s="1931"/>
      <c r="BK119" s="1043"/>
      <c r="BL119" s="1039"/>
      <c r="BM119" s="1930"/>
      <c r="BN119" s="1968">
        <v>2500</v>
      </c>
      <c r="BO119" s="1072"/>
      <c r="BP119" s="1994"/>
      <c r="BQ119" s="1072"/>
      <c r="BR119" s="2029"/>
      <c r="BS119" s="1043"/>
      <c r="BT119" s="1039"/>
      <c r="BU119" s="1930"/>
      <c r="BV119" s="1931"/>
      <c r="BW119" s="1072"/>
      <c r="BX119" s="2029"/>
      <c r="BY119" s="1043"/>
      <c r="BZ119" s="1039"/>
      <c r="CA119" s="1930"/>
      <c r="CB119" s="1931"/>
      <c r="CC119" s="1750"/>
      <c r="CD119" s="2157"/>
      <c r="CE119" s="1002">
        <v>2</v>
      </c>
      <c r="CF119" s="1071"/>
      <c r="CG119" s="1043"/>
      <c r="CH119" s="1039"/>
      <c r="CI119" s="1930"/>
      <c r="CJ119" s="1931"/>
      <c r="CK119" s="1002">
        <v>2</v>
      </c>
      <c r="CL119" s="1073" t="s">
        <v>1560</v>
      </c>
      <c r="CM119" s="1043"/>
      <c r="CN119" s="1039"/>
      <c r="CO119" s="1930"/>
      <c r="CP119" s="1931"/>
      <c r="CQ119" s="1043"/>
      <c r="CR119" s="1160">
        <f>142527-5038</f>
        <v>137489</v>
      </c>
      <c r="CS119" s="1967">
        <v>122060</v>
      </c>
      <c r="CT119" s="1968">
        <v>6144</v>
      </c>
      <c r="CU119" s="1043"/>
      <c r="CV119" s="1039"/>
      <c r="CW119" s="1930"/>
      <c r="CX119" s="1931"/>
      <c r="CY119" s="1043"/>
      <c r="CZ119" s="1039"/>
      <c r="DA119" s="1930"/>
      <c r="DB119" s="1931"/>
      <c r="DC119" s="1072"/>
      <c r="DD119" s="2029"/>
      <c r="DE119" s="1043"/>
      <c r="DF119" s="1039"/>
      <c r="DG119" s="1930"/>
      <c r="DH119" s="1931"/>
      <c r="DI119" s="998">
        <v>2</v>
      </c>
      <c r="DJ119" s="1073"/>
      <c r="DK119" s="1072"/>
      <c r="DL119" s="1994"/>
      <c r="DM119" s="1072"/>
      <c r="DN119" s="1994"/>
      <c r="DO119" s="1072"/>
      <c r="DP119" s="2029"/>
      <c r="DQ119" s="1002">
        <v>2</v>
      </c>
      <c r="DR119" s="1077"/>
      <c r="DS119" s="1043"/>
      <c r="DT119" s="1039"/>
      <c r="DU119" s="1930"/>
      <c r="DV119" s="1931"/>
      <c r="DW119" s="1002">
        <v>2</v>
      </c>
      <c r="DX119" s="1071"/>
      <c r="DY119" s="1043"/>
      <c r="DZ119" s="1039"/>
      <c r="EA119" s="1930"/>
      <c r="EB119" s="1931"/>
      <c r="EC119" s="1072"/>
      <c r="ED119" s="2029"/>
      <c r="EE119" s="1002">
        <v>1</v>
      </c>
      <c r="EF119" s="1073" t="s">
        <v>1561</v>
      </c>
      <c r="EG119" s="1072"/>
      <c r="EH119" s="2029"/>
      <c r="EI119" s="1675">
        <f>182578-14581</f>
        <v>167997</v>
      </c>
      <c r="EJ119" s="1160">
        <f>882681-129315+4184-16170+24581-10000</f>
        <v>755961</v>
      </c>
      <c r="EK119" s="2221">
        <f>'kiadás 11805'!L12</f>
        <v>161687</v>
      </c>
      <c r="EL119" s="1968">
        <f>'kiadás 11805'!L29</f>
        <v>677082</v>
      </c>
      <c r="EM119" s="2202">
        <f t="shared" ref="EM119:EM125" si="108">E119+S119+W119+AA119+AG119+AK119+AN119+AR119+AW119+BC119+BI119+BM119+BR119+BU119+CA119+CD119+CI119+CO119+CS119+CW119+DA119+DG119+DU119+EA119+EK119</f>
        <v>283747</v>
      </c>
      <c r="EN119" s="1585">
        <f t="shared" ref="EN119:EN125" si="109">F119+H119+J119+L119+P119+T119+X119+AB119+AH119+AL119+AS119+AX119+BD119+BJ119+BN119+BP119+BV119+BX119+CB119+CJ119+CP119+CT119+CX119+DB119+DD119+DH119+DN119+DP119+DV119+EB119+ED119+EH119+EL119+DL119</f>
        <v>685726</v>
      </c>
      <c r="EO119" s="1585">
        <f t="shared" si="107"/>
        <v>0</v>
      </c>
      <c r="EP119" s="1597">
        <f t="shared" si="52"/>
        <v>969473</v>
      </c>
      <c r="EQ119" s="1162">
        <f t="shared" si="86"/>
        <v>167997</v>
      </c>
      <c r="ER119" s="1787">
        <f t="shared" si="87"/>
        <v>932178</v>
      </c>
      <c r="ES119" s="1787">
        <f t="shared" si="88"/>
        <v>0</v>
      </c>
      <c r="ET119" s="1070">
        <f t="shared" si="56"/>
        <v>1100175</v>
      </c>
    </row>
    <row r="120" spans="1:150" s="368" customFormat="1" ht="26.4" x14ac:dyDescent="0.25">
      <c r="A120" s="1002">
        <v>3</v>
      </c>
      <c r="B120" s="1071"/>
      <c r="C120" s="1043"/>
      <c r="D120" s="1039"/>
      <c r="E120" s="1930"/>
      <c r="F120" s="1931"/>
      <c r="G120" s="1072"/>
      <c r="H120" s="1994"/>
      <c r="I120" s="1072"/>
      <c r="J120" s="1994"/>
      <c r="K120" s="1072"/>
      <c r="L120" s="2029"/>
      <c r="M120" s="1002">
        <v>3</v>
      </c>
      <c r="N120" s="1073" t="s">
        <v>1562</v>
      </c>
      <c r="O120" s="1072">
        <f>23000-10000</f>
        <v>13000</v>
      </c>
      <c r="P120" s="2029">
        <f>22400-12400-6000</f>
        <v>4000</v>
      </c>
      <c r="Q120" s="1043"/>
      <c r="R120" s="1039"/>
      <c r="S120" s="1930"/>
      <c r="T120" s="1931"/>
      <c r="U120" s="1043"/>
      <c r="V120" s="1039"/>
      <c r="W120" s="1930"/>
      <c r="X120" s="1931"/>
      <c r="Y120" s="1043"/>
      <c r="Z120" s="1039"/>
      <c r="AA120" s="2063"/>
      <c r="AB120" s="1931"/>
      <c r="AC120" s="998">
        <v>3</v>
      </c>
      <c r="AD120" s="1071"/>
      <c r="AE120" s="1043"/>
      <c r="AF120" s="1039"/>
      <c r="AG120" s="1930"/>
      <c r="AH120" s="1931"/>
      <c r="AI120" s="1043"/>
      <c r="AJ120" s="1039"/>
      <c r="AK120" s="1930"/>
      <c r="AL120" s="1931"/>
      <c r="AM120" s="1072"/>
      <c r="AN120" s="2029"/>
      <c r="AO120" s="1718"/>
      <c r="AP120" s="1075"/>
      <c r="AQ120" s="1076"/>
      <c r="AR120" s="2099"/>
      <c r="AS120" s="1444"/>
      <c r="AT120" s="2099"/>
      <c r="AU120" s="1043"/>
      <c r="AV120" s="1039"/>
      <c r="AW120" s="1930"/>
      <c r="AX120" s="1931"/>
      <c r="AY120" s="1002">
        <v>3</v>
      </c>
      <c r="AZ120" s="1071"/>
      <c r="BA120" s="1043"/>
      <c r="BB120" s="1039"/>
      <c r="BC120" s="1930"/>
      <c r="BD120" s="1931"/>
      <c r="BE120" s="1002">
        <v>3</v>
      </c>
      <c r="BF120" s="1073"/>
      <c r="BG120" s="1043"/>
      <c r="BH120" s="1039"/>
      <c r="BI120" s="1930"/>
      <c r="BJ120" s="1931"/>
      <c r="BK120" s="1043"/>
      <c r="BL120" s="1039"/>
      <c r="BM120" s="1930"/>
      <c r="BN120" s="1931"/>
      <c r="BO120" s="1072"/>
      <c r="BP120" s="1994"/>
      <c r="BQ120" s="1072"/>
      <c r="BR120" s="2029"/>
      <c r="BS120" s="1043"/>
      <c r="BT120" s="1039"/>
      <c r="BU120" s="1930"/>
      <c r="BV120" s="1931"/>
      <c r="BW120" s="1072"/>
      <c r="BX120" s="2029"/>
      <c r="BY120" s="1043"/>
      <c r="BZ120" s="1039"/>
      <c r="CA120" s="1930"/>
      <c r="CB120" s="1931"/>
      <c r="CC120" s="1750"/>
      <c r="CD120" s="2157"/>
      <c r="CE120" s="1002">
        <v>3</v>
      </c>
      <c r="CF120" s="1071"/>
      <c r="CG120" s="1043"/>
      <c r="CH120" s="1039"/>
      <c r="CI120" s="1930"/>
      <c r="CJ120" s="1931"/>
      <c r="CK120" s="1002">
        <v>3</v>
      </c>
      <c r="CL120" s="1073" t="s">
        <v>1560</v>
      </c>
      <c r="CM120" s="1043"/>
      <c r="CN120" s="1039"/>
      <c r="CO120" s="1930"/>
      <c r="CP120" s="1931"/>
      <c r="CQ120" s="1043"/>
      <c r="CR120" s="1039"/>
      <c r="CS120" s="1967"/>
      <c r="CT120" s="1968"/>
      <c r="CU120" s="1675">
        <f>638749+4470-13000+54401+15950</f>
        <v>700570</v>
      </c>
      <c r="CV120" s="1160">
        <f>248383-14769+6933+2450</f>
        <v>242997</v>
      </c>
      <c r="CW120" s="1967">
        <f>757184+20000</f>
        <v>777184</v>
      </c>
      <c r="CX120" s="1968">
        <f>308093+36933+2500</f>
        <v>347526</v>
      </c>
      <c r="CY120" s="1043"/>
      <c r="CZ120" s="1039"/>
      <c r="DA120" s="1930"/>
      <c r="DB120" s="1931"/>
      <c r="DC120" s="1072"/>
      <c r="DD120" s="2029"/>
      <c r="DE120" s="1043"/>
      <c r="DF120" s="1039"/>
      <c r="DG120" s="1930"/>
      <c r="DH120" s="1931"/>
      <c r="DI120" s="998">
        <v>3</v>
      </c>
      <c r="DJ120" s="1073"/>
      <c r="DK120" s="1072"/>
      <c r="DL120" s="1994"/>
      <c r="DM120" s="1072"/>
      <c r="DN120" s="1994"/>
      <c r="DO120" s="1072"/>
      <c r="DP120" s="2029"/>
      <c r="DQ120" s="1002">
        <v>3</v>
      </c>
      <c r="DR120" s="1077"/>
      <c r="DS120" s="1043"/>
      <c r="DT120" s="1039"/>
      <c r="DU120" s="1930"/>
      <c r="DV120" s="1931"/>
      <c r="DW120" s="1002">
        <v>3</v>
      </c>
      <c r="DX120" s="1071"/>
      <c r="DY120" s="1043"/>
      <c r="DZ120" s="1039"/>
      <c r="EA120" s="1930"/>
      <c r="EB120" s="1931"/>
      <c r="EC120" s="1072"/>
      <c r="ED120" s="2029"/>
      <c r="EE120" s="1002">
        <v>2</v>
      </c>
      <c r="EF120" s="1073" t="s">
        <v>1563</v>
      </c>
      <c r="EG120" s="1072"/>
      <c r="EH120" s="2029"/>
      <c r="EI120" s="1043"/>
      <c r="EJ120" s="1039"/>
      <c r="EK120" s="2221"/>
      <c r="EL120" s="1968"/>
      <c r="EM120" s="2202">
        <f t="shared" si="108"/>
        <v>777184</v>
      </c>
      <c r="EN120" s="1585">
        <f t="shared" si="109"/>
        <v>351526</v>
      </c>
      <c r="EO120" s="1585">
        <f t="shared" si="107"/>
        <v>0</v>
      </c>
      <c r="EP120" s="1597">
        <f t="shared" si="52"/>
        <v>1128710</v>
      </c>
      <c r="EQ120" s="1162">
        <f t="shared" si="86"/>
        <v>700570</v>
      </c>
      <c r="ER120" s="1785">
        <f t="shared" si="87"/>
        <v>255997</v>
      </c>
      <c r="ES120" s="1785">
        <f t="shared" si="88"/>
        <v>0</v>
      </c>
      <c r="ET120" s="1070">
        <f t="shared" si="56"/>
        <v>956567</v>
      </c>
    </row>
    <row r="121" spans="1:150" ht="13.8" x14ac:dyDescent="0.3">
      <c r="A121" s="965">
        <v>4</v>
      </c>
      <c r="B121" s="1040"/>
      <c r="C121" s="1043"/>
      <c r="D121" s="1039"/>
      <c r="E121" s="1930"/>
      <c r="F121" s="1931"/>
      <c r="G121" s="1072"/>
      <c r="H121" s="1994"/>
      <c r="I121" s="1072"/>
      <c r="J121" s="1994"/>
      <c r="K121" s="1072"/>
      <c r="L121" s="2029"/>
      <c r="M121" s="965">
        <v>4</v>
      </c>
      <c r="N121" s="1037" t="s">
        <v>1564</v>
      </c>
      <c r="O121" s="1072"/>
      <c r="P121" s="2029"/>
      <c r="Q121" s="1043"/>
      <c r="R121" s="1039"/>
      <c r="S121" s="1930"/>
      <c r="T121" s="1931"/>
      <c r="U121" s="1043"/>
      <c r="V121" s="1039"/>
      <c r="W121" s="1930"/>
      <c r="X121" s="1931"/>
      <c r="Y121" s="1043"/>
      <c r="Z121" s="1160">
        <f>13022+581</f>
        <v>13603</v>
      </c>
      <c r="AA121" s="2063"/>
      <c r="AB121" s="1968">
        <f>18200-4597+7881</f>
        <v>21484</v>
      </c>
      <c r="AC121" s="964">
        <v>4</v>
      </c>
      <c r="AD121" s="1040"/>
      <c r="AE121" s="1043"/>
      <c r="AF121" s="1039"/>
      <c r="AG121" s="1930"/>
      <c r="AH121" s="1931"/>
      <c r="AI121" s="1043"/>
      <c r="AJ121" s="1039"/>
      <c r="AK121" s="1930"/>
      <c r="AL121" s="1931"/>
      <c r="AM121" s="1072"/>
      <c r="AN121" s="2029"/>
      <c r="AO121" s="1718"/>
      <c r="AP121" s="1075"/>
      <c r="AQ121" s="1076"/>
      <c r="AR121" s="2099"/>
      <c r="AS121" s="1444"/>
      <c r="AT121" s="2099"/>
      <c r="AU121" s="1043"/>
      <c r="AV121" s="1039"/>
      <c r="AW121" s="1930"/>
      <c r="AX121" s="1931"/>
      <c r="AY121" s="965">
        <v>4</v>
      </c>
      <c r="AZ121" s="1040"/>
      <c r="BA121" s="1043"/>
      <c r="BB121" s="1039"/>
      <c r="BC121" s="1930"/>
      <c r="BD121" s="1931"/>
      <c r="BE121" s="965">
        <v>4</v>
      </c>
      <c r="BF121" s="1037"/>
      <c r="BG121" s="1043"/>
      <c r="BH121" s="1039"/>
      <c r="BI121" s="1930"/>
      <c r="BJ121" s="1931"/>
      <c r="BK121" s="1043"/>
      <c r="BL121" s="1039"/>
      <c r="BM121" s="1930"/>
      <c r="BN121" s="1931"/>
      <c r="BO121" s="1072"/>
      <c r="BP121" s="1994"/>
      <c r="BQ121" s="1072"/>
      <c r="BR121" s="2029"/>
      <c r="BS121" s="1043"/>
      <c r="BT121" s="1039"/>
      <c r="BU121" s="1930"/>
      <c r="BV121" s="1931"/>
      <c r="BW121" s="1072"/>
      <c r="BX121" s="2029"/>
      <c r="BY121" s="1043"/>
      <c r="BZ121" s="1039"/>
      <c r="CA121" s="1930"/>
      <c r="CB121" s="1931"/>
      <c r="CC121" s="1750"/>
      <c r="CD121" s="2157"/>
      <c r="CE121" s="965">
        <v>4</v>
      </c>
      <c r="CF121" s="1040"/>
      <c r="CG121" s="1043"/>
      <c r="CH121" s="1039"/>
      <c r="CI121" s="1930"/>
      <c r="CJ121" s="1931"/>
      <c r="CK121" s="965"/>
      <c r="CL121" s="1037"/>
      <c r="CM121" s="1043"/>
      <c r="CN121" s="1039"/>
      <c r="CO121" s="1930"/>
      <c r="CP121" s="1931"/>
      <c r="CQ121" s="1043"/>
      <c r="CR121" s="1039"/>
      <c r="CS121" s="1930"/>
      <c r="CT121" s="1931"/>
      <c r="CU121" s="1043"/>
      <c r="CV121" s="1039"/>
      <c r="CW121" s="1930"/>
      <c r="CX121" s="1931"/>
      <c r="CY121" s="1043"/>
      <c r="CZ121" s="1039"/>
      <c r="DA121" s="1930"/>
      <c r="DB121" s="1931"/>
      <c r="DC121" s="1072"/>
      <c r="DD121" s="2029"/>
      <c r="DE121" s="1043"/>
      <c r="DF121" s="1039"/>
      <c r="DG121" s="1930"/>
      <c r="DH121" s="1931"/>
      <c r="DI121" s="964">
        <v>4</v>
      </c>
      <c r="DJ121" s="1078"/>
      <c r="DK121" s="1072"/>
      <c r="DL121" s="1994"/>
      <c r="DM121" s="1072"/>
      <c r="DN121" s="1994"/>
      <c r="DO121" s="1072"/>
      <c r="DP121" s="2029"/>
      <c r="DQ121" s="965">
        <v>4</v>
      </c>
      <c r="DR121" s="1042"/>
      <c r="DS121" s="1043"/>
      <c r="DT121" s="1039"/>
      <c r="DU121" s="1930"/>
      <c r="DV121" s="1931"/>
      <c r="DW121" s="965">
        <v>4</v>
      </c>
      <c r="DX121" s="1040"/>
      <c r="DY121" s="1043"/>
      <c r="DZ121" s="1039"/>
      <c r="EA121" s="1930"/>
      <c r="EB121" s="1931"/>
      <c r="EC121" s="1072"/>
      <c r="ED121" s="2029"/>
      <c r="EE121" s="965">
        <v>3</v>
      </c>
      <c r="EF121" s="1037" t="s">
        <v>1565</v>
      </c>
      <c r="EG121" s="1072"/>
      <c r="EH121" s="2029"/>
      <c r="EI121" s="1043"/>
      <c r="EJ121" s="1160">
        <f>16764-6764</f>
        <v>10000</v>
      </c>
      <c r="EK121" s="2221"/>
      <c r="EL121" s="1968"/>
      <c r="EM121" s="2202">
        <f t="shared" si="108"/>
        <v>0</v>
      </c>
      <c r="EN121" s="1585">
        <f t="shared" si="109"/>
        <v>21484</v>
      </c>
      <c r="EO121" s="1585">
        <f t="shared" si="107"/>
        <v>0</v>
      </c>
      <c r="EP121" s="1597">
        <f t="shared" si="52"/>
        <v>21484</v>
      </c>
      <c r="EQ121" s="1162">
        <f t="shared" si="86"/>
        <v>0</v>
      </c>
      <c r="ER121" s="1785">
        <f t="shared" si="87"/>
        <v>23603</v>
      </c>
      <c r="ES121" s="1785">
        <f t="shared" si="88"/>
        <v>0</v>
      </c>
      <c r="ET121" s="1070">
        <f t="shared" si="56"/>
        <v>23603</v>
      </c>
    </row>
    <row r="122" spans="1:150" x14ac:dyDescent="0.25">
      <c r="A122" s="965"/>
      <c r="B122" s="1040"/>
      <c r="C122" s="1043"/>
      <c r="D122" s="1039"/>
      <c r="E122" s="1930"/>
      <c r="F122" s="1931"/>
      <c r="G122" s="1072"/>
      <c r="H122" s="1994"/>
      <c r="I122" s="1072"/>
      <c r="J122" s="1994"/>
      <c r="K122" s="1072"/>
      <c r="L122" s="2029"/>
      <c r="M122" s="965">
        <v>5</v>
      </c>
      <c r="N122" s="1037" t="s">
        <v>2361</v>
      </c>
      <c r="O122" s="1072"/>
      <c r="P122" s="2029">
        <v>2000</v>
      </c>
      <c r="Q122" s="1043"/>
      <c r="R122" s="1039"/>
      <c r="S122" s="1930"/>
      <c r="T122" s="1931"/>
      <c r="U122" s="1043"/>
      <c r="V122" s="1039"/>
      <c r="W122" s="1930"/>
      <c r="X122" s="1931"/>
      <c r="Y122" s="1043"/>
      <c r="Z122" s="1039"/>
      <c r="AA122" s="2063"/>
      <c r="AB122" s="1931"/>
      <c r="AC122" s="964"/>
      <c r="AD122" s="1040"/>
      <c r="AE122" s="1043"/>
      <c r="AF122" s="1039"/>
      <c r="AG122" s="1930"/>
      <c r="AH122" s="1931"/>
      <c r="AI122" s="1043"/>
      <c r="AJ122" s="1039"/>
      <c r="AK122" s="1930"/>
      <c r="AL122" s="1931"/>
      <c r="AM122" s="1072"/>
      <c r="AN122" s="2029"/>
      <c r="AO122" s="1718"/>
      <c r="AP122" s="1075"/>
      <c r="AQ122" s="1076"/>
      <c r="AR122" s="2099"/>
      <c r="AS122" s="1444"/>
      <c r="AT122" s="2099"/>
      <c r="AU122" s="1043"/>
      <c r="AV122" s="1039"/>
      <c r="AW122" s="1930"/>
      <c r="AX122" s="1931"/>
      <c r="AY122" s="965"/>
      <c r="AZ122" s="1040"/>
      <c r="BA122" s="1043"/>
      <c r="BB122" s="1039"/>
      <c r="BC122" s="1930"/>
      <c r="BD122" s="1931"/>
      <c r="BE122" s="965"/>
      <c r="BF122" s="1037"/>
      <c r="BG122" s="1043"/>
      <c r="BH122" s="1039"/>
      <c r="BI122" s="1930"/>
      <c r="BJ122" s="1931"/>
      <c r="BK122" s="1043"/>
      <c r="BL122" s="1039"/>
      <c r="BM122" s="1930"/>
      <c r="BN122" s="1931"/>
      <c r="BO122" s="1072"/>
      <c r="BP122" s="1994"/>
      <c r="BQ122" s="1072"/>
      <c r="BR122" s="2029"/>
      <c r="BS122" s="1043"/>
      <c r="BT122" s="1039"/>
      <c r="BU122" s="1930"/>
      <c r="BV122" s="1931"/>
      <c r="BW122" s="1072"/>
      <c r="BX122" s="2029"/>
      <c r="BY122" s="1043"/>
      <c r="BZ122" s="1039"/>
      <c r="CA122" s="1930"/>
      <c r="CB122" s="1931"/>
      <c r="CC122" s="1750"/>
      <c r="CD122" s="2157"/>
      <c r="CE122" s="965"/>
      <c r="CF122" s="1040"/>
      <c r="CG122" s="1043"/>
      <c r="CH122" s="1039"/>
      <c r="CI122" s="1930"/>
      <c r="CJ122" s="1931"/>
      <c r="CK122" s="965"/>
      <c r="CL122" s="1037"/>
      <c r="CM122" s="1043"/>
      <c r="CN122" s="1039"/>
      <c r="CO122" s="1930"/>
      <c r="CP122" s="1931"/>
      <c r="CQ122" s="1043"/>
      <c r="CR122" s="1039"/>
      <c r="CS122" s="1930"/>
      <c r="CT122" s="1931"/>
      <c r="CU122" s="1043"/>
      <c r="CV122" s="1039"/>
      <c r="CW122" s="1930"/>
      <c r="CX122" s="1931"/>
      <c r="CY122" s="1043"/>
      <c r="CZ122" s="1039"/>
      <c r="DA122" s="1930"/>
      <c r="DB122" s="1931"/>
      <c r="DC122" s="1072"/>
      <c r="DD122" s="2029"/>
      <c r="DE122" s="1043"/>
      <c r="DF122" s="1039"/>
      <c r="DG122" s="1930"/>
      <c r="DH122" s="1931"/>
      <c r="DI122" s="964">
        <v>5</v>
      </c>
      <c r="DJ122" s="1037"/>
      <c r="DK122" s="1072"/>
      <c r="DL122" s="1994"/>
      <c r="DM122" s="1072"/>
      <c r="DN122" s="1994"/>
      <c r="DO122" s="1072"/>
      <c r="DP122" s="2029"/>
      <c r="DQ122" s="965"/>
      <c r="DR122" s="1042"/>
      <c r="DS122" s="1043"/>
      <c r="DT122" s="1039"/>
      <c r="DU122" s="1930"/>
      <c r="DV122" s="1931"/>
      <c r="DW122" s="965"/>
      <c r="DX122" s="1040"/>
      <c r="DY122" s="1043"/>
      <c r="DZ122" s="1039"/>
      <c r="EA122" s="1930"/>
      <c r="EB122" s="1931"/>
      <c r="EC122" s="1072"/>
      <c r="ED122" s="2029"/>
      <c r="EE122" s="965">
        <v>4</v>
      </c>
      <c r="EF122" s="1037" t="s">
        <v>1566</v>
      </c>
      <c r="EG122" s="1072"/>
      <c r="EH122" s="2029"/>
      <c r="EI122" s="1043"/>
      <c r="EJ122" s="1160">
        <f>4000-4000</f>
        <v>0</v>
      </c>
      <c r="EK122" s="2221"/>
      <c r="EL122" s="1968"/>
      <c r="EM122" s="2202">
        <f t="shared" si="108"/>
        <v>0</v>
      </c>
      <c r="EN122" s="1585">
        <f t="shared" si="109"/>
        <v>2000</v>
      </c>
      <c r="EO122" s="1585">
        <f t="shared" si="107"/>
        <v>0</v>
      </c>
      <c r="EP122" s="1597">
        <f t="shared" si="52"/>
        <v>2000</v>
      </c>
      <c r="EQ122" s="1162">
        <f t="shared" si="86"/>
        <v>0</v>
      </c>
      <c r="ER122" s="1785">
        <f t="shared" si="87"/>
        <v>0</v>
      </c>
      <c r="ES122" s="1785">
        <f t="shared" si="88"/>
        <v>0</v>
      </c>
      <c r="ET122" s="1070">
        <f t="shared" si="56"/>
        <v>0</v>
      </c>
    </row>
    <row r="123" spans="1:150" x14ac:dyDescent="0.25">
      <c r="A123" s="965"/>
      <c r="B123" s="1040"/>
      <c r="C123" s="1043"/>
      <c r="D123" s="1039"/>
      <c r="E123" s="1930"/>
      <c r="F123" s="1931"/>
      <c r="G123" s="1072"/>
      <c r="H123" s="1994"/>
      <c r="I123" s="1072"/>
      <c r="J123" s="1994"/>
      <c r="K123" s="1072"/>
      <c r="L123" s="2029"/>
      <c r="M123" s="965">
        <v>6</v>
      </c>
      <c r="N123" s="1037" t="s">
        <v>1567</v>
      </c>
      <c r="O123" s="1072"/>
      <c r="P123" s="2029"/>
      <c r="Q123" s="1043"/>
      <c r="R123" s="1039"/>
      <c r="S123" s="1930"/>
      <c r="T123" s="1931"/>
      <c r="U123" s="1043"/>
      <c r="V123" s="1039"/>
      <c r="W123" s="1930"/>
      <c r="X123" s="1931"/>
      <c r="Y123" s="1043"/>
      <c r="Z123" s="1039"/>
      <c r="AA123" s="2063"/>
      <c r="AB123" s="1931"/>
      <c r="AC123" s="964"/>
      <c r="AD123" s="1040"/>
      <c r="AE123" s="1043"/>
      <c r="AF123" s="1039"/>
      <c r="AG123" s="1930"/>
      <c r="AH123" s="1931"/>
      <c r="AI123" s="1043"/>
      <c r="AJ123" s="1039"/>
      <c r="AK123" s="1930"/>
      <c r="AL123" s="1931"/>
      <c r="AM123" s="1072"/>
      <c r="AN123" s="2029"/>
      <c r="AO123" s="1718"/>
      <c r="AP123" s="1075"/>
      <c r="AQ123" s="1076"/>
      <c r="AR123" s="2099"/>
      <c r="AS123" s="1444"/>
      <c r="AT123" s="2099"/>
      <c r="AU123" s="1043"/>
      <c r="AV123" s="1039"/>
      <c r="AW123" s="1930"/>
      <c r="AX123" s="1931"/>
      <c r="AY123" s="965"/>
      <c r="AZ123" s="1040"/>
      <c r="BA123" s="1043"/>
      <c r="BB123" s="1039"/>
      <c r="BC123" s="1930"/>
      <c r="BD123" s="1931"/>
      <c r="BE123" s="965"/>
      <c r="BF123" s="1037"/>
      <c r="BG123" s="1043"/>
      <c r="BH123" s="1039"/>
      <c r="BI123" s="1930"/>
      <c r="BJ123" s="1931"/>
      <c r="BK123" s="1043"/>
      <c r="BL123" s="1039"/>
      <c r="BM123" s="1930"/>
      <c r="BN123" s="1931"/>
      <c r="BO123" s="1072"/>
      <c r="BP123" s="1994"/>
      <c r="BQ123" s="1072"/>
      <c r="BR123" s="2029"/>
      <c r="BS123" s="1043"/>
      <c r="BT123" s="1039"/>
      <c r="BU123" s="1930"/>
      <c r="BV123" s="1931"/>
      <c r="BW123" s="1072"/>
      <c r="BX123" s="2029"/>
      <c r="BY123" s="1043"/>
      <c r="BZ123" s="1039"/>
      <c r="CA123" s="1930"/>
      <c r="CB123" s="1931"/>
      <c r="CC123" s="1750"/>
      <c r="CD123" s="2157"/>
      <c r="CE123" s="965"/>
      <c r="CF123" s="1040"/>
      <c r="CG123" s="1043"/>
      <c r="CH123" s="1039"/>
      <c r="CI123" s="1930"/>
      <c r="CJ123" s="1931"/>
      <c r="CK123" s="965"/>
      <c r="CL123" s="1037"/>
      <c r="CM123" s="1043"/>
      <c r="CN123" s="1039"/>
      <c r="CO123" s="1930"/>
      <c r="CP123" s="1931"/>
      <c r="CQ123" s="1043"/>
      <c r="CR123" s="1039"/>
      <c r="CS123" s="1930"/>
      <c r="CT123" s="1931"/>
      <c r="CU123" s="1043"/>
      <c r="CV123" s="1039"/>
      <c r="CW123" s="1930"/>
      <c r="CX123" s="1931"/>
      <c r="CY123" s="1043"/>
      <c r="CZ123" s="1039"/>
      <c r="DA123" s="1930"/>
      <c r="DB123" s="1931"/>
      <c r="DC123" s="1072"/>
      <c r="DD123" s="2029"/>
      <c r="DE123" s="1043"/>
      <c r="DF123" s="1039"/>
      <c r="DG123" s="1930"/>
      <c r="DH123" s="1931"/>
      <c r="DI123" s="964"/>
      <c r="DJ123" s="1037"/>
      <c r="DK123" s="1072"/>
      <c r="DL123" s="1994"/>
      <c r="DM123" s="1072"/>
      <c r="DN123" s="1994"/>
      <c r="DO123" s="1072"/>
      <c r="DP123" s="2029"/>
      <c r="DQ123" s="965"/>
      <c r="DR123" s="1042"/>
      <c r="DS123" s="1043"/>
      <c r="DT123" s="1039"/>
      <c r="DU123" s="1930"/>
      <c r="DV123" s="1931"/>
      <c r="DW123" s="965"/>
      <c r="DX123" s="1040"/>
      <c r="DY123" s="1043"/>
      <c r="DZ123" s="1039"/>
      <c r="EA123" s="1930"/>
      <c r="EB123" s="1931"/>
      <c r="EC123" s="1072"/>
      <c r="ED123" s="2029"/>
      <c r="EE123" s="965">
        <v>5</v>
      </c>
      <c r="EF123" s="1037" t="s">
        <v>1568</v>
      </c>
      <c r="EG123" s="1072"/>
      <c r="EH123" s="2029"/>
      <c r="EI123" s="1043"/>
      <c r="EJ123" s="1160">
        <f>3000-3000</f>
        <v>0</v>
      </c>
      <c r="EK123" s="2217"/>
      <c r="EL123" s="1931"/>
      <c r="EM123" s="2202">
        <f t="shared" si="108"/>
        <v>0</v>
      </c>
      <c r="EN123" s="1585">
        <f t="shared" si="109"/>
        <v>0</v>
      </c>
      <c r="EO123" s="1585">
        <f t="shared" si="107"/>
        <v>0</v>
      </c>
      <c r="EP123" s="1597">
        <f t="shared" si="52"/>
        <v>0</v>
      </c>
      <c r="EQ123" s="1162">
        <f t="shared" si="86"/>
        <v>0</v>
      </c>
      <c r="ER123" s="1785">
        <f t="shared" si="87"/>
        <v>0</v>
      </c>
      <c r="ES123" s="1785">
        <f t="shared" si="88"/>
        <v>0</v>
      </c>
      <c r="ET123" s="1070">
        <f t="shared" si="56"/>
        <v>0</v>
      </c>
    </row>
    <row r="124" spans="1:150" x14ac:dyDescent="0.25">
      <c r="A124" s="965"/>
      <c r="B124" s="1040"/>
      <c r="C124" s="1043"/>
      <c r="D124" s="1039"/>
      <c r="E124" s="1930"/>
      <c r="F124" s="1931"/>
      <c r="G124" s="1072"/>
      <c r="H124" s="1994"/>
      <c r="I124" s="1072"/>
      <c r="J124" s="1994"/>
      <c r="K124" s="1072"/>
      <c r="L124" s="2029"/>
      <c r="M124" s="965">
        <v>7</v>
      </c>
      <c r="N124" s="1037" t="s">
        <v>1569</v>
      </c>
      <c r="O124" s="1072">
        <f>25000-25000</f>
        <v>0</v>
      </c>
      <c r="P124" s="2029"/>
      <c r="Q124" s="1043"/>
      <c r="R124" s="1039"/>
      <c r="S124" s="1930"/>
      <c r="T124" s="1931"/>
      <c r="U124" s="1043"/>
      <c r="V124" s="1039"/>
      <c r="W124" s="1930"/>
      <c r="X124" s="1931"/>
      <c r="Y124" s="1043"/>
      <c r="Z124" s="1039"/>
      <c r="AA124" s="2063"/>
      <c r="AB124" s="1931"/>
      <c r="AC124" s="964"/>
      <c r="AD124" s="1040"/>
      <c r="AE124" s="1043"/>
      <c r="AF124" s="1039"/>
      <c r="AG124" s="1930"/>
      <c r="AH124" s="1931"/>
      <c r="AI124" s="1043"/>
      <c r="AJ124" s="1039"/>
      <c r="AK124" s="1930"/>
      <c r="AL124" s="1931"/>
      <c r="AM124" s="1072"/>
      <c r="AN124" s="2029"/>
      <c r="AO124" s="1718"/>
      <c r="AP124" s="1075"/>
      <c r="AQ124" s="1076"/>
      <c r="AR124" s="2099"/>
      <c r="AS124" s="1444"/>
      <c r="AT124" s="2099"/>
      <c r="AU124" s="1043"/>
      <c r="AV124" s="1039"/>
      <c r="AW124" s="1930"/>
      <c r="AX124" s="1931"/>
      <c r="AY124" s="965"/>
      <c r="AZ124" s="1040"/>
      <c r="BA124" s="1043"/>
      <c r="BB124" s="1039"/>
      <c r="BC124" s="1930"/>
      <c r="BD124" s="1931"/>
      <c r="BE124" s="965"/>
      <c r="BF124" s="1037"/>
      <c r="BG124" s="1043"/>
      <c r="BH124" s="1039"/>
      <c r="BI124" s="1930"/>
      <c r="BJ124" s="1931"/>
      <c r="BK124" s="1043"/>
      <c r="BL124" s="1039"/>
      <c r="BM124" s="1930"/>
      <c r="BN124" s="1931"/>
      <c r="BO124" s="1072"/>
      <c r="BP124" s="1994"/>
      <c r="BQ124" s="1072"/>
      <c r="BR124" s="2029"/>
      <c r="BS124" s="1043"/>
      <c r="BT124" s="1039"/>
      <c r="BU124" s="1930"/>
      <c r="BV124" s="1931"/>
      <c r="BW124" s="1072"/>
      <c r="BX124" s="2029"/>
      <c r="BY124" s="1043"/>
      <c r="BZ124" s="1039"/>
      <c r="CA124" s="1930"/>
      <c r="CB124" s="1931"/>
      <c r="CC124" s="1750"/>
      <c r="CD124" s="2157"/>
      <c r="CE124" s="965"/>
      <c r="CF124" s="1040"/>
      <c r="CG124" s="1043"/>
      <c r="CH124" s="1039"/>
      <c r="CI124" s="1930"/>
      <c r="CJ124" s="1931"/>
      <c r="CK124" s="965"/>
      <c r="CL124" s="1037"/>
      <c r="CM124" s="1043"/>
      <c r="CN124" s="1039"/>
      <c r="CO124" s="1930"/>
      <c r="CP124" s="1931"/>
      <c r="CQ124" s="1043"/>
      <c r="CR124" s="1039"/>
      <c r="CS124" s="1930"/>
      <c r="CT124" s="1931"/>
      <c r="CU124" s="1043"/>
      <c r="CV124" s="1039"/>
      <c r="CW124" s="1930"/>
      <c r="CX124" s="1931"/>
      <c r="CY124" s="1043"/>
      <c r="CZ124" s="1039"/>
      <c r="DA124" s="1930"/>
      <c r="DB124" s="1931"/>
      <c r="DC124" s="1072"/>
      <c r="DD124" s="2029"/>
      <c r="DE124" s="1043"/>
      <c r="DF124" s="1039"/>
      <c r="DG124" s="1930"/>
      <c r="DH124" s="1931"/>
      <c r="DI124" s="964"/>
      <c r="DJ124" s="1037"/>
      <c r="DK124" s="1072"/>
      <c r="DL124" s="1994"/>
      <c r="DM124" s="1072"/>
      <c r="DN124" s="1994"/>
      <c r="DO124" s="1072"/>
      <c r="DP124" s="2029"/>
      <c r="DQ124" s="965"/>
      <c r="DR124" s="1042"/>
      <c r="DS124" s="1043"/>
      <c r="DT124" s="1039"/>
      <c r="DU124" s="1930"/>
      <c r="DV124" s="1931"/>
      <c r="DW124" s="965"/>
      <c r="DX124" s="1040"/>
      <c r="DY124" s="1043"/>
      <c r="DZ124" s="1039"/>
      <c r="EA124" s="1930"/>
      <c r="EB124" s="1931"/>
      <c r="EC124" s="1072"/>
      <c r="ED124" s="2029"/>
      <c r="EE124" s="965">
        <v>6</v>
      </c>
      <c r="EF124" s="1037"/>
      <c r="EG124" s="1072"/>
      <c r="EH124" s="2029"/>
      <c r="EI124" s="1043"/>
      <c r="EJ124" s="1039"/>
      <c r="EK124" s="2217"/>
      <c r="EL124" s="1931"/>
      <c r="EM124" s="2202">
        <f t="shared" si="108"/>
        <v>0</v>
      </c>
      <c r="EN124" s="1585">
        <f t="shared" si="109"/>
        <v>0</v>
      </c>
      <c r="EO124" s="1585">
        <f t="shared" si="107"/>
        <v>0</v>
      </c>
      <c r="EP124" s="1597">
        <f t="shared" si="52"/>
        <v>0</v>
      </c>
      <c r="EQ124" s="1162">
        <f t="shared" si="86"/>
        <v>0</v>
      </c>
      <c r="ER124" s="1785">
        <f t="shared" si="87"/>
        <v>0</v>
      </c>
      <c r="ES124" s="1785">
        <f t="shared" si="88"/>
        <v>0</v>
      </c>
      <c r="ET124" s="1070">
        <f t="shared" si="56"/>
        <v>0</v>
      </c>
    </row>
    <row r="125" spans="1:150" x14ac:dyDescent="0.25">
      <c r="A125" s="965"/>
      <c r="B125" s="1040"/>
      <c r="C125" s="1043"/>
      <c r="D125" s="1039"/>
      <c r="E125" s="1930"/>
      <c r="F125" s="1931"/>
      <c r="G125" s="1072"/>
      <c r="H125" s="1994"/>
      <c r="I125" s="1072"/>
      <c r="J125" s="1994"/>
      <c r="K125" s="1072"/>
      <c r="L125" s="2029"/>
      <c r="M125" s="965">
        <v>8</v>
      </c>
      <c r="N125" s="1037" t="s">
        <v>1570</v>
      </c>
      <c r="O125" s="1072"/>
      <c r="P125" s="2029"/>
      <c r="Q125" s="1043"/>
      <c r="R125" s="1039"/>
      <c r="S125" s="1930"/>
      <c r="T125" s="1931"/>
      <c r="U125" s="1043">
        <f>5000-5000</f>
        <v>0</v>
      </c>
      <c r="V125" s="1039"/>
      <c r="W125" s="1930"/>
      <c r="X125" s="1931"/>
      <c r="Y125" s="1043"/>
      <c r="Z125" s="1039"/>
      <c r="AA125" s="2063"/>
      <c r="AB125" s="1931"/>
      <c r="AC125" s="964"/>
      <c r="AD125" s="1040"/>
      <c r="AE125" s="1043"/>
      <c r="AF125" s="1039"/>
      <c r="AG125" s="1930"/>
      <c r="AH125" s="1931"/>
      <c r="AI125" s="1043"/>
      <c r="AJ125" s="1039"/>
      <c r="AK125" s="1930"/>
      <c r="AL125" s="1931"/>
      <c r="AM125" s="1072"/>
      <c r="AN125" s="2029"/>
      <c r="AO125" s="1718"/>
      <c r="AP125" s="1075"/>
      <c r="AQ125" s="1076"/>
      <c r="AR125" s="2099"/>
      <c r="AS125" s="1444"/>
      <c r="AT125" s="2099"/>
      <c r="AU125" s="1043"/>
      <c r="AV125" s="1634"/>
      <c r="AW125" s="1930"/>
      <c r="AX125" s="1931"/>
      <c r="AY125" s="965"/>
      <c r="AZ125" s="1040"/>
      <c r="BA125" s="1043"/>
      <c r="BB125" s="1039"/>
      <c r="BC125" s="1930"/>
      <c r="BD125" s="1931"/>
      <c r="BE125" s="965"/>
      <c r="BF125" s="1037"/>
      <c r="BG125" s="1043"/>
      <c r="BH125" s="1039"/>
      <c r="BI125" s="1930"/>
      <c r="BJ125" s="1931"/>
      <c r="BK125" s="1043"/>
      <c r="BL125" s="1039"/>
      <c r="BM125" s="1930"/>
      <c r="BN125" s="1931"/>
      <c r="BO125" s="1072"/>
      <c r="BP125" s="1994"/>
      <c r="BQ125" s="1072"/>
      <c r="BR125" s="2029"/>
      <c r="BS125" s="1043"/>
      <c r="BT125" s="1039"/>
      <c r="BU125" s="1930"/>
      <c r="BV125" s="1931"/>
      <c r="BW125" s="1072"/>
      <c r="BX125" s="2029"/>
      <c r="BY125" s="1043"/>
      <c r="BZ125" s="1039"/>
      <c r="CA125" s="1930"/>
      <c r="CB125" s="1931"/>
      <c r="CC125" s="1751"/>
      <c r="CD125" s="2158"/>
      <c r="CE125" s="965"/>
      <c r="CF125" s="1040"/>
      <c r="CG125" s="1043"/>
      <c r="CH125" s="1039"/>
      <c r="CI125" s="1930"/>
      <c r="CJ125" s="1931"/>
      <c r="CK125" s="965"/>
      <c r="CL125" s="1037"/>
      <c r="CM125" s="1043"/>
      <c r="CN125" s="1039"/>
      <c r="CO125" s="1930"/>
      <c r="CP125" s="1931"/>
      <c r="CQ125" s="1043"/>
      <c r="CR125" s="1039"/>
      <c r="CS125" s="1930"/>
      <c r="CT125" s="1931"/>
      <c r="CU125" s="1043"/>
      <c r="CV125" s="1039"/>
      <c r="CW125" s="1930"/>
      <c r="CX125" s="1931"/>
      <c r="CY125" s="1043"/>
      <c r="CZ125" s="1039"/>
      <c r="DA125" s="1930"/>
      <c r="DB125" s="1931"/>
      <c r="DC125" s="1072"/>
      <c r="DD125" s="2029"/>
      <c r="DE125" s="1043"/>
      <c r="DF125" s="1039"/>
      <c r="DG125" s="1930"/>
      <c r="DH125" s="1931"/>
      <c r="DI125" s="964"/>
      <c r="DJ125" s="1037"/>
      <c r="DK125" s="1072"/>
      <c r="DL125" s="1994"/>
      <c r="DM125" s="1072"/>
      <c r="DN125" s="1994"/>
      <c r="DO125" s="1072"/>
      <c r="DP125" s="2029">
        <f>kiadás11605projektek!E61</f>
        <v>0</v>
      </c>
      <c r="DQ125" s="965"/>
      <c r="DR125" s="1042"/>
      <c r="DS125" s="1043"/>
      <c r="DT125" s="1039"/>
      <c r="DU125" s="1930"/>
      <c r="DV125" s="1931"/>
      <c r="DW125" s="965"/>
      <c r="DX125" s="1040"/>
      <c r="DY125" s="1043"/>
      <c r="DZ125" s="1039"/>
      <c r="EA125" s="1930"/>
      <c r="EB125" s="1931"/>
      <c r="EC125" s="1072"/>
      <c r="ED125" s="2029"/>
      <c r="EE125" s="965"/>
      <c r="EF125" s="1037"/>
      <c r="EG125" s="1072"/>
      <c r="EH125" s="2029"/>
      <c r="EI125" s="1043"/>
      <c r="EJ125" s="1039"/>
      <c r="EK125" s="1930"/>
      <c r="EL125" s="1931"/>
      <c r="EM125" s="2202">
        <f t="shared" si="108"/>
        <v>0</v>
      </c>
      <c r="EN125" s="1585">
        <f t="shared" si="109"/>
        <v>0</v>
      </c>
      <c r="EO125" s="1585">
        <f t="shared" si="107"/>
        <v>0</v>
      </c>
      <c r="EP125" s="1597"/>
      <c r="EQ125" s="1162"/>
      <c r="ER125" s="1785"/>
      <c r="ES125" s="1785"/>
      <c r="ET125" s="1070"/>
    </row>
    <row r="126" spans="1:150" ht="30" customHeight="1" thickBot="1" x14ac:dyDescent="0.3">
      <c r="A126" s="968"/>
      <c r="B126" s="969" t="s">
        <v>1571</v>
      </c>
      <c r="C126" s="1656">
        <f t="shared" ref="C126:L126" si="110">SUM(C117:C121)</f>
        <v>0</v>
      </c>
      <c r="D126" s="1642">
        <f t="shared" si="110"/>
        <v>0</v>
      </c>
      <c r="E126" s="1926">
        <f t="shared" si="110"/>
        <v>0</v>
      </c>
      <c r="F126" s="1927">
        <f t="shared" si="110"/>
        <v>0</v>
      </c>
      <c r="G126" s="1058">
        <f t="shared" si="110"/>
        <v>0</v>
      </c>
      <c r="H126" s="1992">
        <f t="shared" si="110"/>
        <v>0</v>
      </c>
      <c r="I126" s="1058">
        <f t="shared" si="110"/>
        <v>0</v>
      </c>
      <c r="J126" s="1992">
        <f t="shared" si="110"/>
        <v>0</v>
      </c>
      <c r="K126" s="1058">
        <f t="shared" si="110"/>
        <v>0</v>
      </c>
      <c r="L126" s="1992">
        <f t="shared" si="110"/>
        <v>0</v>
      </c>
      <c r="M126" s="968"/>
      <c r="N126" s="969" t="s">
        <v>1571</v>
      </c>
      <c r="O126" s="1058">
        <f>SUM(O117:O125)</f>
        <v>135728</v>
      </c>
      <c r="P126" s="1992">
        <f>SUM(P117:P125)</f>
        <v>12845</v>
      </c>
      <c r="Q126" s="1656">
        <f t="shared" ref="Q126:T126" si="111">SUM(Q117:Q125)</f>
        <v>0</v>
      </c>
      <c r="R126" s="1642">
        <f t="shared" si="111"/>
        <v>0</v>
      </c>
      <c r="S126" s="1926">
        <f t="shared" si="111"/>
        <v>0</v>
      </c>
      <c r="T126" s="1927">
        <f t="shared" si="111"/>
        <v>0</v>
      </c>
      <c r="U126" s="1656">
        <f>SUM(U117:U125)</f>
        <v>0</v>
      </c>
      <c r="V126" s="1642">
        <f t="shared" ref="V126:AA126" si="112">SUM(V117:V121)</f>
        <v>0</v>
      </c>
      <c r="W126" s="1926">
        <f t="shared" ref="W126:X126" si="113">SUM(W117:W125)</f>
        <v>0</v>
      </c>
      <c r="X126" s="1927">
        <f t="shared" si="113"/>
        <v>0</v>
      </c>
      <c r="Y126" s="1656">
        <f t="shared" si="112"/>
        <v>0</v>
      </c>
      <c r="Z126" s="1642">
        <f>SUM(Z117:Z124)</f>
        <v>13603</v>
      </c>
      <c r="AA126" s="1926">
        <f t="shared" si="112"/>
        <v>0</v>
      </c>
      <c r="AB126" s="1927">
        <f>SUM(AB117:AB124)</f>
        <v>21484</v>
      </c>
      <c r="AC126" s="970"/>
      <c r="AD126" s="969" t="s">
        <v>1571</v>
      </c>
      <c r="AE126" s="1656">
        <f t="shared" ref="AE126:AX126" si="114">SUM(AE117:AE124)</f>
        <v>0</v>
      </c>
      <c r="AF126" s="1642">
        <f t="shared" si="114"/>
        <v>0</v>
      </c>
      <c r="AG126" s="1926">
        <f t="shared" ref="AG126" si="115">SUM(AG117:AG121)</f>
        <v>0</v>
      </c>
      <c r="AH126" s="1927">
        <f>SUM(AH117:AH124)</f>
        <v>0</v>
      </c>
      <c r="AI126" s="1656">
        <f t="shared" si="114"/>
        <v>0</v>
      </c>
      <c r="AJ126" s="1642">
        <f t="shared" si="114"/>
        <v>0</v>
      </c>
      <c r="AK126" s="1926">
        <f t="shared" ref="AK126" si="116">SUM(AK117:AK121)</f>
        <v>0</v>
      </c>
      <c r="AL126" s="1927">
        <f>SUM(AL117:AL124)</f>
        <v>0</v>
      </c>
      <c r="AM126" s="1058">
        <f t="shared" si="114"/>
        <v>0</v>
      </c>
      <c r="AN126" s="1992">
        <f t="shared" si="114"/>
        <v>0</v>
      </c>
      <c r="AO126" s="1656">
        <f t="shared" si="114"/>
        <v>0</v>
      </c>
      <c r="AP126" s="1854">
        <f t="shared" si="114"/>
        <v>0</v>
      </c>
      <c r="AQ126" s="1030">
        <f t="shared" si="114"/>
        <v>0</v>
      </c>
      <c r="AR126" s="1926">
        <f t="shared" si="114"/>
        <v>0</v>
      </c>
      <c r="AS126" s="2096">
        <f t="shared" si="114"/>
        <v>0</v>
      </c>
      <c r="AT126" s="2097">
        <f t="shared" si="114"/>
        <v>0</v>
      </c>
      <c r="AU126" s="1656">
        <f t="shared" si="114"/>
        <v>0</v>
      </c>
      <c r="AV126" s="1642">
        <f t="shared" si="114"/>
        <v>0</v>
      </c>
      <c r="AW126" s="1926">
        <f t="shared" si="114"/>
        <v>0</v>
      </c>
      <c r="AX126" s="1927">
        <f t="shared" si="114"/>
        <v>0</v>
      </c>
      <c r="AY126" s="968"/>
      <c r="AZ126" s="969" t="s">
        <v>1571</v>
      </c>
      <c r="BA126" s="1656">
        <f t="shared" ref="BA126:BD126" si="117">SUM(BA117:BA124)</f>
        <v>0</v>
      </c>
      <c r="BB126" s="1642">
        <f t="shared" si="117"/>
        <v>0</v>
      </c>
      <c r="BC126" s="1926">
        <f t="shared" si="117"/>
        <v>0</v>
      </c>
      <c r="BD126" s="1927">
        <f t="shared" si="117"/>
        <v>0</v>
      </c>
      <c r="BE126" s="968"/>
      <c r="BF126" s="969" t="s">
        <v>1571</v>
      </c>
      <c r="BG126" s="1656">
        <f t="shared" ref="BG126:CD126" si="118">SUM(BG117:BG124)</f>
        <v>0</v>
      </c>
      <c r="BH126" s="1642">
        <f t="shared" si="118"/>
        <v>0</v>
      </c>
      <c r="BI126" s="1926">
        <f t="shared" si="118"/>
        <v>0</v>
      </c>
      <c r="BJ126" s="1927">
        <f t="shared" si="118"/>
        <v>0</v>
      </c>
      <c r="BK126" s="1656">
        <f t="shared" si="118"/>
        <v>0</v>
      </c>
      <c r="BL126" s="1642">
        <f t="shared" si="118"/>
        <v>0</v>
      </c>
      <c r="BM126" s="1926">
        <f t="shared" si="118"/>
        <v>0</v>
      </c>
      <c r="BN126" s="1927">
        <f t="shared" si="118"/>
        <v>2500</v>
      </c>
      <c r="BO126" s="1058">
        <f t="shared" si="118"/>
        <v>0</v>
      </c>
      <c r="BP126" s="1992">
        <f t="shared" si="118"/>
        <v>0</v>
      </c>
      <c r="BQ126" s="1058">
        <f t="shared" si="118"/>
        <v>0</v>
      </c>
      <c r="BR126" s="1992">
        <f t="shared" si="118"/>
        <v>0</v>
      </c>
      <c r="BS126" s="1656">
        <f t="shared" si="118"/>
        <v>0</v>
      </c>
      <c r="BT126" s="1642">
        <f t="shared" si="118"/>
        <v>0</v>
      </c>
      <c r="BU126" s="1926">
        <f t="shared" si="118"/>
        <v>0</v>
      </c>
      <c r="BV126" s="1927">
        <f t="shared" si="118"/>
        <v>0</v>
      </c>
      <c r="BW126" s="1058">
        <f t="shared" si="118"/>
        <v>0</v>
      </c>
      <c r="BX126" s="1992">
        <f t="shared" si="118"/>
        <v>0</v>
      </c>
      <c r="BY126" s="1656">
        <f t="shared" si="118"/>
        <v>0</v>
      </c>
      <c r="BZ126" s="1642">
        <f t="shared" si="118"/>
        <v>0</v>
      </c>
      <c r="CA126" s="1926">
        <f t="shared" si="118"/>
        <v>0</v>
      </c>
      <c r="CB126" s="1927">
        <f t="shared" si="118"/>
        <v>0</v>
      </c>
      <c r="CC126" s="1705">
        <f t="shared" si="118"/>
        <v>0</v>
      </c>
      <c r="CD126" s="2159">
        <f t="shared" si="118"/>
        <v>0</v>
      </c>
      <c r="CE126" s="968"/>
      <c r="CF126" s="969" t="s">
        <v>1571</v>
      </c>
      <c r="CG126" s="1656">
        <f t="shared" ref="CG126:CJ126" si="119">SUM(CG117:CG124)</f>
        <v>0</v>
      </c>
      <c r="CH126" s="1642">
        <f t="shared" si="119"/>
        <v>0</v>
      </c>
      <c r="CI126" s="1926">
        <f t="shared" si="119"/>
        <v>0</v>
      </c>
      <c r="CJ126" s="1927">
        <f t="shared" si="119"/>
        <v>0</v>
      </c>
      <c r="CK126" s="968"/>
      <c r="CL126" s="969" t="s">
        <v>1571</v>
      </c>
      <c r="CM126" s="1656">
        <f t="shared" ref="CM126:DH126" si="120">SUM(CM117:CM124)</f>
        <v>0</v>
      </c>
      <c r="CN126" s="1642">
        <f t="shared" si="120"/>
        <v>0</v>
      </c>
      <c r="CO126" s="1926">
        <f t="shared" si="120"/>
        <v>0</v>
      </c>
      <c r="CP126" s="1927">
        <f t="shared" si="120"/>
        <v>0</v>
      </c>
      <c r="CQ126" s="1656">
        <f t="shared" si="120"/>
        <v>0</v>
      </c>
      <c r="CR126" s="1642">
        <f t="shared" si="120"/>
        <v>137489</v>
      </c>
      <c r="CS126" s="1926">
        <f t="shared" si="120"/>
        <v>122060</v>
      </c>
      <c r="CT126" s="1927">
        <f t="shared" si="120"/>
        <v>6144</v>
      </c>
      <c r="CU126" s="1656">
        <f t="shared" si="120"/>
        <v>700570</v>
      </c>
      <c r="CV126" s="1642">
        <f t="shared" si="120"/>
        <v>242997</v>
      </c>
      <c r="CW126" s="1926">
        <f t="shared" si="120"/>
        <v>777184</v>
      </c>
      <c r="CX126" s="1927">
        <f t="shared" si="120"/>
        <v>347526</v>
      </c>
      <c r="CY126" s="1656">
        <f t="shared" si="120"/>
        <v>0</v>
      </c>
      <c r="CZ126" s="1642">
        <f t="shared" si="120"/>
        <v>0</v>
      </c>
      <c r="DA126" s="1926">
        <f t="shared" si="120"/>
        <v>0</v>
      </c>
      <c r="DB126" s="1927">
        <f t="shared" si="120"/>
        <v>0</v>
      </c>
      <c r="DC126" s="1058">
        <f t="shared" si="120"/>
        <v>0</v>
      </c>
      <c r="DD126" s="1992">
        <f t="shared" si="120"/>
        <v>0</v>
      </c>
      <c r="DE126" s="1656">
        <f t="shared" si="120"/>
        <v>0</v>
      </c>
      <c r="DF126" s="1642">
        <f t="shared" si="120"/>
        <v>0</v>
      </c>
      <c r="DG126" s="1926">
        <f t="shared" si="120"/>
        <v>0</v>
      </c>
      <c r="DH126" s="1927">
        <f t="shared" si="120"/>
        <v>0</v>
      </c>
      <c r="DI126" s="970"/>
      <c r="DJ126" s="969" t="s">
        <v>1571</v>
      </c>
      <c r="DK126" s="1058">
        <f t="shared" ref="DK126:DL126" si="121">SUM(DK117:DK124)</f>
        <v>0</v>
      </c>
      <c r="DL126" s="1992">
        <f t="shared" si="121"/>
        <v>0</v>
      </c>
      <c r="DM126" s="1058">
        <f t="shared" ref="DM126:DP126" si="122">SUM(DM117:DM124)</f>
        <v>0</v>
      </c>
      <c r="DN126" s="1992">
        <f t="shared" si="122"/>
        <v>0</v>
      </c>
      <c r="DO126" s="1058">
        <f t="shared" si="122"/>
        <v>0</v>
      </c>
      <c r="DP126" s="1992">
        <f t="shared" si="122"/>
        <v>0</v>
      </c>
      <c r="DQ126" s="968"/>
      <c r="DR126" s="972" t="s">
        <v>1571</v>
      </c>
      <c r="DS126" s="1656">
        <f t="shared" ref="DS126:DV126" si="123">SUM(DS117:DS124)</f>
        <v>0</v>
      </c>
      <c r="DT126" s="1642">
        <f t="shared" si="123"/>
        <v>0</v>
      </c>
      <c r="DU126" s="1926">
        <f t="shared" si="123"/>
        <v>0</v>
      </c>
      <c r="DV126" s="1927">
        <f t="shared" si="123"/>
        <v>0</v>
      </c>
      <c r="DW126" s="968"/>
      <c r="DX126" s="969" t="s">
        <v>1571</v>
      </c>
      <c r="DY126" s="1656">
        <f t="shared" ref="DY126:ED126" si="124">SUM(DY117:DY124)</f>
        <v>0</v>
      </c>
      <c r="DZ126" s="1642">
        <f t="shared" si="124"/>
        <v>0</v>
      </c>
      <c r="EA126" s="1926">
        <f t="shared" si="124"/>
        <v>0</v>
      </c>
      <c r="EB126" s="1927">
        <f t="shared" si="124"/>
        <v>0</v>
      </c>
      <c r="EC126" s="1058">
        <f t="shared" si="124"/>
        <v>0</v>
      </c>
      <c r="ED126" s="1992">
        <f t="shared" si="124"/>
        <v>0</v>
      </c>
      <c r="EE126" s="968"/>
      <c r="EF126" s="969" t="s">
        <v>1571</v>
      </c>
      <c r="EG126" s="1058">
        <f t="shared" ref="EG126:EH126" si="125">SUM(EG117:EG124)</f>
        <v>0</v>
      </c>
      <c r="EH126" s="1992">
        <f t="shared" si="125"/>
        <v>0</v>
      </c>
      <c r="EI126" s="1656">
        <f>SUM(EI117:EI125)</f>
        <v>167997</v>
      </c>
      <c r="EJ126" s="1642">
        <f>SUM(EJ117:EJ125)</f>
        <v>765961</v>
      </c>
      <c r="EK126" s="1926">
        <f>SUM(EK117:EK125)</f>
        <v>161687</v>
      </c>
      <c r="EL126" s="1927">
        <f>SUM(EL117:EL125)</f>
        <v>677082</v>
      </c>
      <c r="EM126" s="1927">
        <f t="shared" ref="EM126:EO126" si="126">SUM(EM117:EM125)</f>
        <v>1105831</v>
      </c>
      <c r="EN126" s="1927">
        <f t="shared" si="126"/>
        <v>1022681</v>
      </c>
      <c r="EO126" s="1927">
        <f t="shared" si="126"/>
        <v>0</v>
      </c>
      <c r="EP126" s="1962">
        <f t="shared" si="52"/>
        <v>2128512</v>
      </c>
      <c r="EQ126" s="1707">
        <f t="shared" ref="EQ126:EQ189" si="127">SUM(C126+Q126+U126+Y126+AE126+AI126+AM126+AO126+AU126+BA126+BG126+BK126+BQ126+BS126+CC126+CG126+CM126+CQ126+CU126+CY126+DE126+DS126+DY126+EI126)</f>
        <v>868567</v>
      </c>
      <c r="ER126" s="1786">
        <f t="shared" ref="ER126:ER189" si="128">SUM(D126+I126+K126+O126+R126+V126+Z126+AF126+AJ126+AP126+AV126+BB126+BH126+BL126+BO126+BT126+BW126+CH126+CN126+CR126+CV126+CZ126+DC126+DF126+DM126+DO126+DT126+DZ126+EC126+EG126+EJ126+G126)</f>
        <v>1295778</v>
      </c>
      <c r="ES126" s="1786">
        <f t="shared" ref="ES126:ES189" si="129">SUM(AQ126)</f>
        <v>0</v>
      </c>
      <c r="ET126" s="1061">
        <f t="shared" si="56"/>
        <v>2164345</v>
      </c>
    </row>
    <row r="127" spans="1:150" ht="19.95" customHeight="1" x14ac:dyDescent="0.25">
      <c r="A127" s="973"/>
      <c r="B127" s="1079" t="s">
        <v>1572</v>
      </c>
      <c r="C127" s="1662"/>
      <c r="D127" s="1628"/>
      <c r="E127" s="1940"/>
      <c r="F127" s="1941"/>
      <c r="G127" s="1686"/>
      <c r="H127" s="1999"/>
      <c r="I127" s="1686"/>
      <c r="J127" s="1999"/>
      <c r="K127" s="1686"/>
      <c r="L127" s="2034"/>
      <c r="M127" s="973"/>
      <c r="N127" s="1079" t="s">
        <v>1572</v>
      </c>
      <c r="O127" s="1686"/>
      <c r="P127" s="2034"/>
      <c r="Q127" s="1662"/>
      <c r="R127" s="1628"/>
      <c r="S127" s="1940"/>
      <c r="T127" s="1941"/>
      <c r="U127" s="1662"/>
      <c r="V127" s="1628"/>
      <c r="W127" s="1940"/>
      <c r="X127" s="1941"/>
      <c r="Y127" s="1662"/>
      <c r="Z127" s="1628"/>
      <c r="AA127" s="2068"/>
      <c r="AB127" s="1941"/>
      <c r="AC127" s="975"/>
      <c r="AD127" s="1079" t="s">
        <v>1572</v>
      </c>
      <c r="AE127" s="1662"/>
      <c r="AF127" s="1628"/>
      <c r="AG127" s="1940"/>
      <c r="AH127" s="1941"/>
      <c r="AI127" s="1662"/>
      <c r="AJ127" s="1628"/>
      <c r="AK127" s="1940"/>
      <c r="AL127" s="1941"/>
      <c r="AM127" s="1686"/>
      <c r="AN127" s="2034"/>
      <c r="AO127" s="1874"/>
      <c r="AP127" s="1272"/>
      <c r="AQ127" s="1720"/>
      <c r="AR127" s="2104"/>
      <c r="AS127" s="1495"/>
      <c r="AT127" s="2104"/>
      <c r="AU127" s="1662"/>
      <c r="AV127" s="1628"/>
      <c r="AW127" s="1940"/>
      <c r="AX127" s="1941"/>
      <c r="AY127" s="973"/>
      <c r="AZ127" s="1079" t="s">
        <v>1572</v>
      </c>
      <c r="BA127" s="1662"/>
      <c r="BB127" s="1628"/>
      <c r="BC127" s="1940"/>
      <c r="BD127" s="1941"/>
      <c r="BE127" s="973"/>
      <c r="BF127" s="1079" t="s">
        <v>1572</v>
      </c>
      <c r="BG127" s="1662"/>
      <c r="BH127" s="1628"/>
      <c r="BI127" s="1940"/>
      <c r="BJ127" s="1941"/>
      <c r="BK127" s="1662"/>
      <c r="BL127" s="1628"/>
      <c r="BM127" s="1940"/>
      <c r="BN127" s="1941"/>
      <c r="BO127" s="1686"/>
      <c r="BP127" s="1999"/>
      <c r="BQ127" s="1686"/>
      <c r="BR127" s="2034"/>
      <c r="BS127" s="1662"/>
      <c r="BT127" s="1628"/>
      <c r="BU127" s="1940"/>
      <c r="BV127" s="1941"/>
      <c r="BW127" s="1686"/>
      <c r="BX127" s="2034"/>
      <c r="BY127" s="1662"/>
      <c r="BZ127" s="1628"/>
      <c r="CA127" s="1940"/>
      <c r="CB127" s="1941"/>
      <c r="CC127" s="1756"/>
      <c r="CD127" s="2164"/>
      <c r="CE127" s="973"/>
      <c r="CF127" s="1079" t="s">
        <v>1572</v>
      </c>
      <c r="CG127" s="1662"/>
      <c r="CH127" s="1628"/>
      <c r="CI127" s="1940"/>
      <c r="CJ127" s="1941"/>
      <c r="CK127" s="973"/>
      <c r="CL127" s="1079" t="s">
        <v>1572</v>
      </c>
      <c r="CM127" s="1662"/>
      <c r="CN127" s="1628"/>
      <c r="CO127" s="1940"/>
      <c r="CP127" s="1941"/>
      <c r="CQ127" s="1662"/>
      <c r="CR127" s="1628"/>
      <c r="CS127" s="1940"/>
      <c r="CT127" s="1941"/>
      <c r="CU127" s="1662"/>
      <c r="CV127" s="1628"/>
      <c r="CW127" s="1940"/>
      <c r="CX127" s="1941"/>
      <c r="CY127" s="1662"/>
      <c r="CZ127" s="1628"/>
      <c r="DA127" s="1940"/>
      <c r="DB127" s="1941"/>
      <c r="DC127" s="1686"/>
      <c r="DD127" s="2034"/>
      <c r="DE127" s="1662"/>
      <c r="DF127" s="1628"/>
      <c r="DG127" s="1940"/>
      <c r="DH127" s="1941"/>
      <c r="DI127" s="975"/>
      <c r="DJ127" s="1079" t="s">
        <v>1572</v>
      </c>
      <c r="DK127" s="1686"/>
      <c r="DL127" s="1999"/>
      <c r="DM127" s="1686"/>
      <c r="DN127" s="1999"/>
      <c r="DO127" s="1686"/>
      <c r="DP127" s="2034"/>
      <c r="DQ127" s="973"/>
      <c r="DR127" s="1080" t="s">
        <v>1572</v>
      </c>
      <c r="DS127" s="1662"/>
      <c r="DT127" s="1628"/>
      <c r="DU127" s="1940"/>
      <c r="DV127" s="1941"/>
      <c r="DW127" s="973"/>
      <c r="DX127" s="1079" t="s">
        <v>1572</v>
      </c>
      <c r="DY127" s="1662"/>
      <c r="DZ127" s="1628"/>
      <c r="EA127" s="1940"/>
      <c r="EB127" s="1941"/>
      <c r="EC127" s="1686"/>
      <c r="ED127" s="2034"/>
      <c r="EE127" s="973"/>
      <c r="EF127" s="1079" t="s">
        <v>1572</v>
      </c>
      <c r="EG127" s="1686"/>
      <c r="EH127" s="2034"/>
      <c r="EI127" s="1662"/>
      <c r="EJ127" s="1628"/>
      <c r="EK127" s="2222"/>
      <c r="EL127" s="1941"/>
      <c r="EM127" s="2202"/>
      <c r="EN127" s="1585"/>
      <c r="EO127" s="1585"/>
      <c r="EP127" s="1585">
        <f t="shared" ref="EP127:EP190" si="130">SUM(EM127:EO127)</f>
        <v>0</v>
      </c>
      <c r="EQ127" s="988">
        <f t="shared" si="127"/>
        <v>0</v>
      </c>
      <c r="ER127" s="1775">
        <f t="shared" si="128"/>
        <v>0</v>
      </c>
      <c r="ES127" s="1775">
        <f t="shared" si="129"/>
        <v>0</v>
      </c>
      <c r="ET127" s="992">
        <f t="shared" si="56"/>
        <v>0</v>
      </c>
    </row>
    <row r="128" spans="1:150" x14ac:dyDescent="0.25">
      <c r="A128" s="952">
        <v>1</v>
      </c>
      <c r="B128" s="1079"/>
      <c r="C128" s="1659"/>
      <c r="D128" s="1046"/>
      <c r="E128" s="1934"/>
      <c r="F128" s="1935"/>
      <c r="G128" s="1047"/>
      <c r="H128" s="1996"/>
      <c r="I128" s="1047"/>
      <c r="J128" s="1996"/>
      <c r="K128" s="1047"/>
      <c r="L128" s="2031"/>
      <c r="M128" s="952">
        <v>1</v>
      </c>
      <c r="N128" s="1079"/>
      <c r="O128" s="1047"/>
      <c r="P128" s="2031"/>
      <c r="Q128" s="1659"/>
      <c r="R128" s="1046"/>
      <c r="S128" s="1934"/>
      <c r="T128" s="1935"/>
      <c r="U128" s="1659"/>
      <c r="V128" s="1046"/>
      <c r="W128" s="1934"/>
      <c r="X128" s="1935"/>
      <c r="Y128" s="1659"/>
      <c r="Z128" s="1046"/>
      <c r="AA128" s="2065"/>
      <c r="AB128" s="1935"/>
      <c r="AC128" s="955">
        <v>1</v>
      </c>
      <c r="AD128" s="1079"/>
      <c r="AE128" s="1659"/>
      <c r="AF128" s="1046"/>
      <c r="AG128" s="1934"/>
      <c r="AH128" s="1935"/>
      <c r="AI128" s="1659"/>
      <c r="AJ128" s="1046"/>
      <c r="AK128" s="1934"/>
      <c r="AL128" s="1935"/>
      <c r="AM128" s="1047"/>
      <c r="AN128" s="2031"/>
      <c r="AO128" s="1871"/>
      <c r="AP128" s="1048"/>
      <c r="AQ128" s="1049"/>
      <c r="AR128" s="2101"/>
      <c r="AS128" s="1553"/>
      <c r="AT128" s="2101"/>
      <c r="AU128" s="1659"/>
      <c r="AV128" s="1046"/>
      <c r="AW128" s="1934"/>
      <c r="AX128" s="1935"/>
      <c r="AY128" s="952">
        <v>1</v>
      </c>
      <c r="AZ128" s="1079"/>
      <c r="BA128" s="1659"/>
      <c r="BB128" s="1046"/>
      <c r="BC128" s="1934"/>
      <c r="BD128" s="1935"/>
      <c r="BE128" s="952">
        <v>1</v>
      </c>
      <c r="BF128" s="1079"/>
      <c r="BG128" s="1659"/>
      <c r="BH128" s="1046"/>
      <c r="BI128" s="1934"/>
      <c r="BJ128" s="1935"/>
      <c r="BK128" s="1659"/>
      <c r="BL128" s="1046"/>
      <c r="BM128" s="1934"/>
      <c r="BN128" s="1935"/>
      <c r="BO128" s="1047"/>
      <c r="BP128" s="1996"/>
      <c r="BQ128" s="1047"/>
      <c r="BR128" s="2031"/>
      <c r="BS128" s="1659"/>
      <c r="BT128" s="1046"/>
      <c r="BU128" s="1934"/>
      <c r="BV128" s="1935"/>
      <c r="BW128" s="1047"/>
      <c r="BX128" s="2031"/>
      <c r="BY128" s="1659"/>
      <c r="BZ128" s="1046"/>
      <c r="CA128" s="1934"/>
      <c r="CB128" s="1935"/>
      <c r="CC128" s="1753"/>
      <c r="CD128" s="2161"/>
      <c r="CE128" s="952">
        <v>1</v>
      </c>
      <c r="CF128" s="1079"/>
      <c r="CG128" s="1659"/>
      <c r="CH128" s="1046"/>
      <c r="CI128" s="1934"/>
      <c r="CJ128" s="1935"/>
      <c r="CK128" s="952">
        <v>1</v>
      </c>
      <c r="CL128" s="1079"/>
      <c r="CM128" s="1659"/>
      <c r="CN128" s="1046"/>
      <c r="CO128" s="1934"/>
      <c r="CP128" s="1935"/>
      <c r="CQ128" s="1659"/>
      <c r="CR128" s="1046"/>
      <c r="CS128" s="1934"/>
      <c r="CT128" s="1935"/>
      <c r="CU128" s="1659"/>
      <c r="CV128" s="1046"/>
      <c r="CW128" s="1934"/>
      <c r="CX128" s="1935"/>
      <c r="CY128" s="1659"/>
      <c r="CZ128" s="1046"/>
      <c r="DA128" s="1934"/>
      <c r="DB128" s="1935"/>
      <c r="DC128" s="1047"/>
      <c r="DD128" s="2031"/>
      <c r="DE128" s="1659"/>
      <c r="DF128" s="1046"/>
      <c r="DG128" s="1934"/>
      <c r="DH128" s="1935"/>
      <c r="DI128" s="955">
        <v>1</v>
      </c>
      <c r="DJ128" s="1079"/>
      <c r="DK128" s="1047"/>
      <c r="DL128" s="1996"/>
      <c r="DM128" s="1047"/>
      <c r="DN128" s="1996"/>
      <c r="DO128" s="1047"/>
      <c r="DP128" s="2031"/>
      <c r="DQ128" s="952">
        <v>1</v>
      </c>
      <c r="DR128" s="1080"/>
      <c r="DS128" s="1659"/>
      <c r="DT128" s="1046"/>
      <c r="DU128" s="1934"/>
      <c r="DV128" s="1935"/>
      <c r="DW128" s="952">
        <v>1</v>
      </c>
      <c r="DX128" s="1079"/>
      <c r="DY128" s="1659"/>
      <c r="DZ128" s="1046"/>
      <c r="EA128" s="1934"/>
      <c r="EB128" s="1935"/>
      <c r="EC128" s="1047"/>
      <c r="ED128" s="2031"/>
      <c r="EE128" s="952">
        <v>1</v>
      </c>
      <c r="EF128" s="1079"/>
      <c r="EG128" s="1047"/>
      <c r="EH128" s="2031"/>
      <c r="EI128" s="1659"/>
      <c r="EJ128" s="1046"/>
      <c r="EK128" s="2219"/>
      <c r="EL128" s="1935"/>
      <c r="EM128" s="2202">
        <f t="shared" ref="EM128:EM129" si="131">E128+S128+W128+AA128+AG128+AK128+AN128+AR128+AW128+BC128+BI128+BM128+BR128+BU128+CA128+CD128+CI128+CO128+CS128+CW128+DA128+DG128+DU128+EA128+EK128</f>
        <v>0</v>
      </c>
      <c r="EN128" s="1585">
        <f t="shared" ref="EN128:EN129" si="132">F128+H128+J128+L128+P128+T128+X128+AB128+AH128+AL128+AS128+AX128+BD128+BJ128+BN128+BP128+BV128+BX128+CB128+CJ128+CP128+CT128+CX128+DB128+DD128+DH128+DN128+DP128+DV128+EB128+ED128+EH128+EL128+DL128</f>
        <v>0</v>
      </c>
      <c r="EO128" s="1585">
        <f t="shared" ref="EO128:EO129" si="133">AQ128</f>
        <v>0</v>
      </c>
      <c r="EP128" s="1585">
        <f t="shared" si="130"/>
        <v>0</v>
      </c>
      <c r="EQ128" s="988">
        <f t="shared" si="127"/>
        <v>0</v>
      </c>
      <c r="ER128" s="1775">
        <f t="shared" si="128"/>
        <v>0</v>
      </c>
      <c r="ES128" s="1775">
        <f t="shared" si="129"/>
        <v>0</v>
      </c>
      <c r="ET128" s="992">
        <f t="shared" si="56"/>
        <v>0</v>
      </c>
    </row>
    <row r="129" spans="1:150" x14ac:dyDescent="0.25">
      <c r="A129" s="952">
        <v>2</v>
      </c>
      <c r="B129" s="1079"/>
      <c r="C129" s="1659"/>
      <c r="D129" s="1046"/>
      <c r="E129" s="1934"/>
      <c r="F129" s="1935"/>
      <c r="G129" s="1047"/>
      <c r="H129" s="1996"/>
      <c r="I129" s="1047"/>
      <c r="J129" s="1996"/>
      <c r="K129" s="1047"/>
      <c r="L129" s="2031"/>
      <c r="M129" s="952">
        <v>2</v>
      </c>
      <c r="N129" s="1079"/>
      <c r="O129" s="1047"/>
      <c r="P129" s="2031"/>
      <c r="Q129" s="1659"/>
      <c r="R129" s="1046"/>
      <c r="S129" s="1934"/>
      <c r="T129" s="1935"/>
      <c r="U129" s="1659"/>
      <c r="V129" s="1046"/>
      <c r="W129" s="1934"/>
      <c r="X129" s="1935"/>
      <c r="Y129" s="1659"/>
      <c r="Z129" s="1046"/>
      <c r="AA129" s="2065"/>
      <c r="AB129" s="1935"/>
      <c r="AC129" s="955">
        <v>2</v>
      </c>
      <c r="AD129" s="1079"/>
      <c r="AE129" s="1659"/>
      <c r="AF129" s="1046"/>
      <c r="AG129" s="1934"/>
      <c r="AH129" s="1935"/>
      <c r="AI129" s="1659"/>
      <c r="AJ129" s="1046"/>
      <c r="AK129" s="1934"/>
      <c r="AL129" s="1935"/>
      <c r="AM129" s="1047"/>
      <c r="AN129" s="2031"/>
      <c r="AO129" s="1871"/>
      <c r="AP129" s="1048"/>
      <c r="AQ129" s="1049"/>
      <c r="AR129" s="2101"/>
      <c r="AS129" s="1553"/>
      <c r="AT129" s="2101"/>
      <c r="AU129" s="1659"/>
      <c r="AV129" s="1046"/>
      <c r="AW129" s="1934"/>
      <c r="AX129" s="1935"/>
      <c r="AY129" s="952">
        <v>2</v>
      </c>
      <c r="AZ129" s="1079"/>
      <c r="BA129" s="1659"/>
      <c r="BB129" s="1046"/>
      <c r="BC129" s="1934"/>
      <c r="BD129" s="1935"/>
      <c r="BE129" s="952">
        <v>2</v>
      </c>
      <c r="BF129" s="1079"/>
      <c r="BG129" s="1659"/>
      <c r="BH129" s="1046"/>
      <c r="BI129" s="1934"/>
      <c r="BJ129" s="1935"/>
      <c r="BK129" s="1659"/>
      <c r="BL129" s="1046"/>
      <c r="BM129" s="1934"/>
      <c r="BN129" s="1935"/>
      <c r="BO129" s="1047"/>
      <c r="BP129" s="1996"/>
      <c r="BQ129" s="1047"/>
      <c r="BR129" s="2031"/>
      <c r="BS129" s="1659"/>
      <c r="BT129" s="1046"/>
      <c r="BU129" s="1934"/>
      <c r="BV129" s="1935"/>
      <c r="BW129" s="1047"/>
      <c r="BX129" s="2031"/>
      <c r="BY129" s="1659"/>
      <c r="BZ129" s="1046"/>
      <c r="CA129" s="1934"/>
      <c r="CB129" s="1935"/>
      <c r="CC129" s="1753"/>
      <c r="CD129" s="2161"/>
      <c r="CE129" s="952">
        <v>2</v>
      </c>
      <c r="CF129" s="1079"/>
      <c r="CG129" s="1659"/>
      <c r="CH129" s="1046"/>
      <c r="CI129" s="1934"/>
      <c r="CJ129" s="1935"/>
      <c r="CK129" s="952">
        <v>2</v>
      </c>
      <c r="CL129" s="1079"/>
      <c r="CM129" s="1659"/>
      <c r="CN129" s="1046"/>
      <c r="CO129" s="1934"/>
      <c r="CP129" s="1935"/>
      <c r="CQ129" s="1659"/>
      <c r="CR129" s="1046"/>
      <c r="CS129" s="1934"/>
      <c r="CT129" s="1935"/>
      <c r="CU129" s="1659"/>
      <c r="CV129" s="1046"/>
      <c r="CW129" s="1934"/>
      <c r="CX129" s="1935"/>
      <c r="CY129" s="1659"/>
      <c r="CZ129" s="1046"/>
      <c r="DA129" s="1934"/>
      <c r="DB129" s="1935"/>
      <c r="DC129" s="1047"/>
      <c r="DD129" s="2031"/>
      <c r="DE129" s="1659"/>
      <c r="DF129" s="1046"/>
      <c r="DG129" s="1934"/>
      <c r="DH129" s="1935"/>
      <c r="DI129" s="955">
        <v>2</v>
      </c>
      <c r="DJ129" s="1079"/>
      <c r="DK129" s="1047"/>
      <c r="DL129" s="1996"/>
      <c r="DM129" s="1047"/>
      <c r="DN129" s="1996"/>
      <c r="DO129" s="1047"/>
      <c r="DP129" s="2031"/>
      <c r="DQ129" s="952">
        <v>2</v>
      </c>
      <c r="DR129" s="1080"/>
      <c r="DS129" s="1659"/>
      <c r="DT129" s="1046"/>
      <c r="DU129" s="1934"/>
      <c r="DV129" s="1935"/>
      <c r="DW129" s="952">
        <v>2</v>
      </c>
      <c r="DX129" s="1079"/>
      <c r="DY129" s="1659"/>
      <c r="DZ129" s="1046"/>
      <c r="EA129" s="1934"/>
      <c r="EB129" s="1935"/>
      <c r="EC129" s="1047"/>
      <c r="ED129" s="2031"/>
      <c r="EE129" s="952">
        <v>2</v>
      </c>
      <c r="EF129" s="1079"/>
      <c r="EG129" s="1047"/>
      <c r="EH129" s="2031"/>
      <c r="EI129" s="1659"/>
      <c r="EJ129" s="1046"/>
      <c r="EK129" s="2219"/>
      <c r="EL129" s="1935"/>
      <c r="EM129" s="2202">
        <f t="shared" si="131"/>
        <v>0</v>
      </c>
      <c r="EN129" s="1585">
        <f t="shared" si="132"/>
        <v>0</v>
      </c>
      <c r="EO129" s="1585">
        <f t="shared" si="133"/>
        <v>0</v>
      </c>
      <c r="EP129" s="1585">
        <f t="shared" si="130"/>
        <v>0</v>
      </c>
      <c r="EQ129" s="988">
        <f t="shared" si="127"/>
        <v>0</v>
      </c>
      <c r="ER129" s="1775">
        <f t="shared" si="128"/>
        <v>0</v>
      </c>
      <c r="ES129" s="1775">
        <f t="shared" si="129"/>
        <v>0</v>
      </c>
      <c r="ET129" s="992">
        <f t="shared" si="56"/>
        <v>0</v>
      </c>
    </row>
    <row r="130" spans="1:150" ht="19.95" customHeight="1" thickBot="1" x14ac:dyDescent="0.3">
      <c r="A130" s="968"/>
      <c r="B130" s="1081" t="s">
        <v>1573</v>
      </c>
      <c r="C130" s="1656">
        <f t="shared" ref="C130:L130" si="134">SUM(C127:C129)</f>
        <v>0</v>
      </c>
      <c r="D130" s="1642">
        <f t="shared" si="134"/>
        <v>0</v>
      </c>
      <c r="E130" s="1926">
        <f t="shared" si="134"/>
        <v>0</v>
      </c>
      <c r="F130" s="1927">
        <f t="shared" si="134"/>
        <v>0</v>
      </c>
      <c r="G130" s="1058">
        <f t="shared" si="134"/>
        <v>0</v>
      </c>
      <c r="H130" s="1992">
        <f t="shared" si="134"/>
        <v>0</v>
      </c>
      <c r="I130" s="1058">
        <f t="shared" si="134"/>
        <v>0</v>
      </c>
      <c r="J130" s="1992">
        <f t="shared" si="134"/>
        <v>0</v>
      </c>
      <c r="K130" s="1058">
        <f t="shared" si="134"/>
        <v>0</v>
      </c>
      <c r="L130" s="1992">
        <f t="shared" si="134"/>
        <v>0</v>
      </c>
      <c r="M130" s="968"/>
      <c r="N130" s="1081" t="s">
        <v>1573</v>
      </c>
      <c r="O130" s="1058">
        <f t="shared" ref="O130:AB130" si="135">SUM(O127:O129)</f>
        <v>0</v>
      </c>
      <c r="P130" s="1992">
        <f t="shared" si="135"/>
        <v>0</v>
      </c>
      <c r="Q130" s="1656">
        <f t="shared" si="135"/>
        <v>0</v>
      </c>
      <c r="R130" s="1642">
        <f t="shared" si="135"/>
        <v>0</v>
      </c>
      <c r="S130" s="1926">
        <f t="shared" si="135"/>
        <v>0</v>
      </c>
      <c r="T130" s="1927">
        <f t="shared" si="135"/>
        <v>0</v>
      </c>
      <c r="U130" s="1656">
        <f t="shared" si="135"/>
        <v>0</v>
      </c>
      <c r="V130" s="1642">
        <f t="shared" si="135"/>
        <v>0</v>
      </c>
      <c r="W130" s="1926">
        <f t="shared" si="135"/>
        <v>0</v>
      </c>
      <c r="X130" s="1927">
        <f t="shared" si="135"/>
        <v>0</v>
      </c>
      <c r="Y130" s="1656">
        <f t="shared" si="135"/>
        <v>0</v>
      </c>
      <c r="Z130" s="1642">
        <f>SUM(Z127:Z129)</f>
        <v>0</v>
      </c>
      <c r="AA130" s="1926">
        <f t="shared" si="135"/>
        <v>0</v>
      </c>
      <c r="AB130" s="1927">
        <f t="shared" si="135"/>
        <v>0</v>
      </c>
      <c r="AC130" s="970"/>
      <c r="AD130" s="1081" t="s">
        <v>1573</v>
      </c>
      <c r="AE130" s="1656">
        <f t="shared" ref="AE130:AX130" si="136">SUM(AE127:AE129)</f>
        <v>0</v>
      </c>
      <c r="AF130" s="1642">
        <f t="shared" si="136"/>
        <v>0</v>
      </c>
      <c r="AG130" s="1926">
        <f t="shared" si="136"/>
        <v>0</v>
      </c>
      <c r="AH130" s="1927">
        <f t="shared" si="136"/>
        <v>0</v>
      </c>
      <c r="AI130" s="1656">
        <f t="shared" si="136"/>
        <v>0</v>
      </c>
      <c r="AJ130" s="1642">
        <f t="shared" si="136"/>
        <v>0</v>
      </c>
      <c r="AK130" s="1926">
        <f t="shared" si="136"/>
        <v>0</v>
      </c>
      <c r="AL130" s="1927">
        <f t="shared" si="136"/>
        <v>0</v>
      </c>
      <c r="AM130" s="1058">
        <f t="shared" si="136"/>
        <v>0</v>
      </c>
      <c r="AN130" s="1992">
        <f t="shared" si="136"/>
        <v>0</v>
      </c>
      <c r="AO130" s="1656">
        <f t="shared" si="136"/>
        <v>0</v>
      </c>
      <c r="AP130" s="1854">
        <f t="shared" si="136"/>
        <v>0</v>
      </c>
      <c r="AQ130" s="1030">
        <f t="shared" si="136"/>
        <v>0</v>
      </c>
      <c r="AR130" s="1926">
        <f t="shared" si="136"/>
        <v>0</v>
      </c>
      <c r="AS130" s="2096">
        <f t="shared" si="136"/>
        <v>0</v>
      </c>
      <c r="AT130" s="2097">
        <f t="shared" si="136"/>
        <v>0</v>
      </c>
      <c r="AU130" s="1656">
        <f t="shared" si="136"/>
        <v>0</v>
      </c>
      <c r="AV130" s="1642">
        <f t="shared" si="136"/>
        <v>0</v>
      </c>
      <c r="AW130" s="1926">
        <f t="shared" si="136"/>
        <v>0</v>
      </c>
      <c r="AX130" s="1927">
        <f t="shared" si="136"/>
        <v>0</v>
      </c>
      <c r="AY130" s="968"/>
      <c r="AZ130" s="1081" t="s">
        <v>1573</v>
      </c>
      <c r="BA130" s="1656">
        <f t="shared" ref="BA130:BD130" si="137">SUM(BA127:BA129)</f>
        <v>0</v>
      </c>
      <c r="BB130" s="1642">
        <f t="shared" si="137"/>
        <v>0</v>
      </c>
      <c r="BC130" s="1926">
        <f t="shared" si="137"/>
        <v>0</v>
      </c>
      <c r="BD130" s="1927">
        <f t="shared" si="137"/>
        <v>0</v>
      </c>
      <c r="BE130" s="968"/>
      <c r="BF130" s="1081" t="s">
        <v>1573</v>
      </c>
      <c r="BG130" s="1656">
        <f t="shared" ref="BG130:CD130" si="138">SUM(BG127:BG129)</f>
        <v>0</v>
      </c>
      <c r="BH130" s="1642">
        <f t="shared" si="138"/>
        <v>0</v>
      </c>
      <c r="BI130" s="1926">
        <f t="shared" si="138"/>
        <v>0</v>
      </c>
      <c r="BJ130" s="1927">
        <f t="shared" si="138"/>
        <v>0</v>
      </c>
      <c r="BK130" s="1656">
        <f t="shared" si="138"/>
        <v>0</v>
      </c>
      <c r="BL130" s="1642">
        <f t="shared" si="138"/>
        <v>0</v>
      </c>
      <c r="BM130" s="1926">
        <f t="shared" si="138"/>
        <v>0</v>
      </c>
      <c r="BN130" s="1927">
        <f t="shared" si="138"/>
        <v>0</v>
      </c>
      <c r="BO130" s="1058">
        <f t="shared" si="138"/>
        <v>0</v>
      </c>
      <c r="BP130" s="1992">
        <f t="shared" si="138"/>
        <v>0</v>
      </c>
      <c r="BQ130" s="1058">
        <f t="shared" si="138"/>
        <v>0</v>
      </c>
      <c r="BR130" s="1992">
        <f t="shared" si="138"/>
        <v>0</v>
      </c>
      <c r="BS130" s="1656">
        <f t="shared" si="138"/>
        <v>0</v>
      </c>
      <c r="BT130" s="1642">
        <f t="shared" si="138"/>
        <v>0</v>
      </c>
      <c r="BU130" s="1926">
        <f t="shared" si="138"/>
        <v>0</v>
      </c>
      <c r="BV130" s="1927">
        <f t="shared" si="138"/>
        <v>0</v>
      </c>
      <c r="BW130" s="1058">
        <f t="shared" si="138"/>
        <v>0</v>
      </c>
      <c r="BX130" s="1992">
        <f t="shared" si="138"/>
        <v>0</v>
      </c>
      <c r="BY130" s="1656">
        <f t="shared" si="138"/>
        <v>0</v>
      </c>
      <c r="BZ130" s="1642">
        <f t="shared" si="138"/>
        <v>0</v>
      </c>
      <c r="CA130" s="1926">
        <f t="shared" si="138"/>
        <v>0</v>
      </c>
      <c r="CB130" s="1927">
        <f t="shared" si="138"/>
        <v>0</v>
      </c>
      <c r="CC130" s="1705">
        <f t="shared" si="138"/>
        <v>0</v>
      </c>
      <c r="CD130" s="2159">
        <f t="shared" si="138"/>
        <v>0</v>
      </c>
      <c r="CE130" s="968"/>
      <c r="CF130" s="1081" t="s">
        <v>1573</v>
      </c>
      <c r="CG130" s="1656">
        <f t="shared" ref="CG130:CJ130" si="139">SUM(CG127:CG129)</f>
        <v>0</v>
      </c>
      <c r="CH130" s="1642">
        <f t="shared" si="139"/>
        <v>0</v>
      </c>
      <c r="CI130" s="1926">
        <f t="shared" si="139"/>
        <v>0</v>
      </c>
      <c r="CJ130" s="1927">
        <f t="shared" si="139"/>
        <v>0</v>
      </c>
      <c r="CK130" s="968"/>
      <c r="CL130" s="1081" t="s">
        <v>1573</v>
      </c>
      <c r="CM130" s="1656">
        <f t="shared" ref="CM130:DH130" si="140">SUM(CM127:CM129)</f>
        <v>0</v>
      </c>
      <c r="CN130" s="1642">
        <f t="shared" si="140"/>
        <v>0</v>
      </c>
      <c r="CO130" s="1926">
        <f t="shared" si="140"/>
        <v>0</v>
      </c>
      <c r="CP130" s="1927">
        <f t="shared" si="140"/>
        <v>0</v>
      </c>
      <c r="CQ130" s="1656">
        <f t="shared" si="140"/>
        <v>0</v>
      </c>
      <c r="CR130" s="1642">
        <f t="shared" si="140"/>
        <v>0</v>
      </c>
      <c r="CS130" s="1926">
        <f t="shared" si="140"/>
        <v>0</v>
      </c>
      <c r="CT130" s="1927">
        <f t="shared" si="140"/>
        <v>0</v>
      </c>
      <c r="CU130" s="1656">
        <f t="shared" si="140"/>
        <v>0</v>
      </c>
      <c r="CV130" s="1642">
        <f t="shared" si="140"/>
        <v>0</v>
      </c>
      <c r="CW130" s="1926">
        <f t="shared" si="140"/>
        <v>0</v>
      </c>
      <c r="CX130" s="1927">
        <f t="shared" si="140"/>
        <v>0</v>
      </c>
      <c r="CY130" s="1656">
        <f t="shared" si="140"/>
        <v>0</v>
      </c>
      <c r="CZ130" s="1642">
        <f t="shared" si="140"/>
        <v>0</v>
      </c>
      <c r="DA130" s="1926">
        <f t="shared" si="140"/>
        <v>0</v>
      </c>
      <c r="DB130" s="1927">
        <f t="shared" si="140"/>
        <v>0</v>
      </c>
      <c r="DC130" s="1058">
        <f t="shared" si="140"/>
        <v>0</v>
      </c>
      <c r="DD130" s="1992">
        <f t="shared" si="140"/>
        <v>0</v>
      </c>
      <c r="DE130" s="1656">
        <f t="shared" si="140"/>
        <v>0</v>
      </c>
      <c r="DF130" s="1642">
        <f t="shared" si="140"/>
        <v>0</v>
      </c>
      <c r="DG130" s="1926">
        <f t="shared" si="140"/>
        <v>0</v>
      </c>
      <c r="DH130" s="1927">
        <f t="shared" si="140"/>
        <v>0</v>
      </c>
      <c r="DI130" s="970"/>
      <c r="DJ130" s="1081" t="s">
        <v>1573</v>
      </c>
      <c r="DK130" s="1058">
        <f t="shared" ref="DK130:DL130" si="141">SUM(DK127:DK129)</f>
        <v>0</v>
      </c>
      <c r="DL130" s="1992">
        <f t="shared" si="141"/>
        <v>0</v>
      </c>
      <c r="DM130" s="1058">
        <f t="shared" ref="DM130:DP130" si="142">SUM(DM127:DM129)</f>
        <v>0</v>
      </c>
      <c r="DN130" s="1992">
        <f t="shared" si="142"/>
        <v>0</v>
      </c>
      <c r="DO130" s="1058">
        <f t="shared" si="142"/>
        <v>0</v>
      </c>
      <c r="DP130" s="1992">
        <f t="shared" si="142"/>
        <v>0</v>
      </c>
      <c r="DQ130" s="968"/>
      <c r="DR130" s="1082" t="s">
        <v>1573</v>
      </c>
      <c r="DS130" s="1656">
        <f t="shared" ref="DS130:DV130" si="143">SUM(DS127:DS129)</f>
        <v>0</v>
      </c>
      <c r="DT130" s="1642">
        <f t="shared" si="143"/>
        <v>0</v>
      </c>
      <c r="DU130" s="1926">
        <f t="shared" si="143"/>
        <v>0</v>
      </c>
      <c r="DV130" s="1927">
        <f t="shared" si="143"/>
        <v>0</v>
      </c>
      <c r="DW130" s="968"/>
      <c r="DX130" s="1081" t="s">
        <v>1573</v>
      </c>
      <c r="DY130" s="1656">
        <f t="shared" ref="DY130:ED130" si="144">SUM(DY127:DY129)</f>
        <v>0</v>
      </c>
      <c r="DZ130" s="1642">
        <f t="shared" si="144"/>
        <v>0</v>
      </c>
      <c r="EA130" s="1926">
        <f t="shared" si="144"/>
        <v>0</v>
      </c>
      <c r="EB130" s="1927">
        <f t="shared" si="144"/>
        <v>0</v>
      </c>
      <c r="EC130" s="1058">
        <f t="shared" si="144"/>
        <v>0</v>
      </c>
      <c r="ED130" s="1992">
        <f t="shared" si="144"/>
        <v>0</v>
      </c>
      <c r="EE130" s="968"/>
      <c r="EF130" s="1081" t="s">
        <v>1573</v>
      </c>
      <c r="EG130" s="1058">
        <f t="shared" ref="EG130:EO130" si="145">SUM(EG127:EG129)</f>
        <v>0</v>
      </c>
      <c r="EH130" s="1992">
        <f t="shared" si="145"/>
        <v>0</v>
      </c>
      <c r="EI130" s="1656">
        <f t="shared" si="145"/>
        <v>0</v>
      </c>
      <c r="EJ130" s="1642">
        <f t="shared" si="145"/>
        <v>0</v>
      </c>
      <c r="EK130" s="1926">
        <f t="shared" si="145"/>
        <v>0</v>
      </c>
      <c r="EL130" s="1927">
        <f t="shared" si="145"/>
        <v>0</v>
      </c>
      <c r="EM130" s="1927">
        <f t="shared" si="145"/>
        <v>0</v>
      </c>
      <c r="EN130" s="1927">
        <f t="shared" si="145"/>
        <v>0</v>
      </c>
      <c r="EO130" s="1927">
        <f t="shared" si="145"/>
        <v>0</v>
      </c>
      <c r="EP130" s="1962">
        <f t="shared" si="130"/>
        <v>0</v>
      </c>
      <c r="EQ130" s="1707">
        <f t="shared" si="127"/>
        <v>0</v>
      </c>
      <c r="ER130" s="1786">
        <f t="shared" si="128"/>
        <v>0</v>
      </c>
      <c r="ES130" s="1786">
        <f t="shared" si="129"/>
        <v>0</v>
      </c>
      <c r="ET130" s="1061">
        <f t="shared" si="56"/>
        <v>0</v>
      </c>
    </row>
    <row r="131" spans="1:150" ht="19.95" customHeight="1" x14ac:dyDescent="0.25">
      <c r="A131" s="973"/>
      <c r="B131" s="1032" t="s">
        <v>1574</v>
      </c>
      <c r="C131" s="1662"/>
      <c r="D131" s="1628"/>
      <c r="E131" s="1940"/>
      <c r="F131" s="1941"/>
      <c r="G131" s="1686"/>
      <c r="H131" s="1999"/>
      <c r="I131" s="1686"/>
      <c r="J131" s="1999"/>
      <c r="K131" s="1686"/>
      <c r="L131" s="2034"/>
      <c r="M131" s="973"/>
      <c r="N131" s="1032" t="s">
        <v>1574</v>
      </c>
      <c r="O131" s="1686"/>
      <c r="P131" s="2034"/>
      <c r="Q131" s="1662"/>
      <c r="R131" s="1628"/>
      <c r="S131" s="1940"/>
      <c r="T131" s="1941"/>
      <c r="U131" s="1662"/>
      <c r="V131" s="1628"/>
      <c r="W131" s="1940"/>
      <c r="X131" s="1941"/>
      <c r="Y131" s="1662"/>
      <c r="Z131" s="1628"/>
      <c r="AA131" s="2068"/>
      <c r="AB131" s="1941"/>
      <c r="AC131" s="975"/>
      <c r="AD131" s="1032" t="s">
        <v>1574</v>
      </c>
      <c r="AE131" s="1662"/>
      <c r="AF131" s="1628"/>
      <c r="AG131" s="1940"/>
      <c r="AH131" s="1941"/>
      <c r="AI131" s="1662"/>
      <c r="AJ131" s="1628"/>
      <c r="AK131" s="1940"/>
      <c r="AL131" s="1941"/>
      <c r="AM131" s="1686"/>
      <c r="AN131" s="2034"/>
      <c r="AO131" s="1874"/>
      <c r="AP131" s="1272"/>
      <c r="AQ131" s="1720"/>
      <c r="AR131" s="2104"/>
      <c r="AS131" s="1495"/>
      <c r="AT131" s="2104"/>
      <c r="AU131" s="1662"/>
      <c r="AV131" s="1628"/>
      <c r="AW131" s="1940"/>
      <c r="AX131" s="1941"/>
      <c r="AY131" s="973"/>
      <c r="AZ131" s="1032" t="s">
        <v>1574</v>
      </c>
      <c r="BA131" s="1662"/>
      <c r="BB131" s="1628"/>
      <c r="BC131" s="1940"/>
      <c r="BD131" s="1941"/>
      <c r="BE131" s="973"/>
      <c r="BF131" s="1032" t="s">
        <v>1574</v>
      </c>
      <c r="BG131" s="1662"/>
      <c r="BH131" s="1628"/>
      <c r="BI131" s="1940"/>
      <c r="BJ131" s="1941"/>
      <c r="BK131" s="1662"/>
      <c r="BL131" s="1628"/>
      <c r="BM131" s="1940"/>
      <c r="BN131" s="1941"/>
      <c r="BO131" s="1686"/>
      <c r="BP131" s="1999"/>
      <c r="BQ131" s="1686"/>
      <c r="BR131" s="2034"/>
      <c r="BS131" s="1662"/>
      <c r="BT131" s="1628"/>
      <c r="BU131" s="1940"/>
      <c r="BV131" s="1941"/>
      <c r="BW131" s="1686"/>
      <c r="BX131" s="2034"/>
      <c r="BY131" s="1662"/>
      <c r="BZ131" s="1628"/>
      <c r="CA131" s="1940"/>
      <c r="CB131" s="1941"/>
      <c r="CC131" s="1756"/>
      <c r="CD131" s="2164"/>
      <c r="CE131" s="973"/>
      <c r="CF131" s="1032" t="s">
        <v>1574</v>
      </c>
      <c r="CG131" s="1662"/>
      <c r="CH131" s="1628"/>
      <c r="CI131" s="1940"/>
      <c r="CJ131" s="1941"/>
      <c r="CK131" s="973"/>
      <c r="CL131" s="1032" t="s">
        <v>1574</v>
      </c>
      <c r="CM131" s="1662"/>
      <c r="CN131" s="1628"/>
      <c r="CO131" s="1940"/>
      <c r="CP131" s="1941"/>
      <c r="CQ131" s="1662"/>
      <c r="CR131" s="1628"/>
      <c r="CS131" s="1940"/>
      <c r="CT131" s="1941"/>
      <c r="CU131" s="1662"/>
      <c r="CV131" s="1628"/>
      <c r="CW131" s="1940"/>
      <c r="CX131" s="1941"/>
      <c r="CY131" s="1662"/>
      <c r="CZ131" s="1628"/>
      <c r="DA131" s="1940"/>
      <c r="DB131" s="1941"/>
      <c r="DC131" s="1686"/>
      <c r="DD131" s="2034"/>
      <c r="DE131" s="1662"/>
      <c r="DF131" s="1628"/>
      <c r="DG131" s="1940"/>
      <c r="DH131" s="1941"/>
      <c r="DI131" s="975"/>
      <c r="DJ131" s="1032" t="s">
        <v>1574</v>
      </c>
      <c r="DK131" s="1686"/>
      <c r="DL131" s="1999"/>
      <c r="DM131" s="1686"/>
      <c r="DN131" s="1999"/>
      <c r="DO131" s="1686"/>
      <c r="DP131" s="2034"/>
      <c r="DQ131" s="973"/>
      <c r="DR131" s="1035" t="s">
        <v>1574</v>
      </c>
      <c r="DS131" s="1662"/>
      <c r="DT131" s="1628"/>
      <c r="DU131" s="1940"/>
      <c r="DV131" s="1941"/>
      <c r="DW131" s="973"/>
      <c r="DX131" s="1032" t="s">
        <v>1574</v>
      </c>
      <c r="DY131" s="1662"/>
      <c r="DZ131" s="1628"/>
      <c r="EA131" s="1940"/>
      <c r="EB131" s="1941"/>
      <c r="EC131" s="1686"/>
      <c r="ED131" s="2034"/>
      <c r="EE131" s="973"/>
      <c r="EF131" s="1032" t="s">
        <v>1574</v>
      </c>
      <c r="EG131" s="1686"/>
      <c r="EH131" s="2034"/>
      <c r="EI131" s="1662"/>
      <c r="EJ131" s="1628"/>
      <c r="EK131" s="2222"/>
      <c r="EL131" s="1941"/>
      <c r="EM131" s="2202"/>
      <c r="EN131" s="1585"/>
      <c r="EO131" s="1585"/>
      <c r="EP131" s="1585">
        <f t="shared" si="130"/>
        <v>0</v>
      </c>
      <c r="EQ131" s="988">
        <f t="shared" si="127"/>
        <v>0</v>
      </c>
      <c r="ER131" s="1775">
        <f t="shared" si="128"/>
        <v>0</v>
      </c>
      <c r="ES131" s="1775">
        <f t="shared" si="129"/>
        <v>0</v>
      </c>
      <c r="ET131" s="992">
        <f t="shared" si="56"/>
        <v>0</v>
      </c>
    </row>
    <row r="132" spans="1:150" ht="15" customHeight="1" x14ac:dyDescent="0.25">
      <c r="A132" s="952">
        <v>1</v>
      </c>
      <c r="B132" s="956"/>
      <c r="C132" s="1659"/>
      <c r="D132" s="1046"/>
      <c r="E132" s="1934"/>
      <c r="F132" s="1935"/>
      <c r="G132" s="1047"/>
      <c r="H132" s="1996"/>
      <c r="I132" s="1047"/>
      <c r="J132" s="1996"/>
      <c r="K132" s="1047"/>
      <c r="L132" s="2031"/>
      <c r="M132" s="952">
        <v>1</v>
      </c>
      <c r="N132" s="956"/>
      <c r="O132" s="1047"/>
      <c r="P132" s="2031"/>
      <c r="Q132" s="1659"/>
      <c r="R132" s="1046"/>
      <c r="S132" s="1934"/>
      <c r="T132" s="1935"/>
      <c r="U132" s="1659"/>
      <c r="V132" s="1046"/>
      <c r="W132" s="1934"/>
      <c r="X132" s="1935"/>
      <c r="Y132" s="1659"/>
      <c r="Z132" s="1046"/>
      <c r="AA132" s="2065"/>
      <c r="AB132" s="1935"/>
      <c r="AC132" s="955">
        <v>1</v>
      </c>
      <c r="AD132" s="956" t="s">
        <v>1312</v>
      </c>
      <c r="AE132" s="1659"/>
      <c r="AF132" s="1046"/>
      <c r="AG132" s="1934"/>
      <c r="AH132" s="1935"/>
      <c r="AI132" s="1659"/>
      <c r="AJ132" s="1046"/>
      <c r="AK132" s="1934"/>
      <c r="AL132" s="1935"/>
      <c r="AM132" s="1047"/>
      <c r="AN132" s="2031"/>
      <c r="AO132" s="1864"/>
      <c r="AP132" s="989"/>
      <c r="AQ132" s="990"/>
      <c r="AR132" s="2089"/>
      <c r="AS132" s="1544"/>
      <c r="AT132" s="2089"/>
      <c r="AU132" s="1659"/>
      <c r="AV132" s="1046"/>
      <c r="AW132" s="1934"/>
      <c r="AX132" s="1935"/>
      <c r="AY132" s="952">
        <v>1</v>
      </c>
      <c r="AZ132" s="956"/>
      <c r="BA132" s="1659"/>
      <c r="BB132" s="1046"/>
      <c r="BC132" s="1934"/>
      <c r="BD132" s="1935"/>
      <c r="BE132" s="952">
        <v>1</v>
      </c>
      <c r="BF132" s="956"/>
      <c r="BG132" s="1659"/>
      <c r="BH132" s="1046"/>
      <c r="BI132" s="1934"/>
      <c r="BJ132" s="1935"/>
      <c r="BK132" s="1659"/>
      <c r="BL132" s="1046"/>
      <c r="BM132" s="1934"/>
      <c r="BN132" s="1935"/>
      <c r="BO132" s="1047"/>
      <c r="BP132" s="1996"/>
      <c r="BQ132" s="1047"/>
      <c r="BR132" s="2031"/>
      <c r="BS132" s="1659"/>
      <c r="BT132" s="1046"/>
      <c r="BU132" s="1934"/>
      <c r="BV132" s="1935"/>
      <c r="BW132" s="1047"/>
      <c r="BX132" s="2031"/>
      <c r="BY132" s="1659"/>
      <c r="BZ132" s="1046"/>
      <c r="CA132" s="1934"/>
      <c r="CB132" s="1935"/>
      <c r="CC132" s="1753"/>
      <c r="CD132" s="2161"/>
      <c r="CE132" s="952">
        <v>1</v>
      </c>
      <c r="CF132" s="956"/>
      <c r="CG132" s="1659"/>
      <c r="CH132" s="1046"/>
      <c r="CI132" s="1934"/>
      <c r="CJ132" s="1935"/>
      <c r="CK132" s="952">
        <v>1</v>
      </c>
      <c r="CL132" s="956"/>
      <c r="CM132" s="1659"/>
      <c r="CN132" s="1046"/>
      <c r="CO132" s="1934"/>
      <c r="CP132" s="1935"/>
      <c r="CQ132" s="1659"/>
      <c r="CR132" s="1046"/>
      <c r="CS132" s="1934"/>
      <c r="CT132" s="1935"/>
      <c r="CU132" s="1659"/>
      <c r="CV132" s="1046"/>
      <c r="CW132" s="1934"/>
      <c r="CX132" s="1935"/>
      <c r="CY132" s="1659"/>
      <c r="CZ132" s="1046"/>
      <c r="DA132" s="1934"/>
      <c r="DB132" s="1935"/>
      <c r="DC132" s="1047"/>
      <c r="DD132" s="2031"/>
      <c r="DE132" s="1659"/>
      <c r="DF132" s="1046"/>
      <c r="DG132" s="1934"/>
      <c r="DH132" s="1935"/>
      <c r="DI132" s="955">
        <v>1</v>
      </c>
      <c r="DJ132" s="956"/>
      <c r="DK132" s="1047"/>
      <c r="DL132" s="1996"/>
      <c r="DM132" s="1047"/>
      <c r="DN132" s="1996"/>
      <c r="DO132" s="1047"/>
      <c r="DP132" s="2031"/>
      <c r="DQ132" s="952">
        <v>1</v>
      </c>
      <c r="DR132" s="958"/>
      <c r="DS132" s="1659"/>
      <c r="DT132" s="1046"/>
      <c r="DU132" s="1934"/>
      <c r="DV132" s="1935"/>
      <c r="DW132" s="952">
        <v>1</v>
      </c>
      <c r="DX132" s="956"/>
      <c r="DY132" s="1659"/>
      <c r="DZ132" s="1046"/>
      <c r="EA132" s="1934"/>
      <c r="EB132" s="1935"/>
      <c r="EC132" s="1047"/>
      <c r="ED132" s="2031"/>
      <c r="EE132" s="952">
        <v>1</v>
      </c>
      <c r="EF132" s="956"/>
      <c r="EG132" s="1047"/>
      <c r="EH132" s="2031"/>
      <c r="EI132" s="1659"/>
      <c r="EJ132" s="1046"/>
      <c r="EK132" s="2219"/>
      <c r="EL132" s="1935"/>
      <c r="EM132" s="2202">
        <f t="shared" ref="EM132:EM138" si="146">E132+S132+W132+AA132+AG132+AK132+AN132+AR132+AW132+BC132+BI132+BM132+BR132+BU132+CA132+CD132+CI132+CO132+CS132+CW132+DA132+DG132+DU132+EA132+EK132</f>
        <v>0</v>
      </c>
      <c r="EN132" s="1585">
        <f t="shared" ref="EN132:EN138" si="147">F132+H132+J132+L132+P132+T132+X132+AB132+AH132+AL132+AS132+AX132+BD132+BJ132+BN132+BP132+BV132+BX132+CB132+CJ132+CP132+CT132+CX132+DB132+DD132+DH132+DN132+DP132+DV132+EB132+ED132+EH132+EL132+DL132</f>
        <v>0</v>
      </c>
      <c r="EO132" s="1585">
        <f t="shared" ref="EO132:EO138" si="148">AQ132</f>
        <v>0</v>
      </c>
      <c r="EP132" s="1585">
        <f t="shared" si="130"/>
        <v>0</v>
      </c>
      <c r="EQ132" s="988">
        <f t="shared" si="127"/>
        <v>0</v>
      </c>
      <c r="ER132" s="1775">
        <f t="shared" si="128"/>
        <v>0</v>
      </c>
      <c r="ES132" s="1775">
        <f t="shared" si="129"/>
        <v>0</v>
      </c>
      <c r="ET132" s="992">
        <f t="shared" si="56"/>
        <v>0</v>
      </c>
    </row>
    <row r="133" spans="1:150" ht="15" customHeight="1" x14ac:dyDescent="0.25">
      <c r="A133" s="952">
        <v>2</v>
      </c>
      <c r="B133" s="954"/>
      <c r="C133" s="1650"/>
      <c r="D133" s="960"/>
      <c r="E133" s="1910"/>
      <c r="F133" s="1911"/>
      <c r="G133" s="985"/>
      <c r="H133" s="1985"/>
      <c r="I133" s="985"/>
      <c r="J133" s="1985"/>
      <c r="K133" s="985"/>
      <c r="L133" s="2022"/>
      <c r="M133" s="952">
        <v>2</v>
      </c>
      <c r="N133" s="956"/>
      <c r="O133" s="985"/>
      <c r="P133" s="2022"/>
      <c r="Q133" s="1650"/>
      <c r="R133" s="960"/>
      <c r="S133" s="1910"/>
      <c r="T133" s="1911"/>
      <c r="U133" s="1650"/>
      <c r="V133" s="960"/>
      <c r="W133" s="1910"/>
      <c r="X133" s="1911"/>
      <c r="Y133" s="1650"/>
      <c r="Z133" s="960"/>
      <c r="AA133" s="2053"/>
      <c r="AB133" s="1911"/>
      <c r="AC133" s="955">
        <v>2</v>
      </c>
      <c r="AD133" s="954" t="s">
        <v>1575</v>
      </c>
      <c r="AE133" s="1650"/>
      <c r="AF133" s="960"/>
      <c r="AG133" s="1910"/>
      <c r="AH133" s="1911"/>
      <c r="AI133" s="1650"/>
      <c r="AJ133" s="960"/>
      <c r="AK133" s="1910"/>
      <c r="AL133" s="1911"/>
      <c r="AM133" s="985"/>
      <c r="AN133" s="2022"/>
      <c r="AO133" s="1864"/>
      <c r="AP133" s="989"/>
      <c r="AQ133" s="990"/>
      <c r="AR133" s="2089"/>
      <c r="AS133" s="1544"/>
      <c r="AT133" s="2089"/>
      <c r="AU133" s="1650"/>
      <c r="AV133" s="960"/>
      <c r="AW133" s="1910"/>
      <c r="AX133" s="1911"/>
      <c r="AY133" s="952">
        <v>2</v>
      </c>
      <c r="AZ133" s="956"/>
      <c r="BA133" s="1650"/>
      <c r="BB133" s="960"/>
      <c r="BC133" s="1910"/>
      <c r="BD133" s="1911"/>
      <c r="BE133" s="952">
        <v>2</v>
      </c>
      <c r="BF133" s="956"/>
      <c r="BG133" s="1650"/>
      <c r="BH133" s="960"/>
      <c r="BI133" s="1910"/>
      <c r="BJ133" s="1911"/>
      <c r="BK133" s="1650"/>
      <c r="BL133" s="960"/>
      <c r="BM133" s="1910"/>
      <c r="BN133" s="1911"/>
      <c r="BO133" s="985"/>
      <c r="BP133" s="1985"/>
      <c r="BQ133" s="985"/>
      <c r="BR133" s="2022"/>
      <c r="BS133" s="1650"/>
      <c r="BT133" s="960"/>
      <c r="BU133" s="1910"/>
      <c r="BV133" s="1911"/>
      <c r="BW133" s="985"/>
      <c r="BX133" s="2022"/>
      <c r="BY133" s="1650"/>
      <c r="BZ133" s="960"/>
      <c r="CA133" s="1910"/>
      <c r="CB133" s="1911"/>
      <c r="CC133" s="1753"/>
      <c r="CD133" s="2161"/>
      <c r="CE133" s="952">
        <v>2</v>
      </c>
      <c r="CF133" s="956"/>
      <c r="CG133" s="1650"/>
      <c r="CH133" s="960"/>
      <c r="CI133" s="1910"/>
      <c r="CJ133" s="1911"/>
      <c r="CK133" s="952">
        <v>2</v>
      </c>
      <c r="CL133" s="956"/>
      <c r="CM133" s="1650"/>
      <c r="CN133" s="960"/>
      <c r="CO133" s="1910"/>
      <c r="CP133" s="1911"/>
      <c r="CQ133" s="1650"/>
      <c r="CR133" s="960"/>
      <c r="CS133" s="1910"/>
      <c r="CT133" s="1911"/>
      <c r="CU133" s="1650"/>
      <c r="CV133" s="960"/>
      <c r="CW133" s="1910"/>
      <c r="CX133" s="1911"/>
      <c r="CY133" s="1650"/>
      <c r="CZ133" s="960"/>
      <c r="DA133" s="1910"/>
      <c r="DB133" s="1911"/>
      <c r="DC133" s="985"/>
      <c r="DD133" s="2022"/>
      <c r="DE133" s="1650"/>
      <c r="DF133" s="960"/>
      <c r="DG133" s="1910"/>
      <c r="DH133" s="1911"/>
      <c r="DI133" s="955">
        <v>2</v>
      </c>
      <c r="DJ133" s="956"/>
      <c r="DK133" s="985"/>
      <c r="DL133" s="1985"/>
      <c r="DM133" s="985"/>
      <c r="DN133" s="1985"/>
      <c r="DO133" s="985"/>
      <c r="DP133" s="2022"/>
      <c r="DQ133" s="952">
        <v>2</v>
      </c>
      <c r="DR133" s="958"/>
      <c r="DS133" s="1650"/>
      <c r="DT133" s="960"/>
      <c r="DU133" s="1910"/>
      <c r="DV133" s="1911"/>
      <c r="DW133" s="952">
        <v>2</v>
      </c>
      <c r="DX133" s="956"/>
      <c r="DY133" s="1650"/>
      <c r="DZ133" s="960"/>
      <c r="EA133" s="1910"/>
      <c r="EB133" s="1911"/>
      <c r="EC133" s="985"/>
      <c r="ED133" s="2022"/>
      <c r="EE133" s="952">
        <v>2</v>
      </c>
      <c r="EF133" s="956"/>
      <c r="EG133" s="985"/>
      <c r="EH133" s="2022"/>
      <c r="EI133" s="1650"/>
      <c r="EJ133" s="960"/>
      <c r="EK133" s="2203"/>
      <c r="EL133" s="1911"/>
      <c r="EM133" s="2202">
        <f t="shared" si="146"/>
        <v>0</v>
      </c>
      <c r="EN133" s="1585">
        <f t="shared" si="147"/>
        <v>0</v>
      </c>
      <c r="EO133" s="1585">
        <f t="shared" si="148"/>
        <v>0</v>
      </c>
      <c r="EP133" s="1585">
        <f t="shared" si="130"/>
        <v>0</v>
      </c>
      <c r="EQ133" s="988">
        <f t="shared" si="127"/>
        <v>0</v>
      </c>
      <c r="ER133" s="1775">
        <f t="shared" si="128"/>
        <v>0</v>
      </c>
      <c r="ES133" s="1775">
        <f t="shared" si="129"/>
        <v>0</v>
      </c>
      <c r="ET133" s="992">
        <f t="shared" si="56"/>
        <v>0</v>
      </c>
    </row>
    <row r="134" spans="1:150" ht="15" customHeight="1" x14ac:dyDescent="0.25">
      <c r="A134" s="965"/>
      <c r="B134" s="959"/>
      <c r="C134" s="1651"/>
      <c r="D134" s="1026"/>
      <c r="E134" s="1912"/>
      <c r="F134" s="1913"/>
      <c r="G134" s="1680"/>
      <c r="H134" s="1986"/>
      <c r="I134" s="1680"/>
      <c r="J134" s="1986"/>
      <c r="K134" s="1680"/>
      <c r="L134" s="2023"/>
      <c r="M134" s="965"/>
      <c r="N134" s="961"/>
      <c r="O134" s="1680"/>
      <c r="P134" s="2023"/>
      <c r="Q134" s="1651"/>
      <c r="R134" s="1026"/>
      <c r="S134" s="1912"/>
      <c r="T134" s="1913"/>
      <c r="U134" s="1651"/>
      <c r="V134" s="1026"/>
      <c r="W134" s="1912"/>
      <c r="X134" s="1913"/>
      <c r="Y134" s="1651"/>
      <c r="Z134" s="1026"/>
      <c r="AA134" s="2054"/>
      <c r="AB134" s="1913"/>
      <c r="AC134" s="964"/>
      <c r="AD134" s="959" t="s">
        <v>1576</v>
      </c>
      <c r="AE134" s="1651"/>
      <c r="AF134" s="1026"/>
      <c r="AG134" s="1912"/>
      <c r="AH134" s="1913"/>
      <c r="AI134" s="1651"/>
      <c r="AJ134" s="1026"/>
      <c r="AK134" s="1912"/>
      <c r="AL134" s="1913"/>
      <c r="AM134" s="1680"/>
      <c r="AN134" s="2023"/>
      <c r="AO134" s="1865"/>
      <c r="AP134" s="1000"/>
      <c r="AQ134" s="1001"/>
      <c r="AR134" s="2090"/>
      <c r="AS134" s="1545"/>
      <c r="AT134" s="2090"/>
      <c r="AU134" s="1651"/>
      <c r="AV134" s="1026"/>
      <c r="AW134" s="1912"/>
      <c r="AX134" s="1913"/>
      <c r="AY134" s="965"/>
      <c r="AZ134" s="961"/>
      <c r="BA134" s="1651"/>
      <c r="BB134" s="1026"/>
      <c r="BC134" s="1912"/>
      <c r="BD134" s="1913"/>
      <c r="BE134" s="965"/>
      <c r="BF134" s="961"/>
      <c r="BG134" s="1651"/>
      <c r="BH134" s="1026"/>
      <c r="BI134" s="1912"/>
      <c r="BJ134" s="1913"/>
      <c r="BK134" s="1651"/>
      <c r="BL134" s="1026"/>
      <c r="BM134" s="1912"/>
      <c r="BN134" s="1913"/>
      <c r="BO134" s="1680"/>
      <c r="BP134" s="1986"/>
      <c r="BQ134" s="1680"/>
      <c r="BR134" s="2023"/>
      <c r="BS134" s="1651"/>
      <c r="BT134" s="1026"/>
      <c r="BU134" s="1912"/>
      <c r="BV134" s="1913"/>
      <c r="BW134" s="1680"/>
      <c r="BX134" s="2023"/>
      <c r="BY134" s="1651"/>
      <c r="BZ134" s="1026"/>
      <c r="CA134" s="1912"/>
      <c r="CB134" s="1913"/>
      <c r="CC134" s="1754"/>
      <c r="CD134" s="2162"/>
      <c r="CE134" s="965"/>
      <c r="CF134" s="961"/>
      <c r="CG134" s="1651"/>
      <c r="CH134" s="1026"/>
      <c r="CI134" s="1912"/>
      <c r="CJ134" s="1913"/>
      <c r="CK134" s="965"/>
      <c r="CL134" s="961"/>
      <c r="CM134" s="1651"/>
      <c r="CN134" s="1026"/>
      <c r="CO134" s="1912"/>
      <c r="CP134" s="1913"/>
      <c r="CQ134" s="1651"/>
      <c r="CR134" s="1026"/>
      <c r="CS134" s="1912"/>
      <c r="CT134" s="1913"/>
      <c r="CU134" s="1651"/>
      <c r="CV134" s="1026"/>
      <c r="CW134" s="1912"/>
      <c r="CX134" s="1913"/>
      <c r="CY134" s="1651"/>
      <c r="CZ134" s="1026"/>
      <c r="DA134" s="1912"/>
      <c r="DB134" s="1913"/>
      <c r="DC134" s="1680"/>
      <c r="DD134" s="2023"/>
      <c r="DE134" s="1651"/>
      <c r="DF134" s="1026"/>
      <c r="DG134" s="1912"/>
      <c r="DH134" s="1913"/>
      <c r="DI134" s="964"/>
      <c r="DJ134" s="961"/>
      <c r="DK134" s="1680"/>
      <c r="DL134" s="1986"/>
      <c r="DM134" s="1680"/>
      <c r="DN134" s="1986"/>
      <c r="DO134" s="1680"/>
      <c r="DP134" s="2023"/>
      <c r="DQ134" s="965"/>
      <c r="DR134" s="1083"/>
      <c r="DS134" s="1651"/>
      <c r="DT134" s="1026"/>
      <c r="DU134" s="1912"/>
      <c r="DV134" s="1913"/>
      <c r="DW134" s="965"/>
      <c r="DX134" s="961"/>
      <c r="DY134" s="1651"/>
      <c r="DZ134" s="1026"/>
      <c r="EA134" s="1912"/>
      <c r="EB134" s="1913"/>
      <c r="EC134" s="1680"/>
      <c r="ED134" s="2023"/>
      <c r="EE134" s="965"/>
      <c r="EF134" s="961"/>
      <c r="EG134" s="1680"/>
      <c r="EH134" s="2023"/>
      <c r="EI134" s="1651"/>
      <c r="EJ134" s="1026"/>
      <c r="EK134" s="2204"/>
      <c r="EL134" s="1913"/>
      <c r="EM134" s="2202">
        <f t="shared" si="146"/>
        <v>0</v>
      </c>
      <c r="EN134" s="1585">
        <f t="shared" si="147"/>
        <v>0</v>
      </c>
      <c r="EO134" s="1585">
        <f t="shared" si="148"/>
        <v>0</v>
      </c>
      <c r="EP134" s="1585">
        <f t="shared" si="130"/>
        <v>0</v>
      </c>
      <c r="EQ134" s="999">
        <f t="shared" si="127"/>
        <v>0</v>
      </c>
      <c r="ER134" s="1776">
        <f t="shared" si="128"/>
        <v>0</v>
      </c>
      <c r="ES134" s="1776">
        <f t="shared" si="129"/>
        <v>0</v>
      </c>
      <c r="ET134" s="1055">
        <f t="shared" si="56"/>
        <v>0</v>
      </c>
    </row>
    <row r="135" spans="1:150" ht="15" customHeight="1" x14ac:dyDescent="0.25">
      <c r="A135" s="965"/>
      <c r="B135" s="959"/>
      <c r="C135" s="1651"/>
      <c r="D135" s="1026"/>
      <c r="E135" s="1912"/>
      <c r="F135" s="1913"/>
      <c r="G135" s="1680"/>
      <c r="H135" s="1986"/>
      <c r="I135" s="1680"/>
      <c r="J135" s="1986"/>
      <c r="K135" s="1680"/>
      <c r="L135" s="2023"/>
      <c r="M135" s="965"/>
      <c r="N135" s="961"/>
      <c r="O135" s="1680"/>
      <c r="P135" s="2023"/>
      <c r="Q135" s="1651"/>
      <c r="R135" s="1026"/>
      <c r="S135" s="1912"/>
      <c r="T135" s="1913"/>
      <c r="U135" s="1651"/>
      <c r="V135" s="1026"/>
      <c r="W135" s="1912"/>
      <c r="X135" s="1913"/>
      <c r="Y135" s="1651"/>
      <c r="Z135" s="1026"/>
      <c r="AA135" s="2054"/>
      <c r="AB135" s="1913"/>
      <c r="AC135" s="964"/>
      <c r="AD135" s="959" t="s">
        <v>1577</v>
      </c>
      <c r="AE135" s="1651"/>
      <c r="AF135" s="1026"/>
      <c r="AG135" s="1912"/>
      <c r="AH135" s="1913"/>
      <c r="AI135" s="1651"/>
      <c r="AJ135" s="1026"/>
      <c r="AK135" s="1912"/>
      <c r="AL135" s="1913"/>
      <c r="AM135" s="1680"/>
      <c r="AN135" s="2023"/>
      <c r="AO135" s="1865"/>
      <c r="AP135" s="1000"/>
      <c r="AQ135" s="1001"/>
      <c r="AR135" s="2090"/>
      <c r="AS135" s="1545"/>
      <c r="AT135" s="2090"/>
      <c r="AU135" s="1651"/>
      <c r="AV135" s="1026"/>
      <c r="AW135" s="1912"/>
      <c r="AX135" s="1913"/>
      <c r="AY135" s="965"/>
      <c r="AZ135" s="961"/>
      <c r="BA135" s="1651"/>
      <c r="BB135" s="1026"/>
      <c r="BC135" s="1912"/>
      <c r="BD135" s="1913"/>
      <c r="BE135" s="965"/>
      <c r="BF135" s="961"/>
      <c r="BG135" s="1651"/>
      <c r="BH135" s="1026"/>
      <c r="BI135" s="1912"/>
      <c r="BJ135" s="1913"/>
      <c r="BK135" s="1651"/>
      <c r="BL135" s="1026"/>
      <c r="BM135" s="1912"/>
      <c r="BN135" s="1913"/>
      <c r="BO135" s="1680"/>
      <c r="BP135" s="1986"/>
      <c r="BQ135" s="1680"/>
      <c r="BR135" s="2023"/>
      <c r="BS135" s="1651"/>
      <c r="BT135" s="1026"/>
      <c r="BU135" s="1912"/>
      <c r="BV135" s="1913"/>
      <c r="BW135" s="1680"/>
      <c r="BX135" s="2023"/>
      <c r="BY135" s="1651"/>
      <c r="BZ135" s="1026"/>
      <c r="CA135" s="1912"/>
      <c r="CB135" s="1913"/>
      <c r="CC135" s="1754"/>
      <c r="CD135" s="2162"/>
      <c r="CE135" s="965"/>
      <c r="CF135" s="961"/>
      <c r="CG135" s="1651"/>
      <c r="CH135" s="1026"/>
      <c r="CI135" s="1912"/>
      <c r="CJ135" s="1913"/>
      <c r="CK135" s="965"/>
      <c r="CL135" s="961"/>
      <c r="CM135" s="1651"/>
      <c r="CN135" s="1026"/>
      <c r="CO135" s="1912"/>
      <c r="CP135" s="1913"/>
      <c r="CQ135" s="1651"/>
      <c r="CR135" s="1026"/>
      <c r="CS135" s="1912"/>
      <c r="CT135" s="1913"/>
      <c r="CU135" s="1651"/>
      <c r="CV135" s="1026"/>
      <c r="CW135" s="1912"/>
      <c r="CX135" s="1913"/>
      <c r="CY135" s="1651"/>
      <c r="CZ135" s="1026"/>
      <c r="DA135" s="1912"/>
      <c r="DB135" s="1913"/>
      <c r="DC135" s="1680"/>
      <c r="DD135" s="2023"/>
      <c r="DE135" s="1651"/>
      <c r="DF135" s="1026"/>
      <c r="DG135" s="1912"/>
      <c r="DH135" s="1913"/>
      <c r="DI135" s="964"/>
      <c r="DJ135" s="961"/>
      <c r="DK135" s="1680"/>
      <c r="DL135" s="1986"/>
      <c r="DM135" s="1680"/>
      <c r="DN135" s="1986"/>
      <c r="DO135" s="1680"/>
      <c r="DP135" s="2023"/>
      <c r="DQ135" s="965"/>
      <c r="DR135" s="1083"/>
      <c r="DS135" s="1651"/>
      <c r="DT135" s="1026"/>
      <c r="DU135" s="1912"/>
      <c r="DV135" s="1913"/>
      <c r="DW135" s="965"/>
      <c r="DX135" s="961"/>
      <c r="DY135" s="1651"/>
      <c r="DZ135" s="1026"/>
      <c r="EA135" s="1912"/>
      <c r="EB135" s="1913"/>
      <c r="EC135" s="1680"/>
      <c r="ED135" s="2023"/>
      <c r="EE135" s="965"/>
      <c r="EF135" s="961"/>
      <c r="EG135" s="1680"/>
      <c r="EH135" s="2023"/>
      <c r="EI135" s="1651"/>
      <c r="EJ135" s="1026"/>
      <c r="EK135" s="2204"/>
      <c r="EL135" s="1913"/>
      <c r="EM135" s="2202">
        <f t="shared" si="146"/>
        <v>0</v>
      </c>
      <c r="EN135" s="1585">
        <f t="shared" si="147"/>
        <v>0</v>
      </c>
      <c r="EO135" s="1585">
        <f t="shared" si="148"/>
        <v>0</v>
      </c>
      <c r="EP135" s="1585">
        <f t="shared" si="130"/>
        <v>0</v>
      </c>
      <c r="EQ135" s="999">
        <f t="shared" si="127"/>
        <v>0</v>
      </c>
      <c r="ER135" s="1776">
        <f t="shared" si="128"/>
        <v>0</v>
      </c>
      <c r="ES135" s="1776">
        <f t="shared" si="129"/>
        <v>0</v>
      </c>
      <c r="ET135" s="1055">
        <f t="shared" si="56"/>
        <v>0</v>
      </c>
    </row>
    <row r="136" spans="1:150" ht="15" customHeight="1" x14ac:dyDescent="0.25">
      <c r="A136" s="965"/>
      <c r="B136" s="959"/>
      <c r="C136" s="1651"/>
      <c r="D136" s="1026"/>
      <c r="E136" s="1912"/>
      <c r="F136" s="1913"/>
      <c r="G136" s="1680"/>
      <c r="H136" s="1986"/>
      <c r="I136" s="1680"/>
      <c r="J136" s="1986"/>
      <c r="K136" s="1680"/>
      <c r="L136" s="2023"/>
      <c r="M136" s="965"/>
      <c r="N136" s="961"/>
      <c r="O136" s="1680"/>
      <c r="P136" s="2023"/>
      <c r="Q136" s="1651"/>
      <c r="R136" s="1026"/>
      <c r="S136" s="1912"/>
      <c r="T136" s="1913"/>
      <c r="U136" s="1651"/>
      <c r="V136" s="1026"/>
      <c r="W136" s="1912"/>
      <c r="X136" s="1913"/>
      <c r="Y136" s="1651"/>
      <c r="Z136" s="1026"/>
      <c r="AA136" s="2054"/>
      <c r="AB136" s="1913"/>
      <c r="AC136" s="964"/>
      <c r="AD136" s="959" t="s">
        <v>1578</v>
      </c>
      <c r="AE136" s="1651"/>
      <c r="AF136" s="1026"/>
      <c r="AG136" s="1912"/>
      <c r="AH136" s="1913"/>
      <c r="AI136" s="1651"/>
      <c r="AJ136" s="1026"/>
      <c r="AK136" s="1912"/>
      <c r="AL136" s="1913"/>
      <c r="AM136" s="1680"/>
      <c r="AN136" s="2023"/>
      <c r="AO136" s="1865"/>
      <c r="AP136" s="1000"/>
      <c r="AQ136" s="1001"/>
      <c r="AR136" s="2090"/>
      <c r="AS136" s="1545"/>
      <c r="AT136" s="2090"/>
      <c r="AU136" s="1651"/>
      <c r="AV136" s="1026"/>
      <c r="AW136" s="1912"/>
      <c r="AX136" s="1913"/>
      <c r="AY136" s="965"/>
      <c r="AZ136" s="961"/>
      <c r="BA136" s="1651"/>
      <c r="BB136" s="1026"/>
      <c r="BC136" s="1912"/>
      <c r="BD136" s="1913"/>
      <c r="BE136" s="965"/>
      <c r="BF136" s="961"/>
      <c r="BG136" s="1651"/>
      <c r="BH136" s="1026"/>
      <c r="BI136" s="1912"/>
      <c r="BJ136" s="1913"/>
      <c r="BK136" s="1651"/>
      <c r="BL136" s="1026"/>
      <c r="BM136" s="1912"/>
      <c r="BN136" s="1913"/>
      <c r="BO136" s="1680"/>
      <c r="BP136" s="1986"/>
      <c r="BQ136" s="1680"/>
      <c r="BR136" s="2023"/>
      <c r="BS136" s="1651"/>
      <c r="BT136" s="1026"/>
      <c r="BU136" s="1912"/>
      <c r="BV136" s="1913"/>
      <c r="BW136" s="1680"/>
      <c r="BX136" s="2023"/>
      <c r="BY136" s="1651"/>
      <c r="BZ136" s="1026"/>
      <c r="CA136" s="1912"/>
      <c r="CB136" s="1913"/>
      <c r="CC136" s="1754"/>
      <c r="CD136" s="2162"/>
      <c r="CE136" s="965"/>
      <c r="CF136" s="961"/>
      <c r="CG136" s="1651"/>
      <c r="CH136" s="1026"/>
      <c r="CI136" s="1912"/>
      <c r="CJ136" s="1913"/>
      <c r="CK136" s="965"/>
      <c r="CL136" s="961"/>
      <c r="CM136" s="1651"/>
      <c r="CN136" s="1026"/>
      <c r="CO136" s="1912"/>
      <c r="CP136" s="1913"/>
      <c r="CQ136" s="1651"/>
      <c r="CR136" s="1026"/>
      <c r="CS136" s="1912"/>
      <c r="CT136" s="1913"/>
      <c r="CU136" s="1651"/>
      <c r="CV136" s="1026"/>
      <c r="CW136" s="1912"/>
      <c r="CX136" s="1913"/>
      <c r="CY136" s="1651"/>
      <c r="CZ136" s="1026"/>
      <c r="DA136" s="1912"/>
      <c r="DB136" s="1913"/>
      <c r="DC136" s="1680"/>
      <c r="DD136" s="2023"/>
      <c r="DE136" s="1651"/>
      <c r="DF136" s="1026"/>
      <c r="DG136" s="1912"/>
      <c r="DH136" s="1913"/>
      <c r="DI136" s="964"/>
      <c r="DJ136" s="961"/>
      <c r="DK136" s="1680"/>
      <c r="DL136" s="1986"/>
      <c r="DM136" s="1680"/>
      <c r="DN136" s="1986"/>
      <c r="DO136" s="1680"/>
      <c r="DP136" s="2023"/>
      <c r="DQ136" s="965"/>
      <c r="DR136" s="1083"/>
      <c r="DS136" s="1651"/>
      <c r="DT136" s="1026"/>
      <c r="DU136" s="1912"/>
      <c r="DV136" s="1913"/>
      <c r="DW136" s="965"/>
      <c r="DX136" s="961"/>
      <c r="DY136" s="1651"/>
      <c r="DZ136" s="1026"/>
      <c r="EA136" s="1912"/>
      <c r="EB136" s="1913"/>
      <c r="EC136" s="1680"/>
      <c r="ED136" s="2023"/>
      <c r="EE136" s="965"/>
      <c r="EF136" s="961"/>
      <c r="EG136" s="1680"/>
      <c r="EH136" s="2023"/>
      <c r="EI136" s="1651"/>
      <c r="EJ136" s="1026"/>
      <c r="EK136" s="2204"/>
      <c r="EL136" s="1913"/>
      <c r="EM136" s="2202">
        <f t="shared" si="146"/>
        <v>0</v>
      </c>
      <c r="EN136" s="1585">
        <f t="shared" si="147"/>
        <v>0</v>
      </c>
      <c r="EO136" s="1585">
        <f t="shared" si="148"/>
        <v>0</v>
      </c>
      <c r="EP136" s="1585">
        <f t="shared" si="130"/>
        <v>0</v>
      </c>
      <c r="EQ136" s="999">
        <f t="shared" si="127"/>
        <v>0</v>
      </c>
      <c r="ER136" s="1776">
        <f t="shared" si="128"/>
        <v>0</v>
      </c>
      <c r="ES136" s="1776">
        <f t="shared" si="129"/>
        <v>0</v>
      </c>
      <c r="ET136" s="1055">
        <f t="shared" si="56"/>
        <v>0</v>
      </c>
    </row>
    <row r="137" spans="1:150" ht="15" customHeight="1" x14ac:dyDescent="0.25">
      <c r="A137" s="965"/>
      <c r="B137" s="959"/>
      <c r="C137" s="1651"/>
      <c r="D137" s="1026"/>
      <c r="E137" s="1912"/>
      <c r="F137" s="1913"/>
      <c r="G137" s="1680"/>
      <c r="H137" s="1986"/>
      <c r="I137" s="1680"/>
      <c r="J137" s="1986"/>
      <c r="K137" s="1680"/>
      <c r="L137" s="2023"/>
      <c r="M137" s="965"/>
      <c r="N137" s="961"/>
      <c r="O137" s="1680"/>
      <c r="P137" s="2023"/>
      <c r="Q137" s="1651"/>
      <c r="R137" s="1026"/>
      <c r="S137" s="1912"/>
      <c r="T137" s="1913"/>
      <c r="U137" s="1651"/>
      <c r="V137" s="1026"/>
      <c r="W137" s="1912"/>
      <c r="X137" s="1913"/>
      <c r="Y137" s="1651"/>
      <c r="Z137" s="1026"/>
      <c r="AA137" s="2054"/>
      <c r="AB137" s="1913"/>
      <c r="AC137" s="964"/>
      <c r="AD137" s="959" t="s">
        <v>1579</v>
      </c>
      <c r="AE137" s="1651"/>
      <c r="AF137" s="1026"/>
      <c r="AG137" s="1912"/>
      <c r="AH137" s="1913"/>
      <c r="AI137" s="1651"/>
      <c r="AJ137" s="1026"/>
      <c r="AK137" s="1912"/>
      <c r="AL137" s="1913"/>
      <c r="AM137" s="1680"/>
      <c r="AN137" s="2023"/>
      <c r="AO137" s="1865"/>
      <c r="AP137" s="1000"/>
      <c r="AQ137" s="1001"/>
      <c r="AR137" s="2090"/>
      <c r="AS137" s="1545"/>
      <c r="AT137" s="2090"/>
      <c r="AU137" s="1651"/>
      <c r="AV137" s="1026"/>
      <c r="AW137" s="1912"/>
      <c r="AX137" s="1913"/>
      <c r="AY137" s="965"/>
      <c r="AZ137" s="961"/>
      <c r="BA137" s="1651"/>
      <c r="BB137" s="1026"/>
      <c r="BC137" s="1912"/>
      <c r="BD137" s="1913"/>
      <c r="BE137" s="965"/>
      <c r="BF137" s="961"/>
      <c r="BG137" s="1651"/>
      <c r="BH137" s="1026"/>
      <c r="BI137" s="1912"/>
      <c r="BJ137" s="1913"/>
      <c r="BK137" s="1651"/>
      <c r="BL137" s="1026"/>
      <c r="BM137" s="1912"/>
      <c r="BN137" s="1913"/>
      <c r="BO137" s="1680"/>
      <c r="BP137" s="1986"/>
      <c r="BQ137" s="1680"/>
      <c r="BR137" s="2023"/>
      <c r="BS137" s="1651"/>
      <c r="BT137" s="1026"/>
      <c r="BU137" s="1912"/>
      <c r="BV137" s="1913"/>
      <c r="BW137" s="1680"/>
      <c r="BX137" s="2023"/>
      <c r="BY137" s="1651"/>
      <c r="BZ137" s="1026"/>
      <c r="CA137" s="1912"/>
      <c r="CB137" s="1913"/>
      <c r="CC137" s="1754"/>
      <c r="CD137" s="2162"/>
      <c r="CE137" s="965"/>
      <c r="CF137" s="961"/>
      <c r="CG137" s="1651"/>
      <c r="CH137" s="1026"/>
      <c r="CI137" s="1912"/>
      <c r="CJ137" s="1913"/>
      <c r="CK137" s="965"/>
      <c r="CL137" s="961"/>
      <c r="CM137" s="1651"/>
      <c r="CN137" s="1026"/>
      <c r="CO137" s="1912"/>
      <c r="CP137" s="1913"/>
      <c r="CQ137" s="1651"/>
      <c r="CR137" s="1026"/>
      <c r="CS137" s="1912"/>
      <c r="CT137" s="1913"/>
      <c r="CU137" s="1651"/>
      <c r="CV137" s="1026"/>
      <c r="CW137" s="1912"/>
      <c r="CX137" s="1913"/>
      <c r="CY137" s="1651"/>
      <c r="CZ137" s="1026"/>
      <c r="DA137" s="1912"/>
      <c r="DB137" s="1913"/>
      <c r="DC137" s="1680"/>
      <c r="DD137" s="2023"/>
      <c r="DE137" s="1651"/>
      <c r="DF137" s="1026"/>
      <c r="DG137" s="1912"/>
      <c r="DH137" s="1913"/>
      <c r="DI137" s="964"/>
      <c r="DJ137" s="961"/>
      <c r="DK137" s="1680"/>
      <c r="DL137" s="1986"/>
      <c r="DM137" s="1680"/>
      <c r="DN137" s="1986"/>
      <c r="DO137" s="1680"/>
      <c r="DP137" s="2023"/>
      <c r="DQ137" s="965"/>
      <c r="DR137" s="1083"/>
      <c r="DS137" s="1651"/>
      <c r="DT137" s="1026"/>
      <c r="DU137" s="1912"/>
      <c r="DV137" s="1913"/>
      <c r="DW137" s="965"/>
      <c r="DX137" s="961"/>
      <c r="DY137" s="1651"/>
      <c r="DZ137" s="1026"/>
      <c r="EA137" s="1912"/>
      <c r="EB137" s="1913"/>
      <c r="EC137" s="1680"/>
      <c r="ED137" s="2023"/>
      <c r="EE137" s="965"/>
      <c r="EF137" s="961"/>
      <c r="EG137" s="1680"/>
      <c r="EH137" s="2023"/>
      <c r="EI137" s="1651"/>
      <c r="EJ137" s="1026"/>
      <c r="EK137" s="2204"/>
      <c r="EL137" s="1913"/>
      <c r="EM137" s="2202">
        <f t="shared" si="146"/>
        <v>0</v>
      </c>
      <c r="EN137" s="1585">
        <f t="shared" si="147"/>
        <v>0</v>
      </c>
      <c r="EO137" s="1585">
        <f t="shared" si="148"/>
        <v>0</v>
      </c>
      <c r="EP137" s="1585">
        <f t="shared" si="130"/>
        <v>0</v>
      </c>
      <c r="EQ137" s="999">
        <f t="shared" si="127"/>
        <v>0</v>
      </c>
      <c r="ER137" s="1776">
        <f t="shared" si="128"/>
        <v>0</v>
      </c>
      <c r="ES137" s="1776">
        <f t="shared" si="129"/>
        <v>0</v>
      </c>
      <c r="ET137" s="1055">
        <f t="shared" ref="ET137:ET200" si="149">SUM(EQ137:ES137)</f>
        <v>0</v>
      </c>
    </row>
    <row r="138" spans="1:150" ht="15" customHeight="1" x14ac:dyDescent="0.25">
      <c r="A138" s="965"/>
      <c r="B138" s="959"/>
      <c r="C138" s="1651"/>
      <c r="D138" s="1026"/>
      <c r="E138" s="1912"/>
      <c r="F138" s="1913"/>
      <c r="G138" s="1680"/>
      <c r="H138" s="1986"/>
      <c r="I138" s="1680"/>
      <c r="J138" s="1986"/>
      <c r="K138" s="1680"/>
      <c r="L138" s="2023"/>
      <c r="M138" s="965">
        <v>3</v>
      </c>
      <c r="N138" s="961"/>
      <c r="O138" s="1680"/>
      <c r="P138" s="2023"/>
      <c r="Q138" s="1651"/>
      <c r="R138" s="1026"/>
      <c r="S138" s="1912"/>
      <c r="T138" s="1913"/>
      <c r="U138" s="1651"/>
      <c r="V138" s="1026"/>
      <c r="W138" s="1912"/>
      <c r="X138" s="1913"/>
      <c r="Y138" s="1651"/>
      <c r="Z138" s="1026"/>
      <c r="AA138" s="2054"/>
      <c r="AB138" s="1913"/>
      <c r="AC138" s="964">
        <v>3</v>
      </c>
      <c r="AD138" s="959"/>
      <c r="AE138" s="1651"/>
      <c r="AF138" s="1026"/>
      <c r="AG138" s="1912">
        <f>tartalékok!B18</f>
        <v>196759</v>
      </c>
      <c r="AH138" s="1913">
        <f>tartalékok!C18</f>
        <v>87707</v>
      </c>
      <c r="AI138" s="1651"/>
      <c r="AJ138" s="1026"/>
      <c r="AK138" s="1912"/>
      <c r="AL138" s="1913"/>
      <c r="AM138" s="1680"/>
      <c r="AN138" s="2023"/>
      <c r="AO138" s="1865"/>
      <c r="AP138" s="1000"/>
      <c r="AQ138" s="1001"/>
      <c r="AR138" s="2090"/>
      <c r="AS138" s="1545"/>
      <c r="AT138" s="2090"/>
      <c r="AU138" s="1651"/>
      <c r="AV138" s="1026"/>
      <c r="AW138" s="1912"/>
      <c r="AX138" s="1913"/>
      <c r="AY138" s="965">
        <v>3</v>
      </c>
      <c r="AZ138" s="961"/>
      <c r="BA138" s="1651"/>
      <c r="BB138" s="1026"/>
      <c r="BC138" s="1912"/>
      <c r="BD138" s="1913"/>
      <c r="BE138" s="965"/>
      <c r="BF138" s="961"/>
      <c r="BG138" s="1651"/>
      <c r="BH138" s="1026"/>
      <c r="BI138" s="1912"/>
      <c r="BJ138" s="1913"/>
      <c r="BK138" s="1651"/>
      <c r="BL138" s="1026"/>
      <c r="BM138" s="1912"/>
      <c r="BN138" s="1913"/>
      <c r="BO138" s="1680"/>
      <c r="BP138" s="1986"/>
      <c r="BQ138" s="1680"/>
      <c r="BR138" s="2023"/>
      <c r="BS138" s="1651"/>
      <c r="BT138" s="1026"/>
      <c r="BU138" s="1912"/>
      <c r="BV138" s="1913"/>
      <c r="BW138" s="1680"/>
      <c r="BX138" s="2023"/>
      <c r="BY138" s="1651"/>
      <c r="BZ138" s="1026"/>
      <c r="CA138" s="1912"/>
      <c r="CB138" s="1913"/>
      <c r="CC138" s="1754"/>
      <c r="CD138" s="2162"/>
      <c r="CE138" s="965"/>
      <c r="CF138" s="961"/>
      <c r="CG138" s="1651"/>
      <c r="CH138" s="1026"/>
      <c r="CI138" s="1912"/>
      <c r="CJ138" s="1913"/>
      <c r="CK138" s="965"/>
      <c r="CL138" s="961"/>
      <c r="CM138" s="1651"/>
      <c r="CN138" s="1026"/>
      <c r="CO138" s="1912"/>
      <c r="CP138" s="1913"/>
      <c r="CQ138" s="1651"/>
      <c r="CR138" s="1026"/>
      <c r="CS138" s="1912"/>
      <c r="CT138" s="1913"/>
      <c r="CU138" s="1651"/>
      <c r="CV138" s="1026"/>
      <c r="CW138" s="1912"/>
      <c r="CX138" s="1913"/>
      <c r="CY138" s="1651"/>
      <c r="CZ138" s="1026"/>
      <c r="DA138" s="1912"/>
      <c r="DB138" s="1913"/>
      <c r="DC138" s="1680"/>
      <c r="DD138" s="2023"/>
      <c r="DE138" s="1651"/>
      <c r="DF138" s="1026"/>
      <c r="DG138" s="1912"/>
      <c r="DH138" s="1913"/>
      <c r="DI138" s="964"/>
      <c r="DJ138" s="961"/>
      <c r="DK138" s="1680"/>
      <c r="DL138" s="1986"/>
      <c r="DM138" s="1680"/>
      <c r="DN138" s="1986"/>
      <c r="DO138" s="1680"/>
      <c r="DP138" s="2023"/>
      <c r="DQ138" s="965"/>
      <c r="DR138" s="1083"/>
      <c r="DS138" s="1651"/>
      <c r="DT138" s="1026"/>
      <c r="DU138" s="1912"/>
      <c r="DV138" s="1913"/>
      <c r="DW138" s="965"/>
      <c r="DX138" s="961"/>
      <c r="DY138" s="1651"/>
      <c r="DZ138" s="1026"/>
      <c r="EA138" s="1912"/>
      <c r="EB138" s="1913"/>
      <c r="EC138" s="1680"/>
      <c r="ED138" s="2023"/>
      <c r="EE138" s="965"/>
      <c r="EF138" s="961"/>
      <c r="EG138" s="1680"/>
      <c r="EH138" s="2023"/>
      <c r="EI138" s="1651"/>
      <c r="EJ138" s="1026"/>
      <c r="EK138" s="2204"/>
      <c r="EL138" s="1913"/>
      <c r="EM138" s="2202">
        <f t="shared" si="146"/>
        <v>196759</v>
      </c>
      <c r="EN138" s="1585">
        <f t="shared" si="147"/>
        <v>87707</v>
      </c>
      <c r="EO138" s="1585">
        <f t="shared" si="148"/>
        <v>0</v>
      </c>
      <c r="EP138" s="1585">
        <f t="shared" si="130"/>
        <v>284466</v>
      </c>
      <c r="EQ138" s="999">
        <f t="shared" si="127"/>
        <v>0</v>
      </c>
      <c r="ER138" s="1776">
        <f t="shared" si="128"/>
        <v>0</v>
      </c>
      <c r="ES138" s="1776">
        <f t="shared" si="129"/>
        <v>0</v>
      </c>
      <c r="ET138" s="1055">
        <f t="shared" si="149"/>
        <v>0</v>
      </c>
    </row>
    <row r="139" spans="1:150" ht="19.95" customHeight="1" thickBot="1" x14ac:dyDescent="0.3">
      <c r="A139" s="965"/>
      <c r="B139" s="1081" t="s">
        <v>1580</v>
      </c>
      <c r="C139" s="1663">
        <f t="shared" ref="C139:L139" si="150">SUM(C131:C138)</f>
        <v>0</v>
      </c>
      <c r="D139" s="1643">
        <f t="shared" si="150"/>
        <v>0</v>
      </c>
      <c r="E139" s="1942">
        <f t="shared" si="150"/>
        <v>0</v>
      </c>
      <c r="F139" s="1943">
        <f t="shared" si="150"/>
        <v>0</v>
      </c>
      <c r="G139" s="1687">
        <f t="shared" si="150"/>
        <v>0</v>
      </c>
      <c r="H139" s="2000">
        <f t="shared" si="150"/>
        <v>0</v>
      </c>
      <c r="I139" s="1687">
        <f t="shared" si="150"/>
        <v>0</v>
      </c>
      <c r="J139" s="2000">
        <f t="shared" si="150"/>
        <v>0</v>
      </c>
      <c r="K139" s="1687">
        <f t="shared" si="150"/>
        <v>0</v>
      </c>
      <c r="L139" s="2000">
        <f t="shared" si="150"/>
        <v>0</v>
      </c>
      <c r="M139" s="965"/>
      <c r="N139" s="1081" t="s">
        <v>1580</v>
      </c>
      <c r="O139" s="1687">
        <f t="shared" ref="O139:AB139" si="151">SUM(O131:O138)</f>
        <v>0</v>
      </c>
      <c r="P139" s="2000">
        <f t="shared" si="151"/>
        <v>0</v>
      </c>
      <c r="Q139" s="1663">
        <f t="shared" si="151"/>
        <v>0</v>
      </c>
      <c r="R139" s="1643">
        <f t="shared" si="151"/>
        <v>0</v>
      </c>
      <c r="S139" s="1942">
        <f t="shared" si="151"/>
        <v>0</v>
      </c>
      <c r="T139" s="1943">
        <f t="shared" si="151"/>
        <v>0</v>
      </c>
      <c r="U139" s="1663">
        <f t="shared" si="151"/>
        <v>0</v>
      </c>
      <c r="V139" s="1643">
        <f t="shared" si="151"/>
        <v>0</v>
      </c>
      <c r="W139" s="1942">
        <f t="shared" si="151"/>
        <v>0</v>
      </c>
      <c r="X139" s="1943">
        <f t="shared" si="151"/>
        <v>0</v>
      </c>
      <c r="Y139" s="1663">
        <f t="shared" si="151"/>
        <v>0</v>
      </c>
      <c r="Z139" s="1643">
        <f t="shared" si="151"/>
        <v>0</v>
      </c>
      <c r="AA139" s="1942">
        <f t="shared" si="151"/>
        <v>0</v>
      </c>
      <c r="AB139" s="1943">
        <f t="shared" si="151"/>
        <v>0</v>
      </c>
      <c r="AC139" s="970"/>
      <c r="AD139" s="1081" t="s">
        <v>1580</v>
      </c>
      <c r="AE139" s="1663">
        <f t="shared" ref="AE139:AX139" si="152">SUM(AE131:AE138)</f>
        <v>0</v>
      </c>
      <c r="AF139" s="1643">
        <f t="shared" si="152"/>
        <v>0</v>
      </c>
      <c r="AG139" s="1942">
        <f t="shared" si="152"/>
        <v>196759</v>
      </c>
      <c r="AH139" s="1943">
        <f t="shared" si="152"/>
        <v>87707</v>
      </c>
      <c r="AI139" s="1663">
        <f t="shared" si="152"/>
        <v>0</v>
      </c>
      <c r="AJ139" s="1643">
        <f t="shared" si="152"/>
        <v>0</v>
      </c>
      <c r="AK139" s="1942">
        <f t="shared" si="152"/>
        <v>0</v>
      </c>
      <c r="AL139" s="1943">
        <f t="shared" si="152"/>
        <v>0</v>
      </c>
      <c r="AM139" s="1687">
        <f t="shared" si="152"/>
        <v>0</v>
      </c>
      <c r="AN139" s="2000">
        <f t="shared" si="152"/>
        <v>0</v>
      </c>
      <c r="AO139" s="1663">
        <f t="shared" si="152"/>
        <v>0</v>
      </c>
      <c r="AP139" s="1890">
        <f t="shared" si="152"/>
        <v>0</v>
      </c>
      <c r="AQ139" s="1084">
        <f t="shared" si="152"/>
        <v>0</v>
      </c>
      <c r="AR139" s="1942">
        <f t="shared" si="152"/>
        <v>0</v>
      </c>
      <c r="AS139" s="2105">
        <f t="shared" si="152"/>
        <v>0</v>
      </c>
      <c r="AT139" s="2106">
        <f t="shared" si="152"/>
        <v>0</v>
      </c>
      <c r="AU139" s="1663">
        <f t="shared" si="152"/>
        <v>0</v>
      </c>
      <c r="AV139" s="1643">
        <f t="shared" si="152"/>
        <v>0</v>
      </c>
      <c r="AW139" s="1942">
        <f t="shared" si="152"/>
        <v>0</v>
      </c>
      <c r="AX139" s="1943">
        <f t="shared" si="152"/>
        <v>0</v>
      </c>
      <c r="AY139" s="965"/>
      <c r="AZ139" s="1081" t="s">
        <v>1580</v>
      </c>
      <c r="BA139" s="1663">
        <f t="shared" ref="BA139:BD139" si="153">SUM(BA131:BA138)</f>
        <v>0</v>
      </c>
      <c r="BB139" s="1643">
        <f t="shared" si="153"/>
        <v>0</v>
      </c>
      <c r="BC139" s="1942">
        <f t="shared" si="153"/>
        <v>0</v>
      </c>
      <c r="BD139" s="1943">
        <f t="shared" si="153"/>
        <v>0</v>
      </c>
      <c r="BE139" s="965"/>
      <c r="BF139" s="1081" t="s">
        <v>1580</v>
      </c>
      <c r="BG139" s="1663">
        <f t="shared" ref="BG139:CD139" si="154">SUM(BG131:BG138)</f>
        <v>0</v>
      </c>
      <c r="BH139" s="1643">
        <f t="shared" si="154"/>
        <v>0</v>
      </c>
      <c r="BI139" s="1942">
        <f t="shared" si="154"/>
        <v>0</v>
      </c>
      <c r="BJ139" s="1943">
        <f t="shared" si="154"/>
        <v>0</v>
      </c>
      <c r="BK139" s="1663">
        <f t="shared" si="154"/>
        <v>0</v>
      </c>
      <c r="BL139" s="1643">
        <f t="shared" si="154"/>
        <v>0</v>
      </c>
      <c r="BM139" s="1942">
        <f t="shared" si="154"/>
        <v>0</v>
      </c>
      <c r="BN139" s="1943">
        <f t="shared" si="154"/>
        <v>0</v>
      </c>
      <c r="BO139" s="1687">
        <f t="shared" si="154"/>
        <v>0</v>
      </c>
      <c r="BP139" s="2000">
        <f t="shared" si="154"/>
        <v>0</v>
      </c>
      <c r="BQ139" s="1687">
        <f t="shared" si="154"/>
        <v>0</v>
      </c>
      <c r="BR139" s="2000">
        <f t="shared" si="154"/>
        <v>0</v>
      </c>
      <c r="BS139" s="1663">
        <f t="shared" si="154"/>
        <v>0</v>
      </c>
      <c r="BT139" s="1643">
        <f t="shared" si="154"/>
        <v>0</v>
      </c>
      <c r="BU139" s="1942">
        <f t="shared" si="154"/>
        <v>0</v>
      </c>
      <c r="BV139" s="1943">
        <f t="shared" si="154"/>
        <v>0</v>
      </c>
      <c r="BW139" s="1687">
        <f t="shared" si="154"/>
        <v>0</v>
      </c>
      <c r="BX139" s="2000">
        <f t="shared" si="154"/>
        <v>0</v>
      </c>
      <c r="BY139" s="1663">
        <f t="shared" si="154"/>
        <v>0</v>
      </c>
      <c r="BZ139" s="1643">
        <f t="shared" si="154"/>
        <v>0</v>
      </c>
      <c r="CA139" s="1942">
        <f t="shared" si="154"/>
        <v>0</v>
      </c>
      <c r="CB139" s="1943">
        <f t="shared" si="154"/>
        <v>0</v>
      </c>
      <c r="CC139" s="1706">
        <f t="shared" si="154"/>
        <v>0</v>
      </c>
      <c r="CD139" s="2165">
        <f t="shared" si="154"/>
        <v>0</v>
      </c>
      <c r="CE139" s="965"/>
      <c r="CF139" s="1081" t="s">
        <v>1580</v>
      </c>
      <c r="CG139" s="1663">
        <f t="shared" ref="CG139:CJ139" si="155">SUM(CG131:CG138)</f>
        <v>0</v>
      </c>
      <c r="CH139" s="1643">
        <f t="shared" si="155"/>
        <v>0</v>
      </c>
      <c r="CI139" s="1942">
        <f t="shared" si="155"/>
        <v>0</v>
      </c>
      <c r="CJ139" s="1943">
        <f t="shared" si="155"/>
        <v>0</v>
      </c>
      <c r="CK139" s="965"/>
      <c r="CL139" s="1081" t="s">
        <v>1580</v>
      </c>
      <c r="CM139" s="1663">
        <f t="shared" ref="CM139:DH139" si="156">SUM(CM131:CM138)</f>
        <v>0</v>
      </c>
      <c r="CN139" s="1643">
        <f t="shared" si="156"/>
        <v>0</v>
      </c>
      <c r="CO139" s="1942">
        <f t="shared" si="156"/>
        <v>0</v>
      </c>
      <c r="CP139" s="1943">
        <f t="shared" si="156"/>
        <v>0</v>
      </c>
      <c r="CQ139" s="1663">
        <f t="shared" si="156"/>
        <v>0</v>
      </c>
      <c r="CR139" s="1643">
        <f t="shared" si="156"/>
        <v>0</v>
      </c>
      <c r="CS139" s="1942">
        <f t="shared" si="156"/>
        <v>0</v>
      </c>
      <c r="CT139" s="1943">
        <f t="shared" si="156"/>
        <v>0</v>
      </c>
      <c r="CU139" s="1663">
        <f t="shared" si="156"/>
        <v>0</v>
      </c>
      <c r="CV139" s="1643">
        <f t="shared" si="156"/>
        <v>0</v>
      </c>
      <c r="CW139" s="1942">
        <f t="shared" si="156"/>
        <v>0</v>
      </c>
      <c r="CX139" s="1943">
        <f t="shared" si="156"/>
        <v>0</v>
      </c>
      <c r="CY139" s="1663">
        <f t="shared" si="156"/>
        <v>0</v>
      </c>
      <c r="CZ139" s="1643">
        <f t="shared" si="156"/>
        <v>0</v>
      </c>
      <c r="DA139" s="1942">
        <f t="shared" si="156"/>
        <v>0</v>
      </c>
      <c r="DB139" s="1943">
        <f t="shared" si="156"/>
        <v>0</v>
      </c>
      <c r="DC139" s="1687">
        <f t="shared" si="156"/>
        <v>0</v>
      </c>
      <c r="DD139" s="2000">
        <f t="shared" si="156"/>
        <v>0</v>
      </c>
      <c r="DE139" s="1663">
        <f t="shared" si="156"/>
        <v>0</v>
      </c>
      <c r="DF139" s="1643">
        <f t="shared" si="156"/>
        <v>0</v>
      </c>
      <c r="DG139" s="1942">
        <f t="shared" si="156"/>
        <v>0</v>
      </c>
      <c r="DH139" s="1943">
        <f t="shared" si="156"/>
        <v>0</v>
      </c>
      <c r="DI139" s="964"/>
      <c r="DJ139" s="1081" t="s">
        <v>1580</v>
      </c>
      <c r="DK139" s="1687">
        <f t="shared" ref="DK139:DL139" si="157">SUM(DK131:DK138)</f>
        <v>0</v>
      </c>
      <c r="DL139" s="2000">
        <f t="shared" si="157"/>
        <v>0</v>
      </c>
      <c r="DM139" s="1687">
        <f t="shared" ref="DM139:DP139" si="158">SUM(DM131:DM138)</f>
        <v>0</v>
      </c>
      <c r="DN139" s="2000">
        <f t="shared" si="158"/>
        <v>0</v>
      </c>
      <c r="DO139" s="1687">
        <f t="shared" si="158"/>
        <v>0</v>
      </c>
      <c r="DP139" s="2000">
        <f t="shared" si="158"/>
        <v>0</v>
      </c>
      <c r="DQ139" s="965"/>
      <c r="DR139" s="1082" t="s">
        <v>1580</v>
      </c>
      <c r="DS139" s="1663">
        <f t="shared" ref="DS139:DV139" si="159">SUM(DS131:DS138)</f>
        <v>0</v>
      </c>
      <c r="DT139" s="1643">
        <f t="shared" si="159"/>
        <v>0</v>
      </c>
      <c r="DU139" s="1942">
        <f t="shared" si="159"/>
        <v>0</v>
      </c>
      <c r="DV139" s="1943">
        <f t="shared" si="159"/>
        <v>0</v>
      </c>
      <c r="DW139" s="965"/>
      <c r="DX139" s="1081" t="s">
        <v>1580</v>
      </c>
      <c r="DY139" s="1663">
        <f t="shared" ref="DY139:ED139" si="160">SUM(DY131:DY138)</f>
        <v>0</v>
      </c>
      <c r="DZ139" s="1643">
        <f t="shared" si="160"/>
        <v>0</v>
      </c>
      <c r="EA139" s="1942">
        <f t="shared" si="160"/>
        <v>0</v>
      </c>
      <c r="EB139" s="1943">
        <f t="shared" si="160"/>
        <v>0</v>
      </c>
      <c r="EC139" s="1687">
        <f t="shared" si="160"/>
        <v>0</v>
      </c>
      <c r="ED139" s="2000">
        <f t="shared" si="160"/>
        <v>0</v>
      </c>
      <c r="EE139" s="965"/>
      <c r="EF139" s="1081" t="s">
        <v>1580</v>
      </c>
      <c r="EG139" s="1687">
        <f t="shared" ref="EG139:EO139" si="161">SUM(EG131:EG138)</f>
        <v>0</v>
      </c>
      <c r="EH139" s="2000">
        <f t="shared" si="161"/>
        <v>0</v>
      </c>
      <c r="EI139" s="1663">
        <f t="shared" si="161"/>
        <v>0</v>
      </c>
      <c r="EJ139" s="1643">
        <f t="shared" si="161"/>
        <v>0</v>
      </c>
      <c r="EK139" s="1942">
        <f t="shared" si="161"/>
        <v>0</v>
      </c>
      <c r="EL139" s="1943">
        <f t="shared" si="161"/>
        <v>0</v>
      </c>
      <c r="EM139" s="1943">
        <f t="shared" si="161"/>
        <v>196759</v>
      </c>
      <c r="EN139" s="1943">
        <f t="shared" si="161"/>
        <v>87707</v>
      </c>
      <c r="EO139" s="1943">
        <f t="shared" si="161"/>
        <v>0</v>
      </c>
      <c r="EP139" s="1608">
        <f t="shared" si="130"/>
        <v>284466</v>
      </c>
      <c r="EQ139" s="1788">
        <f t="shared" si="127"/>
        <v>0</v>
      </c>
      <c r="ER139" s="1789">
        <f t="shared" si="128"/>
        <v>0</v>
      </c>
      <c r="ES139" s="1789">
        <f t="shared" si="129"/>
        <v>0</v>
      </c>
      <c r="ET139" s="1790">
        <f t="shared" si="149"/>
        <v>0</v>
      </c>
    </row>
    <row r="140" spans="1:150" ht="13.8" thickBot="1" x14ac:dyDescent="0.3">
      <c r="A140" s="2545" t="s">
        <v>1581</v>
      </c>
      <c r="B140" s="2546"/>
      <c r="C140" s="1639">
        <f t="shared" ref="C140:L140" si="162">SUM(C126+C116+C109+C92+C36+C31+C130+C139)</f>
        <v>63908</v>
      </c>
      <c r="D140" s="1644">
        <f t="shared" si="162"/>
        <v>103107</v>
      </c>
      <c r="E140" s="1944">
        <f t="shared" si="162"/>
        <v>62256</v>
      </c>
      <c r="F140" s="1945">
        <f t="shared" si="162"/>
        <v>144607</v>
      </c>
      <c r="G140" s="1085">
        <f t="shared" si="162"/>
        <v>0</v>
      </c>
      <c r="H140" s="2001">
        <f t="shared" si="162"/>
        <v>0</v>
      </c>
      <c r="I140" s="1085">
        <f t="shared" si="162"/>
        <v>3353</v>
      </c>
      <c r="J140" s="2001">
        <f t="shared" si="162"/>
        <v>3353</v>
      </c>
      <c r="K140" s="1085">
        <f t="shared" si="162"/>
        <v>6832</v>
      </c>
      <c r="L140" s="2001">
        <f t="shared" si="162"/>
        <v>22185.599999999999</v>
      </c>
      <c r="M140" s="2545" t="s">
        <v>1581</v>
      </c>
      <c r="N140" s="2546"/>
      <c r="O140" s="1085">
        <f t="shared" ref="O140:AB140" si="163">SUM(O126+O116+O109+O92+O36+O31+O130+O139)</f>
        <v>156998</v>
      </c>
      <c r="P140" s="2001">
        <f t="shared" si="163"/>
        <v>27715</v>
      </c>
      <c r="Q140" s="1639">
        <f t="shared" si="163"/>
        <v>1200</v>
      </c>
      <c r="R140" s="1644">
        <f t="shared" si="163"/>
        <v>3850</v>
      </c>
      <c r="S140" s="1944">
        <f t="shared" si="163"/>
        <v>600</v>
      </c>
      <c r="T140" s="1945">
        <f t="shared" si="163"/>
        <v>14250</v>
      </c>
      <c r="U140" s="1639">
        <f t="shared" si="163"/>
        <v>12710</v>
      </c>
      <c r="V140" s="1644">
        <f t="shared" si="163"/>
        <v>500</v>
      </c>
      <c r="W140" s="1944">
        <f t="shared" si="163"/>
        <v>13300</v>
      </c>
      <c r="X140" s="1945">
        <f t="shared" si="163"/>
        <v>16890</v>
      </c>
      <c r="Y140" s="1639">
        <f t="shared" si="163"/>
        <v>22680</v>
      </c>
      <c r="Z140" s="1644">
        <f t="shared" si="163"/>
        <v>53062</v>
      </c>
      <c r="AA140" s="1944">
        <f t="shared" si="163"/>
        <v>22680</v>
      </c>
      <c r="AB140" s="1945">
        <f t="shared" si="163"/>
        <v>63416</v>
      </c>
      <c r="AC140" s="2547" t="s">
        <v>1581</v>
      </c>
      <c r="AD140" s="2546"/>
      <c r="AE140" s="1639">
        <f t="shared" ref="AE140:AX140" si="164">SUM(AE126+AE116+AE109+AE92+AE36+AE31+AE130+AE139)</f>
        <v>0</v>
      </c>
      <c r="AF140" s="1644">
        <f t="shared" si="164"/>
        <v>0</v>
      </c>
      <c r="AG140" s="1944">
        <f t="shared" si="164"/>
        <v>196759</v>
      </c>
      <c r="AH140" s="1945">
        <f t="shared" si="164"/>
        <v>87707</v>
      </c>
      <c r="AI140" s="1639">
        <f t="shared" si="164"/>
        <v>0</v>
      </c>
      <c r="AJ140" s="1644">
        <f t="shared" si="164"/>
        <v>0</v>
      </c>
      <c r="AK140" s="1944">
        <f t="shared" si="164"/>
        <v>0</v>
      </c>
      <c r="AL140" s="1945">
        <f t="shared" si="164"/>
        <v>0</v>
      </c>
      <c r="AM140" s="1085">
        <f t="shared" si="164"/>
        <v>7000</v>
      </c>
      <c r="AN140" s="2001">
        <f t="shared" si="164"/>
        <v>5504</v>
      </c>
      <c r="AO140" s="1639">
        <f t="shared" si="164"/>
        <v>0</v>
      </c>
      <c r="AP140" s="1856">
        <f t="shared" si="164"/>
        <v>0</v>
      </c>
      <c r="AQ140" s="1889">
        <f t="shared" si="164"/>
        <v>0</v>
      </c>
      <c r="AR140" s="1944">
        <f t="shared" si="164"/>
        <v>28722</v>
      </c>
      <c r="AS140" s="2107">
        <f t="shared" si="164"/>
        <v>0</v>
      </c>
      <c r="AT140" s="2108">
        <f t="shared" si="164"/>
        <v>0</v>
      </c>
      <c r="AU140" s="1639">
        <f t="shared" si="164"/>
        <v>0</v>
      </c>
      <c r="AV140" s="1644">
        <f t="shared" si="164"/>
        <v>0</v>
      </c>
      <c r="AW140" s="1944">
        <f t="shared" si="164"/>
        <v>0</v>
      </c>
      <c r="AX140" s="1945">
        <f t="shared" si="164"/>
        <v>0</v>
      </c>
      <c r="AY140" s="2545" t="s">
        <v>1581</v>
      </c>
      <c r="AZ140" s="2546"/>
      <c r="BA140" s="1639">
        <f t="shared" ref="BA140:BD140" si="165">SUM(BA126+BA116+BA109+BA92+BA36+BA31+BA130+BA139)</f>
        <v>68500</v>
      </c>
      <c r="BB140" s="1644">
        <f t="shared" si="165"/>
        <v>75401</v>
      </c>
      <c r="BC140" s="1944">
        <f t="shared" si="165"/>
        <v>67000</v>
      </c>
      <c r="BD140" s="1945">
        <f t="shared" si="165"/>
        <v>57200</v>
      </c>
      <c r="BE140" s="2545" t="s">
        <v>1581</v>
      </c>
      <c r="BF140" s="2546"/>
      <c r="BG140" s="1639">
        <f t="shared" ref="BG140:CD140" si="166">SUM(BG126+BG116+BG109+BG92+BG36+BG31+BG130+BG139)</f>
        <v>1105948</v>
      </c>
      <c r="BH140" s="1644">
        <f t="shared" si="166"/>
        <v>0</v>
      </c>
      <c r="BI140" s="1944">
        <f t="shared" si="166"/>
        <v>752333</v>
      </c>
      <c r="BJ140" s="1945">
        <f t="shared" si="166"/>
        <v>355767</v>
      </c>
      <c r="BK140" s="1639">
        <f t="shared" si="166"/>
        <v>58189</v>
      </c>
      <c r="BL140" s="1644">
        <f t="shared" si="166"/>
        <v>0</v>
      </c>
      <c r="BM140" s="1944">
        <f t="shared" si="166"/>
        <v>114780</v>
      </c>
      <c r="BN140" s="1945">
        <f t="shared" si="166"/>
        <v>2500</v>
      </c>
      <c r="BO140" s="1085">
        <f t="shared" si="166"/>
        <v>0</v>
      </c>
      <c r="BP140" s="2001">
        <f t="shared" si="166"/>
        <v>20000</v>
      </c>
      <c r="BQ140" s="1085">
        <f t="shared" si="166"/>
        <v>300</v>
      </c>
      <c r="BR140" s="2001">
        <f t="shared" si="166"/>
        <v>300</v>
      </c>
      <c r="BS140" s="1639">
        <f t="shared" si="166"/>
        <v>144246</v>
      </c>
      <c r="BT140" s="1644">
        <f t="shared" si="166"/>
        <v>2642</v>
      </c>
      <c r="BU140" s="1944">
        <f t="shared" si="166"/>
        <v>167734</v>
      </c>
      <c r="BV140" s="1945">
        <f t="shared" si="166"/>
        <v>2642</v>
      </c>
      <c r="BW140" s="1085">
        <f t="shared" si="166"/>
        <v>15000</v>
      </c>
      <c r="BX140" s="2001">
        <f t="shared" si="166"/>
        <v>8200</v>
      </c>
      <c r="BY140" s="1639">
        <f t="shared" si="166"/>
        <v>0</v>
      </c>
      <c r="BZ140" s="1644">
        <f t="shared" si="166"/>
        <v>0</v>
      </c>
      <c r="CA140" s="1944">
        <f t="shared" si="166"/>
        <v>0</v>
      </c>
      <c r="CB140" s="1945">
        <f t="shared" si="166"/>
        <v>0</v>
      </c>
      <c r="CC140" s="1621">
        <f t="shared" si="166"/>
        <v>3500</v>
      </c>
      <c r="CD140" s="2166">
        <f t="shared" si="166"/>
        <v>3800</v>
      </c>
      <c r="CE140" s="2545" t="s">
        <v>1581</v>
      </c>
      <c r="CF140" s="2546"/>
      <c r="CG140" s="1639">
        <f t="shared" ref="CG140:CJ140" si="167">SUM(CG126+CG116+CG109+CG92+CG36+CG31+CG130+CG139)</f>
        <v>135907</v>
      </c>
      <c r="CH140" s="1644">
        <f t="shared" si="167"/>
        <v>1200</v>
      </c>
      <c r="CI140" s="1944">
        <f t="shared" si="167"/>
        <v>167150</v>
      </c>
      <c r="CJ140" s="1945">
        <f t="shared" si="167"/>
        <v>1200</v>
      </c>
      <c r="CK140" s="2545" t="s">
        <v>1581</v>
      </c>
      <c r="CL140" s="2546"/>
      <c r="CM140" s="1639">
        <f t="shared" ref="CM140:DH140" si="168">SUM(CM126+CM116+CM109+CM92+CM36+CM31+CM130+CM139)</f>
        <v>0</v>
      </c>
      <c r="CN140" s="1644">
        <f t="shared" si="168"/>
        <v>0</v>
      </c>
      <c r="CO140" s="1944">
        <f t="shared" si="168"/>
        <v>33900</v>
      </c>
      <c r="CP140" s="1945">
        <f t="shared" si="168"/>
        <v>77124</v>
      </c>
      <c r="CQ140" s="1639">
        <f t="shared" si="168"/>
        <v>0</v>
      </c>
      <c r="CR140" s="1644">
        <f t="shared" si="168"/>
        <v>137489</v>
      </c>
      <c r="CS140" s="1944">
        <f t="shared" si="168"/>
        <v>122060</v>
      </c>
      <c r="CT140" s="1945">
        <f t="shared" si="168"/>
        <v>6144</v>
      </c>
      <c r="CU140" s="1639">
        <f t="shared" si="168"/>
        <v>700570</v>
      </c>
      <c r="CV140" s="1644">
        <f t="shared" si="168"/>
        <v>242997</v>
      </c>
      <c r="CW140" s="1944">
        <f t="shared" si="168"/>
        <v>777184</v>
      </c>
      <c r="CX140" s="1945">
        <f t="shared" si="168"/>
        <v>347526</v>
      </c>
      <c r="CY140" s="1639">
        <f t="shared" si="168"/>
        <v>0</v>
      </c>
      <c r="CZ140" s="1644">
        <f t="shared" si="168"/>
        <v>0</v>
      </c>
      <c r="DA140" s="1944">
        <f t="shared" si="168"/>
        <v>2929791</v>
      </c>
      <c r="DB140" s="1945">
        <f t="shared" si="168"/>
        <v>325649</v>
      </c>
      <c r="DC140" s="1085">
        <f t="shared" si="168"/>
        <v>0</v>
      </c>
      <c r="DD140" s="2001">
        <f t="shared" si="168"/>
        <v>0</v>
      </c>
      <c r="DE140" s="1639">
        <f t="shared" si="168"/>
        <v>42600</v>
      </c>
      <c r="DF140" s="1644">
        <f t="shared" si="168"/>
        <v>221182</v>
      </c>
      <c r="DG140" s="1944">
        <f t="shared" si="168"/>
        <v>33090</v>
      </c>
      <c r="DH140" s="1945">
        <f t="shared" si="168"/>
        <v>227375</v>
      </c>
      <c r="DI140" s="2547" t="s">
        <v>1581</v>
      </c>
      <c r="DJ140" s="2546"/>
      <c r="DK140" s="1085">
        <f t="shared" ref="DK140:DL140" si="169">SUM(DK126+DK116+DK109+DK92+DK36+DK31+DK130+DK139)</f>
        <v>0</v>
      </c>
      <c r="DL140" s="2001">
        <f t="shared" si="169"/>
        <v>1455</v>
      </c>
      <c r="DM140" s="1085">
        <f t="shared" ref="DM140:DP140" si="170">SUM(DM126+DM116+DM109+DM92+DM36+DM31+DM130+DM139)</f>
        <v>0</v>
      </c>
      <c r="DN140" s="2001">
        <f t="shared" si="170"/>
        <v>145436</v>
      </c>
      <c r="DO140" s="1085">
        <f t="shared" si="170"/>
        <v>0</v>
      </c>
      <c r="DP140" s="2001">
        <f t="shared" si="170"/>
        <v>21530</v>
      </c>
      <c r="DQ140" s="2545" t="s">
        <v>1581</v>
      </c>
      <c r="DR140" s="2547"/>
      <c r="DS140" s="1639">
        <f t="shared" ref="DS140:DV140" si="171">SUM(DS126+DS116+DS109+DS92+DS36+DS31+DS130+DS139)</f>
        <v>6000</v>
      </c>
      <c r="DT140" s="1644">
        <f t="shared" si="171"/>
        <v>700</v>
      </c>
      <c r="DU140" s="1944">
        <f t="shared" si="171"/>
        <v>0</v>
      </c>
      <c r="DV140" s="1945">
        <f t="shared" si="171"/>
        <v>10000</v>
      </c>
      <c r="DW140" s="2545" t="s">
        <v>1581</v>
      </c>
      <c r="DX140" s="2546"/>
      <c r="DY140" s="1639">
        <f t="shared" ref="DY140:ED140" si="172">SUM(DY126+DY116+DY109+DY92+DY36+DY31+DY130+DY139)</f>
        <v>73930</v>
      </c>
      <c r="DZ140" s="1644">
        <f t="shared" si="172"/>
        <v>28638</v>
      </c>
      <c r="EA140" s="1944">
        <f t="shared" si="172"/>
        <v>59930</v>
      </c>
      <c r="EB140" s="1945">
        <f t="shared" si="172"/>
        <v>64200</v>
      </c>
      <c r="EC140" s="1085">
        <f t="shared" si="172"/>
        <v>1000</v>
      </c>
      <c r="ED140" s="2001">
        <f t="shared" si="172"/>
        <v>1000</v>
      </c>
      <c r="EE140" s="2545" t="s">
        <v>1581</v>
      </c>
      <c r="EF140" s="2546"/>
      <c r="EG140" s="1085">
        <f t="shared" ref="EG140:EO140" si="173">SUM(EG126+EG116+EG109+EG92+EG36+EG31+EG130+EG139)</f>
        <v>143716</v>
      </c>
      <c r="EH140" s="2001">
        <f t="shared" si="173"/>
        <v>132644</v>
      </c>
      <c r="EI140" s="1639">
        <f t="shared" si="173"/>
        <v>167997</v>
      </c>
      <c r="EJ140" s="1644">
        <f t="shared" si="173"/>
        <v>765961</v>
      </c>
      <c r="EK140" s="1944">
        <f t="shared" si="173"/>
        <v>161687</v>
      </c>
      <c r="EL140" s="1945">
        <f t="shared" si="173"/>
        <v>677082</v>
      </c>
      <c r="EM140" s="1945">
        <f t="shared" si="173"/>
        <v>5765460</v>
      </c>
      <c r="EN140" s="1945">
        <f t="shared" si="173"/>
        <v>2819897.6</v>
      </c>
      <c r="EO140" s="1945">
        <f t="shared" si="173"/>
        <v>0</v>
      </c>
      <c r="EP140" s="2223">
        <f t="shared" si="130"/>
        <v>8585357.5999999996</v>
      </c>
      <c r="EQ140" s="1791">
        <f t="shared" si="127"/>
        <v>2615185</v>
      </c>
      <c r="ER140" s="1770">
        <f t="shared" si="128"/>
        <v>1963628</v>
      </c>
      <c r="ES140" s="1770">
        <f t="shared" si="129"/>
        <v>0</v>
      </c>
      <c r="ET140" s="1417">
        <f t="shared" si="149"/>
        <v>4578813</v>
      </c>
    </row>
    <row r="141" spans="1:150" ht="30" customHeight="1" x14ac:dyDescent="0.25">
      <c r="A141" s="948"/>
      <c r="B141" s="1086" t="s">
        <v>1582</v>
      </c>
      <c r="C141" s="1664"/>
      <c r="D141" s="1629"/>
      <c r="E141" s="1946"/>
      <c r="F141" s="1607"/>
      <c r="G141" s="1688"/>
      <c r="H141" s="2002"/>
      <c r="I141" s="1688"/>
      <c r="J141" s="2002"/>
      <c r="K141" s="1688"/>
      <c r="L141" s="2035"/>
      <c r="M141" s="948"/>
      <c r="N141" s="1086" t="s">
        <v>1582</v>
      </c>
      <c r="O141" s="1688"/>
      <c r="P141" s="2035"/>
      <c r="Q141" s="1664"/>
      <c r="R141" s="1629"/>
      <c r="S141" s="1946"/>
      <c r="T141" s="1607"/>
      <c r="U141" s="1664"/>
      <c r="V141" s="1629"/>
      <c r="W141" s="1946"/>
      <c r="X141" s="1607"/>
      <c r="Y141" s="1664"/>
      <c r="Z141" s="1629"/>
      <c r="AA141" s="2069"/>
      <c r="AB141" s="1607"/>
      <c r="AC141" s="950"/>
      <c r="AD141" s="1086" t="s">
        <v>1582</v>
      </c>
      <c r="AE141" s="1664"/>
      <c r="AF141" s="1629"/>
      <c r="AG141" s="1946"/>
      <c r="AH141" s="1607"/>
      <c r="AI141" s="1664"/>
      <c r="AJ141" s="1629"/>
      <c r="AK141" s="1946"/>
      <c r="AL141" s="1607"/>
      <c r="AM141" s="1688"/>
      <c r="AN141" s="2035"/>
      <c r="AO141" s="1664"/>
      <c r="AP141" s="1277"/>
      <c r="AQ141" s="1087"/>
      <c r="AR141" s="1946"/>
      <c r="AS141" s="1499"/>
      <c r="AT141" s="1946"/>
      <c r="AU141" s="1664"/>
      <c r="AV141" s="1629"/>
      <c r="AW141" s="1946"/>
      <c r="AX141" s="1607"/>
      <c r="AY141" s="948"/>
      <c r="AZ141" s="1086" t="s">
        <v>1582</v>
      </c>
      <c r="BA141" s="1664"/>
      <c r="BB141" s="1629"/>
      <c r="BC141" s="1946"/>
      <c r="BD141" s="1607"/>
      <c r="BE141" s="948"/>
      <c r="BF141" s="1086" t="s">
        <v>1582</v>
      </c>
      <c r="BG141" s="1664"/>
      <c r="BH141" s="1629"/>
      <c r="BI141" s="1946"/>
      <c r="BJ141" s="1607"/>
      <c r="BK141" s="1664"/>
      <c r="BL141" s="1629"/>
      <c r="BM141" s="1946"/>
      <c r="BN141" s="1607"/>
      <c r="BO141" s="1688"/>
      <c r="BP141" s="2002"/>
      <c r="BQ141" s="1688"/>
      <c r="BR141" s="2035"/>
      <c r="BS141" s="1664"/>
      <c r="BT141" s="1629"/>
      <c r="BU141" s="1946"/>
      <c r="BV141" s="1607"/>
      <c r="BW141" s="1688"/>
      <c r="BX141" s="2035"/>
      <c r="BY141" s="1664"/>
      <c r="BZ141" s="1629"/>
      <c r="CA141" s="1946"/>
      <c r="CB141" s="1607"/>
      <c r="CC141" s="1087"/>
      <c r="CD141" s="1946"/>
      <c r="CE141" s="948"/>
      <c r="CF141" s="1086" t="s">
        <v>1582</v>
      </c>
      <c r="CG141" s="1664"/>
      <c r="CH141" s="1629"/>
      <c r="CI141" s="1946"/>
      <c r="CJ141" s="1607"/>
      <c r="CK141" s="948"/>
      <c r="CL141" s="1086" t="s">
        <v>1582</v>
      </c>
      <c r="CM141" s="1664"/>
      <c r="CN141" s="1629"/>
      <c r="CO141" s="1946"/>
      <c r="CP141" s="1607"/>
      <c r="CQ141" s="1664"/>
      <c r="CR141" s="1629"/>
      <c r="CS141" s="1946"/>
      <c r="CT141" s="1607"/>
      <c r="CU141" s="1664"/>
      <c r="CV141" s="1629"/>
      <c r="CW141" s="1946"/>
      <c r="CX141" s="1607"/>
      <c r="CY141" s="1664"/>
      <c r="CZ141" s="1629"/>
      <c r="DA141" s="1946"/>
      <c r="DB141" s="1607"/>
      <c r="DC141" s="1688"/>
      <c r="DD141" s="2035"/>
      <c r="DE141" s="1664"/>
      <c r="DF141" s="1629"/>
      <c r="DG141" s="1946"/>
      <c r="DH141" s="1607"/>
      <c r="DI141" s="950"/>
      <c r="DJ141" s="1086" t="s">
        <v>1582</v>
      </c>
      <c r="DK141" s="1688"/>
      <c r="DL141" s="2002"/>
      <c r="DM141" s="1688"/>
      <c r="DN141" s="2002"/>
      <c r="DO141" s="1688"/>
      <c r="DP141" s="2035"/>
      <c r="DQ141" s="948"/>
      <c r="DR141" s="1086" t="s">
        <v>1582</v>
      </c>
      <c r="DS141" s="1664"/>
      <c r="DT141" s="1629"/>
      <c r="DU141" s="1946"/>
      <c r="DV141" s="1607"/>
      <c r="DW141" s="948"/>
      <c r="DX141" s="1086" t="s">
        <v>1582</v>
      </c>
      <c r="DY141" s="1664"/>
      <c r="DZ141" s="1629"/>
      <c r="EA141" s="1946"/>
      <c r="EB141" s="1607"/>
      <c r="EC141" s="1688"/>
      <c r="ED141" s="2035"/>
      <c r="EE141" s="948"/>
      <c r="EF141" s="1086" t="s">
        <v>1582</v>
      </c>
      <c r="EG141" s="1688"/>
      <c r="EH141" s="2035"/>
      <c r="EI141" s="1664"/>
      <c r="EJ141" s="1629"/>
      <c r="EK141" s="2224"/>
      <c r="EL141" s="1607"/>
      <c r="EM141" s="2202"/>
      <c r="EN141" s="1585"/>
      <c r="EO141" s="1585"/>
      <c r="EP141" s="1585">
        <f t="shared" ref="EP141" si="174">SUM(EM141:EO141)</f>
        <v>0</v>
      </c>
      <c r="EQ141" s="988">
        <f t="shared" si="127"/>
        <v>0</v>
      </c>
      <c r="ER141" s="1775">
        <f t="shared" si="128"/>
        <v>0</v>
      </c>
      <c r="ES141" s="1775">
        <f t="shared" si="129"/>
        <v>0</v>
      </c>
      <c r="ET141" s="992">
        <f t="shared" si="149"/>
        <v>0</v>
      </c>
    </row>
    <row r="142" spans="1:150" x14ac:dyDescent="0.25">
      <c r="A142" s="952">
        <v>1</v>
      </c>
      <c r="B142" s="1079"/>
      <c r="C142" s="1665"/>
      <c r="D142" s="1630"/>
      <c r="E142" s="1947"/>
      <c r="F142" s="1593"/>
      <c r="G142" s="1689"/>
      <c r="H142" s="2003"/>
      <c r="I142" s="1689"/>
      <c r="J142" s="2003"/>
      <c r="K142" s="1689"/>
      <c r="L142" s="2036"/>
      <c r="M142" s="952">
        <v>1</v>
      </c>
      <c r="N142" s="1079"/>
      <c r="O142" s="1689"/>
      <c r="P142" s="2036"/>
      <c r="Q142" s="1665"/>
      <c r="R142" s="1630"/>
      <c r="S142" s="1947"/>
      <c r="T142" s="1593"/>
      <c r="U142" s="1665"/>
      <c r="V142" s="1630"/>
      <c r="W142" s="1947"/>
      <c r="X142" s="1593"/>
      <c r="Y142" s="1665"/>
      <c r="Z142" s="1630"/>
      <c r="AA142" s="2070"/>
      <c r="AB142" s="1593"/>
      <c r="AC142" s="955">
        <v>1</v>
      </c>
      <c r="AD142" s="1079"/>
      <c r="AE142" s="1665"/>
      <c r="AF142" s="1630"/>
      <c r="AG142" s="1947"/>
      <c r="AH142" s="1593"/>
      <c r="AI142" s="1665"/>
      <c r="AJ142" s="1630"/>
      <c r="AK142" s="1947"/>
      <c r="AL142" s="1593"/>
      <c r="AM142" s="1689"/>
      <c r="AN142" s="2036"/>
      <c r="AO142" s="1665"/>
      <c r="AP142" s="1246"/>
      <c r="AQ142" s="1088"/>
      <c r="AR142" s="1947"/>
      <c r="AS142" s="1549"/>
      <c r="AT142" s="1947"/>
      <c r="AU142" s="1665"/>
      <c r="AV142" s="1630"/>
      <c r="AW142" s="1947"/>
      <c r="AX142" s="1593"/>
      <c r="AY142" s="952">
        <v>1</v>
      </c>
      <c r="AZ142" s="1079"/>
      <c r="BA142" s="1665"/>
      <c r="BB142" s="1630"/>
      <c r="BC142" s="1947"/>
      <c r="BD142" s="1593"/>
      <c r="BE142" s="952">
        <v>1</v>
      </c>
      <c r="BF142" s="1079"/>
      <c r="BG142" s="1665"/>
      <c r="BH142" s="1630"/>
      <c r="BI142" s="1947"/>
      <c r="BJ142" s="1593"/>
      <c r="BK142" s="1665"/>
      <c r="BL142" s="1630"/>
      <c r="BM142" s="1947"/>
      <c r="BN142" s="1593"/>
      <c r="BO142" s="1689"/>
      <c r="BP142" s="2003"/>
      <c r="BQ142" s="1689"/>
      <c r="BR142" s="2036"/>
      <c r="BS142" s="1665"/>
      <c r="BT142" s="1630"/>
      <c r="BU142" s="1947"/>
      <c r="BV142" s="1593"/>
      <c r="BW142" s="1689"/>
      <c r="BX142" s="2036"/>
      <c r="BY142" s="1665"/>
      <c r="BZ142" s="1630"/>
      <c r="CA142" s="1947"/>
      <c r="CB142" s="1593"/>
      <c r="CC142" s="1088"/>
      <c r="CD142" s="1947"/>
      <c r="CE142" s="952">
        <v>1</v>
      </c>
      <c r="CF142" s="1079"/>
      <c r="CG142" s="1665"/>
      <c r="CH142" s="1630"/>
      <c r="CI142" s="1947"/>
      <c r="CJ142" s="1593"/>
      <c r="CK142" s="952">
        <v>1</v>
      </c>
      <c r="CL142" s="1079"/>
      <c r="CM142" s="1665"/>
      <c r="CN142" s="1630"/>
      <c r="CO142" s="1947"/>
      <c r="CP142" s="1593"/>
      <c r="CQ142" s="1665"/>
      <c r="CR142" s="1630"/>
      <c r="CS142" s="1947"/>
      <c r="CT142" s="1593"/>
      <c r="CU142" s="1665"/>
      <c r="CV142" s="1630"/>
      <c r="CW142" s="1947"/>
      <c r="CX142" s="1593"/>
      <c r="CY142" s="1665"/>
      <c r="CZ142" s="1630"/>
      <c r="DA142" s="1947"/>
      <c r="DB142" s="1593"/>
      <c r="DC142" s="1689"/>
      <c r="DD142" s="2036"/>
      <c r="DE142" s="1665"/>
      <c r="DF142" s="1630"/>
      <c r="DG142" s="1947"/>
      <c r="DH142" s="1593"/>
      <c r="DI142" s="955">
        <v>1</v>
      </c>
      <c r="DJ142" s="1079"/>
      <c r="DK142" s="1689"/>
      <c r="DL142" s="2003"/>
      <c r="DM142" s="1689"/>
      <c r="DN142" s="2003"/>
      <c r="DO142" s="1689"/>
      <c r="DP142" s="2036"/>
      <c r="DQ142" s="952">
        <v>1</v>
      </c>
      <c r="DR142" s="1079"/>
      <c r="DS142" s="1665"/>
      <c r="DT142" s="1630"/>
      <c r="DU142" s="1947"/>
      <c r="DV142" s="1593"/>
      <c r="DW142" s="952">
        <v>1</v>
      </c>
      <c r="DX142" s="1079"/>
      <c r="DY142" s="1665"/>
      <c r="DZ142" s="1630"/>
      <c r="EA142" s="1947"/>
      <c r="EB142" s="1593"/>
      <c r="EC142" s="1689"/>
      <c r="ED142" s="2036"/>
      <c r="EE142" s="952">
        <v>1</v>
      </c>
      <c r="EF142" s="1079"/>
      <c r="EG142" s="1689"/>
      <c r="EH142" s="2036"/>
      <c r="EI142" s="1665"/>
      <c r="EJ142" s="1630"/>
      <c r="EK142" s="2225"/>
      <c r="EL142" s="1593"/>
      <c r="EM142" s="2202">
        <f t="shared" ref="EM142:EM145" si="175">E142+S142+W142+AA142+AG142+AK142+AN142+AR142+AW142+BC142+BI142+BM142+BR142+BU142+CA142+CD142+CI142+CO142+CS142+CW142+DA142+DG142+DU142+EA142+EK142</f>
        <v>0</v>
      </c>
      <c r="EN142" s="1585">
        <f t="shared" ref="EN142:EN145" si="176">F142+H142+J142+L142+P142+T142+X142+AB142+AH142+AL142+AS142+AX142+BD142+BJ142+BN142+BP142+BV142+BX142+CB142+CJ142+CP142+CT142+CX142+DB142+DD142+DH142+DN142+DP142+DV142+EB142+ED142+EH142+EL142+DL142</f>
        <v>0</v>
      </c>
      <c r="EO142" s="1585">
        <f t="shared" ref="EO142:EO145" si="177">AQ142</f>
        <v>0</v>
      </c>
      <c r="EP142" s="1585">
        <f t="shared" si="130"/>
        <v>0</v>
      </c>
      <c r="EQ142" s="988">
        <f t="shared" si="127"/>
        <v>0</v>
      </c>
      <c r="ER142" s="1775">
        <f t="shared" si="128"/>
        <v>0</v>
      </c>
      <c r="ES142" s="1775">
        <f t="shared" si="129"/>
        <v>0</v>
      </c>
      <c r="ET142" s="992">
        <f t="shared" si="149"/>
        <v>0</v>
      </c>
    </row>
    <row r="143" spans="1:150" x14ac:dyDescent="0.25">
      <c r="A143" s="952">
        <v>2</v>
      </c>
      <c r="B143" s="1079"/>
      <c r="C143" s="1665"/>
      <c r="D143" s="1630"/>
      <c r="E143" s="1947"/>
      <c r="F143" s="1593"/>
      <c r="G143" s="1689"/>
      <c r="H143" s="2003"/>
      <c r="I143" s="1689"/>
      <c r="J143" s="2003"/>
      <c r="K143" s="1689"/>
      <c r="L143" s="2036"/>
      <c r="M143" s="952">
        <v>2</v>
      </c>
      <c r="N143" s="1079"/>
      <c r="O143" s="1689"/>
      <c r="P143" s="2036"/>
      <c r="Q143" s="1665"/>
      <c r="R143" s="1630"/>
      <c r="S143" s="1947"/>
      <c r="T143" s="1593"/>
      <c r="U143" s="1665"/>
      <c r="V143" s="1630"/>
      <c r="W143" s="1947"/>
      <c r="X143" s="1593"/>
      <c r="Y143" s="1665"/>
      <c r="Z143" s="1630"/>
      <c r="AA143" s="2070"/>
      <c r="AB143" s="1593"/>
      <c r="AC143" s="955">
        <v>2</v>
      </c>
      <c r="AD143" s="1079"/>
      <c r="AE143" s="1665"/>
      <c r="AF143" s="1630"/>
      <c r="AG143" s="1947"/>
      <c r="AH143" s="1593"/>
      <c r="AI143" s="1665"/>
      <c r="AJ143" s="1630"/>
      <c r="AK143" s="1947"/>
      <c r="AL143" s="1593"/>
      <c r="AM143" s="1689"/>
      <c r="AN143" s="2036"/>
      <c r="AO143" s="1665"/>
      <c r="AP143" s="1246"/>
      <c r="AQ143" s="1088"/>
      <c r="AR143" s="1947"/>
      <c r="AS143" s="1549"/>
      <c r="AT143" s="1947"/>
      <c r="AU143" s="1665"/>
      <c r="AV143" s="1630"/>
      <c r="AW143" s="1947"/>
      <c r="AX143" s="1593"/>
      <c r="AY143" s="952">
        <v>2</v>
      </c>
      <c r="AZ143" s="1079"/>
      <c r="BA143" s="1665"/>
      <c r="BB143" s="1630"/>
      <c r="BC143" s="1947"/>
      <c r="BD143" s="1593"/>
      <c r="BE143" s="952">
        <v>2</v>
      </c>
      <c r="BF143" s="1079"/>
      <c r="BG143" s="1665"/>
      <c r="BH143" s="1630"/>
      <c r="BI143" s="1947"/>
      <c r="BJ143" s="1593"/>
      <c r="BK143" s="1665"/>
      <c r="BL143" s="1630"/>
      <c r="BM143" s="1947"/>
      <c r="BN143" s="1593"/>
      <c r="BO143" s="1689"/>
      <c r="BP143" s="2003"/>
      <c r="BQ143" s="1689"/>
      <c r="BR143" s="2036"/>
      <c r="BS143" s="1665"/>
      <c r="BT143" s="1630"/>
      <c r="BU143" s="1947"/>
      <c r="BV143" s="1593"/>
      <c r="BW143" s="1689"/>
      <c r="BX143" s="2036"/>
      <c r="BY143" s="1665"/>
      <c r="BZ143" s="1630"/>
      <c r="CA143" s="1947"/>
      <c r="CB143" s="1593"/>
      <c r="CC143" s="1088"/>
      <c r="CD143" s="1947"/>
      <c r="CE143" s="952">
        <v>2</v>
      </c>
      <c r="CF143" s="1079"/>
      <c r="CG143" s="1665"/>
      <c r="CH143" s="1630"/>
      <c r="CI143" s="1947"/>
      <c r="CJ143" s="1593"/>
      <c r="CK143" s="952">
        <v>2</v>
      </c>
      <c r="CL143" s="1079"/>
      <c r="CM143" s="1665"/>
      <c r="CN143" s="1630"/>
      <c r="CO143" s="1947"/>
      <c r="CP143" s="1593"/>
      <c r="CQ143" s="1665"/>
      <c r="CR143" s="1630"/>
      <c r="CS143" s="1947"/>
      <c r="CT143" s="1593"/>
      <c r="CU143" s="1665"/>
      <c r="CV143" s="1630"/>
      <c r="CW143" s="1947"/>
      <c r="CX143" s="1593"/>
      <c r="CY143" s="1665"/>
      <c r="CZ143" s="1630"/>
      <c r="DA143" s="1947"/>
      <c r="DB143" s="1593"/>
      <c r="DC143" s="1689"/>
      <c r="DD143" s="2036"/>
      <c r="DE143" s="1665"/>
      <c r="DF143" s="1630"/>
      <c r="DG143" s="1947"/>
      <c r="DH143" s="1593"/>
      <c r="DI143" s="955">
        <v>2</v>
      </c>
      <c r="DJ143" s="1079"/>
      <c r="DK143" s="1689"/>
      <c r="DL143" s="2003"/>
      <c r="DM143" s="1689"/>
      <c r="DN143" s="2003"/>
      <c r="DO143" s="1689"/>
      <c r="DP143" s="2036"/>
      <c r="DQ143" s="952">
        <v>2</v>
      </c>
      <c r="DR143" s="1079"/>
      <c r="DS143" s="1665"/>
      <c r="DT143" s="1630"/>
      <c r="DU143" s="1947"/>
      <c r="DV143" s="1593"/>
      <c r="DW143" s="952">
        <v>2</v>
      </c>
      <c r="DX143" s="1079"/>
      <c r="DY143" s="1665"/>
      <c r="DZ143" s="1630"/>
      <c r="EA143" s="1947"/>
      <c r="EB143" s="1593"/>
      <c r="EC143" s="1689"/>
      <c r="ED143" s="2036"/>
      <c r="EE143" s="952">
        <v>2</v>
      </c>
      <c r="EF143" s="1079"/>
      <c r="EG143" s="1689"/>
      <c r="EH143" s="2036"/>
      <c r="EI143" s="1665"/>
      <c r="EJ143" s="1630"/>
      <c r="EK143" s="2225"/>
      <c r="EL143" s="1593"/>
      <c r="EM143" s="2202">
        <f t="shared" si="175"/>
        <v>0</v>
      </c>
      <c r="EN143" s="1585">
        <f t="shared" si="176"/>
        <v>0</v>
      </c>
      <c r="EO143" s="1585">
        <f t="shared" si="177"/>
        <v>0</v>
      </c>
      <c r="EP143" s="1585">
        <f t="shared" si="130"/>
        <v>0</v>
      </c>
      <c r="EQ143" s="988">
        <f t="shared" si="127"/>
        <v>0</v>
      </c>
      <c r="ER143" s="1775">
        <f t="shared" si="128"/>
        <v>0</v>
      </c>
      <c r="ES143" s="1775">
        <f t="shared" si="129"/>
        <v>0</v>
      </c>
      <c r="ET143" s="992">
        <f t="shared" si="149"/>
        <v>0</v>
      </c>
    </row>
    <row r="144" spans="1:150" x14ac:dyDescent="0.25">
      <c r="A144" s="952">
        <v>3</v>
      </c>
      <c r="B144" s="1079"/>
      <c r="C144" s="1665"/>
      <c r="D144" s="1630"/>
      <c r="E144" s="1947"/>
      <c r="F144" s="1593"/>
      <c r="G144" s="1689"/>
      <c r="H144" s="2003"/>
      <c r="I144" s="1689"/>
      <c r="J144" s="2003"/>
      <c r="K144" s="1689"/>
      <c r="L144" s="2036"/>
      <c r="M144" s="952">
        <v>3</v>
      </c>
      <c r="N144" s="1079"/>
      <c r="O144" s="1689"/>
      <c r="P144" s="2036"/>
      <c r="Q144" s="1665"/>
      <c r="R144" s="1630"/>
      <c r="S144" s="1947"/>
      <c r="T144" s="1593"/>
      <c r="U144" s="1665"/>
      <c r="V144" s="1630"/>
      <c r="W144" s="1947"/>
      <c r="X144" s="1593"/>
      <c r="Y144" s="1665"/>
      <c r="Z144" s="1630"/>
      <c r="AA144" s="2070"/>
      <c r="AB144" s="1593"/>
      <c r="AC144" s="955">
        <v>3</v>
      </c>
      <c r="AD144" s="1079"/>
      <c r="AE144" s="1665"/>
      <c r="AF144" s="1630"/>
      <c r="AG144" s="1947"/>
      <c r="AH144" s="1593"/>
      <c r="AI144" s="1665"/>
      <c r="AJ144" s="1630"/>
      <c r="AK144" s="1947"/>
      <c r="AL144" s="1593"/>
      <c r="AM144" s="1689"/>
      <c r="AN144" s="2036"/>
      <c r="AO144" s="1665"/>
      <c r="AP144" s="1246"/>
      <c r="AQ144" s="1088"/>
      <c r="AR144" s="1947"/>
      <c r="AS144" s="1549"/>
      <c r="AT144" s="1947"/>
      <c r="AU144" s="1665"/>
      <c r="AV144" s="1630"/>
      <c r="AW144" s="1947"/>
      <c r="AX144" s="1593"/>
      <c r="AY144" s="952">
        <v>3</v>
      </c>
      <c r="AZ144" s="1079"/>
      <c r="BA144" s="1665"/>
      <c r="BB144" s="1630"/>
      <c r="BC144" s="1947"/>
      <c r="BD144" s="1593"/>
      <c r="BE144" s="952">
        <v>3</v>
      </c>
      <c r="BF144" s="1079"/>
      <c r="BG144" s="1665"/>
      <c r="BH144" s="1630"/>
      <c r="BI144" s="1947"/>
      <c r="BJ144" s="1593"/>
      <c r="BK144" s="1665"/>
      <c r="BL144" s="1630"/>
      <c r="BM144" s="1947"/>
      <c r="BN144" s="1593"/>
      <c r="BO144" s="1689"/>
      <c r="BP144" s="2003"/>
      <c r="BQ144" s="1689"/>
      <c r="BR144" s="2036"/>
      <c r="BS144" s="1665"/>
      <c r="BT144" s="1630"/>
      <c r="BU144" s="1947"/>
      <c r="BV144" s="1593"/>
      <c r="BW144" s="1689"/>
      <c r="BX144" s="2036"/>
      <c r="BY144" s="1665"/>
      <c r="BZ144" s="1630"/>
      <c r="CA144" s="1947"/>
      <c r="CB144" s="1593"/>
      <c r="CC144" s="1088"/>
      <c r="CD144" s="1947"/>
      <c r="CE144" s="952">
        <v>3</v>
      </c>
      <c r="CF144" s="1079"/>
      <c r="CG144" s="1665"/>
      <c r="CH144" s="1630"/>
      <c r="CI144" s="1947"/>
      <c r="CJ144" s="1593"/>
      <c r="CK144" s="952">
        <v>3</v>
      </c>
      <c r="CL144" s="1079"/>
      <c r="CM144" s="1665"/>
      <c r="CN144" s="1630"/>
      <c r="CO144" s="1947"/>
      <c r="CP144" s="1593"/>
      <c r="CQ144" s="1665"/>
      <c r="CR144" s="1630"/>
      <c r="CS144" s="1947"/>
      <c r="CT144" s="1593"/>
      <c r="CU144" s="1665"/>
      <c r="CV144" s="1630"/>
      <c r="CW144" s="1947"/>
      <c r="CX144" s="1593"/>
      <c r="CY144" s="1665"/>
      <c r="CZ144" s="1630"/>
      <c r="DA144" s="1947"/>
      <c r="DB144" s="1593"/>
      <c r="DC144" s="1689"/>
      <c r="DD144" s="2036"/>
      <c r="DE144" s="1665"/>
      <c r="DF144" s="1630"/>
      <c r="DG144" s="1947"/>
      <c r="DH144" s="1593"/>
      <c r="DI144" s="955">
        <v>3</v>
      </c>
      <c r="DJ144" s="1079"/>
      <c r="DK144" s="1689"/>
      <c r="DL144" s="2003"/>
      <c r="DM144" s="1689"/>
      <c r="DN144" s="2003"/>
      <c r="DO144" s="1689"/>
      <c r="DP144" s="2036"/>
      <c r="DQ144" s="952">
        <v>3</v>
      </c>
      <c r="DR144" s="1079"/>
      <c r="DS144" s="1665"/>
      <c r="DT144" s="1630"/>
      <c r="DU144" s="1947"/>
      <c r="DV144" s="1593"/>
      <c r="DW144" s="952">
        <v>3</v>
      </c>
      <c r="DX144" s="1079"/>
      <c r="DY144" s="1665"/>
      <c r="DZ144" s="1630"/>
      <c r="EA144" s="1947"/>
      <c r="EB144" s="1593"/>
      <c r="EC144" s="1689"/>
      <c r="ED144" s="2036"/>
      <c r="EE144" s="952">
        <v>3</v>
      </c>
      <c r="EF144" s="1079"/>
      <c r="EG144" s="1689"/>
      <c r="EH144" s="2036"/>
      <c r="EI144" s="1665"/>
      <c r="EJ144" s="1630"/>
      <c r="EK144" s="2225"/>
      <c r="EL144" s="1593"/>
      <c r="EM144" s="2202">
        <f t="shared" si="175"/>
        <v>0</v>
      </c>
      <c r="EN144" s="1585">
        <f t="shared" si="176"/>
        <v>0</v>
      </c>
      <c r="EO144" s="1585">
        <f t="shared" si="177"/>
        <v>0</v>
      </c>
      <c r="EP144" s="1585">
        <f t="shared" si="130"/>
        <v>0</v>
      </c>
      <c r="EQ144" s="988">
        <f t="shared" si="127"/>
        <v>0</v>
      </c>
      <c r="ER144" s="1775">
        <f t="shared" si="128"/>
        <v>0</v>
      </c>
      <c r="ES144" s="1775">
        <f t="shared" si="129"/>
        <v>0</v>
      </c>
      <c r="ET144" s="992">
        <f t="shared" si="149"/>
        <v>0</v>
      </c>
    </row>
    <row r="145" spans="1:150" x14ac:dyDescent="0.25">
      <c r="A145" s="952">
        <v>4</v>
      </c>
      <c r="B145" s="1079"/>
      <c r="C145" s="1665"/>
      <c r="D145" s="1630"/>
      <c r="E145" s="1947"/>
      <c r="F145" s="1593"/>
      <c r="G145" s="1689"/>
      <c r="H145" s="2003"/>
      <c r="I145" s="1689"/>
      <c r="J145" s="2003"/>
      <c r="K145" s="1689"/>
      <c r="L145" s="2036"/>
      <c r="M145" s="952">
        <v>4</v>
      </c>
      <c r="N145" s="1079"/>
      <c r="O145" s="1689"/>
      <c r="P145" s="2036"/>
      <c r="Q145" s="1665"/>
      <c r="R145" s="1630"/>
      <c r="S145" s="1947"/>
      <c r="T145" s="1593"/>
      <c r="U145" s="1665"/>
      <c r="V145" s="1630"/>
      <c r="W145" s="1947"/>
      <c r="X145" s="1593"/>
      <c r="Y145" s="1665"/>
      <c r="Z145" s="1630"/>
      <c r="AA145" s="2070"/>
      <c r="AB145" s="1593"/>
      <c r="AC145" s="955">
        <v>4</v>
      </c>
      <c r="AD145" s="1079"/>
      <c r="AE145" s="1665"/>
      <c r="AF145" s="1630"/>
      <c r="AG145" s="1947"/>
      <c r="AH145" s="1593"/>
      <c r="AI145" s="1665"/>
      <c r="AJ145" s="1630"/>
      <c r="AK145" s="1947"/>
      <c r="AL145" s="1593"/>
      <c r="AM145" s="1689"/>
      <c r="AN145" s="2036"/>
      <c r="AO145" s="1665"/>
      <c r="AP145" s="1246"/>
      <c r="AQ145" s="1088"/>
      <c r="AR145" s="1947"/>
      <c r="AS145" s="1549"/>
      <c r="AT145" s="1947"/>
      <c r="AU145" s="1665"/>
      <c r="AV145" s="1630"/>
      <c r="AW145" s="1947"/>
      <c r="AX145" s="1593"/>
      <c r="AY145" s="952">
        <v>4</v>
      </c>
      <c r="AZ145" s="1079"/>
      <c r="BA145" s="1665"/>
      <c r="BB145" s="1630"/>
      <c r="BC145" s="1947"/>
      <c r="BD145" s="1593"/>
      <c r="BE145" s="952">
        <v>4</v>
      </c>
      <c r="BF145" s="1079"/>
      <c r="BG145" s="1665"/>
      <c r="BH145" s="1630"/>
      <c r="BI145" s="1947"/>
      <c r="BJ145" s="1593"/>
      <c r="BK145" s="1665"/>
      <c r="BL145" s="1630"/>
      <c r="BM145" s="1947"/>
      <c r="BN145" s="1593"/>
      <c r="BO145" s="1689"/>
      <c r="BP145" s="2003"/>
      <c r="BQ145" s="1689"/>
      <c r="BR145" s="2036"/>
      <c r="BS145" s="1665"/>
      <c r="BT145" s="1630"/>
      <c r="BU145" s="1947"/>
      <c r="BV145" s="1593"/>
      <c r="BW145" s="1689"/>
      <c r="BX145" s="2036"/>
      <c r="BY145" s="1665"/>
      <c r="BZ145" s="1630"/>
      <c r="CA145" s="1947"/>
      <c r="CB145" s="1593"/>
      <c r="CC145" s="1088"/>
      <c r="CD145" s="1947"/>
      <c r="CE145" s="952">
        <v>4</v>
      </c>
      <c r="CF145" s="1079"/>
      <c r="CG145" s="1665"/>
      <c r="CH145" s="1630"/>
      <c r="CI145" s="1947"/>
      <c r="CJ145" s="1593"/>
      <c r="CK145" s="952">
        <v>4</v>
      </c>
      <c r="CL145" s="1079"/>
      <c r="CM145" s="1665"/>
      <c r="CN145" s="1630"/>
      <c r="CO145" s="1947"/>
      <c r="CP145" s="1593"/>
      <c r="CQ145" s="1665"/>
      <c r="CR145" s="1630"/>
      <c r="CS145" s="1947"/>
      <c r="CT145" s="1593"/>
      <c r="CU145" s="1665"/>
      <c r="CV145" s="1630"/>
      <c r="CW145" s="1947"/>
      <c r="CX145" s="1593"/>
      <c r="CY145" s="1665"/>
      <c r="CZ145" s="1630"/>
      <c r="DA145" s="1947"/>
      <c r="DB145" s="1593"/>
      <c r="DC145" s="1689"/>
      <c r="DD145" s="2036"/>
      <c r="DE145" s="1665"/>
      <c r="DF145" s="1630"/>
      <c r="DG145" s="1947"/>
      <c r="DH145" s="1593"/>
      <c r="DI145" s="955">
        <v>4</v>
      </c>
      <c r="DJ145" s="1079"/>
      <c r="DK145" s="1689"/>
      <c r="DL145" s="2003"/>
      <c r="DM145" s="1689"/>
      <c r="DN145" s="2003"/>
      <c r="DO145" s="1689"/>
      <c r="DP145" s="2036"/>
      <c r="DQ145" s="952">
        <v>4</v>
      </c>
      <c r="DR145" s="1079"/>
      <c r="DS145" s="1665"/>
      <c r="DT145" s="1630"/>
      <c r="DU145" s="1947"/>
      <c r="DV145" s="1593"/>
      <c r="DW145" s="952">
        <v>4</v>
      </c>
      <c r="DX145" s="1079"/>
      <c r="DY145" s="1665"/>
      <c r="DZ145" s="1630"/>
      <c r="EA145" s="1947"/>
      <c r="EB145" s="1593"/>
      <c r="EC145" s="1689"/>
      <c r="ED145" s="2036"/>
      <c r="EE145" s="952">
        <v>4</v>
      </c>
      <c r="EF145" s="1079"/>
      <c r="EG145" s="1689"/>
      <c r="EH145" s="2036"/>
      <c r="EI145" s="1665"/>
      <c r="EJ145" s="1630"/>
      <c r="EK145" s="2225"/>
      <c r="EL145" s="1593"/>
      <c r="EM145" s="2202">
        <f t="shared" si="175"/>
        <v>0</v>
      </c>
      <c r="EN145" s="1585">
        <f t="shared" si="176"/>
        <v>0</v>
      </c>
      <c r="EO145" s="1585">
        <f t="shared" si="177"/>
        <v>0</v>
      </c>
      <c r="EP145" s="1585">
        <f t="shared" si="130"/>
        <v>0</v>
      </c>
      <c r="EQ145" s="988">
        <f t="shared" si="127"/>
        <v>0</v>
      </c>
      <c r="ER145" s="1775">
        <f t="shared" si="128"/>
        <v>0</v>
      </c>
      <c r="ES145" s="1775">
        <f t="shared" si="129"/>
        <v>0</v>
      </c>
      <c r="ET145" s="992">
        <f t="shared" si="149"/>
        <v>0</v>
      </c>
    </row>
    <row r="146" spans="1:150" ht="19.95" customHeight="1" thickBot="1" x14ac:dyDescent="0.3">
      <c r="A146" s="1089"/>
      <c r="B146" s="1090" t="s">
        <v>1583</v>
      </c>
      <c r="C146" s="1666">
        <f t="shared" ref="C146:L146" si="178">SUM(C141:C145)</f>
        <v>0</v>
      </c>
      <c r="D146" s="1645">
        <f t="shared" si="178"/>
        <v>0</v>
      </c>
      <c r="E146" s="1948">
        <f t="shared" si="178"/>
        <v>0</v>
      </c>
      <c r="F146" s="1949">
        <f t="shared" si="178"/>
        <v>0</v>
      </c>
      <c r="G146" s="1690">
        <f t="shared" si="178"/>
        <v>0</v>
      </c>
      <c r="H146" s="2004">
        <f t="shared" si="178"/>
        <v>0</v>
      </c>
      <c r="I146" s="1690">
        <f t="shared" si="178"/>
        <v>0</v>
      </c>
      <c r="J146" s="2004">
        <f t="shared" si="178"/>
        <v>0</v>
      </c>
      <c r="K146" s="1690">
        <f t="shared" si="178"/>
        <v>0</v>
      </c>
      <c r="L146" s="2004">
        <f t="shared" si="178"/>
        <v>0</v>
      </c>
      <c r="M146" s="1089"/>
      <c r="N146" s="1090" t="s">
        <v>1583</v>
      </c>
      <c r="O146" s="1690">
        <f t="shared" ref="O146:AB146" si="179">SUM(O141:O145)</f>
        <v>0</v>
      </c>
      <c r="P146" s="2004">
        <f t="shared" si="179"/>
        <v>0</v>
      </c>
      <c r="Q146" s="1666">
        <f t="shared" si="179"/>
        <v>0</v>
      </c>
      <c r="R146" s="1645">
        <f t="shared" si="179"/>
        <v>0</v>
      </c>
      <c r="S146" s="1948">
        <f t="shared" si="179"/>
        <v>0</v>
      </c>
      <c r="T146" s="1949">
        <f t="shared" si="179"/>
        <v>0</v>
      </c>
      <c r="U146" s="1666">
        <f t="shared" si="179"/>
        <v>0</v>
      </c>
      <c r="V146" s="1645">
        <f t="shared" si="179"/>
        <v>0</v>
      </c>
      <c r="W146" s="1948">
        <f t="shared" si="179"/>
        <v>0</v>
      </c>
      <c r="X146" s="1949">
        <f t="shared" si="179"/>
        <v>0</v>
      </c>
      <c r="Y146" s="1666">
        <f t="shared" si="179"/>
        <v>0</v>
      </c>
      <c r="Z146" s="1645">
        <f t="shared" si="179"/>
        <v>0</v>
      </c>
      <c r="AA146" s="1948">
        <f t="shared" si="179"/>
        <v>0</v>
      </c>
      <c r="AB146" s="1949">
        <f t="shared" si="179"/>
        <v>0</v>
      </c>
      <c r="AC146" s="1091"/>
      <c r="AD146" s="1090" t="s">
        <v>1583</v>
      </c>
      <c r="AE146" s="1666">
        <f t="shared" ref="AE146:AX146" si="180">SUM(AE141:AE145)</f>
        <v>0</v>
      </c>
      <c r="AF146" s="1645">
        <f t="shared" si="180"/>
        <v>0</v>
      </c>
      <c r="AG146" s="1948">
        <f t="shared" si="180"/>
        <v>0</v>
      </c>
      <c r="AH146" s="1949">
        <f t="shared" si="180"/>
        <v>0</v>
      </c>
      <c r="AI146" s="1666">
        <f t="shared" si="180"/>
        <v>0</v>
      </c>
      <c r="AJ146" s="1645">
        <f t="shared" si="180"/>
        <v>0</v>
      </c>
      <c r="AK146" s="1948">
        <f t="shared" si="180"/>
        <v>0</v>
      </c>
      <c r="AL146" s="1949">
        <f t="shared" si="180"/>
        <v>0</v>
      </c>
      <c r="AM146" s="1690">
        <f t="shared" si="180"/>
        <v>0</v>
      </c>
      <c r="AN146" s="2004">
        <f t="shared" si="180"/>
        <v>0</v>
      </c>
      <c r="AO146" s="1666">
        <f t="shared" si="180"/>
        <v>0</v>
      </c>
      <c r="AP146" s="1857">
        <f t="shared" si="180"/>
        <v>0</v>
      </c>
      <c r="AQ146" s="1092">
        <f t="shared" si="180"/>
        <v>0</v>
      </c>
      <c r="AR146" s="1948">
        <f t="shared" si="180"/>
        <v>0</v>
      </c>
      <c r="AS146" s="2109">
        <f t="shared" si="180"/>
        <v>0</v>
      </c>
      <c r="AT146" s="2110">
        <f t="shared" si="180"/>
        <v>0</v>
      </c>
      <c r="AU146" s="1666">
        <f t="shared" si="180"/>
        <v>0</v>
      </c>
      <c r="AV146" s="1645">
        <f t="shared" si="180"/>
        <v>0</v>
      </c>
      <c r="AW146" s="1948">
        <f t="shared" si="180"/>
        <v>0</v>
      </c>
      <c r="AX146" s="1949">
        <f t="shared" si="180"/>
        <v>0</v>
      </c>
      <c r="AY146" s="1089"/>
      <c r="AZ146" s="1090" t="s">
        <v>1583</v>
      </c>
      <c r="BA146" s="1666">
        <f t="shared" ref="BA146:BD146" si="181">SUM(BA141:BA145)</f>
        <v>0</v>
      </c>
      <c r="BB146" s="1645">
        <f t="shared" si="181"/>
        <v>0</v>
      </c>
      <c r="BC146" s="1948">
        <f t="shared" si="181"/>
        <v>0</v>
      </c>
      <c r="BD146" s="1949">
        <f t="shared" si="181"/>
        <v>0</v>
      </c>
      <c r="BE146" s="1089"/>
      <c r="BF146" s="1090" t="s">
        <v>1583</v>
      </c>
      <c r="BG146" s="1666">
        <f t="shared" ref="BG146:CD146" si="182">SUM(BG141:BG145)</f>
        <v>0</v>
      </c>
      <c r="BH146" s="1645">
        <f t="shared" si="182"/>
        <v>0</v>
      </c>
      <c r="BI146" s="1948">
        <f t="shared" si="182"/>
        <v>0</v>
      </c>
      <c r="BJ146" s="1949">
        <f t="shared" si="182"/>
        <v>0</v>
      </c>
      <c r="BK146" s="1666">
        <f t="shared" si="182"/>
        <v>0</v>
      </c>
      <c r="BL146" s="1645">
        <f t="shared" si="182"/>
        <v>0</v>
      </c>
      <c r="BM146" s="1948">
        <f t="shared" si="182"/>
        <v>0</v>
      </c>
      <c r="BN146" s="1949">
        <f t="shared" si="182"/>
        <v>0</v>
      </c>
      <c r="BO146" s="1690">
        <f t="shared" si="182"/>
        <v>0</v>
      </c>
      <c r="BP146" s="2004">
        <f t="shared" si="182"/>
        <v>0</v>
      </c>
      <c r="BQ146" s="1690">
        <f t="shared" si="182"/>
        <v>0</v>
      </c>
      <c r="BR146" s="2004">
        <f t="shared" si="182"/>
        <v>0</v>
      </c>
      <c r="BS146" s="1666">
        <f t="shared" si="182"/>
        <v>0</v>
      </c>
      <c r="BT146" s="1645">
        <f t="shared" si="182"/>
        <v>0</v>
      </c>
      <c r="BU146" s="1948">
        <f t="shared" si="182"/>
        <v>0</v>
      </c>
      <c r="BV146" s="1949">
        <f t="shared" si="182"/>
        <v>0</v>
      </c>
      <c r="BW146" s="1690">
        <f t="shared" si="182"/>
        <v>0</v>
      </c>
      <c r="BX146" s="2004">
        <f t="shared" si="182"/>
        <v>0</v>
      </c>
      <c r="BY146" s="1666">
        <f t="shared" si="182"/>
        <v>0</v>
      </c>
      <c r="BZ146" s="1645">
        <f t="shared" si="182"/>
        <v>0</v>
      </c>
      <c r="CA146" s="1948">
        <f t="shared" si="182"/>
        <v>0</v>
      </c>
      <c r="CB146" s="1949">
        <f t="shared" si="182"/>
        <v>0</v>
      </c>
      <c r="CC146" s="1757">
        <f t="shared" si="182"/>
        <v>0</v>
      </c>
      <c r="CD146" s="2167">
        <f t="shared" si="182"/>
        <v>0</v>
      </c>
      <c r="CE146" s="1089"/>
      <c r="CF146" s="1090" t="s">
        <v>1583</v>
      </c>
      <c r="CG146" s="1666">
        <f t="shared" ref="CG146:CJ146" si="183">SUM(CG141:CG145)</f>
        <v>0</v>
      </c>
      <c r="CH146" s="1645">
        <f t="shared" si="183"/>
        <v>0</v>
      </c>
      <c r="CI146" s="1948">
        <f t="shared" si="183"/>
        <v>0</v>
      </c>
      <c r="CJ146" s="1949">
        <f t="shared" si="183"/>
        <v>0</v>
      </c>
      <c r="CK146" s="1089"/>
      <c r="CL146" s="1090" t="s">
        <v>1583</v>
      </c>
      <c r="CM146" s="1666">
        <f t="shared" ref="CM146:DH146" si="184">SUM(CM141:CM145)</f>
        <v>0</v>
      </c>
      <c r="CN146" s="1645">
        <f t="shared" si="184"/>
        <v>0</v>
      </c>
      <c r="CO146" s="1948">
        <f t="shared" si="184"/>
        <v>0</v>
      </c>
      <c r="CP146" s="1949">
        <f t="shared" si="184"/>
        <v>0</v>
      </c>
      <c r="CQ146" s="1666">
        <f t="shared" si="184"/>
        <v>0</v>
      </c>
      <c r="CR146" s="1645">
        <f t="shared" si="184"/>
        <v>0</v>
      </c>
      <c r="CS146" s="1948">
        <f t="shared" si="184"/>
        <v>0</v>
      </c>
      <c r="CT146" s="1949">
        <f t="shared" si="184"/>
        <v>0</v>
      </c>
      <c r="CU146" s="1666">
        <f t="shared" si="184"/>
        <v>0</v>
      </c>
      <c r="CV146" s="1645">
        <f t="shared" si="184"/>
        <v>0</v>
      </c>
      <c r="CW146" s="1948">
        <f t="shared" si="184"/>
        <v>0</v>
      </c>
      <c r="CX146" s="1949">
        <f t="shared" si="184"/>
        <v>0</v>
      </c>
      <c r="CY146" s="1666">
        <f t="shared" si="184"/>
        <v>0</v>
      </c>
      <c r="CZ146" s="1645">
        <f t="shared" si="184"/>
        <v>0</v>
      </c>
      <c r="DA146" s="1948">
        <f t="shared" si="184"/>
        <v>0</v>
      </c>
      <c r="DB146" s="1949">
        <f t="shared" si="184"/>
        <v>0</v>
      </c>
      <c r="DC146" s="1690">
        <f t="shared" si="184"/>
        <v>0</v>
      </c>
      <c r="DD146" s="2004">
        <f t="shared" si="184"/>
        <v>0</v>
      </c>
      <c r="DE146" s="1666">
        <f t="shared" si="184"/>
        <v>0</v>
      </c>
      <c r="DF146" s="1645">
        <f t="shared" si="184"/>
        <v>0</v>
      </c>
      <c r="DG146" s="1948">
        <f t="shared" si="184"/>
        <v>0</v>
      </c>
      <c r="DH146" s="1949">
        <f t="shared" si="184"/>
        <v>0</v>
      </c>
      <c r="DI146" s="1091"/>
      <c r="DJ146" s="1090" t="s">
        <v>1583</v>
      </c>
      <c r="DK146" s="1690">
        <f t="shared" ref="DK146:DL146" si="185">SUM(DK141:DK145)</f>
        <v>0</v>
      </c>
      <c r="DL146" s="2004">
        <f t="shared" si="185"/>
        <v>0</v>
      </c>
      <c r="DM146" s="1690">
        <f t="shared" ref="DM146:DP146" si="186">SUM(DM141:DM145)</f>
        <v>0</v>
      </c>
      <c r="DN146" s="2004">
        <f t="shared" si="186"/>
        <v>0</v>
      </c>
      <c r="DO146" s="1690">
        <f t="shared" si="186"/>
        <v>0</v>
      </c>
      <c r="DP146" s="2004">
        <f t="shared" si="186"/>
        <v>0</v>
      </c>
      <c r="DQ146" s="1089"/>
      <c r="DR146" s="1090" t="s">
        <v>1583</v>
      </c>
      <c r="DS146" s="1666">
        <f t="shared" ref="DS146:DV146" si="187">SUM(DS141:DS145)</f>
        <v>0</v>
      </c>
      <c r="DT146" s="1645">
        <f t="shared" si="187"/>
        <v>0</v>
      </c>
      <c r="DU146" s="1948">
        <f t="shared" si="187"/>
        <v>0</v>
      </c>
      <c r="DV146" s="1949">
        <f t="shared" si="187"/>
        <v>0</v>
      </c>
      <c r="DW146" s="1089"/>
      <c r="DX146" s="1090" t="s">
        <v>1583</v>
      </c>
      <c r="DY146" s="1666">
        <f t="shared" ref="DY146:ED146" si="188">SUM(DY141:DY145)</f>
        <v>0</v>
      </c>
      <c r="DZ146" s="1645">
        <f t="shared" si="188"/>
        <v>0</v>
      </c>
      <c r="EA146" s="1948">
        <f t="shared" si="188"/>
        <v>0</v>
      </c>
      <c r="EB146" s="1949">
        <f t="shared" si="188"/>
        <v>0</v>
      </c>
      <c r="EC146" s="1690">
        <f t="shared" si="188"/>
        <v>0</v>
      </c>
      <c r="ED146" s="2004">
        <f t="shared" si="188"/>
        <v>0</v>
      </c>
      <c r="EE146" s="1089"/>
      <c r="EF146" s="1090" t="s">
        <v>1583</v>
      </c>
      <c r="EG146" s="1690">
        <f t="shared" ref="EG146:EO146" si="189">SUM(EG141:EG145)</f>
        <v>0</v>
      </c>
      <c r="EH146" s="2004">
        <f t="shared" si="189"/>
        <v>0</v>
      </c>
      <c r="EI146" s="1666">
        <f t="shared" si="189"/>
        <v>0</v>
      </c>
      <c r="EJ146" s="1645">
        <f t="shared" si="189"/>
        <v>0</v>
      </c>
      <c r="EK146" s="1948">
        <f t="shared" si="189"/>
        <v>0</v>
      </c>
      <c r="EL146" s="1949">
        <f t="shared" si="189"/>
        <v>0</v>
      </c>
      <c r="EM146" s="1949">
        <f t="shared" si="189"/>
        <v>0</v>
      </c>
      <c r="EN146" s="1949">
        <f t="shared" si="189"/>
        <v>0</v>
      </c>
      <c r="EO146" s="1949">
        <f t="shared" si="189"/>
        <v>0</v>
      </c>
      <c r="EP146" s="1949">
        <f t="shared" si="130"/>
        <v>0</v>
      </c>
      <c r="EQ146" s="1757">
        <f t="shared" si="127"/>
        <v>0</v>
      </c>
      <c r="ER146" s="1792">
        <f t="shared" si="128"/>
        <v>0</v>
      </c>
      <c r="ES146" s="1792">
        <f t="shared" si="129"/>
        <v>0</v>
      </c>
      <c r="ET146" s="1645">
        <f t="shared" si="149"/>
        <v>0</v>
      </c>
    </row>
    <row r="147" spans="1:150" ht="30" customHeight="1" x14ac:dyDescent="0.25">
      <c r="A147" s="948"/>
      <c r="B147" s="1093" t="s">
        <v>1584</v>
      </c>
      <c r="C147" s="1667"/>
      <c r="D147" s="1631"/>
      <c r="E147" s="1950"/>
      <c r="F147" s="1951"/>
      <c r="G147" s="1691"/>
      <c r="H147" s="2005"/>
      <c r="I147" s="1691"/>
      <c r="J147" s="2005"/>
      <c r="K147" s="1691"/>
      <c r="L147" s="2037"/>
      <c r="M147" s="948"/>
      <c r="N147" s="1093" t="s">
        <v>1584</v>
      </c>
      <c r="O147" s="1691"/>
      <c r="P147" s="2037"/>
      <c r="Q147" s="1667"/>
      <c r="R147" s="1631"/>
      <c r="S147" s="1950"/>
      <c r="T147" s="1951"/>
      <c r="U147" s="1667"/>
      <c r="V147" s="1631"/>
      <c r="W147" s="1950"/>
      <c r="X147" s="1951"/>
      <c r="Y147" s="1667"/>
      <c r="Z147" s="1631"/>
      <c r="AA147" s="2071"/>
      <c r="AB147" s="1951"/>
      <c r="AC147" s="950"/>
      <c r="AD147" s="1093" t="s">
        <v>1584</v>
      </c>
      <c r="AE147" s="1667"/>
      <c r="AF147" s="1631"/>
      <c r="AG147" s="1950"/>
      <c r="AH147" s="1951"/>
      <c r="AI147" s="1667"/>
      <c r="AJ147" s="1631"/>
      <c r="AK147" s="1950"/>
      <c r="AL147" s="1951"/>
      <c r="AM147" s="1691"/>
      <c r="AN147" s="2037"/>
      <c r="AO147" s="1875"/>
      <c r="AP147" s="1721"/>
      <c r="AQ147" s="1722"/>
      <c r="AR147" s="2111"/>
      <c r="AS147" s="2112"/>
      <c r="AT147" s="2111"/>
      <c r="AU147" s="1667"/>
      <c r="AV147" s="1631"/>
      <c r="AW147" s="1950"/>
      <c r="AX147" s="1951"/>
      <c r="AY147" s="948"/>
      <c r="AZ147" s="1093" t="s">
        <v>1584</v>
      </c>
      <c r="BA147" s="1667"/>
      <c r="BB147" s="1631"/>
      <c r="BC147" s="1950"/>
      <c r="BD147" s="1951"/>
      <c r="BE147" s="948"/>
      <c r="BF147" s="1093" t="s">
        <v>1584</v>
      </c>
      <c r="BG147" s="1667"/>
      <c r="BH147" s="1631"/>
      <c r="BI147" s="1950"/>
      <c r="BJ147" s="1951"/>
      <c r="BK147" s="1667"/>
      <c r="BL147" s="1631"/>
      <c r="BM147" s="1950"/>
      <c r="BN147" s="1951"/>
      <c r="BO147" s="1691"/>
      <c r="BP147" s="2005"/>
      <c r="BQ147" s="1691"/>
      <c r="BR147" s="2037"/>
      <c r="BS147" s="1667"/>
      <c r="BT147" s="1631"/>
      <c r="BU147" s="1950"/>
      <c r="BV147" s="1951"/>
      <c r="BW147" s="1691"/>
      <c r="BX147" s="2037"/>
      <c r="BY147" s="1667"/>
      <c r="BZ147" s="1631"/>
      <c r="CA147" s="1950"/>
      <c r="CB147" s="1951"/>
      <c r="CC147" s="1758"/>
      <c r="CD147" s="2168"/>
      <c r="CE147" s="948"/>
      <c r="CF147" s="1093" t="s">
        <v>1584</v>
      </c>
      <c r="CG147" s="1667"/>
      <c r="CH147" s="1631"/>
      <c r="CI147" s="1950"/>
      <c r="CJ147" s="1951"/>
      <c r="CK147" s="948"/>
      <c r="CL147" s="1093" t="s">
        <v>1584</v>
      </c>
      <c r="CM147" s="1667"/>
      <c r="CN147" s="1631"/>
      <c r="CO147" s="1950"/>
      <c r="CP147" s="1951"/>
      <c r="CQ147" s="1667"/>
      <c r="CR147" s="1631"/>
      <c r="CS147" s="1950"/>
      <c r="CT147" s="1951"/>
      <c r="CU147" s="1667"/>
      <c r="CV147" s="1631"/>
      <c r="CW147" s="1950"/>
      <c r="CX147" s="1951"/>
      <c r="CY147" s="1667"/>
      <c r="CZ147" s="1631"/>
      <c r="DA147" s="1950"/>
      <c r="DB147" s="1951"/>
      <c r="DC147" s="1691"/>
      <c r="DD147" s="2037"/>
      <c r="DE147" s="1667"/>
      <c r="DF147" s="1631"/>
      <c r="DG147" s="1950"/>
      <c r="DH147" s="1951"/>
      <c r="DI147" s="950"/>
      <c r="DJ147" s="1093" t="s">
        <v>1584</v>
      </c>
      <c r="DK147" s="1691"/>
      <c r="DL147" s="2005"/>
      <c r="DM147" s="1691"/>
      <c r="DN147" s="2005"/>
      <c r="DO147" s="1691"/>
      <c r="DP147" s="2037"/>
      <c r="DQ147" s="948"/>
      <c r="DR147" s="1094" t="s">
        <v>1584</v>
      </c>
      <c r="DS147" s="1667"/>
      <c r="DT147" s="1631"/>
      <c r="DU147" s="1950"/>
      <c r="DV147" s="1951"/>
      <c r="DW147" s="948"/>
      <c r="DX147" s="1093" t="s">
        <v>1584</v>
      </c>
      <c r="DY147" s="1667"/>
      <c r="DZ147" s="1631"/>
      <c r="EA147" s="1950"/>
      <c r="EB147" s="1951"/>
      <c r="EC147" s="1691"/>
      <c r="ED147" s="2037"/>
      <c r="EE147" s="948"/>
      <c r="EF147" s="1093" t="s">
        <v>1584</v>
      </c>
      <c r="EG147" s="1691"/>
      <c r="EH147" s="2037"/>
      <c r="EI147" s="1667"/>
      <c r="EJ147" s="1631"/>
      <c r="EK147" s="2226"/>
      <c r="EL147" s="2227"/>
      <c r="EM147" s="2202"/>
      <c r="EN147" s="1585"/>
      <c r="EO147" s="1585"/>
      <c r="EP147" s="1585">
        <f t="shared" si="130"/>
        <v>0</v>
      </c>
      <c r="EQ147" s="988">
        <f t="shared" si="127"/>
        <v>0</v>
      </c>
      <c r="ER147" s="1775">
        <f t="shared" si="128"/>
        <v>0</v>
      </c>
      <c r="ES147" s="1775">
        <f t="shared" si="129"/>
        <v>0</v>
      </c>
      <c r="ET147" s="992">
        <f t="shared" si="149"/>
        <v>0</v>
      </c>
    </row>
    <row r="148" spans="1:150" x14ac:dyDescent="0.25">
      <c r="A148" s="952"/>
      <c r="B148" s="1079"/>
      <c r="C148" s="1668"/>
      <c r="D148" s="979"/>
      <c r="E148" s="1920"/>
      <c r="F148" s="1921"/>
      <c r="G148" s="1684"/>
      <c r="H148" s="1991"/>
      <c r="I148" s="1684"/>
      <c r="J148" s="1991"/>
      <c r="K148" s="1684"/>
      <c r="L148" s="2027"/>
      <c r="M148" s="952"/>
      <c r="N148" s="1079"/>
      <c r="O148" s="1684"/>
      <c r="P148" s="2027"/>
      <c r="Q148" s="1668"/>
      <c r="R148" s="979"/>
      <c r="S148" s="1920"/>
      <c r="T148" s="1921"/>
      <c r="U148" s="1668"/>
      <c r="V148" s="979"/>
      <c r="W148" s="1920"/>
      <c r="X148" s="1921"/>
      <c r="Y148" s="1668"/>
      <c r="Z148" s="979"/>
      <c r="AA148" s="2057"/>
      <c r="AB148" s="1921"/>
      <c r="AC148" s="955"/>
      <c r="AD148" s="1095" t="s">
        <v>1585</v>
      </c>
      <c r="AE148" s="1668"/>
      <c r="AF148" s="979"/>
      <c r="AG148" s="1920"/>
      <c r="AH148" s="1921"/>
      <c r="AI148" s="1668"/>
      <c r="AJ148" s="979"/>
      <c r="AK148" s="1920"/>
      <c r="AL148" s="1921"/>
      <c r="AM148" s="1684"/>
      <c r="AN148" s="2027"/>
      <c r="AO148" s="1665"/>
      <c r="AP148" s="1246"/>
      <c r="AQ148" s="1088"/>
      <c r="AR148" s="2089">
        <f>'címrend kötelező'!BT57</f>
        <v>5872663</v>
      </c>
      <c r="AS148" s="1544">
        <f>'címrend önként'!BT57</f>
        <v>710749</v>
      </c>
      <c r="AT148" s="2089">
        <f>'címrend államig'!BT57</f>
        <v>266242</v>
      </c>
      <c r="AU148" s="1668"/>
      <c r="AV148" s="979"/>
      <c r="AW148" s="1920"/>
      <c r="AX148" s="1921"/>
      <c r="AY148" s="952"/>
      <c r="AZ148" s="1079"/>
      <c r="BA148" s="1668"/>
      <c r="BB148" s="979"/>
      <c r="BC148" s="1920"/>
      <c r="BD148" s="1921"/>
      <c r="BE148" s="952"/>
      <c r="BF148" s="1079"/>
      <c r="BG148" s="1668"/>
      <c r="BH148" s="979"/>
      <c r="BI148" s="1920"/>
      <c r="BJ148" s="1921"/>
      <c r="BK148" s="1668"/>
      <c r="BL148" s="979"/>
      <c r="BM148" s="1920"/>
      <c r="BN148" s="1921"/>
      <c r="BO148" s="1684"/>
      <c r="BP148" s="1991"/>
      <c r="BQ148" s="1684"/>
      <c r="BR148" s="2027"/>
      <c r="BS148" s="1668"/>
      <c r="BT148" s="979"/>
      <c r="BU148" s="1920"/>
      <c r="BV148" s="1921"/>
      <c r="BW148" s="1684"/>
      <c r="BX148" s="2027"/>
      <c r="BY148" s="1668"/>
      <c r="BZ148" s="979"/>
      <c r="CA148" s="1920"/>
      <c r="CB148" s="1921"/>
      <c r="CC148" s="1759"/>
      <c r="CD148" s="2169"/>
      <c r="CE148" s="1031"/>
      <c r="CF148" s="1096"/>
      <c r="CG148" s="1668"/>
      <c r="CH148" s="979"/>
      <c r="CI148" s="1920"/>
      <c r="CJ148" s="1921"/>
      <c r="CK148" s="952"/>
      <c r="CL148" s="1079"/>
      <c r="CM148" s="1668"/>
      <c r="CN148" s="979"/>
      <c r="CO148" s="1920"/>
      <c r="CP148" s="1921"/>
      <c r="CQ148" s="1668"/>
      <c r="CR148" s="979"/>
      <c r="CS148" s="1920"/>
      <c r="CT148" s="1921"/>
      <c r="CU148" s="1668"/>
      <c r="CV148" s="979"/>
      <c r="CW148" s="1920"/>
      <c r="CX148" s="1921"/>
      <c r="CY148" s="1668"/>
      <c r="CZ148" s="979"/>
      <c r="DA148" s="1920"/>
      <c r="DB148" s="1921"/>
      <c r="DC148" s="1684"/>
      <c r="DD148" s="2027"/>
      <c r="DE148" s="1668"/>
      <c r="DF148" s="979"/>
      <c r="DG148" s="1920"/>
      <c r="DH148" s="1921"/>
      <c r="DI148" s="955"/>
      <c r="DJ148" s="1079"/>
      <c r="DK148" s="1684"/>
      <c r="DL148" s="1991"/>
      <c r="DM148" s="1684"/>
      <c r="DN148" s="1991"/>
      <c r="DO148" s="1684"/>
      <c r="DP148" s="2027"/>
      <c r="DQ148" s="952"/>
      <c r="DR148" s="1080"/>
      <c r="DS148" s="1668"/>
      <c r="DT148" s="979"/>
      <c r="DU148" s="1920"/>
      <c r="DV148" s="1921"/>
      <c r="DW148" s="952">
        <v>1</v>
      </c>
      <c r="DX148" s="1079"/>
      <c r="DY148" s="1668"/>
      <c r="DZ148" s="979"/>
      <c r="EA148" s="1920"/>
      <c r="EB148" s="1921"/>
      <c r="EC148" s="1684"/>
      <c r="ED148" s="2027"/>
      <c r="EE148" s="952"/>
      <c r="EF148" s="1079"/>
      <c r="EG148" s="1684"/>
      <c r="EH148" s="2027"/>
      <c r="EI148" s="1668"/>
      <c r="EJ148" s="979"/>
      <c r="EK148" s="2210"/>
      <c r="EL148" s="1921"/>
      <c r="EM148" s="2202">
        <f t="shared" ref="EM148" si="190">E148+S148+W148+AA148+AG148+AK148+AN148+AR148+AW148+BC148+BI148+BM148+BR148+BU148+CA148+CD148+CI148+CO148+CS148+CW148+DA148+DG148+DU148+EA148+EK148</f>
        <v>5872663</v>
      </c>
      <c r="EN148" s="1585">
        <f t="shared" ref="EN148" si="191">F148+H148+J148+L148+P148+T148+X148+AB148+AH148+AL148+AS148+AX148+BD148+BJ148+BN148+BP148+BV148+BX148+CB148+CJ148+CP148+CT148+CX148+DB148+DD148+DH148+DN148+DP148+DV148+EB148+ED148+EH148+EL148+DL148</f>
        <v>710749</v>
      </c>
      <c r="EO148" s="1585">
        <f>AT148</f>
        <v>266242</v>
      </c>
      <c r="EP148" s="1585">
        <f t="shared" si="130"/>
        <v>6849654</v>
      </c>
      <c r="EQ148" s="988">
        <f t="shared" si="127"/>
        <v>0</v>
      </c>
      <c r="ER148" s="1775">
        <f t="shared" si="128"/>
        <v>0</v>
      </c>
      <c r="ES148" s="1775">
        <f t="shared" si="129"/>
        <v>0</v>
      </c>
      <c r="ET148" s="992">
        <f t="shared" si="149"/>
        <v>0</v>
      </c>
    </row>
    <row r="149" spans="1:150" x14ac:dyDescent="0.25">
      <c r="A149" s="952"/>
      <c r="B149" s="1079"/>
      <c r="C149" s="1668"/>
      <c r="D149" s="979"/>
      <c r="E149" s="1920"/>
      <c r="F149" s="1921"/>
      <c r="G149" s="1684"/>
      <c r="H149" s="1991"/>
      <c r="I149" s="1684"/>
      <c r="J149" s="1991"/>
      <c r="K149" s="1684"/>
      <c r="L149" s="2027"/>
      <c r="M149" s="952"/>
      <c r="N149" s="1079"/>
      <c r="O149" s="1684"/>
      <c r="P149" s="2027"/>
      <c r="Q149" s="1668"/>
      <c r="R149" s="979"/>
      <c r="S149" s="1920"/>
      <c r="T149" s="1921"/>
      <c r="U149" s="1668"/>
      <c r="V149" s="979"/>
      <c r="W149" s="1920"/>
      <c r="X149" s="1921"/>
      <c r="Y149" s="1668"/>
      <c r="Z149" s="979"/>
      <c r="AA149" s="2057"/>
      <c r="AB149" s="1921"/>
      <c r="AC149" s="955"/>
      <c r="AD149" s="1097" t="s">
        <v>1586</v>
      </c>
      <c r="AE149" s="1668"/>
      <c r="AF149" s="979"/>
      <c r="AG149" s="1920"/>
      <c r="AH149" s="1921"/>
      <c r="AI149" s="1668"/>
      <c r="AJ149" s="979"/>
      <c r="AK149" s="1920"/>
      <c r="AL149" s="1921"/>
      <c r="AM149" s="1684"/>
      <c r="AN149" s="2027"/>
      <c r="AO149" s="1876"/>
      <c r="AP149" s="1219"/>
      <c r="AQ149" s="1723"/>
      <c r="AR149" s="2113"/>
      <c r="AS149" s="1528"/>
      <c r="AT149" s="2113"/>
      <c r="AU149" s="1668"/>
      <c r="AV149" s="979"/>
      <c r="AW149" s="1920"/>
      <c r="AX149" s="1921"/>
      <c r="AY149" s="952"/>
      <c r="AZ149" s="1079"/>
      <c r="BA149" s="1668"/>
      <c r="BB149" s="979"/>
      <c r="BC149" s="1920"/>
      <c r="BD149" s="1921"/>
      <c r="BE149" s="952"/>
      <c r="BF149" s="1079"/>
      <c r="BG149" s="1668"/>
      <c r="BH149" s="979"/>
      <c r="BI149" s="1920"/>
      <c r="BJ149" s="1921"/>
      <c r="BK149" s="1668"/>
      <c r="BL149" s="979"/>
      <c r="BM149" s="1920"/>
      <c r="BN149" s="1921"/>
      <c r="BO149" s="1684"/>
      <c r="BP149" s="1991"/>
      <c r="BQ149" s="1684"/>
      <c r="BR149" s="2027"/>
      <c r="BS149" s="1668"/>
      <c r="BT149" s="979"/>
      <c r="BU149" s="1920"/>
      <c r="BV149" s="1921"/>
      <c r="BW149" s="1684"/>
      <c r="BX149" s="2027"/>
      <c r="BY149" s="1668"/>
      <c r="BZ149" s="979"/>
      <c r="CA149" s="1920"/>
      <c r="CB149" s="1921"/>
      <c r="CC149" s="1893"/>
      <c r="CD149" s="2154"/>
      <c r="CE149" s="952"/>
      <c r="CF149" s="1894"/>
      <c r="CG149" s="1668"/>
      <c r="CH149" s="979"/>
      <c r="CI149" s="1920"/>
      <c r="CJ149" s="1921"/>
      <c r="CK149" s="952"/>
      <c r="CL149" s="1079"/>
      <c r="CM149" s="1668"/>
      <c r="CN149" s="979"/>
      <c r="CO149" s="1920"/>
      <c r="CP149" s="1921"/>
      <c r="CQ149" s="1668"/>
      <c r="CR149" s="979"/>
      <c r="CS149" s="1920"/>
      <c r="CT149" s="1921"/>
      <c r="CU149" s="1668"/>
      <c r="CV149" s="979"/>
      <c r="CW149" s="1920"/>
      <c r="CX149" s="1921"/>
      <c r="CY149" s="1668"/>
      <c r="CZ149" s="979"/>
      <c r="DA149" s="1920"/>
      <c r="DB149" s="1921"/>
      <c r="DC149" s="1684"/>
      <c r="DD149" s="2027"/>
      <c r="DE149" s="1668"/>
      <c r="DF149" s="979"/>
      <c r="DG149" s="1920"/>
      <c r="DH149" s="1921"/>
      <c r="DI149" s="955"/>
      <c r="DJ149" s="1079"/>
      <c r="DK149" s="1684"/>
      <c r="DL149" s="1991"/>
      <c r="DM149" s="1684"/>
      <c r="DN149" s="1991"/>
      <c r="DO149" s="1684"/>
      <c r="DP149" s="2027"/>
      <c r="DQ149" s="952"/>
      <c r="DR149" s="1080"/>
      <c r="DS149" s="1668"/>
      <c r="DT149" s="979"/>
      <c r="DU149" s="1920"/>
      <c r="DV149" s="1921"/>
      <c r="DW149" s="952">
        <v>2</v>
      </c>
      <c r="DX149" s="1079"/>
      <c r="DY149" s="1668"/>
      <c r="DZ149" s="979"/>
      <c r="EA149" s="1920"/>
      <c r="EB149" s="1921"/>
      <c r="EC149" s="1684"/>
      <c r="ED149" s="2027"/>
      <c r="EE149" s="952"/>
      <c r="EF149" s="1079"/>
      <c r="EG149" s="1684"/>
      <c r="EH149" s="2027"/>
      <c r="EI149" s="1668"/>
      <c r="EJ149" s="979"/>
      <c r="EK149" s="2210"/>
      <c r="EL149" s="1921"/>
      <c r="EM149" s="2202">
        <f t="shared" ref="EM149" si="192">E149+S149+W149+AA149+AG149+AK149+AN149+AR149+AW149+BC149+BI149+BM149+BR149+BU149+CA149+CD149+CI149+CO149+CS149+CW149+DA149+DG149+DU149+EA149+EK149</f>
        <v>0</v>
      </c>
      <c r="EN149" s="1585">
        <f t="shared" ref="EN149" si="193">F149+H149+J149+L149+P149+T149+X149+AB149+AH149+AL149+AS149+AX149+BD149+BJ149+BN149+BP149+BV149+BX149+CB149+CJ149+CP149+CT149+CX149+DB149+DD149+DH149+DN149+DP149+DV149+EB149+ED149+EH149+EL149+DL149</f>
        <v>0</v>
      </c>
      <c r="EO149" s="1585">
        <f t="shared" ref="EO149" si="194">AQ149</f>
        <v>0</v>
      </c>
      <c r="EP149" s="1585">
        <f t="shared" si="130"/>
        <v>0</v>
      </c>
      <c r="EQ149" s="988">
        <f t="shared" si="127"/>
        <v>0</v>
      </c>
      <c r="ER149" s="1775">
        <f t="shared" si="128"/>
        <v>0</v>
      </c>
      <c r="ES149" s="1775">
        <f t="shared" si="129"/>
        <v>0</v>
      </c>
      <c r="ET149" s="992">
        <f t="shared" si="149"/>
        <v>0</v>
      </c>
    </row>
    <row r="150" spans="1:150" ht="19.95" customHeight="1" thickBot="1" x14ac:dyDescent="0.3">
      <c r="A150" s="1089"/>
      <c r="B150" s="1096" t="s">
        <v>1587</v>
      </c>
      <c r="C150" s="1663">
        <f t="shared" ref="C150:L150" si="195">SUM(C147:C149)</f>
        <v>0</v>
      </c>
      <c r="D150" s="1646">
        <f t="shared" si="195"/>
        <v>0</v>
      </c>
      <c r="E150" s="1942">
        <f t="shared" si="195"/>
        <v>0</v>
      </c>
      <c r="F150" s="1952">
        <f t="shared" si="195"/>
        <v>0</v>
      </c>
      <c r="G150" s="1692">
        <f t="shared" si="195"/>
        <v>0</v>
      </c>
      <c r="H150" s="2006">
        <f t="shared" si="195"/>
        <v>0</v>
      </c>
      <c r="I150" s="1692">
        <f t="shared" si="195"/>
        <v>0</v>
      </c>
      <c r="J150" s="2006">
        <f t="shared" si="195"/>
        <v>0</v>
      </c>
      <c r="K150" s="1692">
        <f t="shared" si="195"/>
        <v>0</v>
      </c>
      <c r="L150" s="2006">
        <f t="shared" si="195"/>
        <v>0</v>
      </c>
      <c r="M150" s="1089"/>
      <c r="N150" s="1096" t="s">
        <v>1587</v>
      </c>
      <c r="O150" s="1692">
        <f t="shared" ref="O150:AB150" si="196">SUM(O147:O149)</f>
        <v>0</v>
      </c>
      <c r="P150" s="2006">
        <f t="shared" si="196"/>
        <v>0</v>
      </c>
      <c r="Q150" s="1663">
        <f t="shared" si="196"/>
        <v>0</v>
      </c>
      <c r="R150" s="1646">
        <f t="shared" si="196"/>
        <v>0</v>
      </c>
      <c r="S150" s="1942">
        <f t="shared" si="196"/>
        <v>0</v>
      </c>
      <c r="T150" s="1952">
        <f t="shared" si="196"/>
        <v>0</v>
      </c>
      <c r="U150" s="1663">
        <f t="shared" si="196"/>
        <v>0</v>
      </c>
      <c r="V150" s="1646">
        <f t="shared" si="196"/>
        <v>0</v>
      </c>
      <c r="W150" s="1942">
        <f t="shared" si="196"/>
        <v>0</v>
      </c>
      <c r="X150" s="1952">
        <f t="shared" si="196"/>
        <v>0</v>
      </c>
      <c r="Y150" s="1663">
        <f t="shared" si="196"/>
        <v>0</v>
      </c>
      <c r="Z150" s="1646">
        <f t="shared" si="196"/>
        <v>0</v>
      </c>
      <c r="AA150" s="1942">
        <f t="shared" si="196"/>
        <v>0</v>
      </c>
      <c r="AB150" s="1952">
        <f t="shared" si="196"/>
        <v>0</v>
      </c>
      <c r="AC150" s="1091"/>
      <c r="AD150" s="1096" t="s">
        <v>1587</v>
      </c>
      <c r="AE150" s="1663">
        <f t="shared" ref="AE150:AX150" si="197">SUM(AE147:AE149)</f>
        <v>0</v>
      </c>
      <c r="AF150" s="1646">
        <f t="shared" si="197"/>
        <v>0</v>
      </c>
      <c r="AG150" s="1942">
        <f t="shared" si="197"/>
        <v>0</v>
      </c>
      <c r="AH150" s="1952">
        <f t="shared" si="197"/>
        <v>0</v>
      </c>
      <c r="AI150" s="1663">
        <f t="shared" si="197"/>
        <v>0</v>
      </c>
      <c r="AJ150" s="1646">
        <f t="shared" si="197"/>
        <v>0</v>
      </c>
      <c r="AK150" s="1942">
        <f t="shared" si="197"/>
        <v>0</v>
      </c>
      <c r="AL150" s="1952">
        <f t="shared" si="197"/>
        <v>0</v>
      </c>
      <c r="AM150" s="1692">
        <f t="shared" si="197"/>
        <v>0</v>
      </c>
      <c r="AN150" s="2006">
        <f t="shared" si="197"/>
        <v>0</v>
      </c>
      <c r="AO150" s="1701">
        <f t="shared" si="197"/>
        <v>0</v>
      </c>
      <c r="AP150" s="1855">
        <f t="shared" si="197"/>
        <v>0</v>
      </c>
      <c r="AQ150" s="1098">
        <f t="shared" si="197"/>
        <v>0</v>
      </c>
      <c r="AR150" s="2114">
        <f t="shared" si="197"/>
        <v>5872663</v>
      </c>
      <c r="AS150" s="2115">
        <f t="shared" si="197"/>
        <v>710749</v>
      </c>
      <c r="AT150" s="2116">
        <f t="shared" si="197"/>
        <v>266242</v>
      </c>
      <c r="AU150" s="1701">
        <f t="shared" si="197"/>
        <v>0</v>
      </c>
      <c r="AV150" s="1646">
        <f t="shared" si="197"/>
        <v>0</v>
      </c>
      <c r="AW150" s="2114">
        <f t="shared" si="197"/>
        <v>0</v>
      </c>
      <c r="AX150" s="1952">
        <f t="shared" si="197"/>
        <v>0</v>
      </c>
      <c r="AY150" s="1089"/>
      <c r="AZ150" s="1096" t="s">
        <v>1587</v>
      </c>
      <c r="BA150" s="1663">
        <f t="shared" ref="BA150:BD150" si="198">SUM(BA147:BA149)</f>
        <v>0</v>
      </c>
      <c r="BB150" s="1646">
        <f t="shared" si="198"/>
        <v>0</v>
      </c>
      <c r="BC150" s="1942">
        <f t="shared" si="198"/>
        <v>0</v>
      </c>
      <c r="BD150" s="1952">
        <f t="shared" si="198"/>
        <v>0</v>
      </c>
      <c r="BE150" s="1089"/>
      <c r="BF150" s="1096" t="s">
        <v>1587</v>
      </c>
      <c r="BG150" s="1663">
        <f t="shared" ref="BG150:CD150" si="199">SUM(BG147:BG149)</f>
        <v>0</v>
      </c>
      <c r="BH150" s="1646">
        <f t="shared" si="199"/>
        <v>0</v>
      </c>
      <c r="BI150" s="1942">
        <f t="shared" si="199"/>
        <v>0</v>
      </c>
      <c r="BJ150" s="1952">
        <f t="shared" si="199"/>
        <v>0</v>
      </c>
      <c r="BK150" s="1663">
        <f t="shared" si="199"/>
        <v>0</v>
      </c>
      <c r="BL150" s="1646">
        <f t="shared" si="199"/>
        <v>0</v>
      </c>
      <c r="BM150" s="1942">
        <f t="shared" si="199"/>
        <v>0</v>
      </c>
      <c r="BN150" s="1952">
        <f t="shared" si="199"/>
        <v>0</v>
      </c>
      <c r="BO150" s="1692">
        <f t="shared" si="199"/>
        <v>0</v>
      </c>
      <c r="BP150" s="2006">
        <f t="shared" si="199"/>
        <v>0</v>
      </c>
      <c r="BQ150" s="1692">
        <f t="shared" si="199"/>
        <v>0</v>
      </c>
      <c r="BR150" s="2006">
        <f t="shared" si="199"/>
        <v>0</v>
      </c>
      <c r="BS150" s="1663">
        <f t="shared" si="199"/>
        <v>0</v>
      </c>
      <c r="BT150" s="1646">
        <f t="shared" si="199"/>
        <v>0</v>
      </c>
      <c r="BU150" s="1942">
        <f t="shared" si="199"/>
        <v>0</v>
      </c>
      <c r="BV150" s="1952">
        <f t="shared" si="199"/>
        <v>0</v>
      </c>
      <c r="BW150" s="1692">
        <f t="shared" si="199"/>
        <v>0</v>
      </c>
      <c r="BX150" s="2006">
        <f t="shared" si="199"/>
        <v>0</v>
      </c>
      <c r="BY150" s="1663">
        <f t="shared" si="199"/>
        <v>0</v>
      </c>
      <c r="BZ150" s="1646">
        <f t="shared" si="199"/>
        <v>0</v>
      </c>
      <c r="CA150" s="1942">
        <f t="shared" si="199"/>
        <v>0</v>
      </c>
      <c r="CB150" s="1952">
        <f t="shared" si="199"/>
        <v>0</v>
      </c>
      <c r="CC150" s="1892">
        <f t="shared" si="199"/>
        <v>0</v>
      </c>
      <c r="CD150" s="2006">
        <f t="shared" si="199"/>
        <v>0</v>
      </c>
      <c r="CE150" s="1089"/>
      <c r="CF150" s="1096" t="s">
        <v>1587</v>
      </c>
      <c r="CG150" s="1663">
        <f t="shared" ref="CG150:CJ150" si="200">SUM(CG147:CG149)</f>
        <v>0</v>
      </c>
      <c r="CH150" s="1646">
        <f t="shared" si="200"/>
        <v>0</v>
      </c>
      <c r="CI150" s="1942">
        <f t="shared" si="200"/>
        <v>0</v>
      </c>
      <c r="CJ150" s="1952">
        <f t="shared" si="200"/>
        <v>0</v>
      </c>
      <c r="CK150" s="1089"/>
      <c r="CL150" s="1096" t="s">
        <v>1587</v>
      </c>
      <c r="CM150" s="1663">
        <f t="shared" ref="CM150:DH150" si="201">SUM(CM147:CM149)</f>
        <v>0</v>
      </c>
      <c r="CN150" s="1646">
        <f t="shared" si="201"/>
        <v>0</v>
      </c>
      <c r="CO150" s="1942">
        <f t="shared" si="201"/>
        <v>0</v>
      </c>
      <c r="CP150" s="1952">
        <f t="shared" si="201"/>
        <v>0</v>
      </c>
      <c r="CQ150" s="1663">
        <f t="shared" si="201"/>
        <v>0</v>
      </c>
      <c r="CR150" s="1646">
        <f t="shared" si="201"/>
        <v>0</v>
      </c>
      <c r="CS150" s="1942">
        <f t="shared" si="201"/>
        <v>0</v>
      </c>
      <c r="CT150" s="1952">
        <f t="shared" si="201"/>
        <v>0</v>
      </c>
      <c r="CU150" s="1663">
        <f t="shared" si="201"/>
        <v>0</v>
      </c>
      <c r="CV150" s="1646">
        <f t="shared" si="201"/>
        <v>0</v>
      </c>
      <c r="CW150" s="1942">
        <f t="shared" si="201"/>
        <v>0</v>
      </c>
      <c r="CX150" s="1952">
        <f t="shared" si="201"/>
        <v>0</v>
      </c>
      <c r="CY150" s="1663">
        <f t="shared" si="201"/>
        <v>0</v>
      </c>
      <c r="CZ150" s="1646">
        <f t="shared" si="201"/>
        <v>0</v>
      </c>
      <c r="DA150" s="1942">
        <f t="shared" si="201"/>
        <v>0</v>
      </c>
      <c r="DB150" s="1952">
        <f t="shared" si="201"/>
        <v>0</v>
      </c>
      <c r="DC150" s="1692">
        <f t="shared" si="201"/>
        <v>0</v>
      </c>
      <c r="DD150" s="2006">
        <f t="shared" si="201"/>
        <v>0</v>
      </c>
      <c r="DE150" s="1663">
        <f t="shared" si="201"/>
        <v>0</v>
      </c>
      <c r="DF150" s="1646">
        <f t="shared" si="201"/>
        <v>0</v>
      </c>
      <c r="DG150" s="1942">
        <f t="shared" si="201"/>
        <v>0</v>
      </c>
      <c r="DH150" s="1952">
        <f t="shared" si="201"/>
        <v>0</v>
      </c>
      <c r="DI150" s="1091"/>
      <c r="DJ150" s="1096" t="s">
        <v>1587</v>
      </c>
      <c r="DK150" s="1692">
        <f t="shared" ref="DK150:DL150" si="202">SUM(DK147:DK149)</f>
        <v>0</v>
      </c>
      <c r="DL150" s="2006">
        <f t="shared" si="202"/>
        <v>0</v>
      </c>
      <c r="DM150" s="1692">
        <f t="shared" ref="DM150:DP150" si="203">SUM(DM147:DM149)</f>
        <v>0</v>
      </c>
      <c r="DN150" s="2006">
        <f t="shared" si="203"/>
        <v>0</v>
      </c>
      <c r="DO150" s="1692">
        <f t="shared" si="203"/>
        <v>0</v>
      </c>
      <c r="DP150" s="2006">
        <f t="shared" si="203"/>
        <v>0</v>
      </c>
      <c r="DQ150" s="1089"/>
      <c r="DR150" s="1099" t="s">
        <v>1587</v>
      </c>
      <c r="DS150" s="1663">
        <f t="shared" ref="DS150:DV150" si="204">SUM(DS147:DS149)</f>
        <v>0</v>
      </c>
      <c r="DT150" s="1646">
        <f t="shared" si="204"/>
        <v>0</v>
      </c>
      <c r="DU150" s="1942">
        <f t="shared" si="204"/>
        <v>0</v>
      </c>
      <c r="DV150" s="1952">
        <f t="shared" si="204"/>
        <v>0</v>
      </c>
      <c r="DW150" s="1089"/>
      <c r="DX150" s="1096" t="s">
        <v>1587</v>
      </c>
      <c r="DY150" s="1663">
        <f t="shared" ref="DY150:ED150" si="205">SUM(DY147:DY149)</f>
        <v>0</v>
      </c>
      <c r="DZ150" s="1646">
        <f t="shared" si="205"/>
        <v>0</v>
      </c>
      <c r="EA150" s="1942">
        <f t="shared" si="205"/>
        <v>0</v>
      </c>
      <c r="EB150" s="1952">
        <f t="shared" si="205"/>
        <v>0</v>
      </c>
      <c r="EC150" s="1692">
        <f t="shared" si="205"/>
        <v>0</v>
      </c>
      <c r="ED150" s="2006">
        <f t="shared" si="205"/>
        <v>0</v>
      </c>
      <c r="EE150" s="1089"/>
      <c r="EF150" s="1096" t="s">
        <v>1587</v>
      </c>
      <c r="EG150" s="1692">
        <f t="shared" ref="EG150:EO150" si="206">SUM(EG147:EG149)</f>
        <v>0</v>
      </c>
      <c r="EH150" s="2006">
        <f t="shared" si="206"/>
        <v>0</v>
      </c>
      <c r="EI150" s="1663">
        <f t="shared" si="206"/>
        <v>0</v>
      </c>
      <c r="EJ150" s="1646">
        <f t="shared" si="206"/>
        <v>0</v>
      </c>
      <c r="EK150" s="1942">
        <f t="shared" si="206"/>
        <v>0</v>
      </c>
      <c r="EL150" s="1952">
        <f t="shared" si="206"/>
        <v>0</v>
      </c>
      <c r="EM150" s="1952">
        <f t="shared" si="206"/>
        <v>5872663</v>
      </c>
      <c r="EN150" s="1952">
        <f t="shared" si="206"/>
        <v>710749</v>
      </c>
      <c r="EO150" s="1952">
        <f t="shared" si="206"/>
        <v>266242</v>
      </c>
      <c r="EP150" s="2228">
        <f t="shared" si="130"/>
        <v>6849654</v>
      </c>
      <c r="EQ150" s="1793">
        <f t="shared" si="127"/>
        <v>0</v>
      </c>
      <c r="ER150" s="1794">
        <f t="shared" si="128"/>
        <v>0</v>
      </c>
      <c r="ES150" s="1794">
        <f t="shared" si="129"/>
        <v>0</v>
      </c>
      <c r="ET150" s="1795">
        <f t="shared" si="149"/>
        <v>0</v>
      </c>
    </row>
    <row r="151" spans="1:150" ht="32.25" customHeight="1" thickBot="1" x14ac:dyDescent="0.3">
      <c r="A151" s="2545" t="s">
        <v>1588</v>
      </c>
      <c r="B151" s="2546"/>
      <c r="C151" s="1640">
        <f t="shared" ref="C151:L151" si="207">C150+C146</f>
        <v>0</v>
      </c>
      <c r="D151" s="1389">
        <f t="shared" si="207"/>
        <v>0</v>
      </c>
      <c r="E151" s="1953">
        <f t="shared" si="207"/>
        <v>0</v>
      </c>
      <c r="F151" s="1594">
        <f t="shared" si="207"/>
        <v>0</v>
      </c>
      <c r="G151" s="1100">
        <f t="shared" si="207"/>
        <v>0</v>
      </c>
      <c r="H151" s="2007">
        <f t="shared" si="207"/>
        <v>0</v>
      </c>
      <c r="I151" s="1100">
        <f t="shared" si="207"/>
        <v>0</v>
      </c>
      <c r="J151" s="2007">
        <f t="shared" si="207"/>
        <v>0</v>
      </c>
      <c r="K151" s="1100">
        <f t="shared" si="207"/>
        <v>0</v>
      </c>
      <c r="L151" s="2007">
        <f t="shared" si="207"/>
        <v>0</v>
      </c>
      <c r="M151" s="2545" t="s">
        <v>1588</v>
      </c>
      <c r="N151" s="2546"/>
      <c r="O151" s="1100">
        <f t="shared" ref="O151:AB151" si="208">O150+O146</f>
        <v>0</v>
      </c>
      <c r="P151" s="2007">
        <f t="shared" si="208"/>
        <v>0</v>
      </c>
      <c r="Q151" s="1640">
        <f t="shared" si="208"/>
        <v>0</v>
      </c>
      <c r="R151" s="1389">
        <f t="shared" si="208"/>
        <v>0</v>
      </c>
      <c r="S151" s="1953">
        <f t="shared" si="208"/>
        <v>0</v>
      </c>
      <c r="T151" s="1594">
        <f t="shared" si="208"/>
        <v>0</v>
      </c>
      <c r="U151" s="1640">
        <f t="shared" si="208"/>
        <v>0</v>
      </c>
      <c r="V151" s="1389">
        <f t="shared" si="208"/>
        <v>0</v>
      </c>
      <c r="W151" s="1953">
        <f t="shared" si="208"/>
        <v>0</v>
      </c>
      <c r="X151" s="1594">
        <f t="shared" si="208"/>
        <v>0</v>
      </c>
      <c r="Y151" s="1640">
        <f t="shared" si="208"/>
        <v>0</v>
      </c>
      <c r="Z151" s="1389">
        <f t="shared" si="208"/>
        <v>0</v>
      </c>
      <c r="AA151" s="1953">
        <f t="shared" si="208"/>
        <v>0</v>
      </c>
      <c r="AB151" s="1594">
        <f t="shared" si="208"/>
        <v>0</v>
      </c>
      <c r="AC151" s="2547" t="s">
        <v>1588</v>
      </c>
      <c r="AD151" s="2546"/>
      <c r="AE151" s="1640">
        <f t="shared" ref="AE151:AX151" si="209">AE150+AE146</f>
        <v>0</v>
      </c>
      <c r="AF151" s="1389">
        <f t="shared" si="209"/>
        <v>0</v>
      </c>
      <c r="AG151" s="1953">
        <f t="shared" si="209"/>
        <v>0</v>
      </c>
      <c r="AH151" s="1594">
        <f t="shared" si="209"/>
        <v>0</v>
      </c>
      <c r="AI151" s="1640">
        <f t="shared" si="209"/>
        <v>0</v>
      </c>
      <c r="AJ151" s="1389">
        <f t="shared" si="209"/>
        <v>0</v>
      </c>
      <c r="AK151" s="1953">
        <f t="shared" si="209"/>
        <v>0</v>
      </c>
      <c r="AL151" s="1594">
        <f t="shared" si="209"/>
        <v>0</v>
      </c>
      <c r="AM151" s="1100">
        <f t="shared" si="209"/>
        <v>0</v>
      </c>
      <c r="AN151" s="2007">
        <f t="shared" si="209"/>
        <v>0</v>
      </c>
      <c r="AO151" s="1640">
        <f t="shared" si="209"/>
        <v>0</v>
      </c>
      <c r="AP151" s="1375">
        <f t="shared" si="209"/>
        <v>0</v>
      </c>
      <c r="AQ151" s="1623">
        <f t="shared" si="209"/>
        <v>0</v>
      </c>
      <c r="AR151" s="1953">
        <f t="shared" si="209"/>
        <v>5872663</v>
      </c>
      <c r="AS151" s="1429">
        <f t="shared" si="209"/>
        <v>710749</v>
      </c>
      <c r="AT151" s="2117">
        <f t="shared" si="209"/>
        <v>266242</v>
      </c>
      <c r="AU151" s="1640">
        <f t="shared" si="209"/>
        <v>0</v>
      </c>
      <c r="AV151" s="1389">
        <f t="shared" si="209"/>
        <v>0</v>
      </c>
      <c r="AW151" s="1953">
        <f t="shared" si="209"/>
        <v>0</v>
      </c>
      <c r="AX151" s="1594">
        <f t="shared" si="209"/>
        <v>0</v>
      </c>
      <c r="AY151" s="2545" t="s">
        <v>1588</v>
      </c>
      <c r="AZ151" s="2546"/>
      <c r="BA151" s="1640">
        <f t="shared" ref="BA151:BD151" si="210">BA150+BA146</f>
        <v>0</v>
      </c>
      <c r="BB151" s="1389">
        <f t="shared" si="210"/>
        <v>0</v>
      </c>
      <c r="BC151" s="1953">
        <f t="shared" si="210"/>
        <v>0</v>
      </c>
      <c r="BD151" s="1594">
        <f t="shared" si="210"/>
        <v>0</v>
      </c>
      <c r="BE151" s="2545" t="s">
        <v>1588</v>
      </c>
      <c r="BF151" s="2546"/>
      <c r="BG151" s="1640">
        <f t="shared" ref="BG151:CD151" si="211">BG150+BG146</f>
        <v>0</v>
      </c>
      <c r="BH151" s="1389">
        <f t="shared" si="211"/>
        <v>0</v>
      </c>
      <c r="BI151" s="1953">
        <f t="shared" si="211"/>
        <v>0</v>
      </c>
      <c r="BJ151" s="1594">
        <f t="shared" si="211"/>
        <v>0</v>
      </c>
      <c r="BK151" s="1640">
        <f t="shared" si="211"/>
        <v>0</v>
      </c>
      <c r="BL151" s="1389">
        <f t="shared" si="211"/>
        <v>0</v>
      </c>
      <c r="BM151" s="1953">
        <f t="shared" si="211"/>
        <v>0</v>
      </c>
      <c r="BN151" s="1594">
        <f t="shared" si="211"/>
        <v>0</v>
      </c>
      <c r="BO151" s="1100">
        <f t="shared" si="211"/>
        <v>0</v>
      </c>
      <c r="BP151" s="2007">
        <f t="shared" si="211"/>
        <v>0</v>
      </c>
      <c r="BQ151" s="1100">
        <f t="shared" si="211"/>
        <v>0</v>
      </c>
      <c r="BR151" s="2007">
        <f t="shared" si="211"/>
        <v>0</v>
      </c>
      <c r="BS151" s="1640">
        <f t="shared" si="211"/>
        <v>0</v>
      </c>
      <c r="BT151" s="1389">
        <f t="shared" si="211"/>
        <v>0</v>
      </c>
      <c r="BU151" s="1953">
        <f t="shared" si="211"/>
        <v>0</v>
      </c>
      <c r="BV151" s="1594">
        <f t="shared" si="211"/>
        <v>0</v>
      </c>
      <c r="BW151" s="1100">
        <f t="shared" si="211"/>
        <v>0</v>
      </c>
      <c r="BX151" s="2007">
        <f t="shared" si="211"/>
        <v>0</v>
      </c>
      <c r="BY151" s="1640">
        <f t="shared" si="211"/>
        <v>0</v>
      </c>
      <c r="BZ151" s="1389">
        <f t="shared" si="211"/>
        <v>0</v>
      </c>
      <c r="CA151" s="1953">
        <f t="shared" si="211"/>
        <v>0</v>
      </c>
      <c r="CB151" s="1594">
        <f t="shared" si="211"/>
        <v>0</v>
      </c>
      <c r="CC151" s="1640">
        <f t="shared" si="211"/>
        <v>0</v>
      </c>
      <c r="CD151" s="2007">
        <f t="shared" si="211"/>
        <v>0</v>
      </c>
      <c r="CE151" s="2545" t="s">
        <v>1588</v>
      </c>
      <c r="CF151" s="2546"/>
      <c r="CG151" s="1640">
        <f t="shared" ref="CG151:CJ151" si="212">CG150+CG146</f>
        <v>0</v>
      </c>
      <c r="CH151" s="1389">
        <f t="shared" si="212"/>
        <v>0</v>
      </c>
      <c r="CI151" s="1953">
        <f t="shared" si="212"/>
        <v>0</v>
      </c>
      <c r="CJ151" s="1594">
        <f t="shared" si="212"/>
        <v>0</v>
      </c>
      <c r="CK151" s="2545" t="s">
        <v>1588</v>
      </c>
      <c r="CL151" s="2546"/>
      <c r="CM151" s="1640">
        <f t="shared" ref="CM151:DH151" si="213">CM150+CM146</f>
        <v>0</v>
      </c>
      <c r="CN151" s="1389">
        <f t="shared" si="213"/>
        <v>0</v>
      </c>
      <c r="CO151" s="1953">
        <f t="shared" si="213"/>
        <v>0</v>
      </c>
      <c r="CP151" s="1594">
        <f t="shared" si="213"/>
        <v>0</v>
      </c>
      <c r="CQ151" s="1640">
        <f t="shared" si="213"/>
        <v>0</v>
      </c>
      <c r="CR151" s="1389">
        <f t="shared" si="213"/>
        <v>0</v>
      </c>
      <c r="CS151" s="1953">
        <f t="shared" si="213"/>
        <v>0</v>
      </c>
      <c r="CT151" s="1594">
        <f t="shared" si="213"/>
        <v>0</v>
      </c>
      <c r="CU151" s="1640">
        <f t="shared" si="213"/>
        <v>0</v>
      </c>
      <c r="CV151" s="1389">
        <f t="shared" si="213"/>
        <v>0</v>
      </c>
      <c r="CW151" s="1953">
        <f t="shared" si="213"/>
        <v>0</v>
      </c>
      <c r="CX151" s="1594">
        <f t="shared" si="213"/>
        <v>0</v>
      </c>
      <c r="CY151" s="1640">
        <f t="shared" si="213"/>
        <v>0</v>
      </c>
      <c r="CZ151" s="1389">
        <f t="shared" si="213"/>
        <v>0</v>
      </c>
      <c r="DA151" s="1953">
        <f t="shared" si="213"/>
        <v>0</v>
      </c>
      <c r="DB151" s="1594">
        <f t="shared" si="213"/>
        <v>0</v>
      </c>
      <c r="DC151" s="1100">
        <f t="shared" si="213"/>
        <v>0</v>
      </c>
      <c r="DD151" s="2007">
        <f t="shared" si="213"/>
        <v>0</v>
      </c>
      <c r="DE151" s="1640">
        <f t="shared" si="213"/>
        <v>0</v>
      </c>
      <c r="DF151" s="1389">
        <f t="shared" si="213"/>
        <v>0</v>
      </c>
      <c r="DG151" s="1953">
        <f t="shared" si="213"/>
        <v>0</v>
      </c>
      <c r="DH151" s="1594">
        <f t="shared" si="213"/>
        <v>0</v>
      </c>
      <c r="DI151" s="2547" t="s">
        <v>1588</v>
      </c>
      <c r="DJ151" s="2546"/>
      <c r="DK151" s="1100">
        <f t="shared" ref="DK151:DL151" si="214">DK150+DK146</f>
        <v>0</v>
      </c>
      <c r="DL151" s="2007">
        <f t="shared" si="214"/>
        <v>0</v>
      </c>
      <c r="DM151" s="1100">
        <f t="shared" ref="DM151:DP151" si="215">DM150+DM146</f>
        <v>0</v>
      </c>
      <c r="DN151" s="2007">
        <f t="shared" si="215"/>
        <v>0</v>
      </c>
      <c r="DO151" s="1100">
        <f t="shared" si="215"/>
        <v>0</v>
      </c>
      <c r="DP151" s="2007">
        <f t="shared" si="215"/>
        <v>0</v>
      </c>
      <c r="DQ151" s="2545" t="s">
        <v>1588</v>
      </c>
      <c r="DR151" s="2547"/>
      <c r="DS151" s="1640">
        <f t="shared" ref="DS151:DV151" si="216">DS150+DS146</f>
        <v>0</v>
      </c>
      <c r="DT151" s="1389">
        <f t="shared" si="216"/>
        <v>0</v>
      </c>
      <c r="DU151" s="1953">
        <f t="shared" si="216"/>
        <v>0</v>
      </c>
      <c r="DV151" s="1594">
        <f t="shared" si="216"/>
        <v>0</v>
      </c>
      <c r="DW151" s="2545" t="s">
        <v>1588</v>
      </c>
      <c r="DX151" s="2546"/>
      <c r="DY151" s="1640">
        <f t="shared" ref="DY151:ED151" si="217">DY150+DY146</f>
        <v>0</v>
      </c>
      <c r="DZ151" s="1389">
        <f t="shared" si="217"/>
        <v>0</v>
      </c>
      <c r="EA151" s="1953">
        <f t="shared" si="217"/>
        <v>0</v>
      </c>
      <c r="EB151" s="1594">
        <f t="shared" si="217"/>
        <v>0</v>
      </c>
      <c r="EC151" s="1100">
        <f t="shared" si="217"/>
        <v>0</v>
      </c>
      <c r="ED151" s="2007">
        <f t="shared" si="217"/>
        <v>0</v>
      </c>
      <c r="EE151" s="2545" t="s">
        <v>1588</v>
      </c>
      <c r="EF151" s="2546"/>
      <c r="EG151" s="1100">
        <f t="shared" ref="EG151:EO151" si="218">EG150+EG146</f>
        <v>0</v>
      </c>
      <c r="EH151" s="2007">
        <f t="shared" si="218"/>
        <v>0</v>
      </c>
      <c r="EI151" s="1640">
        <f t="shared" si="218"/>
        <v>0</v>
      </c>
      <c r="EJ151" s="1389">
        <f t="shared" si="218"/>
        <v>0</v>
      </c>
      <c r="EK151" s="1953">
        <f t="shared" si="218"/>
        <v>0</v>
      </c>
      <c r="EL151" s="1594">
        <f t="shared" si="218"/>
        <v>0</v>
      </c>
      <c r="EM151" s="1594">
        <f t="shared" si="218"/>
        <v>5872663</v>
      </c>
      <c r="EN151" s="1594">
        <f t="shared" si="218"/>
        <v>710749</v>
      </c>
      <c r="EO151" s="1594">
        <f t="shared" si="218"/>
        <v>266242</v>
      </c>
      <c r="EP151" s="1601">
        <f t="shared" si="130"/>
        <v>6849654</v>
      </c>
      <c r="EQ151" s="1398">
        <f t="shared" si="127"/>
        <v>0</v>
      </c>
      <c r="ER151" s="1796">
        <f t="shared" si="128"/>
        <v>0</v>
      </c>
      <c r="ES151" s="1796">
        <f t="shared" si="129"/>
        <v>0</v>
      </c>
      <c r="ET151" s="1400">
        <f t="shared" si="149"/>
        <v>0</v>
      </c>
    </row>
    <row r="152" spans="1:150" ht="19.95" customHeight="1" x14ac:dyDescent="0.25">
      <c r="A152" s="973"/>
      <c r="B152" s="974" t="s">
        <v>106</v>
      </c>
      <c r="C152" s="1658"/>
      <c r="D152" s="1627"/>
      <c r="E152" s="1932"/>
      <c r="F152" s="1933"/>
      <c r="G152" s="1685"/>
      <c r="H152" s="1995"/>
      <c r="I152" s="1685"/>
      <c r="J152" s="1995"/>
      <c r="K152" s="1685"/>
      <c r="L152" s="2030"/>
      <c r="M152" s="973"/>
      <c r="N152" s="974" t="s">
        <v>106</v>
      </c>
      <c r="O152" s="1685"/>
      <c r="P152" s="2030"/>
      <c r="Q152" s="1658"/>
      <c r="R152" s="1627"/>
      <c r="S152" s="1932"/>
      <c r="T152" s="1933"/>
      <c r="U152" s="1658"/>
      <c r="V152" s="1627"/>
      <c r="W152" s="1932"/>
      <c r="X152" s="1933"/>
      <c r="Y152" s="1658"/>
      <c r="Z152" s="1627"/>
      <c r="AA152" s="2064"/>
      <c r="AB152" s="1933"/>
      <c r="AC152" s="975"/>
      <c r="AD152" s="974" t="s">
        <v>106</v>
      </c>
      <c r="AE152" s="1658"/>
      <c r="AF152" s="1627"/>
      <c r="AG152" s="1932"/>
      <c r="AH152" s="1933"/>
      <c r="AI152" s="1658"/>
      <c r="AJ152" s="1627"/>
      <c r="AK152" s="1932"/>
      <c r="AL152" s="1933"/>
      <c r="AM152" s="1685"/>
      <c r="AN152" s="2030"/>
      <c r="AO152" s="1870"/>
      <c r="AP152" s="1268"/>
      <c r="AQ152" s="1719"/>
      <c r="AR152" s="2100"/>
      <c r="AS152" s="1498"/>
      <c r="AT152" s="2100"/>
      <c r="AU152" s="1658"/>
      <c r="AV152" s="1627"/>
      <c r="AW152" s="1932"/>
      <c r="AX152" s="1933"/>
      <c r="AY152" s="973"/>
      <c r="AZ152" s="974" t="s">
        <v>106</v>
      </c>
      <c r="BA152" s="1658"/>
      <c r="BB152" s="1627"/>
      <c r="BC152" s="1932"/>
      <c r="BD152" s="1933"/>
      <c r="BE152" s="973"/>
      <c r="BF152" s="974" t="s">
        <v>106</v>
      </c>
      <c r="BG152" s="1658"/>
      <c r="BH152" s="1627"/>
      <c r="BI152" s="1932"/>
      <c r="BJ152" s="1933"/>
      <c r="BK152" s="1658"/>
      <c r="BL152" s="1627"/>
      <c r="BM152" s="1932"/>
      <c r="BN152" s="1933"/>
      <c r="BO152" s="1685"/>
      <c r="BP152" s="1995"/>
      <c r="BQ152" s="1685"/>
      <c r="BR152" s="2030"/>
      <c r="BS152" s="1658"/>
      <c r="BT152" s="1627"/>
      <c r="BU152" s="1932"/>
      <c r="BV152" s="1933"/>
      <c r="BW152" s="1685"/>
      <c r="BX152" s="2030"/>
      <c r="BY152" s="1658"/>
      <c r="BZ152" s="1627"/>
      <c r="CA152" s="1932"/>
      <c r="CB152" s="1933"/>
      <c r="CC152" s="1752"/>
      <c r="CD152" s="2160"/>
      <c r="CE152" s="973"/>
      <c r="CF152" s="974" t="s">
        <v>106</v>
      </c>
      <c r="CG152" s="1658"/>
      <c r="CH152" s="1627"/>
      <c r="CI152" s="1932"/>
      <c r="CJ152" s="1933"/>
      <c r="CK152" s="973"/>
      <c r="CL152" s="974" t="s">
        <v>106</v>
      </c>
      <c r="CM152" s="1658"/>
      <c r="CN152" s="1627"/>
      <c r="CO152" s="1932"/>
      <c r="CP152" s="1933"/>
      <c r="CQ152" s="1658"/>
      <c r="CR152" s="1627"/>
      <c r="CS152" s="1932"/>
      <c r="CT152" s="1933"/>
      <c r="CU152" s="1658"/>
      <c r="CV152" s="1627"/>
      <c r="CW152" s="1932"/>
      <c r="CX152" s="1933"/>
      <c r="CY152" s="1658"/>
      <c r="CZ152" s="1627"/>
      <c r="DA152" s="1932"/>
      <c r="DB152" s="1933"/>
      <c r="DC152" s="1685"/>
      <c r="DD152" s="2030"/>
      <c r="DE152" s="1658"/>
      <c r="DF152" s="1627"/>
      <c r="DG152" s="1932"/>
      <c r="DH152" s="1933"/>
      <c r="DI152" s="975"/>
      <c r="DJ152" s="974" t="s">
        <v>106</v>
      </c>
      <c r="DK152" s="1685"/>
      <c r="DL152" s="1995"/>
      <c r="DM152" s="1685"/>
      <c r="DN152" s="1995"/>
      <c r="DO152" s="1685"/>
      <c r="DP152" s="2030"/>
      <c r="DQ152" s="973"/>
      <c r="DR152" s="976" t="s">
        <v>106</v>
      </c>
      <c r="DS152" s="1658"/>
      <c r="DT152" s="1627"/>
      <c r="DU152" s="1932"/>
      <c r="DV152" s="1933"/>
      <c r="DW152" s="973"/>
      <c r="DX152" s="974" t="s">
        <v>106</v>
      </c>
      <c r="DY152" s="1658"/>
      <c r="DZ152" s="1627"/>
      <c r="EA152" s="1932"/>
      <c r="EB152" s="1933"/>
      <c r="EC152" s="1685"/>
      <c r="ED152" s="2030"/>
      <c r="EE152" s="973"/>
      <c r="EF152" s="974" t="s">
        <v>106</v>
      </c>
      <c r="EG152" s="1685"/>
      <c r="EH152" s="2030"/>
      <c r="EI152" s="1658"/>
      <c r="EJ152" s="1627"/>
      <c r="EK152" s="2229"/>
      <c r="EL152" s="1907"/>
      <c r="EM152" s="2230"/>
      <c r="EN152" s="1586"/>
      <c r="EO152" s="1586"/>
      <c r="EP152" s="1586">
        <f t="shared" si="130"/>
        <v>0</v>
      </c>
      <c r="EQ152" s="999">
        <f t="shared" si="127"/>
        <v>0</v>
      </c>
      <c r="ER152" s="1776">
        <f t="shared" si="128"/>
        <v>0</v>
      </c>
      <c r="ES152" s="1776">
        <f t="shared" si="129"/>
        <v>0</v>
      </c>
      <c r="ET152" s="1055">
        <f t="shared" si="149"/>
        <v>0</v>
      </c>
    </row>
    <row r="153" spans="1:150" s="368" customFormat="1" ht="26.4" x14ac:dyDescent="0.25">
      <c r="A153" s="984">
        <v>1</v>
      </c>
      <c r="B153" s="996"/>
      <c r="C153" s="1660"/>
      <c r="D153" s="1051"/>
      <c r="E153" s="1936"/>
      <c r="F153" s="1937"/>
      <c r="G153" s="1052"/>
      <c r="H153" s="1997"/>
      <c r="I153" s="1052"/>
      <c r="J153" s="1997"/>
      <c r="K153" s="1052"/>
      <c r="L153" s="2032"/>
      <c r="M153" s="984">
        <v>1</v>
      </c>
      <c r="N153" s="980" t="s">
        <v>1589</v>
      </c>
      <c r="O153" s="1052"/>
      <c r="P153" s="2032"/>
      <c r="Q153" s="1660"/>
      <c r="R153" s="1051"/>
      <c r="S153" s="1936"/>
      <c r="T153" s="1937"/>
      <c r="U153" s="1660"/>
      <c r="V153" s="1051"/>
      <c r="W153" s="1936"/>
      <c r="X153" s="1937"/>
      <c r="Y153" s="1660"/>
      <c r="Z153" s="1051"/>
      <c r="AA153" s="2066"/>
      <c r="AB153" s="1937"/>
      <c r="AC153" s="986">
        <v>1</v>
      </c>
      <c r="AD153" s="996"/>
      <c r="AE153" s="1660"/>
      <c r="AF153" s="1051"/>
      <c r="AG153" s="1936"/>
      <c r="AH153" s="1937"/>
      <c r="AI153" s="1660"/>
      <c r="AJ153" s="1051"/>
      <c r="AK153" s="1936"/>
      <c r="AL153" s="1937"/>
      <c r="AM153" s="1052"/>
      <c r="AN153" s="2032"/>
      <c r="AO153" s="1872"/>
      <c r="AP153" s="1101"/>
      <c r="AQ153" s="1053"/>
      <c r="AR153" s="2102"/>
      <c r="AS153" s="1554"/>
      <c r="AT153" s="2102"/>
      <c r="AU153" s="1660"/>
      <c r="AV153" s="1051"/>
      <c r="AW153" s="1936"/>
      <c r="AX153" s="1937"/>
      <c r="AY153" s="984">
        <v>1</v>
      </c>
      <c r="AZ153" s="996"/>
      <c r="BA153" s="1660"/>
      <c r="BB153" s="1051"/>
      <c r="BC153" s="1936"/>
      <c r="BD153" s="1937"/>
      <c r="BE153" s="984"/>
      <c r="BF153" s="987" t="s">
        <v>2292</v>
      </c>
      <c r="BG153" s="1660"/>
      <c r="BH153" s="1051"/>
      <c r="BI153" s="1936"/>
      <c r="BJ153" s="1937"/>
      <c r="BK153" s="1660"/>
      <c r="BL153" s="1051"/>
      <c r="BM153" s="1936"/>
      <c r="BN153" s="1937"/>
      <c r="BO153" s="1052"/>
      <c r="BP153" s="1997"/>
      <c r="BQ153" s="1052"/>
      <c r="BR153" s="2032"/>
      <c r="BS153" s="1660"/>
      <c r="BT153" s="1051"/>
      <c r="BU153" s="1936"/>
      <c r="BV153" s="1937"/>
      <c r="BW153" s="1052"/>
      <c r="BX153" s="2032">
        <v>300</v>
      </c>
      <c r="BY153" s="1660"/>
      <c r="BZ153" s="1051"/>
      <c r="CA153" s="1936"/>
      <c r="CB153" s="1937"/>
      <c r="CC153" s="1743"/>
      <c r="CD153" s="2150"/>
      <c r="CE153" s="984">
        <v>1</v>
      </c>
      <c r="CF153" s="987" t="s">
        <v>1590</v>
      </c>
      <c r="CG153" s="1660"/>
      <c r="CH153" s="1051"/>
      <c r="CI153" s="1936"/>
      <c r="CJ153" s="1937"/>
      <c r="CK153" s="984">
        <v>1</v>
      </c>
      <c r="CL153" s="1003" t="s">
        <v>1591</v>
      </c>
      <c r="CM153" s="1660"/>
      <c r="CN153" s="1051"/>
      <c r="CO153" s="1936"/>
      <c r="CP153" s="1937"/>
      <c r="CQ153" s="1660"/>
      <c r="CR153" s="1051"/>
      <c r="CS153" s="1936"/>
      <c r="CT153" s="1937"/>
      <c r="CU153" s="1660"/>
      <c r="CV153" s="1051"/>
      <c r="CW153" s="1936"/>
      <c r="CX153" s="1937"/>
      <c r="CY153" s="1660"/>
      <c r="CZ153" s="1051"/>
      <c r="DA153" s="1936"/>
      <c r="DB153" s="1937"/>
      <c r="DC153" s="1052"/>
      <c r="DD153" s="2032"/>
      <c r="DE153" s="1660"/>
      <c r="DF153" s="1051"/>
      <c r="DG153" s="1936"/>
      <c r="DH153" s="1937"/>
      <c r="DI153" s="986"/>
      <c r="DJ153" s="1007" t="s">
        <v>1399</v>
      </c>
      <c r="DK153" s="1052"/>
      <c r="DL153" s="1997"/>
      <c r="DM153" s="1052"/>
      <c r="DN153" s="1997"/>
      <c r="DO153" s="1052"/>
      <c r="DP153" s="2032"/>
      <c r="DQ153" s="984">
        <v>1</v>
      </c>
      <c r="DR153" s="1054" t="s">
        <v>1592</v>
      </c>
      <c r="DS153" s="1660"/>
      <c r="DT153" s="1051"/>
      <c r="DU153" s="1936"/>
      <c r="DV153" s="1937"/>
      <c r="DW153" s="984"/>
      <c r="DX153" s="996" t="s">
        <v>1593</v>
      </c>
      <c r="DY153" s="1660"/>
      <c r="DZ153" s="1643">
        <f>6000-6000</f>
        <v>0</v>
      </c>
      <c r="EA153" s="2146"/>
      <c r="EB153" s="1943"/>
      <c r="EC153" s="1052"/>
      <c r="ED153" s="2032"/>
      <c r="EE153" s="984">
        <v>1</v>
      </c>
      <c r="EF153" s="996"/>
      <c r="EG153" s="1052"/>
      <c r="EH153" s="2032"/>
      <c r="EI153" s="1660"/>
      <c r="EJ153" s="1051"/>
      <c r="EK153" s="2220"/>
      <c r="EL153" s="1937"/>
      <c r="EM153" s="2202">
        <f t="shared" ref="EM153:EM182" si="219">E153+S153+W153+AA153+AG153+AK153+AN153+AR153+AW153+BC153+BI153+BM153+BR153+BU153+CA153+CD153+CI153+CO153+CS153+CW153+DA153+DG153+DU153+EA153+EK153</f>
        <v>0</v>
      </c>
      <c r="EN153" s="1585">
        <f t="shared" ref="EN153:EN182" si="220">F153+H153+J153+L153+P153+T153+X153+AB153+AH153+AL153+AS153+AX153+BD153+BJ153+BN153+BP153+BV153+BX153+CB153+CJ153+CP153+CT153+CX153+DB153+DD153+DH153+DN153+DP153+DV153+EB153+ED153+EH153+EL153+DL153</f>
        <v>300</v>
      </c>
      <c r="EO153" s="1585">
        <f t="shared" ref="EO153:EO182" si="221">AQ153</f>
        <v>0</v>
      </c>
      <c r="EP153" s="1586">
        <f t="shared" si="130"/>
        <v>300</v>
      </c>
      <c r="EQ153" s="999">
        <f t="shared" si="127"/>
        <v>0</v>
      </c>
      <c r="ER153" s="1776">
        <f t="shared" si="128"/>
        <v>0</v>
      </c>
      <c r="ES153" s="1776">
        <f t="shared" si="129"/>
        <v>0</v>
      </c>
      <c r="ET153" s="1055">
        <f t="shared" si="149"/>
        <v>0</v>
      </c>
    </row>
    <row r="154" spans="1:150" s="368" customFormat="1" ht="27" x14ac:dyDescent="0.3">
      <c r="A154" s="984">
        <v>2</v>
      </c>
      <c r="B154" s="987"/>
      <c r="C154" s="1660"/>
      <c r="D154" s="1051"/>
      <c r="E154" s="1936"/>
      <c r="F154" s="1937"/>
      <c r="G154" s="1052"/>
      <c r="H154" s="1997"/>
      <c r="I154" s="1052"/>
      <c r="J154" s="1997"/>
      <c r="K154" s="1052"/>
      <c r="L154" s="2032"/>
      <c r="M154" s="984">
        <v>2</v>
      </c>
      <c r="N154" s="2444" t="s">
        <v>1594</v>
      </c>
      <c r="O154" s="1052"/>
      <c r="P154" s="2032"/>
      <c r="Q154" s="1660"/>
      <c r="R154" s="1051"/>
      <c r="S154" s="1936"/>
      <c r="T154" s="1937"/>
      <c r="U154" s="1660"/>
      <c r="V154" s="1051"/>
      <c r="W154" s="1936"/>
      <c r="X154" s="1937"/>
      <c r="Y154" s="1660"/>
      <c r="Z154" s="1051"/>
      <c r="AA154" s="2066"/>
      <c r="AB154" s="1937"/>
      <c r="AC154" s="986">
        <v>2</v>
      </c>
      <c r="AD154" s="996"/>
      <c r="AE154" s="1660"/>
      <c r="AF154" s="1051"/>
      <c r="AG154" s="1936"/>
      <c r="AH154" s="1937"/>
      <c r="AI154" s="1660"/>
      <c r="AJ154" s="1051"/>
      <c r="AK154" s="1936"/>
      <c r="AL154" s="1937"/>
      <c r="AM154" s="1052"/>
      <c r="AN154" s="2032"/>
      <c r="AO154" s="1872"/>
      <c r="AP154" s="1101"/>
      <c r="AQ154" s="1053"/>
      <c r="AR154" s="2102"/>
      <c r="AS154" s="1554"/>
      <c r="AT154" s="2102"/>
      <c r="AU154" s="1660"/>
      <c r="AV154" s="1051"/>
      <c r="AW154" s="1936"/>
      <c r="AX154" s="1937"/>
      <c r="AY154" s="984">
        <v>2</v>
      </c>
      <c r="AZ154" s="996"/>
      <c r="BA154" s="1660"/>
      <c r="BB154" s="1051"/>
      <c r="BC154" s="1936"/>
      <c r="BD154" s="1937"/>
      <c r="BE154" s="984">
        <v>1</v>
      </c>
      <c r="BF154" s="980" t="s">
        <v>2293</v>
      </c>
      <c r="BG154" s="1660"/>
      <c r="BH154" s="1051"/>
      <c r="BI154" s="1936"/>
      <c r="BJ154" s="1937"/>
      <c r="BK154" s="1660"/>
      <c r="BL154" s="1051"/>
      <c r="BM154" s="1936"/>
      <c r="BN154" s="1937"/>
      <c r="BO154" s="1052"/>
      <c r="BP154" s="1997"/>
      <c r="BQ154" s="1052"/>
      <c r="BR154" s="2032"/>
      <c r="BS154" s="1660"/>
      <c r="BT154" s="1051"/>
      <c r="BU154" s="1936"/>
      <c r="BV154" s="1937"/>
      <c r="BW154" s="1052"/>
      <c r="BX154" s="2032">
        <v>500</v>
      </c>
      <c r="BY154" s="1660"/>
      <c r="BZ154" s="1051"/>
      <c r="CA154" s="1936"/>
      <c r="CB154" s="1937"/>
      <c r="CC154" s="1743"/>
      <c r="CD154" s="2150"/>
      <c r="CE154" s="984">
        <v>2</v>
      </c>
      <c r="CF154" s="987" t="s">
        <v>1596</v>
      </c>
      <c r="CG154" s="1660"/>
      <c r="CH154" s="1051"/>
      <c r="CI154" s="1936"/>
      <c r="CJ154" s="1937"/>
      <c r="CK154" s="984">
        <v>2</v>
      </c>
      <c r="CL154" s="980" t="s">
        <v>1597</v>
      </c>
      <c r="CM154" s="1660"/>
      <c r="CN154" s="1051"/>
      <c r="CO154" s="1936"/>
      <c r="CP154" s="1937"/>
      <c r="CQ154" s="1660"/>
      <c r="CR154" s="1051"/>
      <c r="CS154" s="1936"/>
      <c r="CT154" s="1937"/>
      <c r="CU154" s="1660"/>
      <c r="CV154" s="1051"/>
      <c r="CW154" s="1936"/>
      <c r="CX154" s="1937"/>
      <c r="CY154" s="1660"/>
      <c r="CZ154" s="1051"/>
      <c r="DA154" s="1936"/>
      <c r="DB154" s="1937"/>
      <c r="DC154" s="1052"/>
      <c r="DD154" s="2032"/>
      <c r="DE154" s="1660"/>
      <c r="DF154" s="1051"/>
      <c r="DG154" s="1936"/>
      <c r="DH154" s="1937"/>
      <c r="DI154" s="986">
        <v>1</v>
      </c>
      <c r="DJ154" s="987" t="s">
        <v>1598</v>
      </c>
      <c r="DK154" s="1052"/>
      <c r="DL154" s="1997"/>
      <c r="DM154" s="1052"/>
      <c r="DN154" s="1997"/>
      <c r="DO154" s="1052"/>
      <c r="DP154" s="2032"/>
      <c r="DQ154" s="984">
        <v>2</v>
      </c>
      <c r="DR154" s="994" t="s">
        <v>1599</v>
      </c>
      <c r="DS154" s="1660"/>
      <c r="DT154" s="1026">
        <v>200</v>
      </c>
      <c r="DU154" s="1936"/>
      <c r="DV154" s="1913">
        <v>200</v>
      </c>
      <c r="DW154" s="984">
        <v>1</v>
      </c>
      <c r="DX154" s="987"/>
      <c r="DY154" s="1660"/>
      <c r="DZ154" s="1051"/>
      <c r="EA154" s="1936"/>
      <c r="EB154" s="1937"/>
      <c r="EC154" s="1052"/>
      <c r="ED154" s="2032"/>
      <c r="EE154" s="984">
        <v>2</v>
      </c>
      <c r="EF154" s="996"/>
      <c r="EG154" s="1052"/>
      <c r="EH154" s="2032"/>
      <c r="EI154" s="1660"/>
      <c r="EJ154" s="1051"/>
      <c r="EK154" s="2220"/>
      <c r="EL154" s="1937"/>
      <c r="EM154" s="2202">
        <f t="shared" si="219"/>
        <v>0</v>
      </c>
      <c r="EN154" s="1585">
        <f t="shared" si="220"/>
        <v>700</v>
      </c>
      <c r="EO154" s="1585">
        <f t="shared" si="221"/>
        <v>0</v>
      </c>
      <c r="EP154" s="1586">
        <f t="shared" si="130"/>
        <v>700</v>
      </c>
      <c r="EQ154" s="999">
        <f t="shared" si="127"/>
        <v>0</v>
      </c>
      <c r="ER154" s="1776">
        <f t="shared" si="128"/>
        <v>200</v>
      </c>
      <c r="ES154" s="1776">
        <f t="shared" si="129"/>
        <v>0</v>
      </c>
      <c r="ET154" s="1055">
        <f t="shared" si="149"/>
        <v>200</v>
      </c>
    </row>
    <row r="155" spans="1:150" s="368" customFormat="1" ht="15.6" x14ac:dyDescent="0.3">
      <c r="A155" s="984">
        <v>3</v>
      </c>
      <c r="B155" s="987"/>
      <c r="C155" s="1660"/>
      <c r="D155" s="1051"/>
      <c r="E155" s="1936"/>
      <c r="F155" s="1937"/>
      <c r="G155" s="1052"/>
      <c r="H155" s="1997"/>
      <c r="I155" s="1052"/>
      <c r="J155" s="1997"/>
      <c r="K155" s="1052"/>
      <c r="L155" s="2032"/>
      <c r="M155" s="984">
        <v>3</v>
      </c>
      <c r="N155" s="1102" t="s">
        <v>1600</v>
      </c>
      <c r="O155" s="1052"/>
      <c r="P155" s="2032"/>
      <c r="Q155" s="1660"/>
      <c r="R155" s="1051"/>
      <c r="S155" s="1936"/>
      <c r="T155" s="1937"/>
      <c r="U155" s="1660"/>
      <c r="V155" s="1051"/>
      <c r="W155" s="1936"/>
      <c r="X155" s="1937"/>
      <c r="Y155" s="1660"/>
      <c r="Z155" s="1051"/>
      <c r="AA155" s="2066"/>
      <c r="AB155" s="1937"/>
      <c r="AC155" s="986">
        <v>3</v>
      </c>
      <c r="AD155" s="996"/>
      <c r="AE155" s="1660"/>
      <c r="AF155" s="1051"/>
      <c r="AG155" s="1936"/>
      <c r="AH155" s="1937"/>
      <c r="AI155" s="1660"/>
      <c r="AJ155" s="1051"/>
      <c r="AK155" s="1936"/>
      <c r="AL155" s="1937"/>
      <c r="AM155" s="1052"/>
      <c r="AN155" s="2032"/>
      <c r="AO155" s="1872"/>
      <c r="AP155" s="1101"/>
      <c r="AQ155" s="1053"/>
      <c r="AR155" s="2102"/>
      <c r="AS155" s="1554"/>
      <c r="AT155" s="2102"/>
      <c r="AU155" s="1660"/>
      <c r="AV155" s="1051"/>
      <c r="AW155" s="1936"/>
      <c r="AX155" s="1937"/>
      <c r="AY155" s="984">
        <v>3</v>
      </c>
      <c r="AZ155" s="996"/>
      <c r="BA155" s="1660"/>
      <c r="BB155" s="1051"/>
      <c r="BC155" s="1936"/>
      <c r="BD155" s="1937"/>
      <c r="BE155" s="984">
        <v>2</v>
      </c>
      <c r="BF155" s="987" t="s">
        <v>1601</v>
      </c>
      <c r="BG155" s="1660"/>
      <c r="BH155" s="1051"/>
      <c r="BI155" s="1936"/>
      <c r="BJ155" s="1937"/>
      <c r="BK155" s="1660"/>
      <c r="BL155" s="1051"/>
      <c r="BM155" s="1936"/>
      <c r="BN155" s="1937"/>
      <c r="BO155" s="1052"/>
      <c r="BP155" s="1997"/>
      <c r="BQ155" s="1052"/>
      <c r="BR155" s="2032"/>
      <c r="BS155" s="1660"/>
      <c r="BT155" s="1643">
        <f>6000-6000</f>
        <v>0</v>
      </c>
      <c r="BU155" s="2146"/>
      <c r="BV155" s="1943"/>
      <c r="BW155" s="1052"/>
      <c r="BX155" s="2032"/>
      <c r="BY155" s="1660"/>
      <c r="BZ155" s="1051"/>
      <c r="CA155" s="1936"/>
      <c r="CB155" s="1937"/>
      <c r="CC155" s="1743"/>
      <c r="CD155" s="2150"/>
      <c r="CE155" s="984">
        <v>3</v>
      </c>
      <c r="CF155" s="987" t="s">
        <v>1602</v>
      </c>
      <c r="CG155" s="1660"/>
      <c r="CH155" s="1051"/>
      <c r="CI155" s="1936"/>
      <c r="CJ155" s="1937"/>
      <c r="CK155" s="984">
        <v>3</v>
      </c>
      <c r="CL155" s="987" t="s">
        <v>1595</v>
      </c>
      <c r="CM155" s="1660"/>
      <c r="CN155" s="1051"/>
      <c r="CO155" s="1936"/>
      <c r="CP155" s="1937"/>
      <c r="CQ155" s="1660"/>
      <c r="CR155" s="1051"/>
      <c r="CS155" s="1936"/>
      <c r="CT155" s="1937"/>
      <c r="CU155" s="1660"/>
      <c r="CV155" s="1051"/>
      <c r="CW155" s="1936"/>
      <c r="CX155" s="1937"/>
      <c r="CY155" s="1660"/>
      <c r="CZ155" s="1051"/>
      <c r="DA155" s="1936"/>
      <c r="DB155" s="1937"/>
      <c r="DC155" s="1052"/>
      <c r="DD155" s="2032"/>
      <c r="DE155" s="1660"/>
      <c r="DF155" s="1051"/>
      <c r="DG155" s="1936"/>
      <c r="DH155" s="1937"/>
      <c r="DI155" s="986">
        <v>2</v>
      </c>
      <c r="DJ155" s="995" t="s">
        <v>1603</v>
      </c>
      <c r="DK155" s="1052"/>
      <c r="DL155" s="1997"/>
      <c r="DM155" s="1052"/>
      <c r="DN155" s="1997"/>
      <c r="DO155" s="1052"/>
      <c r="DP155" s="2032"/>
      <c r="DQ155" s="984">
        <v>3</v>
      </c>
      <c r="DR155" s="994" t="s">
        <v>1604</v>
      </c>
      <c r="DS155" s="1660"/>
      <c r="DT155" s="1026">
        <v>1500</v>
      </c>
      <c r="DU155" s="1936"/>
      <c r="DV155" s="1913">
        <v>2000</v>
      </c>
      <c r="DW155" s="984">
        <v>2</v>
      </c>
      <c r="DX155" s="987"/>
      <c r="DY155" s="1660"/>
      <c r="DZ155" s="1051"/>
      <c r="EA155" s="1936"/>
      <c r="EB155" s="1937"/>
      <c r="EC155" s="1052"/>
      <c r="ED155" s="2032"/>
      <c r="EE155" s="984">
        <v>3</v>
      </c>
      <c r="EF155" s="996"/>
      <c r="EG155" s="1052"/>
      <c r="EH155" s="2032"/>
      <c r="EI155" s="1660"/>
      <c r="EJ155" s="1051"/>
      <c r="EK155" s="2220"/>
      <c r="EL155" s="1937"/>
      <c r="EM155" s="2202">
        <f t="shared" si="219"/>
        <v>0</v>
      </c>
      <c r="EN155" s="1585">
        <f t="shared" si="220"/>
        <v>2000</v>
      </c>
      <c r="EO155" s="1585">
        <f t="shared" si="221"/>
        <v>0</v>
      </c>
      <c r="EP155" s="1586">
        <f t="shared" si="130"/>
        <v>2000</v>
      </c>
      <c r="EQ155" s="999">
        <f t="shared" si="127"/>
        <v>0</v>
      </c>
      <c r="ER155" s="1776">
        <f t="shared" si="128"/>
        <v>1500</v>
      </c>
      <c r="ES155" s="1776">
        <f t="shared" si="129"/>
        <v>0</v>
      </c>
      <c r="ET155" s="1055">
        <f t="shared" si="149"/>
        <v>1500</v>
      </c>
    </row>
    <row r="156" spans="1:150" ht="52.8" x14ac:dyDescent="0.25">
      <c r="A156" s="952">
        <v>4</v>
      </c>
      <c r="B156" s="959"/>
      <c r="C156" s="1651"/>
      <c r="D156" s="1026"/>
      <c r="E156" s="1912"/>
      <c r="F156" s="1913"/>
      <c r="G156" s="1052"/>
      <c r="H156" s="1997"/>
      <c r="I156" s="1052"/>
      <c r="J156" s="1997"/>
      <c r="K156" s="1052"/>
      <c r="L156" s="2032"/>
      <c r="M156" s="965"/>
      <c r="N156" s="959"/>
      <c r="O156" s="1052"/>
      <c r="P156" s="2032"/>
      <c r="Q156" s="1651"/>
      <c r="R156" s="1026"/>
      <c r="S156" s="1912"/>
      <c r="T156" s="1913"/>
      <c r="U156" s="1651"/>
      <c r="V156" s="1026"/>
      <c r="W156" s="1912"/>
      <c r="X156" s="1913"/>
      <c r="Y156" s="1651"/>
      <c r="Z156" s="1026"/>
      <c r="AA156" s="2054"/>
      <c r="AB156" s="1913"/>
      <c r="AC156" s="964"/>
      <c r="AD156" s="961"/>
      <c r="AE156" s="1651"/>
      <c r="AF156" s="1026"/>
      <c r="AG156" s="1912"/>
      <c r="AH156" s="1913"/>
      <c r="AI156" s="1651"/>
      <c r="AJ156" s="1026"/>
      <c r="AK156" s="1912"/>
      <c r="AL156" s="1913"/>
      <c r="AM156" s="1052"/>
      <c r="AN156" s="2032"/>
      <c r="AO156" s="1872"/>
      <c r="AP156" s="1101"/>
      <c r="AQ156" s="1053"/>
      <c r="AR156" s="2102"/>
      <c r="AS156" s="1554"/>
      <c r="AT156" s="2102"/>
      <c r="AU156" s="1651"/>
      <c r="AV156" s="1026"/>
      <c r="AW156" s="1912"/>
      <c r="AX156" s="1913"/>
      <c r="AY156" s="965"/>
      <c r="AZ156" s="961"/>
      <c r="BA156" s="1651"/>
      <c r="BB156" s="1026"/>
      <c r="BC156" s="1912"/>
      <c r="BD156" s="1913"/>
      <c r="BE156" s="952">
        <v>3</v>
      </c>
      <c r="BF156" s="959" t="s">
        <v>1605</v>
      </c>
      <c r="BG156" s="1651"/>
      <c r="BH156" s="1026"/>
      <c r="BI156" s="1912"/>
      <c r="BJ156" s="1913"/>
      <c r="BK156" s="1651"/>
      <c r="BL156" s="1026"/>
      <c r="BM156" s="1912"/>
      <c r="BN156" s="1913"/>
      <c r="BO156" s="1052"/>
      <c r="BP156" s="1997"/>
      <c r="BQ156" s="1052"/>
      <c r="BR156" s="2032"/>
      <c r="BS156" s="1651"/>
      <c r="BT156" s="1026"/>
      <c r="BU156" s="1912"/>
      <c r="BV156" s="1913"/>
      <c r="BW156" s="1052"/>
      <c r="BX156" s="2032"/>
      <c r="BY156" s="1651"/>
      <c r="BZ156" s="1026"/>
      <c r="CA156" s="1912"/>
      <c r="CB156" s="1913"/>
      <c r="CC156" s="1743">
        <v>16000</v>
      </c>
      <c r="CD156" s="2150"/>
      <c r="CE156" s="952">
        <v>4</v>
      </c>
      <c r="CF156" s="959" t="s">
        <v>1606</v>
      </c>
      <c r="CG156" s="1651"/>
      <c r="CH156" s="1026"/>
      <c r="CI156" s="1912"/>
      <c r="CJ156" s="1913"/>
      <c r="CK156" s="952">
        <v>4</v>
      </c>
      <c r="CL156" s="1003" t="s">
        <v>1607</v>
      </c>
      <c r="CM156" s="1651"/>
      <c r="CN156" s="1026"/>
      <c r="CO156" s="1912"/>
      <c r="CP156" s="1913"/>
      <c r="CQ156" s="1651"/>
      <c r="CR156" s="1026"/>
      <c r="CS156" s="1912"/>
      <c r="CT156" s="1913"/>
      <c r="CU156" s="1651"/>
      <c r="CV156" s="1026"/>
      <c r="CW156" s="1912"/>
      <c r="CX156" s="1913"/>
      <c r="CY156" s="1651"/>
      <c r="CZ156" s="1026"/>
      <c r="DA156" s="1912"/>
      <c r="DB156" s="1913"/>
      <c r="DC156" s="1052"/>
      <c r="DD156" s="2032"/>
      <c r="DE156" s="1651"/>
      <c r="DF156" s="1026"/>
      <c r="DG156" s="1912"/>
      <c r="DH156" s="1913"/>
      <c r="DI156" s="955">
        <v>3</v>
      </c>
      <c r="DJ156" s="1007" t="s">
        <v>1608</v>
      </c>
      <c r="DK156" s="1052"/>
      <c r="DL156" s="1997"/>
      <c r="DM156" s="1052"/>
      <c r="DN156" s="1997"/>
      <c r="DO156" s="1052"/>
      <c r="DP156" s="2032"/>
      <c r="DQ156" s="952">
        <v>4</v>
      </c>
      <c r="DR156" s="962" t="s">
        <v>1609</v>
      </c>
      <c r="DS156" s="1651"/>
      <c r="DT156" s="1026">
        <v>100</v>
      </c>
      <c r="DU156" s="1912"/>
      <c r="DV156" s="1913"/>
      <c r="DW156" s="952">
        <v>3</v>
      </c>
      <c r="DX156" s="959"/>
      <c r="DY156" s="1651"/>
      <c r="DZ156" s="1026"/>
      <c r="EA156" s="1912"/>
      <c r="EB156" s="1913"/>
      <c r="EC156" s="1052"/>
      <c r="ED156" s="2032"/>
      <c r="EE156" s="965"/>
      <c r="EF156" s="961"/>
      <c r="EG156" s="1052"/>
      <c r="EH156" s="2032"/>
      <c r="EI156" s="1651"/>
      <c r="EJ156" s="1026"/>
      <c r="EK156" s="2204"/>
      <c r="EL156" s="1913"/>
      <c r="EM156" s="2202">
        <f t="shared" si="219"/>
        <v>0</v>
      </c>
      <c r="EN156" s="1585">
        <f t="shared" si="220"/>
        <v>0</v>
      </c>
      <c r="EO156" s="1585">
        <f t="shared" si="221"/>
        <v>0</v>
      </c>
      <c r="EP156" s="1586">
        <f t="shared" si="130"/>
        <v>0</v>
      </c>
      <c r="EQ156" s="999">
        <f t="shared" si="127"/>
        <v>16000</v>
      </c>
      <c r="ER156" s="1776">
        <f t="shared" si="128"/>
        <v>100</v>
      </c>
      <c r="ES156" s="1776">
        <f t="shared" si="129"/>
        <v>0</v>
      </c>
      <c r="ET156" s="1055">
        <f t="shared" si="149"/>
        <v>16100</v>
      </c>
    </row>
    <row r="157" spans="1:150" x14ac:dyDescent="0.25">
      <c r="A157" s="952"/>
      <c r="B157" s="959"/>
      <c r="C157" s="1651"/>
      <c r="D157" s="1026"/>
      <c r="E157" s="1912"/>
      <c r="F157" s="1913"/>
      <c r="G157" s="1052"/>
      <c r="H157" s="1997"/>
      <c r="I157" s="1052"/>
      <c r="J157" s="1997"/>
      <c r="K157" s="1052"/>
      <c r="L157" s="2032"/>
      <c r="M157" s="965"/>
      <c r="N157" s="959"/>
      <c r="O157" s="1052"/>
      <c r="P157" s="2032"/>
      <c r="Q157" s="1651"/>
      <c r="R157" s="1026"/>
      <c r="S157" s="1912"/>
      <c r="T157" s="1913"/>
      <c r="U157" s="1651"/>
      <c r="V157" s="1026"/>
      <c r="W157" s="1912"/>
      <c r="X157" s="1913"/>
      <c r="Y157" s="1651"/>
      <c r="Z157" s="1026"/>
      <c r="AA157" s="2054"/>
      <c r="AB157" s="1913"/>
      <c r="AC157" s="964"/>
      <c r="AD157" s="961"/>
      <c r="AE157" s="1651"/>
      <c r="AF157" s="1026"/>
      <c r="AG157" s="1912"/>
      <c r="AH157" s="1913"/>
      <c r="AI157" s="1651"/>
      <c r="AJ157" s="1026"/>
      <c r="AK157" s="1912"/>
      <c r="AL157" s="1913"/>
      <c r="AM157" s="1052"/>
      <c r="AN157" s="2032"/>
      <c r="AO157" s="1872"/>
      <c r="AP157" s="1101"/>
      <c r="AQ157" s="1053"/>
      <c r="AR157" s="2102"/>
      <c r="AS157" s="1554"/>
      <c r="AT157" s="2102"/>
      <c r="AU157" s="1651"/>
      <c r="AV157" s="1026"/>
      <c r="AW157" s="1912"/>
      <c r="AX157" s="1913"/>
      <c r="AY157" s="965"/>
      <c r="AZ157" s="961"/>
      <c r="BA157" s="1651"/>
      <c r="BB157" s="1026"/>
      <c r="BC157" s="1912"/>
      <c r="BD157" s="1913"/>
      <c r="BE157" s="952">
        <v>4</v>
      </c>
      <c r="BF157" s="959" t="s">
        <v>1610</v>
      </c>
      <c r="BG157" s="1651"/>
      <c r="BH157" s="1026"/>
      <c r="BI157" s="1912"/>
      <c r="BJ157" s="1913"/>
      <c r="BK157" s="1651"/>
      <c r="BL157" s="1026"/>
      <c r="BM157" s="1912"/>
      <c r="BN157" s="1913"/>
      <c r="BO157" s="1052"/>
      <c r="BP157" s="1997"/>
      <c r="BQ157" s="1052"/>
      <c r="BR157" s="2032"/>
      <c r="BS157" s="1651"/>
      <c r="BT157" s="1026"/>
      <c r="BU157" s="1912"/>
      <c r="BV157" s="1913"/>
      <c r="BW157" s="1052"/>
      <c r="BX157" s="2032"/>
      <c r="BY157" s="1651"/>
      <c r="BZ157" s="1026"/>
      <c r="CA157" s="1912"/>
      <c r="CB157" s="1913"/>
      <c r="CC157" s="1743"/>
      <c r="CD157" s="2150"/>
      <c r="CE157" s="952">
        <v>5</v>
      </c>
      <c r="CF157" s="959" t="s">
        <v>1611</v>
      </c>
      <c r="CG157" s="1651"/>
      <c r="CH157" s="1026"/>
      <c r="CI157" s="1912"/>
      <c r="CJ157" s="1913"/>
      <c r="CK157" s="952">
        <v>5</v>
      </c>
      <c r="CL157" s="1025" t="s">
        <v>1595</v>
      </c>
      <c r="CM157" s="1651"/>
      <c r="CN157" s="1026"/>
      <c r="CO157" s="1912"/>
      <c r="CP157" s="1913"/>
      <c r="CQ157" s="1651"/>
      <c r="CR157" s="1026"/>
      <c r="CS157" s="1912"/>
      <c r="CT157" s="1913"/>
      <c r="CU157" s="1651"/>
      <c r="CV157" s="1026"/>
      <c r="CW157" s="1912"/>
      <c r="CX157" s="1913"/>
      <c r="CY157" s="1651"/>
      <c r="CZ157" s="1026"/>
      <c r="DA157" s="1912"/>
      <c r="DB157" s="1913"/>
      <c r="DC157" s="1052"/>
      <c r="DD157" s="2032"/>
      <c r="DE157" s="1651"/>
      <c r="DF157" s="1026"/>
      <c r="DG157" s="1912"/>
      <c r="DH157" s="1913"/>
      <c r="DI157" s="955">
        <v>4</v>
      </c>
      <c r="DJ157" s="995" t="s">
        <v>1612</v>
      </c>
      <c r="DK157" s="1052"/>
      <c r="DL157" s="1997"/>
      <c r="DM157" s="1052"/>
      <c r="DN157" s="1997"/>
      <c r="DO157" s="1052"/>
      <c r="DP157" s="2032"/>
      <c r="DQ157" s="952">
        <v>5</v>
      </c>
      <c r="DR157" s="962"/>
      <c r="DS157" s="1651"/>
      <c r="DT157" s="1026"/>
      <c r="DU157" s="1912"/>
      <c r="DV157" s="1913"/>
      <c r="DW157" s="952">
        <v>4</v>
      </c>
      <c r="DX157" s="959"/>
      <c r="DY157" s="1651"/>
      <c r="DZ157" s="1026"/>
      <c r="EA157" s="1912"/>
      <c r="EB157" s="1913"/>
      <c r="EC157" s="1052"/>
      <c r="ED157" s="2032"/>
      <c r="EE157" s="965"/>
      <c r="EF157" s="961"/>
      <c r="EG157" s="1052"/>
      <c r="EH157" s="2032"/>
      <c r="EI157" s="1651"/>
      <c r="EJ157" s="1026"/>
      <c r="EK157" s="2204"/>
      <c r="EL157" s="1913"/>
      <c r="EM157" s="2202">
        <f t="shared" si="219"/>
        <v>0</v>
      </c>
      <c r="EN157" s="1585">
        <f t="shared" si="220"/>
        <v>0</v>
      </c>
      <c r="EO157" s="1585">
        <f t="shared" si="221"/>
        <v>0</v>
      </c>
      <c r="EP157" s="1586">
        <f t="shared" si="130"/>
        <v>0</v>
      </c>
      <c r="EQ157" s="999">
        <f t="shared" si="127"/>
        <v>0</v>
      </c>
      <c r="ER157" s="1776">
        <f t="shared" si="128"/>
        <v>0</v>
      </c>
      <c r="ES157" s="1776">
        <f t="shared" si="129"/>
        <v>0</v>
      </c>
      <c r="ET157" s="1055">
        <f t="shared" si="149"/>
        <v>0</v>
      </c>
    </row>
    <row r="158" spans="1:150" ht="27" x14ac:dyDescent="0.3">
      <c r="A158" s="952"/>
      <c r="B158" s="959"/>
      <c r="C158" s="1651"/>
      <c r="D158" s="1026"/>
      <c r="E158" s="1912"/>
      <c r="F158" s="1913"/>
      <c r="G158" s="1052"/>
      <c r="H158" s="1997"/>
      <c r="I158" s="1052"/>
      <c r="J158" s="1997"/>
      <c r="K158" s="1052"/>
      <c r="L158" s="2032"/>
      <c r="M158" s="965"/>
      <c r="N158" s="959"/>
      <c r="O158" s="1052"/>
      <c r="P158" s="2032"/>
      <c r="Q158" s="1651"/>
      <c r="R158" s="1026"/>
      <c r="S158" s="1912"/>
      <c r="T158" s="1913"/>
      <c r="U158" s="1651"/>
      <c r="V158" s="1026"/>
      <c r="W158" s="1912"/>
      <c r="X158" s="1913"/>
      <c r="Y158" s="1651"/>
      <c r="Z158" s="1026"/>
      <c r="AA158" s="2054"/>
      <c r="AB158" s="1913"/>
      <c r="AC158" s="964"/>
      <c r="AD158" s="961"/>
      <c r="AE158" s="1651"/>
      <c r="AF158" s="1026"/>
      <c r="AG158" s="1912"/>
      <c r="AH158" s="1913"/>
      <c r="AI158" s="1651"/>
      <c r="AJ158" s="1026"/>
      <c r="AK158" s="1912"/>
      <c r="AL158" s="1913"/>
      <c r="AM158" s="1052"/>
      <c r="AN158" s="2032"/>
      <c r="AO158" s="1872"/>
      <c r="AP158" s="1101"/>
      <c r="AQ158" s="1053"/>
      <c r="AR158" s="2102"/>
      <c r="AS158" s="1554"/>
      <c r="AT158" s="2102"/>
      <c r="AU158" s="1651"/>
      <c r="AV158" s="1026"/>
      <c r="AW158" s="1912"/>
      <c r="AX158" s="1913"/>
      <c r="AY158" s="965"/>
      <c r="AZ158" s="961"/>
      <c r="BA158" s="1651"/>
      <c r="BB158" s="1026"/>
      <c r="BC158" s="1912"/>
      <c r="BD158" s="1913"/>
      <c r="BE158" s="952">
        <v>5</v>
      </c>
      <c r="BF158" s="987" t="s">
        <v>1613</v>
      </c>
      <c r="BG158" s="1651"/>
      <c r="BH158" s="1026"/>
      <c r="BI158" s="1912"/>
      <c r="BJ158" s="1913"/>
      <c r="BK158" s="1651"/>
      <c r="BL158" s="1026"/>
      <c r="BM158" s="1912"/>
      <c r="BN158" s="1913"/>
      <c r="BO158" s="1052"/>
      <c r="BP158" s="1997"/>
      <c r="BQ158" s="1052"/>
      <c r="BR158" s="2032"/>
      <c r="BS158" s="1651"/>
      <c r="BT158" s="1026"/>
      <c r="BU158" s="1912"/>
      <c r="BV158" s="1913"/>
      <c r="BW158" s="1052"/>
      <c r="BX158" s="2032"/>
      <c r="BY158" s="1651"/>
      <c r="BZ158" s="1026"/>
      <c r="CA158" s="1912"/>
      <c r="CB158" s="1913"/>
      <c r="CC158" s="1743"/>
      <c r="CD158" s="2150"/>
      <c r="CE158" s="952">
        <v>6</v>
      </c>
      <c r="CF158" s="1025" t="s">
        <v>1595</v>
      </c>
      <c r="CG158" s="1651"/>
      <c r="CH158" s="1026"/>
      <c r="CI158" s="1912"/>
      <c r="CJ158" s="1913"/>
      <c r="CK158" s="952">
        <v>6</v>
      </c>
      <c r="CL158" s="997" t="s">
        <v>1367</v>
      </c>
      <c r="CM158" s="1651"/>
      <c r="CN158" s="1026"/>
      <c r="CO158" s="1912"/>
      <c r="CP158" s="1913"/>
      <c r="CQ158" s="1651"/>
      <c r="CR158" s="1026"/>
      <c r="CS158" s="1912"/>
      <c r="CT158" s="1913"/>
      <c r="CU158" s="1651"/>
      <c r="CV158" s="1026"/>
      <c r="CW158" s="1912"/>
      <c r="CX158" s="1913"/>
      <c r="CY158" s="1651"/>
      <c r="CZ158" s="1026"/>
      <c r="DA158" s="1912"/>
      <c r="DB158" s="1913"/>
      <c r="DC158" s="1052"/>
      <c r="DD158" s="2032"/>
      <c r="DE158" s="1651"/>
      <c r="DF158" s="1026"/>
      <c r="DG158" s="1912"/>
      <c r="DH158" s="1913"/>
      <c r="DI158" s="955">
        <v>5</v>
      </c>
      <c r="DJ158" s="995" t="s">
        <v>1603</v>
      </c>
      <c r="DK158" s="1052"/>
      <c r="DL158" s="1997"/>
      <c r="DM158" s="1052"/>
      <c r="DN158" s="1997"/>
      <c r="DO158" s="1052"/>
      <c r="DP158" s="2032"/>
      <c r="DQ158" s="952">
        <v>6</v>
      </c>
      <c r="DR158" s="962"/>
      <c r="DS158" s="1651"/>
      <c r="DT158" s="1026"/>
      <c r="DU158" s="1912"/>
      <c r="DV158" s="1913"/>
      <c r="DW158" s="965"/>
      <c r="DX158" s="959"/>
      <c r="DY158" s="1651"/>
      <c r="DZ158" s="1026"/>
      <c r="EA158" s="1912"/>
      <c r="EB158" s="1913"/>
      <c r="EC158" s="1052"/>
      <c r="ED158" s="2032"/>
      <c r="EE158" s="965"/>
      <c r="EF158" s="961"/>
      <c r="EG158" s="1052"/>
      <c r="EH158" s="2032"/>
      <c r="EI158" s="1651"/>
      <c r="EJ158" s="1026"/>
      <c r="EK158" s="2204"/>
      <c r="EL158" s="1913"/>
      <c r="EM158" s="2202">
        <f t="shared" si="219"/>
        <v>0</v>
      </c>
      <c r="EN158" s="1585">
        <f t="shared" si="220"/>
        <v>0</v>
      </c>
      <c r="EO158" s="1585">
        <f t="shared" si="221"/>
        <v>0</v>
      </c>
      <c r="EP158" s="1586">
        <f t="shared" si="130"/>
        <v>0</v>
      </c>
      <c r="EQ158" s="999">
        <f t="shared" si="127"/>
        <v>0</v>
      </c>
      <c r="ER158" s="1776">
        <f t="shared" si="128"/>
        <v>0</v>
      </c>
      <c r="ES158" s="1776">
        <f t="shared" si="129"/>
        <v>0</v>
      </c>
      <c r="ET158" s="1055">
        <f t="shared" si="149"/>
        <v>0</v>
      </c>
    </row>
    <row r="159" spans="1:150" ht="26.4" x14ac:dyDescent="0.25">
      <c r="A159" s="952"/>
      <c r="B159" s="959"/>
      <c r="C159" s="1651"/>
      <c r="D159" s="1026"/>
      <c r="E159" s="1912"/>
      <c r="F159" s="1913"/>
      <c r="G159" s="1052"/>
      <c r="H159" s="1997"/>
      <c r="I159" s="1052"/>
      <c r="J159" s="1997"/>
      <c r="K159" s="1052"/>
      <c r="L159" s="2032"/>
      <c r="M159" s="965"/>
      <c r="N159" s="959"/>
      <c r="O159" s="1052"/>
      <c r="P159" s="2032"/>
      <c r="Q159" s="1651"/>
      <c r="R159" s="1026"/>
      <c r="S159" s="1912"/>
      <c r="T159" s="1913"/>
      <c r="U159" s="1651"/>
      <c r="V159" s="1026"/>
      <c r="W159" s="1912"/>
      <c r="X159" s="1913"/>
      <c r="Y159" s="1651"/>
      <c r="Z159" s="1026"/>
      <c r="AA159" s="2054"/>
      <c r="AB159" s="1913"/>
      <c r="AC159" s="964"/>
      <c r="AD159" s="961"/>
      <c r="AE159" s="1651"/>
      <c r="AF159" s="1026"/>
      <c r="AG159" s="1912"/>
      <c r="AH159" s="1913"/>
      <c r="AI159" s="1651"/>
      <c r="AJ159" s="1026"/>
      <c r="AK159" s="1912"/>
      <c r="AL159" s="1913"/>
      <c r="AM159" s="1052"/>
      <c r="AN159" s="2032"/>
      <c r="AO159" s="1872"/>
      <c r="AP159" s="1101"/>
      <c r="AQ159" s="1053"/>
      <c r="AR159" s="2102"/>
      <c r="AS159" s="1554"/>
      <c r="AT159" s="2102"/>
      <c r="AU159" s="1651"/>
      <c r="AV159" s="1026"/>
      <c r="AW159" s="1912"/>
      <c r="AX159" s="1913"/>
      <c r="AY159" s="965"/>
      <c r="AZ159" s="961"/>
      <c r="BA159" s="1651"/>
      <c r="BB159" s="1026"/>
      <c r="BC159" s="1912"/>
      <c r="BD159" s="1913"/>
      <c r="BE159" s="952">
        <v>6</v>
      </c>
      <c r="BF159" s="1019" t="s">
        <v>2294</v>
      </c>
      <c r="BG159" s="1651"/>
      <c r="BH159" s="1026"/>
      <c r="BI159" s="1912"/>
      <c r="BJ159" s="1913"/>
      <c r="BK159" s="1651"/>
      <c r="BL159" s="1026"/>
      <c r="BM159" s="1912"/>
      <c r="BN159" s="1913"/>
      <c r="BO159" s="1052"/>
      <c r="BP159" s="1997"/>
      <c r="BQ159" s="1052"/>
      <c r="BR159" s="2032"/>
      <c r="BS159" s="1651"/>
      <c r="BT159" s="1026"/>
      <c r="BU159" s="1912"/>
      <c r="BV159" s="1913"/>
      <c r="BW159" s="1052"/>
      <c r="BX159" s="2023">
        <v>1000</v>
      </c>
      <c r="BY159" s="1651"/>
      <c r="BZ159" s="1026"/>
      <c r="CA159" s="1912"/>
      <c r="CB159" s="1913"/>
      <c r="CC159" s="1743"/>
      <c r="CD159" s="2150"/>
      <c r="CE159" s="952">
        <v>7</v>
      </c>
      <c r="CF159" s="959" t="s">
        <v>1614</v>
      </c>
      <c r="CG159" s="1651"/>
      <c r="CH159" s="1026"/>
      <c r="CI159" s="1912"/>
      <c r="CJ159" s="1913"/>
      <c r="CK159" s="952">
        <v>7</v>
      </c>
      <c r="CL159" s="1103" t="s">
        <v>1615</v>
      </c>
      <c r="CM159" s="1651"/>
      <c r="CN159" s="1026"/>
      <c r="CO159" s="1912"/>
      <c r="CP159" s="1913"/>
      <c r="CQ159" s="1651"/>
      <c r="CR159" s="1026"/>
      <c r="CS159" s="1912"/>
      <c r="CT159" s="1913"/>
      <c r="CU159" s="1651"/>
      <c r="CV159" s="1026"/>
      <c r="CW159" s="1912"/>
      <c r="CX159" s="1913"/>
      <c r="CY159" s="1651"/>
      <c r="CZ159" s="1026"/>
      <c r="DA159" s="1912"/>
      <c r="DB159" s="1913"/>
      <c r="DC159" s="1052"/>
      <c r="DD159" s="2032"/>
      <c r="DE159" s="1651"/>
      <c r="DF159" s="1026"/>
      <c r="DG159" s="1912"/>
      <c r="DH159" s="1913"/>
      <c r="DI159" s="955">
        <v>6</v>
      </c>
      <c r="DJ159" s="1015"/>
      <c r="DK159" s="1052"/>
      <c r="DL159" s="1997"/>
      <c r="DM159" s="1052"/>
      <c r="DN159" s="1997"/>
      <c r="DO159" s="1052"/>
      <c r="DP159" s="2032"/>
      <c r="DQ159" s="952">
        <v>7</v>
      </c>
      <c r="DR159" s="994"/>
      <c r="DS159" s="1651"/>
      <c r="DT159" s="1026"/>
      <c r="DU159" s="1912"/>
      <c r="DV159" s="1913"/>
      <c r="DW159" s="965"/>
      <c r="DX159" s="959"/>
      <c r="DY159" s="1651"/>
      <c r="DZ159" s="1026"/>
      <c r="EA159" s="1912"/>
      <c r="EB159" s="1913"/>
      <c r="EC159" s="1052"/>
      <c r="ED159" s="2032"/>
      <c r="EE159" s="965"/>
      <c r="EF159" s="961"/>
      <c r="EG159" s="1052"/>
      <c r="EH159" s="2032"/>
      <c r="EI159" s="1651"/>
      <c r="EJ159" s="1026"/>
      <c r="EK159" s="2204"/>
      <c r="EL159" s="1913"/>
      <c r="EM159" s="2202">
        <f t="shared" si="219"/>
        <v>0</v>
      </c>
      <c r="EN159" s="1585">
        <f t="shared" si="220"/>
        <v>1000</v>
      </c>
      <c r="EO159" s="1585">
        <f t="shared" si="221"/>
        <v>0</v>
      </c>
      <c r="EP159" s="1586">
        <f t="shared" si="130"/>
        <v>1000</v>
      </c>
      <c r="EQ159" s="999">
        <f t="shared" si="127"/>
        <v>0</v>
      </c>
      <c r="ER159" s="1776">
        <f t="shared" si="128"/>
        <v>0</v>
      </c>
      <c r="ES159" s="1776">
        <f t="shared" si="129"/>
        <v>0</v>
      </c>
      <c r="ET159" s="1055">
        <f t="shared" si="149"/>
        <v>0</v>
      </c>
    </row>
    <row r="160" spans="1:150" x14ac:dyDescent="0.25">
      <c r="A160" s="952"/>
      <c r="B160" s="959"/>
      <c r="C160" s="1651"/>
      <c r="D160" s="1026"/>
      <c r="E160" s="1912"/>
      <c r="F160" s="1913"/>
      <c r="G160" s="1052"/>
      <c r="H160" s="1997"/>
      <c r="I160" s="1052"/>
      <c r="J160" s="1997"/>
      <c r="K160" s="1052"/>
      <c r="L160" s="2032"/>
      <c r="M160" s="965"/>
      <c r="N160" s="959"/>
      <c r="O160" s="1052"/>
      <c r="P160" s="2032"/>
      <c r="Q160" s="1651"/>
      <c r="R160" s="1026"/>
      <c r="S160" s="1912"/>
      <c r="T160" s="1913"/>
      <c r="U160" s="1651"/>
      <c r="V160" s="1026"/>
      <c r="W160" s="1912"/>
      <c r="X160" s="1913"/>
      <c r="Y160" s="1651"/>
      <c r="Z160" s="1026"/>
      <c r="AA160" s="2054"/>
      <c r="AB160" s="1913"/>
      <c r="AC160" s="964"/>
      <c r="AD160" s="961"/>
      <c r="AE160" s="1651"/>
      <c r="AF160" s="1026"/>
      <c r="AG160" s="1912"/>
      <c r="AH160" s="1913"/>
      <c r="AI160" s="1651"/>
      <c r="AJ160" s="1026"/>
      <c r="AK160" s="1912"/>
      <c r="AL160" s="1913"/>
      <c r="AM160" s="1052"/>
      <c r="AN160" s="2032"/>
      <c r="AO160" s="1872"/>
      <c r="AP160" s="1101"/>
      <c r="AQ160" s="1053"/>
      <c r="AR160" s="2102"/>
      <c r="AS160" s="1554"/>
      <c r="AT160" s="2102"/>
      <c r="AU160" s="1651"/>
      <c r="AV160" s="1026"/>
      <c r="AW160" s="1912"/>
      <c r="AX160" s="1913"/>
      <c r="AY160" s="965"/>
      <c r="AZ160" s="961"/>
      <c r="BA160" s="1651"/>
      <c r="BB160" s="1026"/>
      <c r="BC160" s="1912"/>
      <c r="BD160" s="1913"/>
      <c r="BE160" s="952">
        <v>7</v>
      </c>
      <c r="BF160" s="959" t="s">
        <v>1123</v>
      </c>
      <c r="BG160" s="1651">
        <v>15240</v>
      </c>
      <c r="BH160" s="1026"/>
      <c r="BI160" s="1912"/>
      <c r="BJ160" s="1913"/>
      <c r="BK160" s="1651"/>
      <c r="BL160" s="1026"/>
      <c r="BM160" s="1912"/>
      <c r="BN160" s="1913"/>
      <c r="BO160" s="1052"/>
      <c r="BP160" s="1997"/>
      <c r="BQ160" s="1052"/>
      <c r="BR160" s="2032"/>
      <c r="BS160" s="1651"/>
      <c r="BT160" s="1026"/>
      <c r="BU160" s="1912"/>
      <c r="BV160" s="1913"/>
      <c r="BW160" s="1052"/>
      <c r="BX160" s="2032"/>
      <c r="BY160" s="1651"/>
      <c r="BZ160" s="1026"/>
      <c r="CA160" s="1912"/>
      <c r="CB160" s="1913"/>
      <c r="CC160" s="1743"/>
      <c r="CD160" s="2150"/>
      <c r="CE160" s="952">
        <v>8</v>
      </c>
      <c r="CF160" s="1025" t="s">
        <v>1595</v>
      </c>
      <c r="CG160" s="1651"/>
      <c r="CH160" s="1026"/>
      <c r="CI160" s="1912"/>
      <c r="CJ160" s="1913"/>
      <c r="CK160" s="952">
        <v>8</v>
      </c>
      <c r="CL160" s="1025" t="s">
        <v>1595</v>
      </c>
      <c r="CM160" s="1651"/>
      <c r="CN160" s="1026"/>
      <c r="CO160" s="1912"/>
      <c r="CP160" s="1913"/>
      <c r="CQ160" s="1651"/>
      <c r="CR160" s="1026"/>
      <c r="CS160" s="1912"/>
      <c r="CT160" s="1913"/>
      <c r="CU160" s="1651"/>
      <c r="CV160" s="1026"/>
      <c r="CW160" s="1912"/>
      <c r="CX160" s="1913"/>
      <c r="CY160" s="1651"/>
      <c r="CZ160" s="1026"/>
      <c r="DA160" s="1912"/>
      <c r="DB160" s="1913"/>
      <c r="DC160" s="1052"/>
      <c r="DD160" s="2032"/>
      <c r="DE160" s="1651"/>
      <c r="DF160" s="1026"/>
      <c r="DG160" s="1912"/>
      <c r="DH160" s="1913"/>
      <c r="DI160" s="955">
        <v>7</v>
      </c>
      <c r="DJ160" s="995"/>
      <c r="DK160" s="1052"/>
      <c r="DL160" s="1997"/>
      <c r="DM160" s="1052"/>
      <c r="DN160" s="1997"/>
      <c r="DO160" s="1052"/>
      <c r="DP160" s="2032"/>
      <c r="DQ160" s="952">
        <v>8</v>
      </c>
      <c r="DR160" s="962"/>
      <c r="DS160" s="1651"/>
      <c r="DT160" s="1026"/>
      <c r="DU160" s="1912"/>
      <c r="DV160" s="1913"/>
      <c r="DW160" s="965"/>
      <c r="DX160" s="959"/>
      <c r="DY160" s="1651"/>
      <c r="DZ160" s="1026"/>
      <c r="EA160" s="1912"/>
      <c r="EB160" s="1913"/>
      <c r="EC160" s="1052"/>
      <c r="ED160" s="2032"/>
      <c r="EE160" s="965"/>
      <c r="EF160" s="961"/>
      <c r="EG160" s="1052"/>
      <c r="EH160" s="2032"/>
      <c r="EI160" s="1651"/>
      <c r="EJ160" s="1026"/>
      <c r="EK160" s="2204"/>
      <c r="EL160" s="1913"/>
      <c r="EM160" s="2202">
        <f t="shared" si="219"/>
        <v>0</v>
      </c>
      <c r="EN160" s="1585">
        <f t="shared" si="220"/>
        <v>0</v>
      </c>
      <c r="EO160" s="1585">
        <f t="shared" si="221"/>
        <v>0</v>
      </c>
      <c r="EP160" s="1586">
        <f t="shared" si="130"/>
        <v>0</v>
      </c>
      <c r="EQ160" s="999">
        <f t="shared" si="127"/>
        <v>15240</v>
      </c>
      <c r="ER160" s="1776">
        <f t="shared" si="128"/>
        <v>0</v>
      </c>
      <c r="ES160" s="1776">
        <f t="shared" si="129"/>
        <v>0</v>
      </c>
      <c r="ET160" s="1055">
        <f t="shared" si="149"/>
        <v>15240</v>
      </c>
    </row>
    <row r="161" spans="1:150" ht="27.6" x14ac:dyDescent="0.3">
      <c r="A161" s="952"/>
      <c r="B161" s="959"/>
      <c r="C161" s="1651"/>
      <c r="D161" s="1026"/>
      <c r="E161" s="1912"/>
      <c r="F161" s="1913"/>
      <c r="G161" s="1052"/>
      <c r="H161" s="1997"/>
      <c r="I161" s="1052"/>
      <c r="J161" s="1997"/>
      <c r="K161" s="1052"/>
      <c r="L161" s="2032"/>
      <c r="M161" s="965"/>
      <c r="N161" s="959"/>
      <c r="O161" s="1052"/>
      <c r="P161" s="2032"/>
      <c r="Q161" s="1651"/>
      <c r="R161" s="1026"/>
      <c r="S161" s="1912"/>
      <c r="T161" s="1913"/>
      <c r="U161" s="1651"/>
      <c r="V161" s="1026"/>
      <c r="W161" s="1912"/>
      <c r="X161" s="1913"/>
      <c r="Y161" s="1651"/>
      <c r="Z161" s="1026"/>
      <c r="AA161" s="2054"/>
      <c r="AB161" s="1913"/>
      <c r="AC161" s="964"/>
      <c r="AD161" s="961"/>
      <c r="AE161" s="1651"/>
      <c r="AF161" s="1026"/>
      <c r="AG161" s="1912"/>
      <c r="AH161" s="1913"/>
      <c r="AI161" s="1651"/>
      <c r="AJ161" s="1026"/>
      <c r="AK161" s="1912"/>
      <c r="AL161" s="1913"/>
      <c r="AM161" s="1052"/>
      <c r="AN161" s="2032"/>
      <c r="AO161" s="1872"/>
      <c r="AP161" s="1101"/>
      <c r="AQ161" s="1053"/>
      <c r="AR161" s="2102"/>
      <c r="AS161" s="1554"/>
      <c r="AT161" s="2102"/>
      <c r="AU161" s="1651"/>
      <c r="AV161" s="1026"/>
      <c r="AW161" s="1912"/>
      <c r="AX161" s="1913"/>
      <c r="AY161" s="965"/>
      <c r="AZ161" s="961"/>
      <c r="BA161" s="1651"/>
      <c r="BB161" s="1026"/>
      <c r="BC161" s="1912"/>
      <c r="BD161" s="1913"/>
      <c r="BE161" s="952">
        <v>8</v>
      </c>
      <c r="BF161" s="959"/>
      <c r="BG161" s="1651"/>
      <c r="BH161" s="1026"/>
      <c r="BI161" s="1912"/>
      <c r="BJ161" s="1913"/>
      <c r="BK161" s="1651"/>
      <c r="BL161" s="1026"/>
      <c r="BM161" s="1912"/>
      <c r="BN161" s="1913"/>
      <c r="BO161" s="1052"/>
      <c r="BP161" s="1997"/>
      <c r="BQ161" s="1052"/>
      <c r="BR161" s="2032"/>
      <c r="BS161" s="1651"/>
      <c r="BT161" s="1026"/>
      <c r="BU161" s="1912"/>
      <c r="BV161" s="1913"/>
      <c r="BW161" s="1052"/>
      <c r="BX161" s="2032"/>
      <c r="BY161" s="1651"/>
      <c r="BZ161" s="1026"/>
      <c r="CA161" s="1912"/>
      <c r="CB161" s="1913"/>
      <c r="CC161" s="1743"/>
      <c r="CD161" s="2150"/>
      <c r="CE161" s="952">
        <v>9</v>
      </c>
      <c r="CF161" s="1104" t="s">
        <v>1616</v>
      </c>
      <c r="CG161" s="1651"/>
      <c r="CH161" s="1026"/>
      <c r="CI161" s="1912"/>
      <c r="CJ161" s="1913"/>
      <c r="CK161" s="952">
        <v>9</v>
      </c>
      <c r="CL161" s="997" t="s">
        <v>1398</v>
      </c>
      <c r="CM161" s="1651"/>
      <c r="CN161" s="1026"/>
      <c r="CO161" s="1912"/>
      <c r="CP161" s="1913"/>
      <c r="CQ161" s="1651"/>
      <c r="CR161" s="1026"/>
      <c r="CS161" s="1912"/>
      <c r="CT161" s="1913"/>
      <c r="CU161" s="1651"/>
      <c r="CV161" s="1026"/>
      <c r="CW161" s="1912"/>
      <c r="CX161" s="1913"/>
      <c r="CY161" s="1651"/>
      <c r="CZ161" s="1026"/>
      <c r="DA161" s="1912"/>
      <c r="DB161" s="1913"/>
      <c r="DC161" s="1052"/>
      <c r="DD161" s="2032"/>
      <c r="DE161" s="1651"/>
      <c r="DF161" s="1026"/>
      <c r="DG161" s="1912"/>
      <c r="DH161" s="1913"/>
      <c r="DI161" s="955">
        <v>8</v>
      </c>
      <c r="DJ161" s="995"/>
      <c r="DK161" s="1052"/>
      <c r="DL161" s="1997"/>
      <c r="DM161" s="1052"/>
      <c r="DN161" s="1997"/>
      <c r="DO161" s="1052"/>
      <c r="DP161" s="2032"/>
      <c r="DQ161" s="965"/>
      <c r="DR161" s="962"/>
      <c r="DS161" s="1651"/>
      <c r="DT161" s="1026"/>
      <c r="DU161" s="1912"/>
      <c r="DV161" s="1913"/>
      <c r="DW161" s="965"/>
      <c r="DX161" s="959"/>
      <c r="DY161" s="1651"/>
      <c r="DZ161" s="1026"/>
      <c r="EA161" s="1912"/>
      <c r="EB161" s="1913"/>
      <c r="EC161" s="1052"/>
      <c r="ED161" s="2032"/>
      <c r="EE161" s="965"/>
      <c r="EF161" s="961"/>
      <c r="EG161" s="1052"/>
      <c r="EH161" s="2032"/>
      <c r="EI161" s="1651"/>
      <c r="EJ161" s="1026"/>
      <c r="EK161" s="2204"/>
      <c r="EL161" s="1913"/>
      <c r="EM161" s="2202">
        <f t="shared" si="219"/>
        <v>0</v>
      </c>
      <c r="EN161" s="1585">
        <f t="shared" si="220"/>
        <v>0</v>
      </c>
      <c r="EO161" s="1585">
        <f t="shared" si="221"/>
        <v>0</v>
      </c>
      <c r="EP161" s="1586">
        <f t="shared" si="130"/>
        <v>0</v>
      </c>
      <c r="EQ161" s="999">
        <f t="shared" si="127"/>
        <v>0</v>
      </c>
      <c r="ER161" s="1776">
        <f t="shared" si="128"/>
        <v>0</v>
      </c>
      <c r="ES161" s="1776">
        <f t="shared" si="129"/>
        <v>0</v>
      </c>
      <c r="ET161" s="1055">
        <f t="shared" si="149"/>
        <v>0</v>
      </c>
    </row>
    <row r="162" spans="1:150" ht="26.4" x14ac:dyDescent="0.25">
      <c r="A162" s="952"/>
      <c r="B162" s="959"/>
      <c r="C162" s="1651"/>
      <c r="D162" s="1026"/>
      <c r="E162" s="1912"/>
      <c r="F162" s="1913"/>
      <c r="G162" s="1052"/>
      <c r="H162" s="1997"/>
      <c r="I162" s="1052"/>
      <c r="J162" s="1997"/>
      <c r="K162" s="1052"/>
      <c r="L162" s="2032"/>
      <c r="M162" s="965"/>
      <c r="N162" s="959"/>
      <c r="O162" s="1052"/>
      <c r="P162" s="2032"/>
      <c r="Q162" s="1651"/>
      <c r="R162" s="1026"/>
      <c r="S162" s="1912"/>
      <c r="T162" s="1913"/>
      <c r="U162" s="1651"/>
      <c r="V162" s="1026"/>
      <c r="W162" s="1912"/>
      <c r="X162" s="1913"/>
      <c r="Y162" s="1651"/>
      <c r="Z162" s="1026"/>
      <c r="AA162" s="2054"/>
      <c r="AB162" s="1913"/>
      <c r="AC162" s="964"/>
      <c r="AD162" s="961"/>
      <c r="AE162" s="1651"/>
      <c r="AF162" s="1026"/>
      <c r="AG162" s="1912"/>
      <c r="AH162" s="1913"/>
      <c r="AI162" s="1651"/>
      <c r="AJ162" s="1026"/>
      <c r="AK162" s="1912"/>
      <c r="AL162" s="1913"/>
      <c r="AM162" s="1052"/>
      <c r="AN162" s="2032"/>
      <c r="AO162" s="1872"/>
      <c r="AP162" s="1101"/>
      <c r="AQ162" s="1053"/>
      <c r="AR162" s="2102"/>
      <c r="AS162" s="1554"/>
      <c r="AT162" s="2102"/>
      <c r="AU162" s="1651"/>
      <c r="AV162" s="1026"/>
      <c r="AW162" s="1912"/>
      <c r="AX162" s="1913"/>
      <c r="AY162" s="965"/>
      <c r="AZ162" s="961"/>
      <c r="BA162" s="1651"/>
      <c r="BB162" s="1026"/>
      <c r="BC162" s="1912"/>
      <c r="BD162" s="1913"/>
      <c r="BE162" s="952">
        <v>9</v>
      </c>
      <c r="BF162" s="959"/>
      <c r="BG162" s="1651"/>
      <c r="BH162" s="1026"/>
      <c r="BI162" s="1912"/>
      <c r="BJ162" s="1913"/>
      <c r="BK162" s="1651"/>
      <c r="BL162" s="1026"/>
      <c r="BM162" s="1912"/>
      <c r="BN162" s="1913"/>
      <c r="BO162" s="1052"/>
      <c r="BP162" s="1997"/>
      <c r="BQ162" s="1052"/>
      <c r="BR162" s="2032"/>
      <c r="BS162" s="1651"/>
      <c r="BT162" s="1026"/>
      <c r="BU162" s="1912"/>
      <c r="BV162" s="1913"/>
      <c r="BW162" s="1052"/>
      <c r="BX162" s="2032"/>
      <c r="BY162" s="1651"/>
      <c r="BZ162" s="1026"/>
      <c r="CA162" s="1912"/>
      <c r="CB162" s="1913"/>
      <c r="CC162" s="1743"/>
      <c r="CD162" s="2150"/>
      <c r="CE162" s="952">
        <v>10</v>
      </c>
      <c r="CF162" s="1104" t="s">
        <v>1617</v>
      </c>
      <c r="CG162" s="1651"/>
      <c r="CH162" s="1026"/>
      <c r="CI162" s="1912"/>
      <c r="CJ162" s="1913"/>
      <c r="CK162" s="952">
        <v>10</v>
      </c>
      <c r="CL162" s="1103" t="s">
        <v>1615</v>
      </c>
      <c r="CM162" s="1651"/>
      <c r="CN162" s="1026"/>
      <c r="CO162" s="1912"/>
      <c r="CP162" s="1913"/>
      <c r="CQ162" s="1651"/>
      <c r="CR162" s="1026"/>
      <c r="CS162" s="1912"/>
      <c r="CT162" s="1913"/>
      <c r="CU162" s="1651"/>
      <c r="CV162" s="1026"/>
      <c r="CW162" s="1912"/>
      <c r="CX162" s="1913"/>
      <c r="CY162" s="1651"/>
      <c r="CZ162" s="1026"/>
      <c r="DA162" s="1912"/>
      <c r="DB162" s="1913"/>
      <c r="DC162" s="1052"/>
      <c r="DD162" s="2032"/>
      <c r="DE162" s="1651"/>
      <c r="DF162" s="1026"/>
      <c r="DG162" s="1912"/>
      <c r="DH162" s="1913"/>
      <c r="DI162" s="964"/>
      <c r="DJ162" s="995"/>
      <c r="DK162" s="1052"/>
      <c r="DL162" s="1997"/>
      <c r="DM162" s="1052"/>
      <c r="DN162" s="1997"/>
      <c r="DO162" s="1052"/>
      <c r="DP162" s="2032"/>
      <c r="DQ162" s="965"/>
      <c r="DR162" s="962"/>
      <c r="DS162" s="1651"/>
      <c r="DT162" s="1026"/>
      <c r="DU162" s="1912"/>
      <c r="DV162" s="1913"/>
      <c r="DW162" s="965"/>
      <c r="DX162" s="959"/>
      <c r="DY162" s="1651"/>
      <c r="DZ162" s="1026"/>
      <c r="EA162" s="1912"/>
      <c r="EB162" s="1913"/>
      <c r="EC162" s="1052"/>
      <c r="ED162" s="2032"/>
      <c r="EE162" s="965"/>
      <c r="EF162" s="961"/>
      <c r="EG162" s="1052"/>
      <c r="EH162" s="2032"/>
      <c r="EI162" s="1651"/>
      <c r="EJ162" s="1026"/>
      <c r="EK162" s="2204"/>
      <c r="EL162" s="1913"/>
      <c r="EM162" s="2202">
        <f t="shared" si="219"/>
        <v>0</v>
      </c>
      <c r="EN162" s="1585">
        <f t="shared" si="220"/>
        <v>0</v>
      </c>
      <c r="EO162" s="1585">
        <f t="shared" si="221"/>
        <v>0</v>
      </c>
      <c r="EP162" s="1586">
        <f t="shared" si="130"/>
        <v>0</v>
      </c>
      <c r="EQ162" s="999">
        <f t="shared" si="127"/>
        <v>0</v>
      </c>
      <c r="ER162" s="1776">
        <f t="shared" si="128"/>
        <v>0</v>
      </c>
      <c r="ES162" s="1776">
        <f t="shared" si="129"/>
        <v>0</v>
      </c>
      <c r="ET162" s="1055">
        <f t="shared" si="149"/>
        <v>0</v>
      </c>
    </row>
    <row r="163" spans="1:150" x14ac:dyDescent="0.25">
      <c r="A163" s="952"/>
      <c r="B163" s="959"/>
      <c r="C163" s="1651"/>
      <c r="D163" s="1026"/>
      <c r="E163" s="1912"/>
      <c r="F163" s="1913"/>
      <c r="G163" s="1052"/>
      <c r="H163" s="1997"/>
      <c r="I163" s="1052"/>
      <c r="J163" s="1997"/>
      <c r="K163" s="1052"/>
      <c r="L163" s="2032"/>
      <c r="M163" s="965"/>
      <c r="N163" s="959"/>
      <c r="O163" s="1052"/>
      <c r="P163" s="2032"/>
      <c r="Q163" s="1651"/>
      <c r="R163" s="1026"/>
      <c r="S163" s="1912"/>
      <c r="T163" s="1913"/>
      <c r="U163" s="1651"/>
      <c r="V163" s="1026"/>
      <c r="W163" s="1912"/>
      <c r="X163" s="1913"/>
      <c r="Y163" s="1651"/>
      <c r="Z163" s="1026"/>
      <c r="AA163" s="2054"/>
      <c r="AB163" s="1913"/>
      <c r="AC163" s="964"/>
      <c r="AD163" s="961"/>
      <c r="AE163" s="1651"/>
      <c r="AF163" s="1026"/>
      <c r="AG163" s="1912"/>
      <c r="AH163" s="1913"/>
      <c r="AI163" s="1651"/>
      <c r="AJ163" s="1026"/>
      <c r="AK163" s="1912"/>
      <c r="AL163" s="1913"/>
      <c r="AM163" s="1052"/>
      <c r="AN163" s="2032"/>
      <c r="AO163" s="1872"/>
      <c r="AP163" s="1101"/>
      <c r="AQ163" s="1053"/>
      <c r="AR163" s="2102"/>
      <c r="AS163" s="1554"/>
      <c r="AT163" s="2102"/>
      <c r="AU163" s="1651"/>
      <c r="AV163" s="1026"/>
      <c r="AW163" s="1912"/>
      <c r="AX163" s="1913"/>
      <c r="AY163" s="965"/>
      <c r="AZ163" s="961"/>
      <c r="BA163" s="1651"/>
      <c r="BB163" s="1026"/>
      <c r="BC163" s="1912"/>
      <c r="BD163" s="1913"/>
      <c r="BE163" s="952">
        <v>10</v>
      </c>
      <c r="BF163" s="959"/>
      <c r="BG163" s="1651"/>
      <c r="BH163" s="1026"/>
      <c r="BI163" s="1912"/>
      <c r="BJ163" s="1913"/>
      <c r="BK163" s="1651"/>
      <c r="BL163" s="1026"/>
      <c r="BM163" s="1912"/>
      <c r="BN163" s="1913"/>
      <c r="BO163" s="1052"/>
      <c r="BP163" s="1997"/>
      <c r="BQ163" s="1052"/>
      <c r="BR163" s="2032"/>
      <c r="BS163" s="1651"/>
      <c r="BT163" s="1026"/>
      <c r="BU163" s="1912"/>
      <c r="BV163" s="1913"/>
      <c r="BW163" s="1052"/>
      <c r="BX163" s="2032"/>
      <c r="BY163" s="1651"/>
      <c r="BZ163" s="1026"/>
      <c r="CA163" s="1912"/>
      <c r="CB163" s="1913"/>
      <c r="CC163" s="1743"/>
      <c r="CD163" s="2150"/>
      <c r="CE163" s="965"/>
      <c r="CF163" s="1104" t="s">
        <v>1618</v>
      </c>
      <c r="CG163" s="1651"/>
      <c r="CH163" s="1026"/>
      <c r="CI163" s="1912"/>
      <c r="CJ163" s="1913"/>
      <c r="CK163" s="952">
        <v>11</v>
      </c>
      <c r="CL163" s="959" t="s">
        <v>1595</v>
      </c>
      <c r="CM163" s="1651"/>
      <c r="CN163" s="1026"/>
      <c r="CO163" s="1912"/>
      <c r="CP163" s="1913"/>
      <c r="CQ163" s="1651"/>
      <c r="CR163" s="1026"/>
      <c r="CS163" s="1912"/>
      <c r="CT163" s="1913"/>
      <c r="CU163" s="1651"/>
      <c r="CV163" s="1026"/>
      <c r="CW163" s="1912"/>
      <c r="CX163" s="1913"/>
      <c r="CY163" s="1651"/>
      <c r="CZ163" s="1026"/>
      <c r="DA163" s="1912"/>
      <c r="DB163" s="1913"/>
      <c r="DC163" s="1052"/>
      <c r="DD163" s="2032"/>
      <c r="DE163" s="1651"/>
      <c r="DF163" s="1026"/>
      <c r="DG163" s="1912"/>
      <c r="DH163" s="1913"/>
      <c r="DI163" s="964"/>
      <c r="DJ163" s="995"/>
      <c r="DK163" s="1052"/>
      <c r="DL163" s="1997"/>
      <c r="DM163" s="1052"/>
      <c r="DN163" s="1997"/>
      <c r="DO163" s="1052"/>
      <c r="DP163" s="2032"/>
      <c r="DQ163" s="965"/>
      <c r="DR163" s="962"/>
      <c r="DS163" s="1651"/>
      <c r="DT163" s="1026"/>
      <c r="DU163" s="1912"/>
      <c r="DV163" s="1913"/>
      <c r="DW163" s="965"/>
      <c r="DX163" s="959"/>
      <c r="DY163" s="1651"/>
      <c r="DZ163" s="1026"/>
      <c r="EA163" s="1912"/>
      <c r="EB163" s="1913"/>
      <c r="EC163" s="1052"/>
      <c r="ED163" s="2032"/>
      <c r="EE163" s="965"/>
      <c r="EF163" s="961"/>
      <c r="EG163" s="1052"/>
      <c r="EH163" s="2032"/>
      <c r="EI163" s="1651"/>
      <c r="EJ163" s="1026"/>
      <c r="EK163" s="2204"/>
      <c r="EL163" s="1913"/>
      <c r="EM163" s="2202">
        <f t="shared" si="219"/>
        <v>0</v>
      </c>
      <c r="EN163" s="1585">
        <f t="shared" si="220"/>
        <v>0</v>
      </c>
      <c r="EO163" s="1585">
        <f t="shared" si="221"/>
        <v>0</v>
      </c>
      <c r="EP163" s="1586">
        <f t="shared" si="130"/>
        <v>0</v>
      </c>
      <c r="EQ163" s="999">
        <f t="shared" si="127"/>
        <v>0</v>
      </c>
      <c r="ER163" s="1776">
        <f t="shared" si="128"/>
        <v>0</v>
      </c>
      <c r="ES163" s="1776">
        <f t="shared" si="129"/>
        <v>0</v>
      </c>
      <c r="ET163" s="1055">
        <f t="shared" si="149"/>
        <v>0</v>
      </c>
    </row>
    <row r="164" spans="1:150" ht="26.4" x14ac:dyDescent="0.25">
      <c r="A164" s="952"/>
      <c r="B164" s="959"/>
      <c r="C164" s="1651"/>
      <c r="D164" s="1026"/>
      <c r="E164" s="1912"/>
      <c r="F164" s="1913"/>
      <c r="G164" s="1052"/>
      <c r="H164" s="1997"/>
      <c r="I164" s="1052"/>
      <c r="J164" s="1997"/>
      <c r="K164" s="1052"/>
      <c r="L164" s="2032"/>
      <c r="M164" s="965"/>
      <c r="N164" s="959"/>
      <c r="O164" s="1052"/>
      <c r="P164" s="2032"/>
      <c r="Q164" s="1651"/>
      <c r="R164" s="1026"/>
      <c r="S164" s="1912"/>
      <c r="T164" s="1913"/>
      <c r="U164" s="1651"/>
      <c r="V164" s="1026"/>
      <c r="W164" s="1912"/>
      <c r="X164" s="1913"/>
      <c r="Y164" s="1651"/>
      <c r="Z164" s="1026"/>
      <c r="AA164" s="2054"/>
      <c r="AB164" s="1913"/>
      <c r="AC164" s="964"/>
      <c r="AD164" s="961"/>
      <c r="AE164" s="1651"/>
      <c r="AF164" s="1026"/>
      <c r="AG164" s="1912"/>
      <c r="AH164" s="1913"/>
      <c r="AI164" s="1651"/>
      <c r="AJ164" s="1026"/>
      <c r="AK164" s="1912"/>
      <c r="AL164" s="1913"/>
      <c r="AM164" s="1052"/>
      <c r="AN164" s="2032"/>
      <c r="AO164" s="1872"/>
      <c r="AP164" s="1101"/>
      <c r="AQ164" s="1053"/>
      <c r="AR164" s="2102"/>
      <c r="AS164" s="1554"/>
      <c r="AT164" s="2102"/>
      <c r="AU164" s="1651"/>
      <c r="AV164" s="1026"/>
      <c r="AW164" s="1912"/>
      <c r="AX164" s="1913"/>
      <c r="AY164" s="965"/>
      <c r="AZ164" s="961"/>
      <c r="BA164" s="1651"/>
      <c r="BB164" s="1026"/>
      <c r="BC164" s="1912"/>
      <c r="BD164" s="1913"/>
      <c r="BE164" s="952">
        <v>11</v>
      </c>
      <c r="BF164" s="959"/>
      <c r="BG164" s="1651"/>
      <c r="BH164" s="1026"/>
      <c r="BI164" s="1912"/>
      <c r="BJ164" s="1913"/>
      <c r="BK164" s="1651"/>
      <c r="BL164" s="1026"/>
      <c r="BM164" s="1912"/>
      <c r="BN164" s="1913"/>
      <c r="BO164" s="1052"/>
      <c r="BP164" s="1997"/>
      <c r="BQ164" s="1052"/>
      <c r="BR164" s="2032"/>
      <c r="BS164" s="1651"/>
      <c r="BT164" s="1026"/>
      <c r="BU164" s="1912"/>
      <c r="BV164" s="1913"/>
      <c r="BW164" s="1052"/>
      <c r="BX164" s="2032"/>
      <c r="BY164" s="1651"/>
      <c r="BZ164" s="1026"/>
      <c r="CA164" s="1912"/>
      <c r="CB164" s="1913"/>
      <c r="CC164" s="1743"/>
      <c r="CD164" s="2150"/>
      <c r="CE164" s="965"/>
      <c r="CF164" s="1104" t="s">
        <v>893</v>
      </c>
      <c r="CG164" s="1651"/>
      <c r="CH164" s="1026"/>
      <c r="CI164" s="1912">
        <v>10000</v>
      </c>
      <c r="CJ164" s="1913"/>
      <c r="CK164" s="952">
        <v>12</v>
      </c>
      <c r="CL164" s="959" t="s">
        <v>1619</v>
      </c>
      <c r="CM164" s="1651"/>
      <c r="CN164" s="1026"/>
      <c r="CO164" s="1912"/>
      <c r="CP164" s="1913"/>
      <c r="CQ164" s="1651"/>
      <c r="CR164" s="1026"/>
      <c r="CS164" s="1912"/>
      <c r="CT164" s="1913"/>
      <c r="CU164" s="1651"/>
      <c r="CV164" s="1026"/>
      <c r="CW164" s="1912"/>
      <c r="CX164" s="1913"/>
      <c r="CY164" s="1651"/>
      <c r="CZ164" s="1026"/>
      <c r="DA164" s="1912"/>
      <c r="DB164" s="1913"/>
      <c r="DC164" s="1052"/>
      <c r="DD164" s="2032"/>
      <c r="DE164" s="1651"/>
      <c r="DF164" s="1026"/>
      <c r="DG164" s="1912"/>
      <c r="DH164" s="1913"/>
      <c r="DI164" s="964"/>
      <c r="DJ164" s="995"/>
      <c r="DK164" s="1052"/>
      <c r="DL164" s="1997"/>
      <c r="DM164" s="1052"/>
      <c r="DN164" s="1997"/>
      <c r="DO164" s="1052"/>
      <c r="DP164" s="2032"/>
      <c r="DQ164" s="965"/>
      <c r="DR164" s="962"/>
      <c r="DS164" s="1651"/>
      <c r="DT164" s="1026"/>
      <c r="DU164" s="1912"/>
      <c r="DV164" s="1913"/>
      <c r="DW164" s="965"/>
      <c r="DX164" s="959"/>
      <c r="DY164" s="1651"/>
      <c r="DZ164" s="1026"/>
      <c r="EA164" s="1912"/>
      <c r="EB164" s="1913"/>
      <c r="EC164" s="1052"/>
      <c r="ED164" s="2032"/>
      <c r="EE164" s="965"/>
      <c r="EF164" s="961"/>
      <c r="EG164" s="1052"/>
      <c r="EH164" s="2032"/>
      <c r="EI164" s="1651"/>
      <c r="EJ164" s="1026"/>
      <c r="EK164" s="2204"/>
      <c r="EL164" s="1913"/>
      <c r="EM164" s="2202">
        <f t="shared" si="219"/>
        <v>10000</v>
      </c>
      <c r="EN164" s="1585">
        <f t="shared" si="220"/>
        <v>0</v>
      </c>
      <c r="EO164" s="1585">
        <f t="shared" si="221"/>
        <v>0</v>
      </c>
      <c r="EP164" s="1586">
        <f t="shared" si="130"/>
        <v>10000</v>
      </c>
      <c r="EQ164" s="999">
        <f t="shared" si="127"/>
        <v>0</v>
      </c>
      <c r="ER164" s="1776">
        <f t="shared" si="128"/>
        <v>0</v>
      </c>
      <c r="ES164" s="1776">
        <f t="shared" si="129"/>
        <v>0</v>
      </c>
      <c r="ET164" s="1055">
        <f t="shared" si="149"/>
        <v>0</v>
      </c>
    </row>
    <row r="165" spans="1:150" ht="26.4" x14ac:dyDescent="0.25">
      <c r="A165" s="952"/>
      <c r="B165" s="959"/>
      <c r="C165" s="1651"/>
      <c r="D165" s="1026"/>
      <c r="E165" s="1912"/>
      <c r="F165" s="1913"/>
      <c r="G165" s="1052"/>
      <c r="H165" s="1997"/>
      <c r="I165" s="1052"/>
      <c r="J165" s="1997"/>
      <c r="K165" s="1052"/>
      <c r="L165" s="2032"/>
      <c r="M165" s="965"/>
      <c r="N165" s="959"/>
      <c r="O165" s="1052"/>
      <c r="P165" s="2032"/>
      <c r="Q165" s="1651"/>
      <c r="R165" s="1026"/>
      <c r="S165" s="1912"/>
      <c r="T165" s="1913"/>
      <c r="U165" s="1651"/>
      <c r="V165" s="1026"/>
      <c r="W165" s="1912"/>
      <c r="X165" s="1913"/>
      <c r="Y165" s="1651"/>
      <c r="Z165" s="1026"/>
      <c r="AA165" s="2054"/>
      <c r="AB165" s="1913"/>
      <c r="AC165" s="964"/>
      <c r="AD165" s="961"/>
      <c r="AE165" s="1651"/>
      <c r="AF165" s="1026"/>
      <c r="AG165" s="1912"/>
      <c r="AH165" s="1913"/>
      <c r="AI165" s="1651"/>
      <c r="AJ165" s="1026"/>
      <c r="AK165" s="1912"/>
      <c r="AL165" s="1913"/>
      <c r="AM165" s="1052"/>
      <c r="AN165" s="2032"/>
      <c r="AO165" s="1872"/>
      <c r="AP165" s="1101"/>
      <c r="AQ165" s="1053"/>
      <c r="AR165" s="2102"/>
      <c r="AS165" s="1554"/>
      <c r="AT165" s="2102"/>
      <c r="AU165" s="1651"/>
      <c r="AV165" s="1026"/>
      <c r="AW165" s="1912"/>
      <c r="AX165" s="1913"/>
      <c r="AY165" s="965"/>
      <c r="AZ165" s="961"/>
      <c r="BA165" s="1651"/>
      <c r="BB165" s="1026"/>
      <c r="BC165" s="1912"/>
      <c r="BD165" s="1913"/>
      <c r="BE165" s="952">
        <v>12</v>
      </c>
      <c r="BF165" s="959"/>
      <c r="BG165" s="1651"/>
      <c r="BH165" s="1026"/>
      <c r="BI165" s="1912"/>
      <c r="BJ165" s="1913"/>
      <c r="BK165" s="1651"/>
      <c r="BL165" s="1026"/>
      <c r="BM165" s="1912"/>
      <c r="BN165" s="1913"/>
      <c r="BO165" s="1052"/>
      <c r="BP165" s="1997"/>
      <c r="BQ165" s="1052"/>
      <c r="BR165" s="2032"/>
      <c r="BS165" s="1651"/>
      <c r="BT165" s="1026"/>
      <c r="BU165" s="1912"/>
      <c r="BV165" s="1913"/>
      <c r="BW165" s="1052"/>
      <c r="BX165" s="2032"/>
      <c r="BY165" s="1651"/>
      <c r="BZ165" s="1026"/>
      <c r="CA165" s="1912"/>
      <c r="CB165" s="1913"/>
      <c r="CC165" s="1743"/>
      <c r="CD165" s="2150"/>
      <c r="CE165" s="965"/>
      <c r="CF165" s="1104" t="s">
        <v>2287</v>
      </c>
      <c r="CG165" s="1651"/>
      <c r="CH165" s="1026"/>
      <c r="CI165" s="1912">
        <v>8500</v>
      </c>
      <c r="CJ165" s="1913"/>
      <c r="CK165" s="952">
        <v>13</v>
      </c>
      <c r="CL165" s="959" t="s">
        <v>1620</v>
      </c>
      <c r="CM165" s="1651"/>
      <c r="CN165" s="1026"/>
      <c r="CO165" s="1912"/>
      <c r="CP165" s="1913"/>
      <c r="CQ165" s="1651"/>
      <c r="CR165" s="1026"/>
      <c r="CS165" s="1912"/>
      <c r="CT165" s="1913"/>
      <c r="CU165" s="1651"/>
      <c r="CV165" s="1026"/>
      <c r="CW165" s="1912"/>
      <c r="CX165" s="1913"/>
      <c r="CY165" s="1651"/>
      <c r="CZ165" s="1026"/>
      <c r="DA165" s="1912"/>
      <c r="DB165" s="1913"/>
      <c r="DC165" s="1052"/>
      <c r="DD165" s="2032"/>
      <c r="DE165" s="1651"/>
      <c r="DF165" s="1026"/>
      <c r="DG165" s="1912"/>
      <c r="DH165" s="1913"/>
      <c r="DI165" s="964"/>
      <c r="DJ165" s="995"/>
      <c r="DK165" s="1052"/>
      <c r="DL165" s="1997"/>
      <c r="DM165" s="1052"/>
      <c r="DN165" s="1997"/>
      <c r="DO165" s="1052"/>
      <c r="DP165" s="2032"/>
      <c r="DQ165" s="965"/>
      <c r="DR165" s="962"/>
      <c r="DS165" s="1651"/>
      <c r="DT165" s="1026"/>
      <c r="DU165" s="1912"/>
      <c r="DV165" s="1913"/>
      <c r="DW165" s="965"/>
      <c r="DX165" s="959"/>
      <c r="DY165" s="1651"/>
      <c r="DZ165" s="1026"/>
      <c r="EA165" s="1912"/>
      <c r="EB165" s="1913"/>
      <c r="EC165" s="1052"/>
      <c r="ED165" s="2032"/>
      <c r="EE165" s="965"/>
      <c r="EF165" s="961"/>
      <c r="EG165" s="1052"/>
      <c r="EH165" s="2032"/>
      <c r="EI165" s="1651"/>
      <c r="EJ165" s="1026"/>
      <c r="EK165" s="2204"/>
      <c r="EL165" s="1913"/>
      <c r="EM165" s="2202">
        <f t="shared" si="219"/>
        <v>8500</v>
      </c>
      <c r="EN165" s="1585">
        <f t="shared" si="220"/>
        <v>0</v>
      </c>
      <c r="EO165" s="1585">
        <f t="shared" si="221"/>
        <v>0</v>
      </c>
      <c r="EP165" s="1586">
        <f t="shared" si="130"/>
        <v>8500</v>
      </c>
      <c r="EQ165" s="999">
        <f t="shared" si="127"/>
        <v>0</v>
      </c>
      <c r="ER165" s="1776">
        <f t="shared" si="128"/>
        <v>0</v>
      </c>
      <c r="ES165" s="1776">
        <f t="shared" si="129"/>
        <v>0</v>
      </c>
      <c r="ET165" s="1055">
        <f t="shared" si="149"/>
        <v>0</v>
      </c>
    </row>
    <row r="166" spans="1:150" ht="26.4" x14ac:dyDescent="0.25">
      <c r="A166" s="952"/>
      <c r="B166" s="959"/>
      <c r="C166" s="1651"/>
      <c r="D166" s="1026"/>
      <c r="E166" s="1912"/>
      <c r="F166" s="1913"/>
      <c r="G166" s="1052"/>
      <c r="H166" s="1997"/>
      <c r="I166" s="1052"/>
      <c r="J166" s="1997"/>
      <c r="K166" s="1052"/>
      <c r="L166" s="2032"/>
      <c r="M166" s="965"/>
      <c r="N166" s="959"/>
      <c r="O166" s="1052"/>
      <c r="P166" s="2032"/>
      <c r="Q166" s="1651"/>
      <c r="R166" s="1026"/>
      <c r="S166" s="1912"/>
      <c r="T166" s="1913"/>
      <c r="U166" s="1651"/>
      <c r="V166" s="1026"/>
      <c r="W166" s="1912"/>
      <c r="X166" s="1913"/>
      <c r="Y166" s="1651"/>
      <c r="Z166" s="1026"/>
      <c r="AA166" s="2054"/>
      <c r="AB166" s="1913"/>
      <c r="AC166" s="964"/>
      <c r="AD166" s="961"/>
      <c r="AE166" s="1651"/>
      <c r="AF166" s="1026"/>
      <c r="AG166" s="1912"/>
      <c r="AH166" s="1913"/>
      <c r="AI166" s="1651"/>
      <c r="AJ166" s="1026"/>
      <c r="AK166" s="1912"/>
      <c r="AL166" s="1913"/>
      <c r="AM166" s="1052"/>
      <c r="AN166" s="2032"/>
      <c r="AO166" s="1872"/>
      <c r="AP166" s="1101"/>
      <c r="AQ166" s="1053"/>
      <c r="AR166" s="2102"/>
      <c r="AS166" s="1554"/>
      <c r="AT166" s="2102"/>
      <c r="AU166" s="1651"/>
      <c r="AV166" s="1026"/>
      <c r="AW166" s="1912"/>
      <c r="AX166" s="1913"/>
      <c r="AY166" s="965"/>
      <c r="AZ166" s="961"/>
      <c r="BA166" s="1651"/>
      <c r="BB166" s="1026"/>
      <c r="BC166" s="1912"/>
      <c r="BD166" s="1913"/>
      <c r="BE166" s="952">
        <v>13</v>
      </c>
      <c r="BF166" s="959"/>
      <c r="BG166" s="1651"/>
      <c r="BH166" s="1026"/>
      <c r="BI166" s="1912"/>
      <c r="BJ166" s="1913"/>
      <c r="BK166" s="1651"/>
      <c r="BL166" s="1026"/>
      <c r="BM166" s="1912"/>
      <c r="BN166" s="1913"/>
      <c r="BO166" s="1052"/>
      <c r="BP166" s="1997"/>
      <c r="BQ166" s="1052"/>
      <c r="BR166" s="2032"/>
      <c r="BS166" s="1651"/>
      <c r="BT166" s="1026"/>
      <c r="BU166" s="1912"/>
      <c r="BV166" s="1913"/>
      <c r="BW166" s="1052"/>
      <c r="BX166" s="2032"/>
      <c r="BY166" s="1651"/>
      <c r="BZ166" s="1026"/>
      <c r="CA166" s="1912"/>
      <c r="CB166" s="1913"/>
      <c r="CC166" s="1743"/>
      <c r="CD166" s="2150"/>
      <c r="CE166" s="965"/>
      <c r="CF166" s="1104" t="s">
        <v>1621</v>
      </c>
      <c r="CG166" s="1651"/>
      <c r="CH166" s="1026"/>
      <c r="CI166" s="1912"/>
      <c r="CJ166" s="1913"/>
      <c r="CK166" s="952">
        <v>14</v>
      </c>
      <c r="CL166" s="959" t="s">
        <v>1622</v>
      </c>
      <c r="CM166" s="1651"/>
      <c r="CN166" s="1026"/>
      <c r="CO166" s="1912"/>
      <c r="CP166" s="1913"/>
      <c r="CQ166" s="1651"/>
      <c r="CR166" s="1026"/>
      <c r="CS166" s="1912"/>
      <c r="CT166" s="1913"/>
      <c r="CU166" s="1651"/>
      <c r="CV166" s="1026"/>
      <c r="CW166" s="1912"/>
      <c r="CX166" s="1913"/>
      <c r="CY166" s="1651"/>
      <c r="CZ166" s="1026"/>
      <c r="DA166" s="1912"/>
      <c r="DB166" s="1913"/>
      <c r="DC166" s="1052"/>
      <c r="DD166" s="2032"/>
      <c r="DE166" s="1651"/>
      <c r="DF166" s="1026"/>
      <c r="DG166" s="1912"/>
      <c r="DH166" s="1913"/>
      <c r="DI166" s="964"/>
      <c r="DJ166" s="995"/>
      <c r="DK166" s="1052"/>
      <c r="DL166" s="1997"/>
      <c r="DM166" s="1052"/>
      <c r="DN166" s="1997"/>
      <c r="DO166" s="1052"/>
      <c r="DP166" s="2032"/>
      <c r="DQ166" s="965"/>
      <c r="DR166" s="962"/>
      <c r="DS166" s="1651"/>
      <c r="DT166" s="1026"/>
      <c r="DU166" s="1912"/>
      <c r="DV166" s="1913"/>
      <c r="DW166" s="965"/>
      <c r="DX166" s="959"/>
      <c r="DY166" s="1651"/>
      <c r="DZ166" s="1026"/>
      <c r="EA166" s="1912"/>
      <c r="EB166" s="1913"/>
      <c r="EC166" s="1052"/>
      <c r="ED166" s="2032"/>
      <c r="EE166" s="965"/>
      <c r="EF166" s="961"/>
      <c r="EG166" s="1052"/>
      <c r="EH166" s="2032"/>
      <c r="EI166" s="1651"/>
      <c r="EJ166" s="1026"/>
      <c r="EK166" s="2204"/>
      <c r="EL166" s="1913"/>
      <c r="EM166" s="2202">
        <f t="shared" si="219"/>
        <v>0</v>
      </c>
      <c r="EN166" s="1585">
        <f t="shared" si="220"/>
        <v>0</v>
      </c>
      <c r="EO166" s="1585">
        <f t="shared" si="221"/>
        <v>0</v>
      </c>
      <c r="EP166" s="1586">
        <f t="shared" si="130"/>
        <v>0</v>
      </c>
      <c r="EQ166" s="999">
        <f t="shared" si="127"/>
        <v>0</v>
      </c>
      <c r="ER166" s="1776">
        <f t="shared" si="128"/>
        <v>0</v>
      </c>
      <c r="ES166" s="1776">
        <f t="shared" si="129"/>
        <v>0</v>
      </c>
      <c r="ET166" s="1055">
        <f t="shared" si="149"/>
        <v>0</v>
      </c>
    </row>
    <row r="167" spans="1:150" ht="26.4" x14ac:dyDescent="0.25">
      <c r="A167" s="952"/>
      <c r="B167" s="959"/>
      <c r="C167" s="1651"/>
      <c r="D167" s="1026"/>
      <c r="E167" s="1912"/>
      <c r="F167" s="1913"/>
      <c r="G167" s="1052"/>
      <c r="H167" s="1997"/>
      <c r="I167" s="1052"/>
      <c r="J167" s="1997"/>
      <c r="K167" s="1052"/>
      <c r="L167" s="2032"/>
      <c r="M167" s="965"/>
      <c r="N167" s="959"/>
      <c r="O167" s="1052"/>
      <c r="P167" s="2032"/>
      <c r="Q167" s="1651"/>
      <c r="R167" s="1026"/>
      <c r="S167" s="1912"/>
      <c r="T167" s="1913"/>
      <c r="U167" s="1651"/>
      <c r="V167" s="1026"/>
      <c r="W167" s="1912"/>
      <c r="X167" s="1913"/>
      <c r="Y167" s="1651"/>
      <c r="Z167" s="1026"/>
      <c r="AA167" s="2054"/>
      <c r="AB167" s="1913"/>
      <c r="AC167" s="964"/>
      <c r="AD167" s="961"/>
      <c r="AE167" s="1651"/>
      <c r="AF167" s="1026"/>
      <c r="AG167" s="1912"/>
      <c r="AH167" s="1913"/>
      <c r="AI167" s="1651"/>
      <c r="AJ167" s="1026"/>
      <c r="AK167" s="1912"/>
      <c r="AL167" s="1913"/>
      <c r="AM167" s="1052"/>
      <c r="AN167" s="2032"/>
      <c r="AO167" s="1872"/>
      <c r="AP167" s="1101"/>
      <c r="AQ167" s="1053"/>
      <c r="AR167" s="2102"/>
      <c r="AS167" s="1554"/>
      <c r="AT167" s="2102"/>
      <c r="AU167" s="1651"/>
      <c r="AV167" s="1026"/>
      <c r="AW167" s="1912"/>
      <c r="AX167" s="1913"/>
      <c r="AY167" s="965"/>
      <c r="AZ167" s="961"/>
      <c r="BA167" s="1651"/>
      <c r="BB167" s="1026"/>
      <c r="BC167" s="1912"/>
      <c r="BD167" s="1913"/>
      <c r="BE167" s="952">
        <v>14</v>
      </c>
      <c r="BF167" s="959"/>
      <c r="BG167" s="1651"/>
      <c r="BH167" s="1026"/>
      <c r="BI167" s="1912"/>
      <c r="BJ167" s="1913"/>
      <c r="BK167" s="1651"/>
      <c r="BL167" s="1026"/>
      <c r="BM167" s="1912"/>
      <c r="BN167" s="1913"/>
      <c r="BO167" s="1052"/>
      <c r="BP167" s="1997"/>
      <c r="BQ167" s="1052"/>
      <c r="BR167" s="2032"/>
      <c r="BS167" s="1651"/>
      <c r="BT167" s="1026"/>
      <c r="BU167" s="1912"/>
      <c r="BV167" s="1913"/>
      <c r="BW167" s="1052"/>
      <c r="BX167" s="2032"/>
      <c r="BY167" s="1651"/>
      <c r="BZ167" s="1026"/>
      <c r="CA167" s="1912"/>
      <c r="CB167" s="1913"/>
      <c r="CC167" s="1743"/>
      <c r="CD167" s="2150"/>
      <c r="CE167" s="965"/>
      <c r="CF167" s="1104" t="s">
        <v>1623</v>
      </c>
      <c r="CG167" s="1651"/>
      <c r="CH167" s="1026"/>
      <c r="CI167" s="1912"/>
      <c r="CJ167" s="1913"/>
      <c r="CK167" s="952">
        <v>15</v>
      </c>
      <c r="CL167" s="959" t="s">
        <v>1624</v>
      </c>
      <c r="CM167" s="1651"/>
      <c r="CN167" s="1026"/>
      <c r="CO167" s="1912"/>
      <c r="CP167" s="1913"/>
      <c r="CQ167" s="1651"/>
      <c r="CR167" s="1026"/>
      <c r="CS167" s="1912"/>
      <c r="CT167" s="1913"/>
      <c r="CU167" s="1651"/>
      <c r="CV167" s="1026"/>
      <c r="CW167" s="1912"/>
      <c r="CX167" s="1913"/>
      <c r="CY167" s="1651"/>
      <c r="CZ167" s="1026"/>
      <c r="DA167" s="1912"/>
      <c r="DB167" s="1913"/>
      <c r="DC167" s="1052"/>
      <c r="DD167" s="2032"/>
      <c r="DE167" s="1651"/>
      <c r="DF167" s="1026"/>
      <c r="DG167" s="1912"/>
      <c r="DH167" s="1913"/>
      <c r="DI167" s="964"/>
      <c r="DJ167" s="995"/>
      <c r="DK167" s="1052"/>
      <c r="DL167" s="1997"/>
      <c r="DM167" s="1052"/>
      <c r="DN167" s="1997"/>
      <c r="DO167" s="1052"/>
      <c r="DP167" s="2032"/>
      <c r="DQ167" s="965"/>
      <c r="DR167" s="962"/>
      <c r="DS167" s="1651"/>
      <c r="DT167" s="1026"/>
      <c r="DU167" s="1912"/>
      <c r="DV167" s="1913"/>
      <c r="DW167" s="965"/>
      <c r="DX167" s="959"/>
      <c r="DY167" s="1651"/>
      <c r="DZ167" s="1026"/>
      <c r="EA167" s="1912"/>
      <c r="EB167" s="1913"/>
      <c r="EC167" s="1052"/>
      <c r="ED167" s="2032"/>
      <c r="EE167" s="965"/>
      <c r="EF167" s="961"/>
      <c r="EG167" s="1052"/>
      <c r="EH167" s="2032"/>
      <c r="EI167" s="1651"/>
      <c r="EJ167" s="1026"/>
      <c r="EK167" s="2204"/>
      <c r="EL167" s="1913"/>
      <c r="EM167" s="2202">
        <f t="shared" si="219"/>
        <v>0</v>
      </c>
      <c r="EN167" s="1585">
        <f t="shared" si="220"/>
        <v>0</v>
      </c>
      <c r="EO167" s="1585">
        <f t="shared" si="221"/>
        <v>0</v>
      </c>
      <c r="EP167" s="1586">
        <f t="shared" si="130"/>
        <v>0</v>
      </c>
      <c r="EQ167" s="999">
        <f t="shared" si="127"/>
        <v>0</v>
      </c>
      <c r="ER167" s="1776">
        <f t="shared" si="128"/>
        <v>0</v>
      </c>
      <c r="ES167" s="1776">
        <f t="shared" si="129"/>
        <v>0</v>
      </c>
      <c r="ET167" s="1055">
        <f t="shared" si="149"/>
        <v>0</v>
      </c>
    </row>
    <row r="168" spans="1:150" ht="26.4" x14ac:dyDescent="0.25">
      <c r="A168" s="952"/>
      <c r="B168" s="959"/>
      <c r="C168" s="1651"/>
      <c r="D168" s="1026"/>
      <c r="E168" s="1912"/>
      <c r="F168" s="1913"/>
      <c r="G168" s="1052"/>
      <c r="H168" s="1997"/>
      <c r="I168" s="1052"/>
      <c r="J168" s="1997"/>
      <c r="K168" s="1052"/>
      <c r="L168" s="2032"/>
      <c r="M168" s="965"/>
      <c r="N168" s="959"/>
      <c r="O168" s="1052"/>
      <c r="P168" s="2032"/>
      <c r="Q168" s="1651"/>
      <c r="R168" s="1026"/>
      <c r="S168" s="1912"/>
      <c r="T168" s="1913"/>
      <c r="U168" s="1651"/>
      <c r="V168" s="1026"/>
      <c r="W168" s="1912"/>
      <c r="X168" s="1913"/>
      <c r="Y168" s="1651"/>
      <c r="Z168" s="1026"/>
      <c r="AA168" s="2054"/>
      <c r="AB168" s="1913"/>
      <c r="AC168" s="964"/>
      <c r="AD168" s="961"/>
      <c r="AE168" s="1651"/>
      <c r="AF168" s="1026"/>
      <c r="AG168" s="1912"/>
      <c r="AH168" s="1913"/>
      <c r="AI168" s="1651"/>
      <c r="AJ168" s="1026"/>
      <c r="AK168" s="1912"/>
      <c r="AL168" s="1913"/>
      <c r="AM168" s="1052"/>
      <c r="AN168" s="2032"/>
      <c r="AO168" s="1872"/>
      <c r="AP168" s="1101"/>
      <c r="AQ168" s="1053"/>
      <c r="AR168" s="2102"/>
      <c r="AS168" s="1554"/>
      <c r="AT168" s="2102"/>
      <c r="AU168" s="1651"/>
      <c r="AV168" s="1026"/>
      <c r="AW168" s="1912"/>
      <c r="AX168" s="1913"/>
      <c r="AY168" s="965"/>
      <c r="AZ168" s="961"/>
      <c r="BA168" s="1651"/>
      <c r="BB168" s="1026"/>
      <c r="BC168" s="1912"/>
      <c r="BD168" s="1913"/>
      <c r="BE168" s="952">
        <v>15</v>
      </c>
      <c r="BF168" s="959"/>
      <c r="BG168" s="1651"/>
      <c r="BH168" s="1026"/>
      <c r="BI168" s="1912"/>
      <c r="BJ168" s="1913"/>
      <c r="BK168" s="1651"/>
      <c r="BL168" s="1026"/>
      <c r="BM168" s="1912"/>
      <c r="BN168" s="1913"/>
      <c r="BO168" s="1052"/>
      <c r="BP168" s="1997"/>
      <c r="BQ168" s="1052"/>
      <c r="BR168" s="2032"/>
      <c r="BS168" s="1651"/>
      <c r="BT168" s="1026"/>
      <c r="BU168" s="1912"/>
      <c r="BV168" s="1913"/>
      <c r="BW168" s="1052"/>
      <c r="BX168" s="2032"/>
      <c r="BY168" s="1651"/>
      <c r="BZ168" s="1026"/>
      <c r="CA168" s="1912"/>
      <c r="CB168" s="1913"/>
      <c r="CC168" s="1743"/>
      <c r="CD168" s="2150"/>
      <c r="CE168" s="965"/>
      <c r="CF168" s="1104" t="s">
        <v>1625</v>
      </c>
      <c r="CG168" s="1651"/>
      <c r="CH168" s="1026"/>
      <c r="CI168" s="1912"/>
      <c r="CJ168" s="1913"/>
      <c r="CK168" s="952">
        <v>16</v>
      </c>
      <c r="CL168" s="959" t="s">
        <v>1626</v>
      </c>
      <c r="CM168" s="1651"/>
      <c r="CN168" s="1026"/>
      <c r="CO168" s="1912"/>
      <c r="CP168" s="1913"/>
      <c r="CQ168" s="1651"/>
      <c r="CR168" s="1026"/>
      <c r="CS168" s="1912"/>
      <c r="CT168" s="1913"/>
      <c r="CU168" s="1651"/>
      <c r="CV168" s="1026"/>
      <c r="CW168" s="1912"/>
      <c r="CX168" s="1913"/>
      <c r="CY168" s="1651"/>
      <c r="CZ168" s="1026"/>
      <c r="DA168" s="1912"/>
      <c r="DB168" s="1913"/>
      <c r="DC168" s="1052"/>
      <c r="DD168" s="2032"/>
      <c r="DE168" s="1651"/>
      <c r="DF168" s="1026"/>
      <c r="DG168" s="1912"/>
      <c r="DH168" s="1913"/>
      <c r="DI168" s="964"/>
      <c r="DJ168" s="995"/>
      <c r="DK168" s="1052"/>
      <c r="DL168" s="1997"/>
      <c r="DM168" s="1052"/>
      <c r="DN168" s="1997"/>
      <c r="DO168" s="1052"/>
      <c r="DP168" s="2032"/>
      <c r="DQ168" s="965"/>
      <c r="DR168" s="962"/>
      <c r="DS168" s="1651"/>
      <c r="DT168" s="1026"/>
      <c r="DU168" s="1912"/>
      <c r="DV168" s="1913"/>
      <c r="DW168" s="965"/>
      <c r="DX168" s="959"/>
      <c r="DY168" s="1651"/>
      <c r="DZ168" s="1026"/>
      <c r="EA168" s="1912"/>
      <c r="EB168" s="1913"/>
      <c r="EC168" s="1052"/>
      <c r="ED168" s="2032"/>
      <c r="EE168" s="965"/>
      <c r="EF168" s="961"/>
      <c r="EG168" s="1052"/>
      <c r="EH168" s="2032"/>
      <c r="EI168" s="1651"/>
      <c r="EJ168" s="1026"/>
      <c r="EK168" s="2204"/>
      <c r="EL168" s="1913"/>
      <c r="EM168" s="2202">
        <f t="shared" si="219"/>
        <v>0</v>
      </c>
      <c r="EN168" s="1585">
        <f t="shared" si="220"/>
        <v>0</v>
      </c>
      <c r="EO168" s="1585">
        <f t="shared" si="221"/>
        <v>0</v>
      </c>
      <c r="EP168" s="1586">
        <f t="shared" si="130"/>
        <v>0</v>
      </c>
      <c r="EQ168" s="999">
        <f t="shared" si="127"/>
        <v>0</v>
      </c>
      <c r="ER168" s="1776">
        <f t="shared" si="128"/>
        <v>0</v>
      </c>
      <c r="ES168" s="1776">
        <f t="shared" si="129"/>
        <v>0</v>
      </c>
      <c r="ET168" s="1055">
        <f t="shared" si="149"/>
        <v>0</v>
      </c>
    </row>
    <row r="169" spans="1:150" x14ac:dyDescent="0.25">
      <c r="A169" s="952"/>
      <c r="B169" s="959"/>
      <c r="C169" s="1651"/>
      <c r="D169" s="1026"/>
      <c r="E169" s="1912"/>
      <c r="F169" s="1913"/>
      <c r="G169" s="1052"/>
      <c r="H169" s="1997"/>
      <c r="I169" s="1052"/>
      <c r="J169" s="1997"/>
      <c r="K169" s="1052"/>
      <c r="L169" s="2032"/>
      <c r="M169" s="965"/>
      <c r="N169" s="959"/>
      <c r="O169" s="1052"/>
      <c r="P169" s="2032"/>
      <c r="Q169" s="1651"/>
      <c r="R169" s="1026"/>
      <c r="S169" s="1912"/>
      <c r="T169" s="1913"/>
      <c r="U169" s="1651"/>
      <c r="V169" s="1026"/>
      <c r="W169" s="1912"/>
      <c r="X169" s="1913"/>
      <c r="Y169" s="1651"/>
      <c r="Z169" s="1026"/>
      <c r="AA169" s="2054"/>
      <c r="AB169" s="1913"/>
      <c r="AC169" s="964"/>
      <c r="AD169" s="961"/>
      <c r="AE169" s="1651"/>
      <c r="AF169" s="1026"/>
      <c r="AG169" s="1912"/>
      <c r="AH169" s="1913"/>
      <c r="AI169" s="1651"/>
      <c r="AJ169" s="1026"/>
      <c r="AK169" s="1912"/>
      <c r="AL169" s="1913"/>
      <c r="AM169" s="1052"/>
      <c r="AN169" s="2032"/>
      <c r="AO169" s="1872"/>
      <c r="AP169" s="1101"/>
      <c r="AQ169" s="1053"/>
      <c r="AR169" s="2102"/>
      <c r="AS169" s="1554"/>
      <c r="AT169" s="2102"/>
      <c r="AU169" s="1651"/>
      <c r="AV169" s="1026"/>
      <c r="AW169" s="1912"/>
      <c r="AX169" s="1913"/>
      <c r="AY169" s="965"/>
      <c r="AZ169" s="961"/>
      <c r="BA169" s="1651"/>
      <c r="BB169" s="1026"/>
      <c r="BC169" s="1912"/>
      <c r="BD169" s="1913"/>
      <c r="BE169" s="952"/>
      <c r="BF169" s="959"/>
      <c r="BG169" s="1651"/>
      <c r="BH169" s="1026"/>
      <c r="BI169" s="1912"/>
      <c r="BJ169" s="1913"/>
      <c r="BK169" s="1651"/>
      <c r="BL169" s="1026"/>
      <c r="BM169" s="1912"/>
      <c r="BN169" s="1913"/>
      <c r="BO169" s="1052"/>
      <c r="BP169" s="1997"/>
      <c r="BQ169" s="1052"/>
      <c r="BR169" s="2032"/>
      <c r="BS169" s="1651"/>
      <c r="BT169" s="1026"/>
      <c r="BU169" s="1912"/>
      <c r="BV169" s="1913"/>
      <c r="BW169" s="1052"/>
      <c r="BX169" s="2032"/>
      <c r="BY169" s="1651"/>
      <c r="BZ169" s="1026"/>
      <c r="CA169" s="1912"/>
      <c r="CB169" s="1913"/>
      <c r="CC169" s="1743"/>
      <c r="CD169" s="2150"/>
      <c r="CE169" s="965"/>
      <c r="CF169" s="1104" t="s">
        <v>1627</v>
      </c>
      <c r="CG169" s="1651"/>
      <c r="CH169" s="1026"/>
      <c r="CI169" s="1912"/>
      <c r="CJ169" s="1913"/>
      <c r="CK169" s="952">
        <v>17</v>
      </c>
      <c r="CL169" s="1025" t="s">
        <v>1595</v>
      </c>
      <c r="CM169" s="1651"/>
      <c r="CN169" s="1026"/>
      <c r="CO169" s="1912"/>
      <c r="CP169" s="1913"/>
      <c r="CQ169" s="1651"/>
      <c r="CR169" s="1026"/>
      <c r="CS169" s="1912"/>
      <c r="CT169" s="1913"/>
      <c r="CU169" s="1651"/>
      <c r="CV169" s="1026"/>
      <c r="CW169" s="1912"/>
      <c r="CX169" s="1913"/>
      <c r="CY169" s="1651"/>
      <c r="CZ169" s="1026"/>
      <c r="DA169" s="1912"/>
      <c r="DB169" s="1913"/>
      <c r="DC169" s="1052"/>
      <c r="DD169" s="2032"/>
      <c r="DE169" s="1651"/>
      <c r="DF169" s="1026"/>
      <c r="DG169" s="1912"/>
      <c r="DH169" s="1913"/>
      <c r="DI169" s="964"/>
      <c r="DJ169" s="995"/>
      <c r="DK169" s="1052"/>
      <c r="DL169" s="1997"/>
      <c r="DM169" s="1052"/>
      <c r="DN169" s="1997"/>
      <c r="DO169" s="1052"/>
      <c r="DP169" s="2032"/>
      <c r="DQ169" s="965"/>
      <c r="DR169" s="962"/>
      <c r="DS169" s="1651"/>
      <c r="DT169" s="1026"/>
      <c r="DU169" s="1912"/>
      <c r="DV169" s="1913"/>
      <c r="DW169" s="965"/>
      <c r="DX169" s="959"/>
      <c r="DY169" s="1651"/>
      <c r="DZ169" s="1026"/>
      <c r="EA169" s="1912"/>
      <c r="EB169" s="1913"/>
      <c r="EC169" s="1052"/>
      <c r="ED169" s="2032"/>
      <c r="EE169" s="965"/>
      <c r="EF169" s="961"/>
      <c r="EG169" s="1052"/>
      <c r="EH169" s="2032"/>
      <c r="EI169" s="1651"/>
      <c r="EJ169" s="1026"/>
      <c r="EK169" s="2204"/>
      <c r="EL169" s="1913"/>
      <c r="EM169" s="2202">
        <f t="shared" si="219"/>
        <v>0</v>
      </c>
      <c r="EN169" s="1585">
        <f t="shared" si="220"/>
        <v>0</v>
      </c>
      <c r="EO169" s="1585">
        <f t="shared" si="221"/>
        <v>0</v>
      </c>
      <c r="EP169" s="1586">
        <f t="shared" si="130"/>
        <v>0</v>
      </c>
      <c r="EQ169" s="999">
        <f t="shared" si="127"/>
        <v>0</v>
      </c>
      <c r="ER169" s="1776">
        <f t="shared" si="128"/>
        <v>0</v>
      </c>
      <c r="ES169" s="1776">
        <f t="shared" si="129"/>
        <v>0</v>
      </c>
      <c r="ET169" s="1055">
        <f t="shared" si="149"/>
        <v>0</v>
      </c>
    </row>
    <row r="170" spans="1:150" ht="26.4" x14ac:dyDescent="0.25">
      <c r="A170" s="952"/>
      <c r="B170" s="959"/>
      <c r="C170" s="1651"/>
      <c r="D170" s="1026"/>
      <c r="E170" s="1912"/>
      <c r="F170" s="1913"/>
      <c r="G170" s="1052"/>
      <c r="H170" s="1997"/>
      <c r="I170" s="1052"/>
      <c r="J170" s="1997"/>
      <c r="K170" s="1052"/>
      <c r="L170" s="2032"/>
      <c r="M170" s="965"/>
      <c r="N170" s="959"/>
      <c r="O170" s="1052"/>
      <c r="P170" s="2032"/>
      <c r="Q170" s="1651"/>
      <c r="R170" s="1026"/>
      <c r="S170" s="1912"/>
      <c r="T170" s="1913"/>
      <c r="U170" s="1651"/>
      <c r="V170" s="1026"/>
      <c r="W170" s="1912"/>
      <c r="X170" s="1913"/>
      <c r="Y170" s="1651"/>
      <c r="Z170" s="1026"/>
      <c r="AA170" s="2054"/>
      <c r="AB170" s="1913"/>
      <c r="AC170" s="964"/>
      <c r="AD170" s="961"/>
      <c r="AE170" s="1651"/>
      <c r="AF170" s="1026"/>
      <c r="AG170" s="1912"/>
      <c r="AH170" s="1913"/>
      <c r="AI170" s="1651"/>
      <c r="AJ170" s="1026"/>
      <c r="AK170" s="1912"/>
      <c r="AL170" s="1913"/>
      <c r="AM170" s="1052"/>
      <c r="AN170" s="2032"/>
      <c r="AO170" s="1872"/>
      <c r="AP170" s="1101"/>
      <c r="AQ170" s="1053"/>
      <c r="AR170" s="2102"/>
      <c r="AS170" s="1554"/>
      <c r="AT170" s="2102"/>
      <c r="AU170" s="1651"/>
      <c r="AV170" s="1026"/>
      <c r="AW170" s="1912"/>
      <c r="AX170" s="1913"/>
      <c r="AY170" s="965"/>
      <c r="AZ170" s="961"/>
      <c r="BA170" s="1651"/>
      <c r="BB170" s="1026"/>
      <c r="BC170" s="1912"/>
      <c r="BD170" s="1913"/>
      <c r="BE170" s="952"/>
      <c r="BF170" s="959"/>
      <c r="BG170" s="1651"/>
      <c r="BH170" s="1026"/>
      <c r="BI170" s="1912"/>
      <c r="BJ170" s="1913"/>
      <c r="BK170" s="1651"/>
      <c r="BL170" s="1026"/>
      <c r="BM170" s="1912"/>
      <c r="BN170" s="1913"/>
      <c r="BO170" s="1052"/>
      <c r="BP170" s="1997"/>
      <c r="BQ170" s="1052"/>
      <c r="BR170" s="2032"/>
      <c r="BS170" s="1651"/>
      <c r="BT170" s="1026"/>
      <c r="BU170" s="1912"/>
      <c r="BV170" s="1913"/>
      <c r="BW170" s="1052"/>
      <c r="BX170" s="2032"/>
      <c r="BY170" s="1651"/>
      <c r="BZ170" s="1026"/>
      <c r="CA170" s="1912"/>
      <c r="CB170" s="1913"/>
      <c r="CC170" s="1743"/>
      <c r="CD170" s="2150"/>
      <c r="CE170" s="965"/>
      <c r="CF170" s="1104" t="s">
        <v>1628</v>
      </c>
      <c r="CG170" s="1651"/>
      <c r="CH170" s="1026"/>
      <c r="CI170" s="1912"/>
      <c r="CJ170" s="1913"/>
      <c r="CK170" s="952">
        <v>18</v>
      </c>
      <c r="CL170" s="980" t="s">
        <v>1629</v>
      </c>
      <c r="CM170" s="1651"/>
      <c r="CN170" s="1026"/>
      <c r="CO170" s="1912"/>
      <c r="CP170" s="1913"/>
      <c r="CQ170" s="1651"/>
      <c r="CR170" s="1026"/>
      <c r="CS170" s="1912"/>
      <c r="CT170" s="1913"/>
      <c r="CU170" s="1651"/>
      <c r="CV170" s="1026"/>
      <c r="CW170" s="1912"/>
      <c r="CX170" s="1913"/>
      <c r="CY170" s="1651"/>
      <c r="CZ170" s="1026"/>
      <c r="DA170" s="1912"/>
      <c r="DB170" s="1913"/>
      <c r="DC170" s="1052"/>
      <c r="DD170" s="2032"/>
      <c r="DE170" s="1651"/>
      <c r="DF170" s="1026"/>
      <c r="DG170" s="1912"/>
      <c r="DH170" s="1913"/>
      <c r="DI170" s="964"/>
      <c r="DJ170" s="995"/>
      <c r="DK170" s="1052"/>
      <c r="DL170" s="1997"/>
      <c r="DM170" s="1052"/>
      <c r="DN170" s="1997"/>
      <c r="DO170" s="1052"/>
      <c r="DP170" s="2032"/>
      <c r="DQ170" s="965"/>
      <c r="DR170" s="962"/>
      <c r="DS170" s="1651"/>
      <c r="DT170" s="1026"/>
      <c r="DU170" s="1912"/>
      <c r="DV170" s="1913"/>
      <c r="DW170" s="965"/>
      <c r="DX170" s="959"/>
      <c r="DY170" s="1651"/>
      <c r="DZ170" s="1026"/>
      <c r="EA170" s="1912"/>
      <c r="EB170" s="1913"/>
      <c r="EC170" s="1052"/>
      <c r="ED170" s="2032"/>
      <c r="EE170" s="965"/>
      <c r="EF170" s="961"/>
      <c r="EG170" s="1052"/>
      <c r="EH170" s="2032"/>
      <c r="EI170" s="1651"/>
      <c r="EJ170" s="1026"/>
      <c r="EK170" s="2204"/>
      <c r="EL170" s="1913"/>
      <c r="EM170" s="2202">
        <f t="shared" si="219"/>
        <v>0</v>
      </c>
      <c r="EN170" s="1585">
        <f t="shared" si="220"/>
        <v>0</v>
      </c>
      <c r="EO170" s="1585">
        <f t="shared" si="221"/>
        <v>0</v>
      </c>
      <c r="EP170" s="1586">
        <f t="shared" si="130"/>
        <v>0</v>
      </c>
      <c r="EQ170" s="999">
        <f t="shared" si="127"/>
        <v>0</v>
      </c>
      <c r="ER170" s="1776">
        <f t="shared" si="128"/>
        <v>0</v>
      </c>
      <c r="ES170" s="1776">
        <f t="shared" si="129"/>
        <v>0</v>
      </c>
      <c r="ET170" s="1055">
        <f t="shared" si="149"/>
        <v>0</v>
      </c>
    </row>
    <row r="171" spans="1:150" x14ac:dyDescent="0.25">
      <c r="A171" s="952"/>
      <c r="B171" s="959"/>
      <c r="C171" s="1651"/>
      <c r="D171" s="1026"/>
      <c r="E171" s="1912"/>
      <c r="F171" s="1913"/>
      <c r="G171" s="1052"/>
      <c r="H171" s="1997"/>
      <c r="I171" s="1052"/>
      <c r="J171" s="1997"/>
      <c r="K171" s="1052"/>
      <c r="L171" s="2032"/>
      <c r="M171" s="965"/>
      <c r="N171" s="959"/>
      <c r="O171" s="1052"/>
      <c r="P171" s="2032"/>
      <c r="Q171" s="1651"/>
      <c r="R171" s="1026"/>
      <c r="S171" s="1912"/>
      <c r="T171" s="1913"/>
      <c r="U171" s="1651"/>
      <c r="V171" s="1026"/>
      <c r="W171" s="1912"/>
      <c r="X171" s="1913"/>
      <c r="Y171" s="1651"/>
      <c r="Z171" s="1026"/>
      <c r="AA171" s="2054"/>
      <c r="AB171" s="1913"/>
      <c r="AC171" s="964"/>
      <c r="AD171" s="961"/>
      <c r="AE171" s="1651"/>
      <c r="AF171" s="1026"/>
      <c r="AG171" s="1912"/>
      <c r="AH171" s="1913"/>
      <c r="AI171" s="1651"/>
      <c r="AJ171" s="1026"/>
      <c r="AK171" s="1912"/>
      <c r="AL171" s="1913"/>
      <c r="AM171" s="1052"/>
      <c r="AN171" s="2032"/>
      <c r="AO171" s="1872"/>
      <c r="AP171" s="1101"/>
      <c r="AQ171" s="1053"/>
      <c r="AR171" s="2102"/>
      <c r="AS171" s="1554"/>
      <c r="AT171" s="2102"/>
      <c r="AU171" s="1651"/>
      <c r="AV171" s="1026"/>
      <c r="AW171" s="1912"/>
      <c r="AX171" s="1913"/>
      <c r="AY171" s="965"/>
      <c r="AZ171" s="961"/>
      <c r="BA171" s="1651"/>
      <c r="BB171" s="1026"/>
      <c r="BC171" s="1912"/>
      <c r="BD171" s="1913"/>
      <c r="BE171" s="952"/>
      <c r="BF171" s="959"/>
      <c r="BG171" s="1651"/>
      <c r="BH171" s="1026"/>
      <c r="BI171" s="1912"/>
      <c r="BJ171" s="1913"/>
      <c r="BK171" s="1651"/>
      <c r="BL171" s="1026"/>
      <c r="BM171" s="1912"/>
      <c r="BN171" s="1913"/>
      <c r="BO171" s="1052"/>
      <c r="BP171" s="1997"/>
      <c r="BQ171" s="1052"/>
      <c r="BR171" s="2032"/>
      <c r="BS171" s="1651"/>
      <c r="BT171" s="1026"/>
      <c r="BU171" s="1912"/>
      <c r="BV171" s="1913"/>
      <c r="BW171" s="1052"/>
      <c r="BX171" s="2032"/>
      <c r="BY171" s="1651"/>
      <c r="BZ171" s="1026"/>
      <c r="CA171" s="1912"/>
      <c r="CB171" s="1913"/>
      <c r="CC171" s="1743"/>
      <c r="CD171" s="2150"/>
      <c r="CE171" s="965"/>
      <c r="CF171" s="1104" t="s">
        <v>1630</v>
      </c>
      <c r="CG171" s="1651"/>
      <c r="CH171" s="1026"/>
      <c r="CI171" s="1912"/>
      <c r="CJ171" s="1913"/>
      <c r="CK171" s="952">
        <v>19</v>
      </c>
      <c r="CL171" s="959" t="s">
        <v>1631</v>
      </c>
      <c r="CM171" s="1651"/>
      <c r="CN171" s="1026"/>
      <c r="CO171" s="1912"/>
      <c r="CP171" s="1913"/>
      <c r="CQ171" s="1651"/>
      <c r="CR171" s="1026"/>
      <c r="CS171" s="1912"/>
      <c r="CT171" s="1913"/>
      <c r="CU171" s="1651"/>
      <c r="CV171" s="1026"/>
      <c r="CW171" s="1912"/>
      <c r="CX171" s="1913"/>
      <c r="CY171" s="1651"/>
      <c r="CZ171" s="1026"/>
      <c r="DA171" s="1912"/>
      <c r="DB171" s="1913"/>
      <c r="DC171" s="1052"/>
      <c r="DD171" s="2032"/>
      <c r="DE171" s="1651"/>
      <c r="DF171" s="1026"/>
      <c r="DG171" s="1912"/>
      <c r="DH171" s="1913"/>
      <c r="DI171" s="964"/>
      <c r="DJ171" s="995"/>
      <c r="DK171" s="1052"/>
      <c r="DL171" s="1997"/>
      <c r="DM171" s="1052"/>
      <c r="DN171" s="1997"/>
      <c r="DO171" s="1052"/>
      <c r="DP171" s="2032"/>
      <c r="DQ171" s="965"/>
      <c r="DR171" s="962"/>
      <c r="DS171" s="1651"/>
      <c r="DT171" s="1026"/>
      <c r="DU171" s="1912"/>
      <c r="DV171" s="1913"/>
      <c r="DW171" s="965"/>
      <c r="DX171" s="959"/>
      <c r="DY171" s="1651"/>
      <c r="DZ171" s="1026"/>
      <c r="EA171" s="1912"/>
      <c r="EB171" s="1913"/>
      <c r="EC171" s="1052"/>
      <c r="ED171" s="2032"/>
      <c r="EE171" s="965"/>
      <c r="EF171" s="961"/>
      <c r="EG171" s="1052"/>
      <c r="EH171" s="2032"/>
      <c r="EI171" s="1651"/>
      <c r="EJ171" s="1026"/>
      <c r="EK171" s="2204"/>
      <c r="EL171" s="1913"/>
      <c r="EM171" s="2202">
        <f t="shared" si="219"/>
        <v>0</v>
      </c>
      <c r="EN171" s="1585">
        <f t="shared" si="220"/>
        <v>0</v>
      </c>
      <c r="EO171" s="1585">
        <f t="shared" si="221"/>
        <v>0</v>
      </c>
      <c r="EP171" s="1586">
        <f t="shared" si="130"/>
        <v>0</v>
      </c>
      <c r="EQ171" s="999">
        <f t="shared" si="127"/>
        <v>0</v>
      </c>
      <c r="ER171" s="1776">
        <f t="shared" si="128"/>
        <v>0</v>
      </c>
      <c r="ES171" s="1776">
        <f t="shared" si="129"/>
        <v>0</v>
      </c>
      <c r="ET171" s="1055">
        <f t="shared" si="149"/>
        <v>0</v>
      </c>
    </row>
    <row r="172" spans="1:150" x14ac:dyDescent="0.25">
      <c r="A172" s="952"/>
      <c r="B172" s="959"/>
      <c r="C172" s="1651"/>
      <c r="D172" s="1026"/>
      <c r="E172" s="1912"/>
      <c r="F172" s="1913"/>
      <c r="G172" s="1052"/>
      <c r="H172" s="1997"/>
      <c r="I172" s="1052"/>
      <c r="J172" s="1997"/>
      <c r="K172" s="1052"/>
      <c r="L172" s="2032"/>
      <c r="M172" s="965"/>
      <c r="N172" s="959"/>
      <c r="O172" s="1052"/>
      <c r="P172" s="2032"/>
      <c r="Q172" s="1651"/>
      <c r="R172" s="1026"/>
      <c r="S172" s="1912"/>
      <c r="T172" s="1913"/>
      <c r="U172" s="1651"/>
      <c r="V172" s="1026"/>
      <c r="W172" s="1912"/>
      <c r="X172" s="1913"/>
      <c r="Y172" s="1651"/>
      <c r="Z172" s="1026"/>
      <c r="AA172" s="2054"/>
      <c r="AB172" s="1913"/>
      <c r="AC172" s="964"/>
      <c r="AD172" s="961"/>
      <c r="AE172" s="1651"/>
      <c r="AF172" s="1026"/>
      <c r="AG172" s="1912"/>
      <c r="AH172" s="1913"/>
      <c r="AI172" s="1651"/>
      <c r="AJ172" s="1026"/>
      <c r="AK172" s="1912"/>
      <c r="AL172" s="1913"/>
      <c r="AM172" s="1052"/>
      <c r="AN172" s="2032"/>
      <c r="AO172" s="1872"/>
      <c r="AP172" s="1101"/>
      <c r="AQ172" s="1053"/>
      <c r="AR172" s="2102"/>
      <c r="AS172" s="1554"/>
      <c r="AT172" s="2102"/>
      <c r="AU172" s="1651"/>
      <c r="AV172" s="1026"/>
      <c r="AW172" s="1912"/>
      <c r="AX172" s="1913"/>
      <c r="AY172" s="965"/>
      <c r="AZ172" s="961"/>
      <c r="BA172" s="1651"/>
      <c r="BB172" s="1026"/>
      <c r="BC172" s="1912"/>
      <c r="BD172" s="1913"/>
      <c r="BE172" s="952"/>
      <c r="BF172" s="959"/>
      <c r="BG172" s="1651"/>
      <c r="BH172" s="1026"/>
      <c r="BI172" s="1912"/>
      <c r="BJ172" s="1913"/>
      <c r="BK172" s="1651"/>
      <c r="BL172" s="1026"/>
      <c r="BM172" s="1912"/>
      <c r="BN172" s="1913"/>
      <c r="BO172" s="1052"/>
      <c r="BP172" s="1997"/>
      <c r="BQ172" s="1052"/>
      <c r="BR172" s="2032"/>
      <c r="BS172" s="1651"/>
      <c r="BT172" s="1026"/>
      <c r="BU172" s="1912"/>
      <c r="BV172" s="1913"/>
      <c r="BW172" s="1052"/>
      <c r="BX172" s="2032"/>
      <c r="BY172" s="1651"/>
      <c r="BZ172" s="1026"/>
      <c r="CA172" s="1912"/>
      <c r="CB172" s="1913"/>
      <c r="CC172" s="1743"/>
      <c r="CD172" s="2150"/>
      <c r="CE172" s="965"/>
      <c r="CF172" s="1104" t="s">
        <v>1632</v>
      </c>
      <c r="CG172" s="1651"/>
      <c r="CH172" s="1026"/>
      <c r="CI172" s="1912"/>
      <c r="CJ172" s="1913"/>
      <c r="CK172" s="952">
        <v>20</v>
      </c>
      <c r="CL172" s="1025" t="s">
        <v>1595</v>
      </c>
      <c r="CM172" s="1651"/>
      <c r="CN172" s="1026"/>
      <c r="CO172" s="1912"/>
      <c r="CP172" s="1913"/>
      <c r="CQ172" s="1651"/>
      <c r="CR172" s="1026"/>
      <c r="CS172" s="1912"/>
      <c r="CT172" s="1913"/>
      <c r="CU172" s="1651"/>
      <c r="CV172" s="1026"/>
      <c r="CW172" s="1912"/>
      <c r="CX172" s="1913"/>
      <c r="CY172" s="1651"/>
      <c r="CZ172" s="1026"/>
      <c r="DA172" s="1912"/>
      <c r="DB172" s="1913"/>
      <c r="DC172" s="1052"/>
      <c r="DD172" s="2032"/>
      <c r="DE172" s="1651"/>
      <c r="DF172" s="1026"/>
      <c r="DG172" s="1912"/>
      <c r="DH172" s="1913"/>
      <c r="DI172" s="964"/>
      <c r="DJ172" s="995"/>
      <c r="DK172" s="1052"/>
      <c r="DL172" s="1997"/>
      <c r="DM172" s="1052"/>
      <c r="DN172" s="1997"/>
      <c r="DO172" s="1052"/>
      <c r="DP172" s="2032"/>
      <c r="DQ172" s="965"/>
      <c r="DR172" s="962"/>
      <c r="DS172" s="1651"/>
      <c r="DT172" s="1026"/>
      <c r="DU172" s="1912"/>
      <c r="DV172" s="1913"/>
      <c r="DW172" s="965"/>
      <c r="DX172" s="959"/>
      <c r="DY172" s="1651"/>
      <c r="DZ172" s="1026"/>
      <c r="EA172" s="1912"/>
      <c r="EB172" s="1913"/>
      <c r="EC172" s="1052"/>
      <c r="ED172" s="2032"/>
      <c r="EE172" s="965"/>
      <c r="EF172" s="961"/>
      <c r="EG172" s="1052"/>
      <c r="EH172" s="2032"/>
      <c r="EI172" s="1651"/>
      <c r="EJ172" s="1026"/>
      <c r="EK172" s="2204"/>
      <c r="EL172" s="1913"/>
      <c r="EM172" s="2202">
        <f t="shared" si="219"/>
        <v>0</v>
      </c>
      <c r="EN172" s="1585">
        <f t="shared" si="220"/>
        <v>0</v>
      </c>
      <c r="EO172" s="1585">
        <f t="shared" si="221"/>
        <v>0</v>
      </c>
      <c r="EP172" s="1586">
        <f t="shared" si="130"/>
        <v>0</v>
      </c>
      <c r="EQ172" s="999">
        <f t="shared" si="127"/>
        <v>0</v>
      </c>
      <c r="ER172" s="1776">
        <f t="shared" si="128"/>
        <v>0</v>
      </c>
      <c r="ES172" s="1776">
        <f t="shared" si="129"/>
        <v>0</v>
      </c>
      <c r="ET172" s="1055">
        <f t="shared" si="149"/>
        <v>0</v>
      </c>
    </row>
    <row r="173" spans="1:150" ht="13.8" x14ac:dyDescent="0.3">
      <c r="A173" s="952"/>
      <c r="B173" s="959"/>
      <c r="C173" s="1651"/>
      <c r="D173" s="1026"/>
      <c r="E173" s="1912"/>
      <c r="F173" s="1913"/>
      <c r="G173" s="1052"/>
      <c r="H173" s="1997"/>
      <c r="I173" s="1052"/>
      <c r="J173" s="1997"/>
      <c r="K173" s="1052"/>
      <c r="L173" s="2032"/>
      <c r="M173" s="965"/>
      <c r="N173" s="959"/>
      <c r="O173" s="1052"/>
      <c r="P173" s="2032"/>
      <c r="Q173" s="1651"/>
      <c r="R173" s="1026"/>
      <c r="S173" s="1912"/>
      <c r="T173" s="1913"/>
      <c r="U173" s="1651"/>
      <c r="V173" s="1026"/>
      <c r="W173" s="1912"/>
      <c r="X173" s="1913"/>
      <c r="Y173" s="1651"/>
      <c r="Z173" s="1026"/>
      <c r="AA173" s="2054"/>
      <c r="AB173" s="1913"/>
      <c r="AC173" s="964"/>
      <c r="AD173" s="961"/>
      <c r="AE173" s="1651"/>
      <c r="AF173" s="1026"/>
      <c r="AG173" s="1912"/>
      <c r="AH173" s="1913"/>
      <c r="AI173" s="1651"/>
      <c r="AJ173" s="1026"/>
      <c r="AK173" s="1912"/>
      <c r="AL173" s="1913"/>
      <c r="AM173" s="1052"/>
      <c r="AN173" s="2032"/>
      <c r="AO173" s="1872"/>
      <c r="AP173" s="1101"/>
      <c r="AQ173" s="1053"/>
      <c r="AR173" s="2102"/>
      <c r="AS173" s="1554"/>
      <c r="AT173" s="2102"/>
      <c r="AU173" s="1651"/>
      <c r="AV173" s="1026"/>
      <c r="AW173" s="1912"/>
      <c r="AX173" s="1913"/>
      <c r="AY173" s="965"/>
      <c r="AZ173" s="961"/>
      <c r="BA173" s="1651"/>
      <c r="BB173" s="1026"/>
      <c r="BC173" s="1912"/>
      <c r="BD173" s="1913"/>
      <c r="BE173" s="952"/>
      <c r="BF173" s="959"/>
      <c r="BG173" s="1651"/>
      <c r="BH173" s="1026"/>
      <c r="BI173" s="1912"/>
      <c r="BJ173" s="1913"/>
      <c r="BK173" s="1651"/>
      <c r="BL173" s="1026"/>
      <c r="BM173" s="1912"/>
      <c r="BN173" s="1913"/>
      <c r="BO173" s="1052"/>
      <c r="BP173" s="1997"/>
      <c r="BQ173" s="1052"/>
      <c r="BR173" s="2032"/>
      <c r="BS173" s="1651"/>
      <c r="BT173" s="1026"/>
      <c r="BU173" s="1912"/>
      <c r="BV173" s="1913"/>
      <c r="BW173" s="1052"/>
      <c r="BX173" s="2032"/>
      <c r="BY173" s="1651"/>
      <c r="BZ173" s="1026"/>
      <c r="CA173" s="1912"/>
      <c r="CB173" s="1913"/>
      <c r="CC173" s="1743"/>
      <c r="CD173" s="2150"/>
      <c r="CE173" s="965"/>
      <c r="CF173" s="1105" t="s">
        <v>1633</v>
      </c>
      <c r="CG173" s="1651"/>
      <c r="CH173" s="1026">
        <v>1500</v>
      </c>
      <c r="CI173" s="1912"/>
      <c r="CJ173" s="1913"/>
      <c r="CK173" s="952">
        <v>21</v>
      </c>
      <c r="CL173" s="1106"/>
      <c r="CM173" s="1651"/>
      <c r="CN173" s="1026"/>
      <c r="CO173" s="1912"/>
      <c r="CP173" s="1913"/>
      <c r="CQ173" s="1651"/>
      <c r="CR173" s="1026"/>
      <c r="CS173" s="1912"/>
      <c r="CT173" s="1913"/>
      <c r="CU173" s="1651"/>
      <c r="CV173" s="1026"/>
      <c r="CW173" s="1912"/>
      <c r="CX173" s="1913"/>
      <c r="CY173" s="1651"/>
      <c r="CZ173" s="1026"/>
      <c r="DA173" s="1912"/>
      <c r="DB173" s="1913"/>
      <c r="DC173" s="1052"/>
      <c r="DD173" s="2032"/>
      <c r="DE173" s="1651"/>
      <c r="DF173" s="1026"/>
      <c r="DG173" s="1912"/>
      <c r="DH173" s="1913"/>
      <c r="DI173" s="964"/>
      <c r="DJ173" s="995"/>
      <c r="DK173" s="1052"/>
      <c r="DL173" s="1997"/>
      <c r="DM173" s="1052"/>
      <c r="DN173" s="1997"/>
      <c r="DO173" s="1052"/>
      <c r="DP173" s="2032"/>
      <c r="DQ173" s="965"/>
      <c r="DR173" s="962"/>
      <c r="DS173" s="1651"/>
      <c r="DT173" s="1026"/>
      <c r="DU173" s="1912"/>
      <c r="DV173" s="1913"/>
      <c r="DW173" s="965"/>
      <c r="DX173" s="959"/>
      <c r="DY173" s="1651"/>
      <c r="DZ173" s="1026"/>
      <c r="EA173" s="1912"/>
      <c r="EB173" s="1913"/>
      <c r="EC173" s="1052"/>
      <c r="ED173" s="2032"/>
      <c r="EE173" s="965"/>
      <c r="EF173" s="961"/>
      <c r="EG173" s="1052"/>
      <c r="EH173" s="2032"/>
      <c r="EI173" s="1651"/>
      <c r="EJ173" s="1026"/>
      <c r="EK173" s="2204"/>
      <c r="EL173" s="1913"/>
      <c r="EM173" s="2202">
        <f t="shared" si="219"/>
        <v>0</v>
      </c>
      <c r="EN173" s="1585">
        <f t="shared" si="220"/>
        <v>0</v>
      </c>
      <c r="EO173" s="1585">
        <f t="shared" si="221"/>
        <v>0</v>
      </c>
      <c r="EP173" s="1586">
        <f t="shared" si="130"/>
        <v>0</v>
      </c>
      <c r="EQ173" s="999">
        <f t="shared" si="127"/>
        <v>0</v>
      </c>
      <c r="ER173" s="1776">
        <f t="shared" si="128"/>
        <v>1500</v>
      </c>
      <c r="ES173" s="1776">
        <f t="shared" si="129"/>
        <v>0</v>
      </c>
      <c r="ET173" s="1055">
        <f t="shared" si="149"/>
        <v>1500</v>
      </c>
    </row>
    <row r="174" spans="1:150" ht="26.4" x14ac:dyDescent="0.25">
      <c r="A174" s="952"/>
      <c r="B174" s="959"/>
      <c r="C174" s="1651"/>
      <c r="D174" s="1026"/>
      <c r="E174" s="1912"/>
      <c r="F174" s="1913"/>
      <c r="G174" s="1052"/>
      <c r="H174" s="1997"/>
      <c r="I174" s="1052"/>
      <c r="J174" s="1997"/>
      <c r="K174" s="1052"/>
      <c r="L174" s="2032"/>
      <c r="M174" s="965"/>
      <c r="N174" s="959"/>
      <c r="O174" s="1052"/>
      <c r="P174" s="2032"/>
      <c r="Q174" s="1651"/>
      <c r="R174" s="1026"/>
      <c r="S174" s="1912"/>
      <c r="T174" s="1913"/>
      <c r="U174" s="1651"/>
      <c r="V174" s="1026"/>
      <c r="W174" s="1912"/>
      <c r="X174" s="1913"/>
      <c r="Y174" s="1651"/>
      <c r="Z174" s="1026"/>
      <c r="AA174" s="2054"/>
      <c r="AB174" s="1913"/>
      <c r="AC174" s="964"/>
      <c r="AD174" s="961"/>
      <c r="AE174" s="1651"/>
      <c r="AF174" s="1026"/>
      <c r="AG174" s="1912"/>
      <c r="AH174" s="1913"/>
      <c r="AI174" s="1651"/>
      <c r="AJ174" s="1026"/>
      <c r="AK174" s="1912"/>
      <c r="AL174" s="1913"/>
      <c r="AM174" s="1052"/>
      <c r="AN174" s="2032"/>
      <c r="AO174" s="1872"/>
      <c r="AP174" s="1101"/>
      <c r="AQ174" s="1053"/>
      <c r="AR174" s="2102"/>
      <c r="AS174" s="1554"/>
      <c r="AT174" s="2102"/>
      <c r="AU174" s="1651"/>
      <c r="AV174" s="1026"/>
      <c r="AW174" s="1912"/>
      <c r="AX174" s="1913"/>
      <c r="AY174" s="965"/>
      <c r="AZ174" s="961"/>
      <c r="BA174" s="1651"/>
      <c r="BB174" s="1026"/>
      <c r="BC174" s="1912"/>
      <c r="BD174" s="1913"/>
      <c r="BE174" s="952"/>
      <c r="BF174" s="959"/>
      <c r="BG174" s="1651"/>
      <c r="BH174" s="1026"/>
      <c r="BI174" s="1912"/>
      <c r="BJ174" s="1913"/>
      <c r="BK174" s="1651"/>
      <c r="BL174" s="1026"/>
      <c r="BM174" s="1912"/>
      <c r="BN174" s="1913"/>
      <c r="BO174" s="1052"/>
      <c r="BP174" s="1997"/>
      <c r="BQ174" s="1052"/>
      <c r="BR174" s="2032"/>
      <c r="BS174" s="1651"/>
      <c r="BT174" s="1026"/>
      <c r="BU174" s="1912"/>
      <c r="BV174" s="1913"/>
      <c r="BW174" s="1052"/>
      <c r="BX174" s="2032"/>
      <c r="BY174" s="1651"/>
      <c r="BZ174" s="1026"/>
      <c r="CA174" s="1912"/>
      <c r="CB174" s="1913"/>
      <c r="CC174" s="1743"/>
      <c r="CD174" s="2150"/>
      <c r="CE174" s="965"/>
      <c r="CF174" s="1104" t="s">
        <v>1047</v>
      </c>
      <c r="CG174" s="1651"/>
      <c r="CH174" s="1026">
        <v>15000</v>
      </c>
      <c r="CI174" s="1912"/>
      <c r="CJ174" s="1913"/>
      <c r="CK174" s="952">
        <v>22</v>
      </c>
      <c r="CL174" s="2443" t="s">
        <v>2289</v>
      </c>
      <c r="CM174" s="1651"/>
      <c r="CN174" s="1026"/>
      <c r="CO174" s="1912"/>
      <c r="CP174" s="1913"/>
      <c r="CQ174" s="1651"/>
      <c r="CR174" s="1026"/>
      <c r="CS174" s="1912"/>
      <c r="CT174" s="1913"/>
      <c r="CU174" s="1651"/>
      <c r="CV174" s="1026"/>
      <c r="CW174" s="1912"/>
      <c r="CX174" s="1913">
        <f>56000-10000</f>
        <v>46000</v>
      </c>
      <c r="CY174" s="1651"/>
      <c r="CZ174" s="1026"/>
      <c r="DA174" s="1912"/>
      <c r="DB174" s="1913"/>
      <c r="DC174" s="1052"/>
      <c r="DD174" s="2032"/>
      <c r="DE174" s="1651"/>
      <c r="DF174" s="1026"/>
      <c r="DG174" s="1912"/>
      <c r="DH174" s="1913"/>
      <c r="DI174" s="964"/>
      <c r="DJ174" s="995"/>
      <c r="DK174" s="1052"/>
      <c r="DL174" s="1997"/>
      <c r="DM174" s="1052"/>
      <c r="DN174" s="1997"/>
      <c r="DO174" s="1052"/>
      <c r="DP174" s="2032"/>
      <c r="DQ174" s="965"/>
      <c r="DR174" s="962"/>
      <c r="DS174" s="1651"/>
      <c r="DT174" s="1026"/>
      <c r="DU174" s="1912"/>
      <c r="DV174" s="1913"/>
      <c r="DW174" s="965"/>
      <c r="DX174" s="959"/>
      <c r="DY174" s="1651"/>
      <c r="DZ174" s="1026"/>
      <c r="EA174" s="1912"/>
      <c r="EB174" s="1913"/>
      <c r="EC174" s="1052"/>
      <c r="ED174" s="2032"/>
      <c r="EE174" s="965"/>
      <c r="EF174" s="961"/>
      <c r="EG174" s="1052"/>
      <c r="EH174" s="2032"/>
      <c r="EI174" s="1651"/>
      <c r="EJ174" s="1026"/>
      <c r="EK174" s="2204"/>
      <c r="EL174" s="1913"/>
      <c r="EM174" s="2202">
        <f t="shared" si="219"/>
        <v>0</v>
      </c>
      <c r="EN174" s="1585">
        <f t="shared" si="220"/>
        <v>46000</v>
      </c>
      <c r="EO174" s="1585">
        <f t="shared" si="221"/>
        <v>0</v>
      </c>
      <c r="EP174" s="1586">
        <f t="shared" si="130"/>
        <v>46000</v>
      </c>
      <c r="EQ174" s="999">
        <f t="shared" si="127"/>
        <v>0</v>
      </c>
      <c r="ER174" s="1776">
        <f t="shared" si="128"/>
        <v>15000</v>
      </c>
      <c r="ES174" s="1776">
        <f t="shared" si="129"/>
        <v>0</v>
      </c>
      <c r="ET174" s="1055">
        <f t="shared" si="149"/>
        <v>15000</v>
      </c>
    </row>
    <row r="175" spans="1:150" x14ac:dyDescent="0.25">
      <c r="A175" s="952"/>
      <c r="B175" s="959"/>
      <c r="C175" s="1651"/>
      <c r="D175" s="1026"/>
      <c r="E175" s="1912"/>
      <c r="F175" s="1913"/>
      <c r="G175" s="1052"/>
      <c r="H175" s="1997"/>
      <c r="I175" s="1052"/>
      <c r="J175" s="1997"/>
      <c r="K175" s="1052"/>
      <c r="L175" s="2032"/>
      <c r="M175" s="965"/>
      <c r="N175" s="959"/>
      <c r="O175" s="1052"/>
      <c r="P175" s="2032"/>
      <c r="Q175" s="1651"/>
      <c r="R175" s="1026"/>
      <c r="S175" s="1912"/>
      <c r="T175" s="1913"/>
      <c r="U175" s="1651"/>
      <c r="V175" s="1026"/>
      <c r="W175" s="1912"/>
      <c r="X175" s="1913"/>
      <c r="Y175" s="1651"/>
      <c r="Z175" s="1026"/>
      <c r="AA175" s="2054"/>
      <c r="AB175" s="1913"/>
      <c r="AC175" s="964"/>
      <c r="AD175" s="961"/>
      <c r="AE175" s="1651"/>
      <c r="AF175" s="1026"/>
      <c r="AG175" s="1912"/>
      <c r="AH175" s="1913"/>
      <c r="AI175" s="1651"/>
      <c r="AJ175" s="1026"/>
      <c r="AK175" s="1912"/>
      <c r="AL175" s="1913"/>
      <c r="AM175" s="1052"/>
      <c r="AN175" s="2032"/>
      <c r="AO175" s="1872"/>
      <c r="AP175" s="1101"/>
      <c r="AQ175" s="1053"/>
      <c r="AR175" s="2102"/>
      <c r="AS175" s="1554"/>
      <c r="AT175" s="2102"/>
      <c r="AU175" s="1651"/>
      <c r="AV175" s="1026"/>
      <c r="AW175" s="1912"/>
      <c r="AX175" s="1913"/>
      <c r="AY175" s="965"/>
      <c r="AZ175" s="961"/>
      <c r="BA175" s="1651"/>
      <c r="BB175" s="1026"/>
      <c r="BC175" s="1912"/>
      <c r="BD175" s="1913"/>
      <c r="BE175" s="952"/>
      <c r="BF175" s="959"/>
      <c r="BG175" s="1651"/>
      <c r="BH175" s="1026"/>
      <c r="BI175" s="1912"/>
      <c r="BJ175" s="1913"/>
      <c r="BK175" s="1651"/>
      <c r="BL175" s="1026"/>
      <c r="BM175" s="1912"/>
      <c r="BN175" s="1913"/>
      <c r="BO175" s="1052"/>
      <c r="BP175" s="1997"/>
      <c r="BQ175" s="1052"/>
      <c r="BR175" s="2032"/>
      <c r="BS175" s="1651"/>
      <c r="BT175" s="1026"/>
      <c r="BU175" s="1912"/>
      <c r="BV175" s="1913"/>
      <c r="BW175" s="1052"/>
      <c r="BX175" s="2032"/>
      <c r="BY175" s="1651"/>
      <c r="BZ175" s="1026"/>
      <c r="CA175" s="1912"/>
      <c r="CB175" s="1913"/>
      <c r="CC175" s="1743"/>
      <c r="CD175" s="2150"/>
      <c r="CE175" s="965"/>
      <c r="CF175" s="1104"/>
      <c r="CG175" s="1651"/>
      <c r="CH175" s="1026"/>
      <c r="CI175" s="1912"/>
      <c r="CJ175" s="1913"/>
      <c r="CK175" s="952"/>
      <c r="CM175" s="1651"/>
      <c r="CN175" s="1026"/>
      <c r="CO175" s="1912"/>
      <c r="CP175" s="1913"/>
      <c r="CQ175" s="1651"/>
      <c r="CR175" s="1026"/>
      <c r="CS175" s="1912"/>
      <c r="CT175" s="1913"/>
      <c r="CU175" s="1651"/>
      <c r="CV175" s="1026"/>
      <c r="CW175" s="1912"/>
      <c r="CX175" s="1913"/>
      <c r="CY175" s="1651"/>
      <c r="CZ175" s="1026"/>
      <c r="DA175" s="1912"/>
      <c r="DB175" s="1913"/>
      <c r="DC175" s="1052"/>
      <c r="DD175" s="2032"/>
      <c r="DE175" s="1651"/>
      <c r="DF175" s="1026"/>
      <c r="DG175" s="1912"/>
      <c r="DH175" s="1913"/>
      <c r="DI175" s="964"/>
      <c r="DJ175" s="995"/>
      <c r="DK175" s="1052"/>
      <c r="DL175" s="1997"/>
      <c r="DM175" s="1052"/>
      <c r="DN175" s="1997"/>
      <c r="DO175" s="1052"/>
      <c r="DP175" s="2032"/>
      <c r="DQ175" s="965"/>
      <c r="DR175" s="962"/>
      <c r="DS175" s="1651"/>
      <c r="DT175" s="1026"/>
      <c r="DU175" s="1912"/>
      <c r="DV175" s="1913"/>
      <c r="DW175" s="965"/>
      <c r="DX175" s="959"/>
      <c r="DY175" s="1651"/>
      <c r="DZ175" s="1026"/>
      <c r="EA175" s="1912"/>
      <c r="EB175" s="1913"/>
      <c r="EC175" s="1052"/>
      <c r="ED175" s="2032"/>
      <c r="EE175" s="965"/>
      <c r="EF175" s="961"/>
      <c r="EG175" s="1052"/>
      <c r="EH175" s="2032"/>
      <c r="EI175" s="1651"/>
      <c r="EJ175" s="1026"/>
      <c r="EK175" s="2204"/>
      <c r="EL175" s="1913"/>
      <c r="EM175" s="2202">
        <f t="shared" si="219"/>
        <v>0</v>
      </c>
      <c r="EN175" s="1585">
        <f t="shared" si="220"/>
        <v>0</v>
      </c>
      <c r="EO175" s="1585">
        <f t="shared" si="221"/>
        <v>0</v>
      </c>
      <c r="EP175" s="1586"/>
      <c r="EQ175" s="999">
        <f t="shared" si="127"/>
        <v>0</v>
      </c>
      <c r="ER175" s="1776">
        <f t="shared" si="128"/>
        <v>0</v>
      </c>
      <c r="ES175" s="1776">
        <f t="shared" si="129"/>
        <v>0</v>
      </c>
      <c r="ET175" s="1055">
        <f t="shared" si="149"/>
        <v>0</v>
      </c>
    </row>
    <row r="176" spans="1:150" x14ac:dyDescent="0.25">
      <c r="A176" s="952"/>
      <c r="B176" s="959"/>
      <c r="C176" s="1651"/>
      <c r="D176" s="1026"/>
      <c r="E176" s="1912"/>
      <c r="F176" s="1913"/>
      <c r="G176" s="1052"/>
      <c r="H176" s="1997"/>
      <c r="I176" s="1052"/>
      <c r="J176" s="1997"/>
      <c r="K176" s="1052"/>
      <c r="L176" s="2032"/>
      <c r="M176" s="965"/>
      <c r="N176" s="959"/>
      <c r="O176" s="1052"/>
      <c r="P176" s="2032"/>
      <c r="Q176" s="1651"/>
      <c r="R176" s="1026"/>
      <c r="S176" s="1912"/>
      <c r="T176" s="1913"/>
      <c r="U176" s="1651"/>
      <c r="V176" s="1026"/>
      <c r="W176" s="1912"/>
      <c r="X176" s="1913"/>
      <c r="Y176" s="1651"/>
      <c r="Z176" s="1026"/>
      <c r="AA176" s="2054"/>
      <c r="AB176" s="1913"/>
      <c r="AC176" s="964"/>
      <c r="AD176" s="961"/>
      <c r="AE176" s="1651"/>
      <c r="AF176" s="1026"/>
      <c r="AG176" s="1912"/>
      <c r="AH176" s="1913"/>
      <c r="AI176" s="1651"/>
      <c r="AJ176" s="1026"/>
      <c r="AK176" s="1912"/>
      <c r="AL176" s="1913"/>
      <c r="AM176" s="1052"/>
      <c r="AN176" s="2032"/>
      <c r="AO176" s="1872"/>
      <c r="AP176" s="1101"/>
      <c r="AQ176" s="1053"/>
      <c r="AR176" s="2102"/>
      <c r="AS176" s="1554"/>
      <c r="AT176" s="2102"/>
      <c r="AU176" s="1651"/>
      <c r="AV176" s="1026"/>
      <c r="AW176" s="1912"/>
      <c r="AX176" s="1913"/>
      <c r="AY176" s="965"/>
      <c r="AZ176" s="961"/>
      <c r="BA176" s="1651"/>
      <c r="BB176" s="1026"/>
      <c r="BC176" s="1912"/>
      <c r="BD176" s="1913"/>
      <c r="BE176" s="952"/>
      <c r="BF176" s="959"/>
      <c r="BG176" s="1651"/>
      <c r="BH176" s="1026"/>
      <c r="BI176" s="1912"/>
      <c r="BJ176" s="1913"/>
      <c r="BK176" s="1651"/>
      <c r="BL176" s="1026"/>
      <c r="BM176" s="1912"/>
      <c r="BN176" s="1913"/>
      <c r="BO176" s="1052"/>
      <c r="BP176" s="1997"/>
      <c r="BQ176" s="1052"/>
      <c r="BR176" s="2032"/>
      <c r="BS176" s="1651"/>
      <c r="BT176" s="1026"/>
      <c r="BU176" s="1912"/>
      <c r="BV176" s="1913"/>
      <c r="BW176" s="1052"/>
      <c r="BX176" s="2032"/>
      <c r="BY176" s="1651"/>
      <c r="BZ176" s="1026"/>
      <c r="CA176" s="1912"/>
      <c r="CB176" s="1913"/>
      <c r="CC176" s="1743"/>
      <c r="CD176" s="2150"/>
      <c r="CE176" s="965"/>
      <c r="CF176" s="1104"/>
      <c r="CG176" s="1651"/>
      <c r="CH176" s="1026"/>
      <c r="CI176" s="1912"/>
      <c r="CJ176" s="1913"/>
      <c r="CK176" s="952"/>
      <c r="CL176" s="959"/>
      <c r="CM176" s="1651"/>
      <c r="CN176" s="1026"/>
      <c r="CO176" s="1912"/>
      <c r="CP176" s="1913"/>
      <c r="CQ176" s="1651"/>
      <c r="CR176" s="1026"/>
      <c r="CS176" s="1912"/>
      <c r="CT176" s="1913"/>
      <c r="CU176" s="1651"/>
      <c r="CV176" s="1026"/>
      <c r="CW176" s="1912"/>
      <c r="CX176" s="1913"/>
      <c r="CY176" s="1651"/>
      <c r="CZ176" s="1026"/>
      <c r="DA176" s="1912"/>
      <c r="DB176" s="1913"/>
      <c r="DC176" s="1052"/>
      <c r="DD176" s="2032"/>
      <c r="DE176" s="1651"/>
      <c r="DF176" s="1026"/>
      <c r="DG176" s="1912"/>
      <c r="DH176" s="1913"/>
      <c r="DI176" s="964"/>
      <c r="DJ176" s="995"/>
      <c r="DK176" s="1052"/>
      <c r="DL176" s="1997"/>
      <c r="DM176" s="1052"/>
      <c r="DN176" s="1997"/>
      <c r="DO176" s="1052"/>
      <c r="DP176" s="2032"/>
      <c r="DQ176" s="965"/>
      <c r="DR176" s="962"/>
      <c r="DS176" s="1651"/>
      <c r="DT176" s="1026"/>
      <c r="DU176" s="1912"/>
      <c r="DV176" s="1913"/>
      <c r="DW176" s="965"/>
      <c r="DX176" s="959"/>
      <c r="DY176" s="1651"/>
      <c r="DZ176" s="1026"/>
      <c r="EA176" s="1912"/>
      <c r="EB176" s="1913"/>
      <c r="EC176" s="1052"/>
      <c r="ED176" s="2032"/>
      <c r="EE176" s="965"/>
      <c r="EF176" s="961"/>
      <c r="EG176" s="1052"/>
      <c r="EH176" s="2032"/>
      <c r="EI176" s="1651"/>
      <c r="EJ176" s="1026"/>
      <c r="EK176" s="2204"/>
      <c r="EL176" s="1913"/>
      <c r="EM176" s="2202">
        <f t="shared" si="219"/>
        <v>0</v>
      </c>
      <c r="EN176" s="1585">
        <f t="shared" si="220"/>
        <v>0</v>
      </c>
      <c r="EO176" s="1585">
        <f t="shared" si="221"/>
        <v>0</v>
      </c>
      <c r="EP176" s="1586"/>
      <c r="EQ176" s="999">
        <f t="shared" si="127"/>
        <v>0</v>
      </c>
      <c r="ER176" s="1776">
        <f t="shared" si="128"/>
        <v>0</v>
      </c>
      <c r="ES176" s="1776">
        <f t="shared" si="129"/>
        <v>0</v>
      </c>
      <c r="ET176" s="1055">
        <f t="shared" si="149"/>
        <v>0</v>
      </c>
    </row>
    <row r="177" spans="1:150" x14ac:dyDescent="0.25">
      <c r="A177" s="952"/>
      <c r="B177" s="959"/>
      <c r="C177" s="1651"/>
      <c r="D177" s="1026"/>
      <c r="E177" s="1912"/>
      <c r="F177" s="1913"/>
      <c r="G177" s="1052"/>
      <c r="H177" s="1997"/>
      <c r="I177" s="1052"/>
      <c r="J177" s="1997"/>
      <c r="K177" s="1052"/>
      <c r="L177" s="2032"/>
      <c r="M177" s="965"/>
      <c r="N177" s="959"/>
      <c r="O177" s="1052"/>
      <c r="P177" s="2032"/>
      <c r="Q177" s="1651"/>
      <c r="R177" s="1026"/>
      <c r="S177" s="1912"/>
      <c r="T177" s="1913"/>
      <c r="U177" s="1651"/>
      <c r="V177" s="1026"/>
      <c r="W177" s="1912"/>
      <c r="X177" s="1913"/>
      <c r="Y177" s="1651"/>
      <c r="Z177" s="1026"/>
      <c r="AA177" s="2054"/>
      <c r="AB177" s="1913"/>
      <c r="AC177" s="964"/>
      <c r="AD177" s="961"/>
      <c r="AE177" s="1651"/>
      <c r="AF177" s="1026"/>
      <c r="AG177" s="1912"/>
      <c r="AH177" s="1913"/>
      <c r="AI177" s="1651"/>
      <c r="AJ177" s="1026"/>
      <c r="AK177" s="1912"/>
      <c r="AL177" s="1913"/>
      <c r="AM177" s="1052"/>
      <c r="AN177" s="2032"/>
      <c r="AO177" s="1872"/>
      <c r="AP177" s="1101"/>
      <c r="AQ177" s="1053"/>
      <c r="AR177" s="2102"/>
      <c r="AS177" s="1554"/>
      <c r="AT177" s="2102"/>
      <c r="AU177" s="1651"/>
      <c r="AV177" s="1026"/>
      <c r="AW177" s="1912"/>
      <c r="AX177" s="1913"/>
      <c r="AY177" s="965"/>
      <c r="AZ177" s="961"/>
      <c r="BA177" s="1651"/>
      <c r="BB177" s="1026"/>
      <c r="BC177" s="1912"/>
      <c r="BD177" s="1913"/>
      <c r="BE177" s="952"/>
      <c r="BF177" s="959"/>
      <c r="BG177" s="1651"/>
      <c r="BH177" s="1026"/>
      <c r="BI177" s="1912"/>
      <c r="BJ177" s="1913"/>
      <c r="BK177" s="1651"/>
      <c r="BL177" s="1026"/>
      <c r="BM177" s="1912"/>
      <c r="BN177" s="1913"/>
      <c r="BO177" s="1052"/>
      <c r="BP177" s="1997"/>
      <c r="BQ177" s="1052"/>
      <c r="BR177" s="2032"/>
      <c r="BS177" s="1651"/>
      <c r="BT177" s="1026"/>
      <c r="BU177" s="1912"/>
      <c r="BV177" s="1913"/>
      <c r="BW177" s="1052"/>
      <c r="BX177" s="2032"/>
      <c r="BY177" s="1651"/>
      <c r="BZ177" s="1026"/>
      <c r="CA177" s="1912"/>
      <c r="CB177" s="1913"/>
      <c r="CC177" s="1743"/>
      <c r="CD177" s="2150"/>
      <c r="CE177" s="965"/>
      <c r="CF177" s="959"/>
      <c r="CG177" s="1651"/>
      <c r="CH177" s="1026"/>
      <c r="CI177" s="1912"/>
      <c r="CJ177" s="1913"/>
      <c r="CK177" s="952"/>
      <c r="CL177" s="959"/>
      <c r="CM177" s="1651"/>
      <c r="CN177" s="1026"/>
      <c r="CO177" s="1912"/>
      <c r="CP177" s="1913"/>
      <c r="CQ177" s="1651"/>
      <c r="CR177" s="1026"/>
      <c r="CS177" s="1912"/>
      <c r="CT177" s="1913"/>
      <c r="CU177" s="1651"/>
      <c r="CV177" s="1026"/>
      <c r="CW177" s="1912"/>
      <c r="CX177" s="1913"/>
      <c r="CY177" s="1651"/>
      <c r="CZ177" s="1026"/>
      <c r="DA177" s="1912"/>
      <c r="DB177" s="1913"/>
      <c r="DC177" s="1052"/>
      <c r="DD177" s="2032"/>
      <c r="DE177" s="1651"/>
      <c r="DF177" s="1026"/>
      <c r="DG177" s="1912"/>
      <c r="DH177" s="1913"/>
      <c r="DI177" s="964"/>
      <c r="DJ177" s="995"/>
      <c r="DK177" s="1052"/>
      <c r="DL177" s="1997"/>
      <c r="DM177" s="1052"/>
      <c r="DN177" s="1997"/>
      <c r="DO177" s="1052"/>
      <c r="DP177" s="2032"/>
      <c r="DQ177" s="965"/>
      <c r="DR177" s="962"/>
      <c r="DS177" s="1651"/>
      <c r="DT177" s="1026"/>
      <c r="DU177" s="1912"/>
      <c r="DV177" s="1913"/>
      <c r="DW177" s="965"/>
      <c r="DX177" s="959"/>
      <c r="DY177" s="1651"/>
      <c r="DZ177" s="1026"/>
      <c r="EA177" s="1912"/>
      <c r="EB177" s="1913"/>
      <c r="EC177" s="1052"/>
      <c r="ED177" s="2032"/>
      <c r="EE177" s="965"/>
      <c r="EF177" s="961"/>
      <c r="EG177" s="1052"/>
      <c r="EH177" s="2032"/>
      <c r="EI177" s="1651"/>
      <c r="EJ177" s="1026"/>
      <c r="EK177" s="2204"/>
      <c r="EL177" s="1913"/>
      <c r="EM177" s="2202">
        <f t="shared" si="219"/>
        <v>0</v>
      </c>
      <c r="EN177" s="1585">
        <f t="shared" si="220"/>
        <v>0</v>
      </c>
      <c r="EO177" s="1585">
        <f t="shared" si="221"/>
        <v>0</v>
      </c>
      <c r="EP177" s="1586"/>
      <c r="EQ177" s="999">
        <f t="shared" si="127"/>
        <v>0</v>
      </c>
      <c r="ER177" s="1776">
        <f t="shared" si="128"/>
        <v>0</v>
      </c>
      <c r="ES177" s="1776">
        <f t="shared" si="129"/>
        <v>0</v>
      </c>
      <c r="ET177" s="1055">
        <f t="shared" si="149"/>
        <v>0</v>
      </c>
    </row>
    <row r="178" spans="1:150" x14ac:dyDescent="0.25">
      <c r="A178" s="952"/>
      <c r="B178" s="959"/>
      <c r="C178" s="1651"/>
      <c r="D178" s="1026"/>
      <c r="E178" s="1912"/>
      <c r="F178" s="1913"/>
      <c r="G178" s="1052"/>
      <c r="H178" s="1997"/>
      <c r="I178" s="1052"/>
      <c r="J178" s="1997"/>
      <c r="K178" s="1052"/>
      <c r="L178" s="2032"/>
      <c r="M178" s="965"/>
      <c r="N178" s="959"/>
      <c r="O178" s="1052"/>
      <c r="P178" s="2032"/>
      <c r="Q178" s="1651"/>
      <c r="R178" s="1026"/>
      <c r="S178" s="1912"/>
      <c r="T178" s="1913"/>
      <c r="U178" s="1651"/>
      <c r="V178" s="1026"/>
      <c r="W178" s="1912"/>
      <c r="X178" s="1913"/>
      <c r="Y178" s="1651"/>
      <c r="Z178" s="1026"/>
      <c r="AA178" s="2054"/>
      <c r="AB178" s="1913"/>
      <c r="AC178" s="964"/>
      <c r="AD178" s="961"/>
      <c r="AE178" s="1651"/>
      <c r="AF178" s="1026"/>
      <c r="AG178" s="1912"/>
      <c r="AH178" s="1913"/>
      <c r="AI178" s="1651"/>
      <c r="AJ178" s="1026"/>
      <c r="AK178" s="1912"/>
      <c r="AL178" s="1913"/>
      <c r="AM178" s="1052"/>
      <c r="AN178" s="2032"/>
      <c r="AO178" s="1872"/>
      <c r="AP178" s="1101"/>
      <c r="AQ178" s="1053"/>
      <c r="AR178" s="2102"/>
      <c r="AS178" s="1554"/>
      <c r="AT178" s="2102"/>
      <c r="AU178" s="1651"/>
      <c r="AV178" s="1026"/>
      <c r="AW178" s="1912"/>
      <c r="AX178" s="1913"/>
      <c r="AY178" s="965"/>
      <c r="AZ178" s="961"/>
      <c r="BA178" s="1651"/>
      <c r="BB178" s="1026"/>
      <c r="BC178" s="1912"/>
      <c r="BD178" s="1913"/>
      <c r="BE178" s="952"/>
      <c r="BF178" s="959"/>
      <c r="BG178" s="1651"/>
      <c r="BH178" s="1026"/>
      <c r="BI178" s="1912"/>
      <c r="BJ178" s="1913"/>
      <c r="BK178" s="1651"/>
      <c r="BL178" s="1026"/>
      <c r="BM178" s="1912"/>
      <c r="BN178" s="1913"/>
      <c r="BO178" s="1052"/>
      <c r="BP178" s="1997"/>
      <c r="BQ178" s="1052"/>
      <c r="BR178" s="2032"/>
      <c r="BS178" s="1651"/>
      <c r="BT178" s="1026"/>
      <c r="BU178" s="1912"/>
      <c r="BV178" s="1913"/>
      <c r="BW178" s="1052"/>
      <c r="BX178" s="2032"/>
      <c r="BY178" s="1651"/>
      <c r="BZ178" s="1026"/>
      <c r="CA178" s="1912"/>
      <c r="CB178" s="1913"/>
      <c r="CC178" s="1743"/>
      <c r="CD178" s="2150"/>
      <c r="CE178" s="965"/>
      <c r="CF178" s="959"/>
      <c r="CG178" s="1651"/>
      <c r="CH178" s="1026"/>
      <c r="CI178" s="1912"/>
      <c r="CJ178" s="1913"/>
      <c r="CK178" s="952"/>
      <c r="CL178" s="959"/>
      <c r="CM178" s="1651"/>
      <c r="CN178" s="1026"/>
      <c r="CO178" s="1912"/>
      <c r="CP178" s="1913"/>
      <c r="CQ178" s="1651"/>
      <c r="CR178" s="1026"/>
      <c r="CS178" s="1912"/>
      <c r="CT178" s="1913"/>
      <c r="CU178" s="1651"/>
      <c r="CV178" s="1026"/>
      <c r="CW178" s="1912"/>
      <c r="CX178" s="1913"/>
      <c r="CY178" s="1651"/>
      <c r="CZ178" s="1026"/>
      <c r="DA178" s="1912"/>
      <c r="DB178" s="1913"/>
      <c r="DC178" s="1052"/>
      <c r="DD178" s="2032"/>
      <c r="DE178" s="1651"/>
      <c r="DF178" s="1026"/>
      <c r="DG178" s="1912"/>
      <c r="DH178" s="1913"/>
      <c r="DI178" s="964"/>
      <c r="DJ178" s="995"/>
      <c r="DK178" s="1052"/>
      <c r="DL178" s="1997"/>
      <c r="DM178" s="1052"/>
      <c r="DN178" s="1997"/>
      <c r="DO178" s="1052"/>
      <c r="DP178" s="2032"/>
      <c r="DQ178" s="965"/>
      <c r="DR178" s="962"/>
      <c r="DS178" s="1651"/>
      <c r="DT178" s="1026"/>
      <c r="DU178" s="1912"/>
      <c r="DV178" s="1913"/>
      <c r="DW178" s="965"/>
      <c r="DX178" s="959"/>
      <c r="DY178" s="1651"/>
      <c r="DZ178" s="1026"/>
      <c r="EA178" s="1912"/>
      <c r="EB178" s="1913"/>
      <c r="EC178" s="1052"/>
      <c r="ED178" s="2032"/>
      <c r="EE178" s="965"/>
      <c r="EF178" s="961"/>
      <c r="EG178" s="1052"/>
      <c r="EH178" s="2032"/>
      <c r="EI178" s="1651"/>
      <c r="EJ178" s="1026"/>
      <c r="EK178" s="2204"/>
      <c r="EL178" s="1913"/>
      <c r="EM178" s="2202">
        <f t="shared" si="219"/>
        <v>0</v>
      </c>
      <c r="EN178" s="1585">
        <f t="shared" si="220"/>
        <v>0</v>
      </c>
      <c r="EO178" s="1585">
        <f t="shared" si="221"/>
        <v>0</v>
      </c>
      <c r="EP178" s="1586"/>
      <c r="EQ178" s="999">
        <f t="shared" si="127"/>
        <v>0</v>
      </c>
      <c r="ER178" s="1776">
        <f t="shared" si="128"/>
        <v>0</v>
      </c>
      <c r="ES178" s="1776">
        <f t="shared" si="129"/>
        <v>0</v>
      </c>
      <c r="ET178" s="1055">
        <f t="shared" si="149"/>
        <v>0</v>
      </c>
    </row>
    <row r="179" spans="1:150" x14ac:dyDescent="0.25">
      <c r="A179" s="952"/>
      <c r="B179" s="959"/>
      <c r="C179" s="1651"/>
      <c r="D179" s="1026"/>
      <c r="E179" s="1912"/>
      <c r="F179" s="1913"/>
      <c r="G179" s="1052"/>
      <c r="H179" s="1997"/>
      <c r="I179" s="1052"/>
      <c r="J179" s="1997"/>
      <c r="K179" s="1052"/>
      <c r="L179" s="2032"/>
      <c r="M179" s="965"/>
      <c r="N179" s="959"/>
      <c r="O179" s="1052"/>
      <c r="P179" s="2032"/>
      <c r="Q179" s="1651"/>
      <c r="R179" s="1026"/>
      <c r="S179" s="1912"/>
      <c r="T179" s="1913"/>
      <c r="U179" s="1651"/>
      <c r="V179" s="1026"/>
      <c r="W179" s="1912"/>
      <c r="X179" s="1913"/>
      <c r="Y179" s="1651"/>
      <c r="Z179" s="1026"/>
      <c r="AA179" s="2054"/>
      <c r="AB179" s="1913"/>
      <c r="AC179" s="964"/>
      <c r="AD179" s="961"/>
      <c r="AE179" s="1651"/>
      <c r="AF179" s="1026"/>
      <c r="AG179" s="1912"/>
      <c r="AH179" s="1913"/>
      <c r="AI179" s="1651"/>
      <c r="AJ179" s="1026"/>
      <c r="AK179" s="1912"/>
      <c r="AL179" s="1913"/>
      <c r="AM179" s="1052"/>
      <c r="AN179" s="2032"/>
      <c r="AO179" s="1872"/>
      <c r="AP179" s="1101"/>
      <c r="AQ179" s="1053"/>
      <c r="AR179" s="2102"/>
      <c r="AS179" s="1554"/>
      <c r="AT179" s="2102"/>
      <c r="AU179" s="1651"/>
      <c r="AV179" s="1026"/>
      <c r="AW179" s="1912"/>
      <c r="AX179" s="1913"/>
      <c r="AY179" s="965"/>
      <c r="AZ179" s="961"/>
      <c r="BA179" s="1651"/>
      <c r="BB179" s="1026"/>
      <c r="BC179" s="1912"/>
      <c r="BD179" s="1913"/>
      <c r="BE179" s="952"/>
      <c r="BF179" s="959"/>
      <c r="BG179" s="1651"/>
      <c r="BH179" s="1026"/>
      <c r="BI179" s="1912"/>
      <c r="BJ179" s="1913"/>
      <c r="BK179" s="1651"/>
      <c r="BL179" s="1026"/>
      <c r="BM179" s="1912"/>
      <c r="BN179" s="1913"/>
      <c r="BO179" s="1052"/>
      <c r="BP179" s="1997"/>
      <c r="BQ179" s="1052"/>
      <c r="BR179" s="2032"/>
      <c r="BS179" s="1651"/>
      <c r="BT179" s="1026"/>
      <c r="BU179" s="1912"/>
      <c r="BV179" s="1913"/>
      <c r="BW179" s="1052"/>
      <c r="BX179" s="2032"/>
      <c r="BY179" s="1651"/>
      <c r="BZ179" s="1026"/>
      <c r="CA179" s="1912"/>
      <c r="CB179" s="1913"/>
      <c r="CC179" s="1743"/>
      <c r="CD179" s="2150"/>
      <c r="CE179" s="965"/>
      <c r="CF179" s="959"/>
      <c r="CG179" s="1651"/>
      <c r="CH179" s="1026"/>
      <c r="CI179" s="1912"/>
      <c r="CJ179" s="1913"/>
      <c r="CK179" s="952"/>
      <c r="CL179" s="959"/>
      <c r="CM179" s="1651"/>
      <c r="CN179" s="1026"/>
      <c r="CO179" s="1912"/>
      <c r="CP179" s="1913"/>
      <c r="CQ179" s="1651"/>
      <c r="CR179" s="1026"/>
      <c r="CS179" s="1912"/>
      <c r="CT179" s="1913"/>
      <c r="CU179" s="1651"/>
      <c r="CV179" s="1026"/>
      <c r="CW179" s="1912"/>
      <c r="CX179" s="1913"/>
      <c r="CY179" s="1651"/>
      <c r="CZ179" s="1026"/>
      <c r="DA179" s="1912"/>
      <c r="DB179" s="1913"/>
      <c r="DC179" s="1052"/>
      <c r="DD179" s="2032"/>
      <c r="DE179" s="1651"/>
      <c r="DF179" s="1026"/>
      <c r="DG179" s="1912"/>
      <c r="DH179" s="1913"/>
      <c r="DI179" s="964"/>
      <c r="DJ179" s="995"/>
      <c r="DK179" s="1052"/>
      <c r="DL179" s="1997"/>
      <c r="DM179" s="1052"/>
      <c r="DN179" s="1997"/>
      <c r="DO179" s="1052"/>
      <c r="DP179" s="2032"/>
      <c r="DQ179" s="965"/>
      <c r="DR179" s="962"/>
      <c r="DS179" s="1651"/>
      <c r="DT179" s="1026"/>
      <c r="DU179" s="1912"/>
      <c r="DV179" s="1913"/>
      <c r="DW179" s="965"/>
      <c r="DX179" s="959"/>
      <c r="DY179" s="1651"/>
      <c r="DZ179" s="1026"/>
      <c r="EA179" s="1912"/>
      <c r="EB179" s="1913"/>
      <c r="EC179" s="1052"/>
      <c r="ED179" s="2032"/>
      <c r="EE179" s="965"/>
      <c r="EF179" s="961"/>
      <c r="EG179" s="1052"/>
      <c r="EH179" s="2032"/>
      <c r="EI179" s="1651"/>
      <c r="EJ179" s="1026"/>
      <c r="EK179" s="2204"/>
      <c r="EL179" s="1913"/>
      <c r="EM179" s="2202">
        <f t="shared" si="219"/>
        <v>0</v>
      </c>
      <c r="EN179" s="1585">
        <f t="shared" si="220"/>
        <v>0</v>
      </c>
      <c r="EO179" s="1585">
        <f t="shared" si="221"/>
        <v>0</v>
      </c>
      <c r="EP179" s="1586"/>
      <c r="EQ179" s="999">
        <f t="shared" si="127"/>
        <v>0</v>
      </c>
      <c r="ER179" s="1776">
        <f t="shared" si="128"/>
        <v>0</v>
      </c>
      <c r="ES179" s="1776">
        <f t="shared" si="129"/>
        <v>0</v>
      </c>
      <c r="ET179" s="1055">
        <f t="shared" si="149"/>
        <v>0</v>
      </c>
    </row>
    <row r="180" spans="1:150" x14ac:dyDescent="0.25">
      <c r="A180" s="952"/>
      <c r="B180" s="959"/>
      <c r="C180" s="1651"/>
      <c r="D180" s="1026"/>
      <c r="E180" s="1912"/>
      <c r="F180" s="1913"/>
      <c r="G180" s="1052"/>
      <c r="H180" s="1997"/>
      <c r="I180" s="1052"/>
      <c r="J180" s="1997"/>
      <c r="K180" s="1052"/>
      <c r="L180" s="2032"/>
      <c r="M180" s="965"/>
      <c r="N180" s="959"/>
      <c r="O180" s="1052"/>
      <c r="P180" s="2032"/>
      <c r="Q180" s="1651"/>
      <c r="R180" s="1026"/>
      <c r="S180" s="1912"/>
      <c r="T180" s="1913"/>
      <c r="U180" s="1651"/>
      <c r="V180" s="1026"/>
      <c r="W180" s="1912"/>
      <c r="X180" s="1913"/>
      <c r="Y180" s="1651"/>
      <c r="Z180" s="1026"/>
      <c r="AA180" s="2054"/>
      <c r="AB180" s="1913"/>
      <c r="AC180" s="964"/>
      <c r="AD180" s="961"/>
      <c r="AE180" s="1651"/>
      <c r="AF180" s="1026"/>
      <c r="AG180" s="1912"/>
      <c r="AH180" s="1913"/>
      <c r="AI180" s="1651"/>
      <c r="AJ180" s="1026"/>
      <c r="AK180" s="1912"/>
      <c r="AL180" s="1913"/>
      <c r="AM180" s="1052"/>
      <c r="AN180" s="2032"/>
      <c r="AO180" s="1872"/>
      <c r="AP180" s="1101"/>
      <c r="AQ180" s="1053"/>
      <c r="AR180" s="2102"/>
      <c r="AS180" s="1554"/>
      <c r="AT180" s="2102"/>
      <c r="AU180" s="1651"/>
      <c r="AV180" s="1026"/>
      <c r="AW180" s="1912"/>
      <c r="AX180" s="1913"/>
      <c r="AY180" s="965"/>
      <c r="AZ180" s="961"/>
      <c r="BA180" s="1651"/>
      <c r="BB180" s="1026"/>
      <c r="BC180" s="1912"/>
      <c r="BD180" s="1913"/>
      <c r="BE180" s="952"/>
      <c r="BF180" s="959"/>
      <c r="BG180" s="1651"/>
      <c r="BH180" s="1026"/>
      <c r="BI180" s="1912"/>
      <c r="BJ180" s="1913"/>
      <c r="BK180" s="1651"/>
      <c r="BL180" s="1026"/>
      <c r="BM180" s="1912"/>
      <c r="BN180" s="1913"/>
      <c r="BO180" s="1052"/>
      <c r="BP180" s="1997"/>
      <c r="BQ180" s="1052"/>
      <c r="BR180" s="2032"/>
      <c r="BS180" s="1651"/>
      <c r="BT180" s="1026"/>
      <c r="BU180" s="1912"/>
      <c r="BV180" s="1913"/>
      <c r="BW180" s="1052"/>
      <c r="BX180" s="2032"/>
      <c r="BY180" s="1651"/>
      <c r="BZ180" s="1026"/>
      <c r="CA180" s="1912"/>
      <c r="CB180" s="1913"/>
      <c r="CC180" s="1743"/>
      <c r="CD180" s="2150"/>
      <c r="CE180" s="965"/>
      <c r="CF180" s="959"/>
      <c r="CG180" s="1651"/>
      <c r="CH180" s="1026"/>
      <c r="CI180" s="1912"/>
      <c r="CJ180" s="1913"/>
      <c r="CK180" s="952"/>
      <c r="CL180" s="959"/>
      <c r="CM180" s="1651"/>
      <c r="CN180" s="1026"/>
      <c r="CO180" s="1912"/>
      <c r="CP180" s="1913"/>
      <c r="CQ180" s="1651"/>
      <c r="CR180" s="1026"/>
      <c r="CS180" s="1912"/>
      <c r="CT180" s="1913"/>
      <c r="CU180" s="1651"/>
      <c r="CV180" s="1026"/>
      <c r="CW180" s="1912"/>
      <c r="CX180" s="1913"/>
      <c r="CY180" s="1651"/>
      <c r="CZ180" s="1026"/>
      <c r="DA180" s="1912"/>
      <c r="DB180" s="1913"/>
      <c r="DC180" s="1052"/>
      <c r="DD180" s="2032"/>
      <c r="DE180" s="1651"/>
      <c r="DF180" s="1026"/>
      <c r="DG180" s="1912"/>
      <c r="DH180" s="1913"/>
      <c r="DI180" s="964"/>
      <c r="DJ180" s="995"/>
      <c r="DK180" s="1052"/>
      <c r="DL180" s="1997"/>
      <c r="DM180" s="1052"/>
      <c r="DN180" s="1997"/>
      <c r="DO180" s="1052"/>
      <c r="DP180" s="2032"/>
      <c r="DQ180" s="965"/>
      <c r="DR180" s="962"/>
      <c r="DS180" s="1651"/>
      <c r="DT180" s="1026"/>
      <c r="DU180" s="1912"/>
      <c r="DV180" s="1913"/>
      <c r="DW180" s="965"/>
      <c r="DX180" s="959"/>
      <c r="DY180" s="1651"/>
      <c r="DZ180" s="1026"/>
      <c r="EA180" s="1912"/>
      <c r="EB180" s="1913"/>
      <c r="EC180" s="1052"/>
      <c r="ED180" s="2032"/>
      <c r="EE180" s="965"/>
      <c r="EF180" s="961"/>
      <c r="EG180" s="1052"/>
      <c r="EH180" s="2032"/>
      <c r="EI180" s="1651"/>
      <c r="EJ180" s="1026"/>
      <c r="EK180" s="2204"/>
      <c r="EL180" s="1913"/>
      <c r="EM180" s="2202">
        <f t="shared" si="219"/>
        <v>0</v>
      </c>
      <c r="EN180" s="1585">
        <f t="shared" si="220"/>
        <v>0</v>
      </c>
      <c r="EO180" s="1585">
        <f t="shared" si="221"/>
        <v>0</v>
      </c>
      <c r="EP180" s="1586"/>
      <c r="EQ180" s="999">
        <f t="shared" si="127"/>
        <v>0</v>
      </c>
      <c r="ER180" s="1776">
        <f t="shared" si="128"/>
        <v>0</v>
      </c>
      <c r="ES180" s="1776">
        <f t="shared" si="129"/>
        <v>0</v>
      </c>
      <c r="ET180" s="1055">
        <f t="shared" si="149"/>
        <v>0</v>
      </c>
    </row>
    <row r="181" spans="1:150" x14ac:dyDescent="0.25">
      <c r="A181" s="952"/>
      <c r="B181" s="959"/>
      <c r="C181" s="1651"/>
      <c r="D181" s="1026"/>
      <c r="E181" s="1912"/>
      <c r="F181" s="1913"/>
      <c r="G181" s="1052"/>
      <c r="H181" s="1997"/>
      <c r="I181" s="1052"/>
      <c r="J181" s="1997"/>
      <c r="K181" s="1052"/>
      <c r="L181" s="2032"/>
      <c r="M181" s="965"/>
      <c r="N181" s="959"/>
      <c r="O181" s="1052"/>
      <c r="P181" s="2032"/>
      <c r="Q181" s="1651"/>
      <c r="R181" s="1026"/>
      <c r="S181" s="1912"/>
      <c r="T181" s="1913"/>
      <c r="U181" s="1651"/>
      <c r="V181" s="1026"/>
      <c r="W181" s="1912"/>
      <c r="X181" s="1913"/>
      <c r="Y181" s="1651"/>
      <c r="Z181" s="1026"/>
      <c r="AA181" s="2054"/>
      <c r="AB181" s="1913"/>
      <c r="AC181" s="964"/>
      <c r="AD181" s="961"/>
      <c r="AE181" s="1651"/>
      <c r="AF181" s="1026"/>
      <c r="AG181" s="1912"/>
      <c r="AH181" s="1913"/>
      <c r="AI181" s="1651"/>
      <c r="AJ181" s="1026"/>
      <c r="AK181" s="1912"/>
      <c r="AL181" s="1913"/>
      <c r="AM181" s="1052"/>
      <c r="AN181" s="2032"/>
      <c r="AO181" s="1872"/>
      <c r="AP181" s="1101"/>
      <c r="AQ181" s="1053"/>
      <c r="AR181" s="2102"/>
      <c r="AS181" s="1554"/>
      <c r="AT181" s="2102"/>
      <c r="AU181" s="1651"/>
      <c r="AV181" s="1026"/>
      <c r="AW181" s="1912"/>
      <c r="AX181" s="1913"/>
      <c r="AY181" s="965"/>
      <c r="AZ181" s="961"/>
      <c r="BA181" s="1651"/>
      <c r="BB181" s="1026"/>
      <c r="BC181" s="1912"/>
      <c r="BD181" s="1913"/>
      <c r="BE181" s="952"/>
      <c r="BF181" s="959"/>
      <c r="BG181" s="1651"/>
      <c r="BH181" s="1026"/>
      <c r="BI181" s="1912"/>
      <c r="BJ181" s="1913"/>
      <c r="BK181" s="1651"/>
      <c r="BL181" s="1026"/>
      <c r="BM181" s="1912"/>
      <c r="BN181" s="1913"/>
      <c r="BO181" s="1052"/>
      <c r="BP181" s="1997"/>
      <c r="BQ181" s="1052"/>
      <c r="BR181" s="2032"/>
      <c r="BS181" s="1651"/>
      <c r="BT181" s="1026"/>
      <c r="BU181" s="1912"/>
      <c r="BV181" s="1913"/>
      <c r="BW181" s="1052"/>
      <c r="BX181" s="2032"/>
      <c r="BY181" s="1651"/>
      <c r="BZ181" s="1026"/>
      <c r="CA181" s="1912"/>
      <c r="CB181" s="1913"/>
      <c r="CC181" s="1743"/>
      <c r="CD181" s="2150"/>
      <c r="CE181" s="965"/>
      <c r="CF181" s="959"/>
      <c r="CG181" s="1651"/>
      <c r="CH181" s="1026"/>
      <c r="CI181" s="1912"/>
      <c r="CJ181" s="1913"/>
      <c r="CK181" s="952"/>
      <c r="CL181" s="959"/>
      <c r="CM181" s="1651"/>
      <c r="CN181" s="1026"/>
      <c r="CO181" s="1912"/>
      <c r="CP181" s="1913"/>
      <c r="CQ181" s="1651"/>
      <c r="CR181" s="1026"/>
      <c r="CS181" s="1912"/>
      <c r="CT181" s="1913"/>
      <c r="CU181" s="1651"/>
      <c r="CV181" s="1026"/>
      <c r="CW181" s="1912"/>
      <c r="CX181" s="1913"/>
      <c r="CY181" s="1651"/>
      <c r="CZ181" s="1026"/>
      <c r="DA181" s="1912"/>
      <c r="DB181" s="1913"/>
      <c r="DC181" s="1052"/>
      <c r="DD181" s="2032"/>
      <c r="DE181" s="1651"/>
      <c r="DF181" s="1026"/>
      <c r="DG181" s="1912"/>
      <c r="DH181" s="1913"/>
      <c r="DI181" s="964"/>
      <c r="DJ181" s="995"/>
      <c r="DK181" s="1052"/>
      <c r="DL181" s="1997"/>
      <c r="DM181" s="1052"/>
      <c r="DN181" s="1997"/>
      <c r="DO181" s="1052"/>
      <c r="DP181" s="2032"/>
      <c r="DQ181" s="965"/>
      <c r="DR181" s="962"/>
      <c r="DS181" s="1651"/>
      <c r="DT181" s="1026"/>
      <c r="DU181" s="1912"/>
      <c r="DV181" s="1913"/>
      <c r="DW181" s="965"/>
      <c r="DX181" s="959"/>
      <c r="DY181" s="1651"/>
      <c r="DZ181" s="1026"/>
      <c r="EA181" s="1912"/>
      <c r="EB181" s="1913"/>
      <c r="EC181" s="1052"/>
      <c r="ED181" s="2032"/>
      <c r="EE181" s="965"/>
      <c r="EF181" s="961"/>
      <c r="EG181" s="1052"/>
      <c r="EH181" s="2032"/>
      <c r="EI181" s="1651"/>
      <c r="EJ181" s="1026"/>
      <c r="EK181" s="2204"/>
      <c r="EL181" s="1913"/>
      <c r="EM181" s="2202">
        <f t="shared" si="219"/>
        <v>0</v>
      </c>
      <c r="EN181" s="1585">
        <f t="shared" si="220"/>
        <v>0</v>
      </c>
      <c r="EO181" s="1585">
        <f t="shared" si="221"/>
        <v>0</v>
      </c>
      <c r="EP181" s="1586"/>
      <c r="EQ181" s="999">
        <f t="shared" si="127"/>
        <v>0</v>
      </c>
      <c r="ER181" s="1776">
        <f t="shared" si="128"/>
        <v>0</v>
      </c>
      <c r="ES181" s="1776">
        <f t="shared" si="129"/>
        <v>0</v>
      </c>
      <c r="ET181" s="1055">
        <f t="shared" si="149"/>
        <v>0</v>
      </c>
    </row>
    <row r="182" spans="1:150" x14ac:dyDescent="0.25">
      <c r="A182" s="952">
        <v>5</v>
      </c>
      <c r="B182" s="959"/>
      <c r="C182" s="1651"/>
      <c r="D182" s="1026"/>
      <c r="E182" s="1912"/>
      <c r="F182" s="1913"/>
      <c r="G182" s="1052"/>
      <c r="H182" s="1997"/>
      <c r="I182" s="1052"/>
      <c r="J182" s="1997"/>
      <c r="K182" s="1052"/>
      <c r="L182" s="2032"/>
      <c r="M182" s="965"/>
      <c r="N182" s="959"/>
      <c r="O182" s="1052"/>
      <c r="P182" s="2032"/>
      <c r="Q182" s="1651"/>
      <c r="R182" s="1026"/>
      <c r="S182" s="1912"/>
      <c r="T182" s="1913"/>
      <c r="U182" s="1651"/>
      <c r="V182" s="1026"/>
      <c r="W182" s="1912"/>
      <c r="X182" s="1913"/>
      <c r="Y182" s="1651"/>
      <c r="Z182" s="1026"/>
      <c r="AA182" s="2054"/>
      <c r="AB182" s="1913"/>
      <c r="AC182" s="964"/>
      <c r="AD182" s="961"/>
      <c r="AE182" s="1651"/>
      <c r="AF182" s="1026"/>
      <c r="AG182" s="1912"/>
      <c r="AH182" s="1913"/>
      <c r="AI182" s="1651"/>
      <c r="AJ182" s="1026"/>
      <c r="AK182" s="1912"/>
      <c r="AL182" s="1913"/>
      <c r="AM182" s="1052"/>
      <c r="AN182" s="2032"/>
      <c r="AO182" s="1872"/>
      <c r="AP182" s="1101"/>
      <c r="AQ182" s="1053"/>
      <c r="AR182" s="2102"/>
      <c r="AS182" s="1554"/>
      <c r="AT182" s="2102"/>
      <c r="AU182" s="1651"/>
      <c r="AV182" s="1026"/>
      <c r="AW182" s="1912"/>
      <c r="AX182" s="1913"/>
      <c r="AY182" s="965"/>
      <c r="AZ182" s="961"/>
      <c r="BA182" s="1651"/>
      <c r="BB182" s="1026"/>
      <c r="BC182" s="1912"/>
      <c r="BD182" s="1913"/>
      <c r="BE182" s="952">
        <v>16</v>
      </c>
      <c r="BF182" s="1019"/>
      <c r="BG182" s="1651"/>
      <c r="BH182" s="1026"/>
      <c r="BI182" s="1912"/>
      <c r="BJ182" s="1913"/>
      <c r="BK182" s="1651"/>
      <c r="BL182" s="1026"/>
      <c r="BM182" s="1912"/>
      <c r="BN182" s="1913"/>
      <c r="BO182" s="1052"/>
      <c r="BP182" s="1997"/>
      <c r="BQ182" s="1052"/>
      <c r="BR182" s="2032"/>
      <c r="BS182" s="1651"/>
      <c r="BT182" s="1026"/>
      <c r="BU182" s="1912"/>
      <c r="BV182" s="1913"/>
      <c r="BW182" s="1052"/>
      <c r="BX182" s="2032"/>
      <c r="BY182" s="1651"/>
      <c r="BZ182" s="1026"/>
      <c r="CA182" s="1912"/>
      <c r="CB182" s="1913"/>
      <c r="CC182" s="1743"/>
      <c r="CD182" s="2150"/>
      <c r="CE182" s="965"/>
      <c r="CF182" s="959"/>
      <c r="CG182" s="1651"/>
      <c r="CH182" s="1026"/>
      <c r="CI182" s="1912"/>
      <c r="CJ182" s="1913"/>
      <c r="CK182" s="952">
        <v>23</v>
      </c>
      <c r="CL182" s="959"/>
      <c r="CM182" s="1651"/>
      <c r="CN182" s="1026"/>
      <c r="CO182" s="1912">
        <f>'kiadás 11601'!D10</f>
        <v>0</v>
      </c>
      <c r="CP182" s="1913">
        <f>'kiadás 11601'!D30</f>
        <v>2354094</v>
      </c>
      <c r="CQ182" s="1651"/>
      <c r="CR182" s="1026"/>
      <c r="CS182" s="1912"/>
      <c r="CT182" s="1913"/>
      <c r="CU182" s="1651"/>
      <c r="CV182" s="1026"/>
      <c r="CW182" s="1912"/>
      <c r="CX182" s="1913"/>
      <c r="CY182" s="1654"/>
      <c r="CZ182" s="977"/>
      <c r="DA182" s="2026">
        <f>kiadás11602!E24</f>
        <v>0</v>
      </c>
      <c r="DB182" s="1919">
        <f>kiadás11602!WE39</f>
        <v>0</v>
      </c>
      <c r="DC182" s="1052"/>
      <c r="DD182" s="2032"/>
      <c r="DE182" s="1651"/>
      <c r="DF182" s="1026"/>
      <c r="DG182" s="1912"/>
      <c r="DH182" s="1913"/>
      <c r="DI182" s="964"/>
      <c r="DJ182" s="995"/>
      <c r="DK182" s="1052"/>
      <c r="DL182" s="2000">
        <f>'kiadás 11603'!D13</f>
        <v>0</v>
      </c>
      <c r="DM182" s="1052"/>
      <c r="DN182" s="2000">
        <f>'kiadás 11604 '!G68</f>
        <v>0</v>
      </c>
      <c r="DO182" s="1052"/>
      <c r="DP182" s="2114">
        <f>kiadás11605projektek!G61</f>
        <v>0</v>
      </c>
      <c r="DQ182" s="965"/>
      <c r="DR182" s="962"/>
      <c r="DS182" s="1651"/>
      <c r="DT182" s="1026"/>
      <c r="DU182" s="1912"/>
      <c r="DV182" s="1913"/>
      <c r="DW182" s="965"/>
      <c r="DX182" s="959"/>
      <c r="DY182" s="1651"/>
      <c r="DZ182" s="1026"/>
      <c r="EA182" s="1912"/>
      <c r="EB182" s="1913"/>
      <c r="EC182" s="1052"/>
      <c r="ED182" s="2032"/>
      <c r="EE182" s="965"/>
      <c r="EF182" s="961"/>
      <c r="EG182" s="1052"/>
      <c r="EH182" s="2032"/>
      <c r="EI182" s="1651"/>
      <c r="EJ182" s="1026"/>
      <c r="EK182" s="2204"/>
      <c r="EL182" s="1913"/>
      <c r="EM182" s="2202">
        <f t="shared" si="219"/>
        <v>0</v>
      </c>
      <c r="EN182" s="1585">
        <f t="shared" si="220"/>
        <v>2354094</v>
      </c>
      <c r="EO182" s="1585">
        <f t="shared" si="221"/>
        <v>0</v>
      </c>
      <c r="EP182" s="1586">
        <f t="shared" si="130"/>
        <v>2354094</v>
      </c>
      <c r="EQ182" s="999">
        <f t="shared" si="127"/>
        <v>0</v>
      </c>
      <c r="ER182" s="1776">
        <f t="shared" si="128"/>
        <v>0</v>
      </c>
      <c r="ES182" s="1776">
        <f t="shared" si="129"/>
        <v>0</v>
      </c>
      <c r="ET182" s="1055">
        <f t="shared" si="149"/>
        <v>0</v>
      </c>
    </row>
    <row r="183" spans="1:150" ht="19.95" customHeight="1" thickBot="1" x14ac:dyDescent="0.3">
      <c r="A183" s="968"/>
      <c r="B183" s="1081" t="s">
        <v>1634</v>
      </c>
      <c r="C183" s="1656">
        <f t="shared" ref="C183:L183" si="222">SUM(C152:C182)</f>
        <v>0</v>
      </c>
      <c r="D183" s="1642">
        <f t="shared" si="222"/>
        <v>0</v>
      </c>
      <c r="E183" s="1926">
        <f t="shared" si="222"/>
        <v>0</v>
      </c>
      <c r="F183" s="1927">
        <f t="shared" si="222"/>
        <v>0</v>
      </c>
      <c r="G183" s="1058">
        <f t="shared" si="222"/>
        <v>0</v>
      </c>
      <c r="H183" s="1992">
        <f t="shared" si="222"/>
        <v>0</v>
      </c>
      <c r="I183" s="1058">
        <f t="shared" si="222"/>
        <v>0</v>
      </c>
      <c r="J183" s="1992">
        <f t="shared" si="222"/>
        <v>0</v>
      </c>
      <c r="K183" s="1058">
        <f t="shared" si="222"/>
        <v>0</v>
      </c>
      <c r="L183" s="1992">
        <f t="shared" si="222"/>
        <v>0</v>
      </c>
      <c r="M183" s="968"/>
      <c r="N183" s="1081" t="s">
        <v>1634</v>
      </c>
      <c r="O183" s="1058">
        <f t="shared" ref="O183:AB183" si="223">SUM(O152:O182)</f>
        <v>0</v>
      </c>
      <c r="P183" s="1992">
        <f t="shared" si="223"/>
        <v>0</v>
      </c>
      <c r="Q183" s="1656">
        <f t="shared" si="223"/>
        <v>0</v>
      </c>
      <c r="R183" s="1642">
        <f t="shared" si="223"/>
        <v>0</v>
      </c>
      <c r="S183" s="1926">
        <f t="shared" si="223"/>
        <v>0</v>
      </c>
      <c r="T183" s="1927">
        <f t="shared" si="223"/>
        <v>0</v>
      </c>
      <c r="U183" s="1656">
        <f t="shared" si="223"/>
        <v>0</v>
      </c>
      <c r="V183" s="1642">
        <f t="shared" si="223"/>
        <v>0</v>
      </c>
      <c r="W183" s="1926">
        <f t="shared" si="223"/>
        <v>0</v>
      </c>
      <c r="X183" s="1927">
        <f t="shared" si="223"/>
        <v>0</v>
      </c>
      <c r="Y183" s="1656">
        <f t="shared" si="223"/>
        <v>0</v>
      </c>
      <c r="Z183" s="1642">
        <f t="shared" si="223"/>
        <v>0</v>
      </c>
      <c r="AA183" s="1926">
        <f t="shared" si="223"/>
        <v>0</v>
      </c>
      <c r="AB183" s="1927">
        <f t="shared" si="223"/>
        <v>0</v>
      </c>
      <c r="AC183" s="970"/>
      <c r="AD183" s="1081" t="s">
        <v>1634</v>
      </c>
      <c r="AE183" s="1656">
        <f t="shared" ref="AE183:AX183" si="224">SUM(AE152:AE182)</f>
        <v>0</v>
      </c>
      <c r="AF183" s="1642">
        <f t="shared" si="224"/>
        <v>0</v>
      </c>
      <c r="AG183" s="1926">
        <f t="shared" si="224"/>
        <v>0</v>
      </c>
      <c r="AH183" s="1927">
        <f t="shared" si="224"/>
        <v>0</v>
      </c>
      <c r="AI183" s="1656">
        <f t="shared" si="224"/>
        <v>0</v>
      </c>
      <c r="AJ183" s="1642">
        <f t="shared" si="224"/>
        <v>0</v>
      </c>
      <c r="AK183" s="1926">
        <f t="shared" si="224"/>
        <v>0</v>
      </c>
      <c r="AL183" s="1927">
        <f t="shared" si="224"/>
        <v>0</v>
      </c>
      <c r="AM183" s="1058">
        <f t="shared" si="224"/>
        <v>0</v>
      </c>
      <c r="AN183" s="1992">
        <f t="shared" si="224"/>
        <v>0</v>
      </c>
      <c r="AO183" s="1656">
        <f t="shared" si="224"/>
        <v>0</v>
      </c>
      <c r="AP183" s="1854">
        <f t="shared" si="224"/>
        <v>0</v>
      </c>
      <c r="AQ183" s="1030">
        <f t="shared" si="224"/>
        <v>0</v>
      </c>
      <c r="AR183" s="1926">
        <f t="shared" si="224"/>
        <v>0</v>
      </c>
      <c r="AS183" s="2096">
        <f t="shared" si="224"/>
        <v>0</v>
      </c>
      <c r="AT183" s="2097">
        <f t="shared" si="224"/>
        <v>0</v>
      </c>
      <c r="AU183" s="1656">
        <f t="shared" si="224"/>
        <v>0</v>
      </c>
      <c r="AV183" s="1642">
        <f t="shared" si="224"/>
        <v>0</v>
      </c>
      <c r="AW183" s="1926">
        <f t="shared" si="224"/>
        <v>0</v>
      </c>
      <c r="AX183" s="1927">
        <f t="shared" si="224"/>
        <v>0</v>
      </c>
      <c r="AY183" s="968"/>
      <c r="AZ183" s="1081" t="s">
        <v>1634</v>
      </c>
      <c r="BA183" s="1656">
        <f t="shared" ref="BA183:BD183" si="225">SUM(BA152:BA182)</f>
        <v>0</v>
      </c>
      <c r="BB183" s="1642">
        <f t="shared" si="225"/>
        <v>0</v>
      </c>
      <c r="BC183" s="1926">
        <f t="shared" si="225"/>
        <v>0</v>
      </c>
      <c r="BD183" s="1927">
        <f t="shared" si="225"/>
        <v>0</v>
      </c>
      <c r="BE183" s="968"/>
      <c r="BF183" s="1081" t="s">
        <v>1634</v>
      </c>
      <c r="BG183" s="1656">
        <f t="shared" ref="BG183:CD183" si="226">SUM(BG152:BG182)</f>
        <v>15240</v>
      </c>
      <c r="BH183" s="1642">
        <f t="shared" si="226"/>
        <v>0</v>
      </c>
      <c r="BI183" s="1926">
        <f t="shared" si="226"/>
        <v>0</v>
      </c>
      <c r="BJ183" s="1927">
        <f t="shared" si="226"/>
        <v>0</v>
      </c>
      <c r="BK183" s="1656">
        <f t="shared" si="226"/>
        <v>0</v>
      </c>
      <c r="BL183" s="1642">
        <f t="shared" si="226"/>
        <v>0</v>
      </c>
      <c r="BM183" s="1926">
        <f t="shared" si="226"/>
        <v>0</v>
      </c>
      <c r="BN183" s="1927">
        <f t="shared" si="226"/>
        <v>0</v>
      </c>
      <c r="BO183" s="1058">
        <f t="shared" si="226"/>
        <v>0</v>
      </c>
      <c r="BP183" s="1992">
        <f t="shared" si="226"/>
        <v>0</v>
      </c>
      <c r="BQ183" s="1058">
        <f t="shared" si="226"/>
        <v>0</v>
      </c>
      <c r="BR183" s="1992">
        <f t="shared" si="226"/>
        <v>0</v>
      </c>
      <c r="BS183" s="1656">
        <f t="shared" si="226"/>
        <v>0</v>
      </c>
      <c r="BT183" s="1642">
        <f t="shared" si="226"/>
        <v>0</v>
      </c>
      <c r="BU183" s="1926">
        <f t="shared" si="226"/>
        <v>0</v>
      </c>
      <c r="BV183" s="1927">
        <f t="shared" si="226"/>
        <v>0</v>
      </c>
      <c r="BW183" s="1058">
        <f t="shared" si="226"/>
        <v>0</v>
      </c>
      <c r="BX183" s="1992">
        <f t="shared" si="226"/>
        <v>1800</v>
      </c>
      <c r="BY183" s="1656">
        <f t="shared" si="226"/>
        <v>0</v>
      </c>
      <c r="BZ183" s="1642">
        <f t="shared" si="226"/>
        <v>0</v>
      </c>
      <c r="CA183" s="1926">
        <f t="shared" si="226"/>
        <v>0</v>
      </c>
      <c r="CB183" s="1927">
        <f t="shared" si="226"/>
        <v>0</v>
      </c>
      <c r="CC183" s="1705">
        <f t="shared" si="226"/>
        <v>16000</v>
      </c>
      <c r="CD183" s="2159">
        <f t="shared" si="226"/>
        <v>0</v>
      </c>
      <c r="CE183" s="968"/>
      <c r="CF183" s="1081" t="s">
        <v>1634</v>
      </c>
      <c r="CG183" s="1656">
        <f t="shared" ref="CG183:CJ183" si="227">SUM(CG152:CG182)</f>
        <v>0</v>
      </c>
      <c r="CH183" s="1642">
        <f t="shared" si="227"/>
        <v>16500</v>
      </c>
      <c r="CI183" s="1926">
        <f t="shared" si="227"/>
        <v>18500</v>
      </c>
      <c r="CJ183" s="1927">
        <f t="shared" si="227"/>
        <v>0</v>
      </c>
      <c r="CK183" s="968"/>
      <c r="CL183" s="1081" t="s">
        <v>1634</v>
      </c>
      <c r="CM183" s="1656">
        <f t="shared" ref="CM183:DH183" si="228">SUM(CM152:CM182)</f>
        <v>0</v>
      </c>
      <c r="CN183" s="1642">
        <f t="shared" si="228"/>
        <v>0</v>
      </c>
      <c r="CO183" s="1926">
        <f t="shared" si="228"/>
        <v>0</v>
      </c>
      <c r="CP183" s="1927">
        <f t="shared" si="228"/>
        <v>2354094</v>
      </c>
      <c r="CQ183" s="1656">
        <f t="shared" si="228"/>
        <v>0</v>
      </c>
      <c r="CR183" s="1642">
        <f t="shared" si="228"/>
        <v>0</v>
      </c>
      <c r="CS183" s="1926">
        <f t="shared" si="228"/>
        <v>0</v>
      </c>
      <c r="CT183" s="1927">
        <f t="shared" si="228"/>
        <v>0</v>
      </c>
      <c r="CU183" s="1656">
        <f t="shared" si="228"/>
        <v>0</v>
      </c>
      <c r="CV183" s="1642">
        <f t="shared" si="228"/>
        <v>0</v>
      </c>
      <c r="CW183" s="1926">
        <f t="shared" si="228"/>
        <v>0</v>
      </c>
      <c r="CX183" s="1927">
        <f t="shared" si="228"/>
        <v>46000</v>
      </c>
      <c r="CY183" s="1656">
        <f t="shared" si="228"/>
        <v>0</v>
      </c>
      <c r="CZ183" s="1642">
        <f t="shared" si="228"/>
        <v>0</v>
      </c>
      <c r="DA183" s="1926">
        <f t="shared" si="228"/>
        <v>0</v>
      </c>
      <c r="DB183" s="1927">
        <f t="shared" si="228"/>
        <v>0</v>
      </c>
      <c r="DC183" s="1058">
        <f t="shared" si="228"/>
        <v>0</v>
      </c>
      <c r="DD183" s="1992">
        <f t="shared" si="228"/>
        <v>0</v>
      </c>
      <c r="DE183" s="1656">
        <f t="shared" si="228"/>
        <v>0</v>
      </c>
      <c r="DF183" s="1642">
        <f t="shared" si="228"/>
        <v>0</v>
      </c>
      <c r="DG183" s="1926">
        <f t="shared" si="228"/>
        <v>0</v>
      </c>
      <c r="DH183" s="1927">
        <f t="shared" si="228"/>
        <v>0</v>
      </c>
      <c r="DI183" s="970"/>
      <c r="DJ183" s="1081" t="s">
        <v>1634</v>
      </c>
      <c r="DK183" s="1058">
        <f t="shared" ref="DK183:DL183" si="229">SUM(DK152:DK182)</f>
        <v>0</v>
      </c>
      <c r="DL183" s="1992">
        <f t="shared" si="229"/>
        <v>0</v>
      </c>
      <c r="DM183" s="1058">
        <f t="shared" ref="DM183:DP183" si="230">SUM(DM152:DM182)</f>
        <v>0</v>
      </c>
      <c r="DN183" s="1992">
        <f t="shared" si="230"/>
        <v>0</v>
      </c>
      <c r="DO183" s="1058">
        <f t="shared" si="230"/>
        <v>0</v>
      </c>
      <c r="DP183" s="1992">
        <f t="shared" si="230"/>
        <v>0</v>
      </c>
      <c r="DQ183" s="968"/>
      <c r="DR183" s="1082" t="s">
        <v>1634</v>
      </c>
      <c r="DS183" s="1656">
        <f t="shared" ref="DS183:DV183" si="231">SUM(DS152:DS182)</f>
        <v>0</v>
      </c>
      <c r="DT183" s="1642">
        <f t="shared" si="231"/>
        <v>1800</v>
      </c>
      <c r="DU183" s="1926">
        <f t="shared" si="231"/>
        <v>0</v>
      </c>
      <c r="DV183" s="1927">
        <f t="shared" si="231"/>
        <v>2200</v>
      </c>
      <c r="DW183" s="968"/>
      <c r="DX183" s="1081" t="s">
        <v>1634</v>
      </c>
      <c r="DY183" s="1656">
        <f t="shared" ref="DY183:ED183" si="232">SUM(DY152:DY182)</f>
        <v>0</v>
      </c>
      <c r="DZ183" s="1642">
        <f t="shared" si="232"/>
        <v>0</v>
      </c>
      <c r="EA183" s="1926">
        <f t="shared" si="232"/>
        <v>0</v>
      </c>
      <c r="EB183" s="1927">
        <f t="shared" si="232"/>
        <v>0</v>
      </c>
      <c r="EC183" s="1058">
        <f t="shared" si="232"/>
        <v>0</v>
      </c>
      <c r="ED183" s="1992">
        <f t="shared" si="232"/>
        <v>0</v>
      </c>
      <c r="EE183" s="968"/>
      <c r="EF183" s="1081" t="s">
        <v>1634</v>
      </c>
      <c r="EG183" s="1058">
        <f t="shared" ref="EG183:EO183" si="233">SUM(EG152:EG182)</f>
        <v>0</v>
      </c>
      <c r="EH183" s="1992">
        <f t="shared" si="233"/>
        <v>0</v>
      </c>
      <c r="EI183" s="1656">
        <f t="shared" si="233"/>
        <v>0</v>
      </c>
      <c r="EJ183" s="1642">
        <f t="shared" si="233"/>
        <v>0</v>
      </c>
      <c r="EK183" s="1926">
        <f t="shared" si="233"/>
        <v>0</v>
      </c>
      <c r="EL183" s="1927">
        <f t="shared" si="233"/>
        <v>0</v>
      </c>
      <c r="EM183" s="1927">
        <f t="shared" si="233"/>
        <v>18500</v>
      </c>
      <c r="EN183" s="1927">
        <f t="shared" si="233"/>
        <v>2404094</v>
      </c>
      <c r="EO183" s="1927">
        <f t="shared" si="233"/>
        <v>0</v>
      </c>
      <c r="EP183" s="1962">
        <f t="shared" si="130"/>
        <v>2422594</v>
      </c>
      <c r="EQ183" s="1707">
        <f t="shared" si="127"/>
        <v>31240</v>
      </c>
      <c r="ER183" s="1786">
        <f t="shared" si="128"/>
        <v>18300</v>
      </c>
      <c r="ES183" s="1786">
        <f t="shared" si="129"/>
        <v>0</v>
      </c>
      <c r="ET183" s="1061">
        <f t="shared" si="149"/>
        <v>49540</v>
      </c>
    </row>
    <row r="184" spans="1:150" ht="19.95" customHeight="1" x14ac:dyDescent="0.25">
      <c r="A184" s="948"/>
      <c r="B184" s="1107" t="s">
        <v>108</v>
      </c>
      <c r="C184" s="1669"/>
      <c r="D184" s="1632"/>
      <c r="E184" s="1954"/>
      <c r="F184" s="1955"/>
      <c r="G184" s="1693"/>
      <c r="H184" s="2008"/>
      <c r="I184" s="1693"/>
      <c r="J184" s="2008"/>
      <c r="K184" s="1693"/>
      <c r="L184" s="2038"/>
      <c r="M184" s="948"/>
      <c r="N184" s="1107" t="s">
        <v>108</v>
      </c>
      <c r="O184" s="1693"/>
      <c r="P184" s="2038"/>
      <c r="Q184" s="1669"/>
      <c r="R184" s="1632"/>
      <c r="S184" s="1954"/>
      <c r="T184" s="1955"/>
      <c r="U184" s="1669"/>
      <c r="V184" s="1632"/>
      <c r="W184" s="1954"/>
      <c r="X184" s="1955"/>
      <c r="Y184" s="1669"/>
      <c r="Z184" s="1632"/>
      <c r="AA184" s="2072"/>
      <c r="AB184" s="1955"/>
      <c r="AC184" s="950"/>
      <c r="AD184" s="1107" t="s">
        <v>108</v>
      </c>
      <c r="AE184" s="1669"/>
      <c r="AF184" s="1632"/>
      <c r="AG184" s="1954"/>
      <c r="AH184" s="1955"/>
      <c r="AI184" s="1669"/>
      <c r="AJ184" s="1632"/>
      <c r="AK184" s="1954"/>
      <c r="AL184" s="1955"/>
      <c r="AM184" s="1693"/>
      <c r="AN184" s="2038"/>
      <c r="AO184" s="1877"/>
      <c r="AP184" s="1724"/>
      <c r="AQ184" s="1725"/>
      <c r="AR184" s="2118"/>
      <c r="AS184" s="2119"/>
      <c r="AT184" s="2118"/>
      <c r="AU184" s="1669"/>
      <c r="AV184" s="1632"/>
      <c r="AW184" s="1954"/>
      <c r="AX184" s="1955"/>
      <c r="AY184" s="948"/>
      <c r="AZ184" s="1107" t="s">
        <v>108</v>
      </c>
      <c r="BA184" s="1669"/>
      <c r="BB184" s="1632"/>
      <c r="BC184" s="1954"/>
      <c r="BD184" s="1955"/>
      <c r="BE184" s="948"/>
      <c r="BF184" s="1107" t="s">
        <v>108</v>
      </c>
      <c r="BG184" s="1669"/>
      <c r="BH184" s="1632"/>
      <c r="BI184" s="1954"/>
      <c r="BJ184" s="1955"/>
      <c r="BK184" s="1669"/>
      <c r="BL184" s="1632"/>
      <c r="BM184" s="1954"/>
      <c r="BN184" s="1955"/>
      <c r="BO184" s="1693"/>
      <c r="BP184" s="2008"/>
      <c r="BQ184" s="1693"/>
      <c r="BR184" s="2038"/>
      <c r="BS184" s="1669"/>
      <c r="BT184" s="1632"/>
      <c r="BU184" s="1954"/>
      <c r="BV184" s="1955"/>
      <c r="BW184" s="1693"/>
      <c r="BX184" s="2038"/>
      <c r="BY184" s="1669"/>
      <c r="BZ184" s="1632"/>
      <c r="CA184" s="1954"/>
      <c r="CB184" s="1955"/>
      <c r="CC184" s="1760"/>
      <c r="CD184" s="2170"/>
      <c r="CE184" s="948"/>
      <c r="CF184" s="1107" t="s">
        <v>108</v>
      </c>
      <c r="CG184" s="1669"/>
      <c r="CH184" s="1632"/>
      <c r="CI184" s="1954"/>
      <c r="CJ184" s="1955"/>
      <c r="CK184" s="948"/>
      <c r="CL184" s="1107" t="s">
        <v>108</v>
      </c>
      <c r="CM184" s="1669"/>
      <c r="CN184" s="1632"/>
      <c r="CO184" s="1954"/>
      <c r="CP184" s="1955"/>
      <c r="CQ184" s="1669"/>
      <c r="CR184" s="1632"/>
      <c r="CS184" s="1954"/>
      <c r="CT184" s="1955"/>
      <c r="CU184" s="1669"/>
      <c r="CV184" s="1632"/>
      <c r="CW184" s="1954"/>
      <c r="CX184" s="1955"/>
      <c r="CY184" s="1669"/>
      <c r="CZ184" s="1632"/>
      <c r="DA184" s="1954"/>
      <c r="DB184" s="1955"/>
      <c r="DC184" s="1693"/>
      <c r="DD184" s="2038"/>
      <c r="DE184" s="1669"/>
      <c r="DF184" s="1632"/>
      <c r="DG184" s="1954"/>
      <c r="DH184" s="1955"/>
      <c r="DI184" s="950"/>
      <c r="DJ184" s="1107" t="s">
        <v>108</v>
      </c>
      <c r="DK184" s="1693"/>
      <c r="DL184" s="2008"/>
      <c r="DM184" s="1693"/>
      <c r="DN184" s="2008"/>
      <c r="DO184" s="1693"/>
      <c r="DP184" s="2038"/>
      <c r="DQ184" s="948"/>
      <c r="DR184" s="1108" t="s">
        <v>108</v>
      </c>
      <c r="DS184" s="1669"/>
      <c r="DT184" s="1632"/>
      <c r="DU184" s="1954"/>
      <c r="DV184" s="1955"/>
      <c r="DW184" s="948"/>
      <c r="DX184" s="1107" t="s">
        <v>108</v>
      </c>
      <c r="DY184" s="1669"/>
      <c r="DZ184" s="1632"/>
      <c r="EA184" s="1954"/>
      <c r="EB184" s="1955"/>
      <c r="EC184" s="1693"/>
      <c r="ED184" s="2038"/>
      <c r="EE184" s="948"/>
      <c r="EF184" s="1107" t="s">
        <v>108</v>
      </c>
      <c r="EG184" s="1693"/>
      <c r="EH184" s="2038"/>
      <c r="EI184" s="1669"/>
      <c r="EJ184" s="1632"/>
      <c r="EK184" s="2231"/>
      <c r="EL184" s="2076"/>
      <c r="EM184" s="2230"/>
      <c r="EN184" s="1586"/>
      <c r="EO184" s="1586"/>
      <c r="EP184" s="1586">
        <f t="shared" si="130"/>
        <v>0</v>
      </c>
      <c r="EQ184" s="999">
        <f t="shared" si="127"/>
        <v>0</v>
      </c>
      <c r="ER184" s="1776">
        <f t="shared" si="128"/>
        <v>0</v>
      </c>
      <c r="ES184" s="1776">
        <f t="shared" si="129"/>
        <v>0</v>
      </c>
      <c r="ET184" s="1055">
        <f t="shared" si="149"/>
        <v>0</v>
      </c>
    </row>
    <row r="185" spans="1:150" ht="13.8" x14ac:dyDescent="0.3">
      <c r="A185" s="965">
        <v>1</v>
      </c>
      <c r="B185" s="961"/>
      <c r="C185" s="1660"/>
      <c r="D185" s="1051"/>
      <c r="E185" s="1936"/>
      <c r="F185" s="1937"/>
      <c r="G185" s="1052"/>
      <c r="H185" s="1997"/>
      <c r="I185" s="1052"/>
      <c r="J185" s="1997"/>
      <c r="K185" s="1052"/>
      <c r="L185" s="2032"/>
      <c r="M185" s="965">
        <v>1</v>
      </c>
      <c r="N185" s="961"/>
      <c r="O185" s="1052"/>
      <c r="P185" s="2032"/>
      <c r="Q185" s="1660"/>
      <c r="R185" s="1051"/>
      <c r="S185" s="1936"/>
      <c r="T185" s="1937"/>
      <c r="U185" s="1660"/>
      <c r="V185" s="1051"/>
      <c r="W185" s="1936"/>
      <c r="X185" s="1937"/>
      <c r="Y185" s="1660"/>
      <c r="Z185" s="1051"/>
      <c r="AA185" s="2066"/>
      <c r="AB185" s="1937"/>
      <c r="AC185" s="964">
        <v>1</v>
      </c>
      <c r="AD185" s="961"/>
      <c r="AE185" s="1660"/>
      <c r="AF185" s="1051"/>
      <c r="AG185" s="1936"/>
      <c r="AH185" s="1937"/>
      <c r="AI185" s="1660"/>
      <c r="AJ185" s="1051"/>
      <c r="AK185" s="1936"/>
      <c r="AL185" s="1937"/>
      <c r="AM185" s="1052"/>
      <c r="AN185" s="2032"/>
      <c r="AO185" s="1872"/>
      <c r="AP185" s="1101"/>
      <c r="AQ185" s="1053"/>
      <c r="AR185" s="2102"/>
      <c r="AS185" s="1554"/>
      <c r="AT185" s="2102"/>
      <c r="AU185" s="1660"/>
      <c r="AV185" s="1051"/>
      <c r="AW185" s="1936"/>
      <c r="AX185" s="1937"/>
      <c r="AY185" s="965">
        <v>1</v>
      </c>
      <c r="AZ185" s="961"/>
      <c r="BA185" s="1660"/>
      <c r="BB185" s="1051"/>
      <c r="BC185" s="1936"/>
      <c r="BD185" s="1937"/>
      <c r="BE185" s="965">
        <v>1</v>
      </c>
      <c r="BF185" s="987"/>
      <c r="BG185" s="1660"/>
      <c r="BH185" s="1051"/>
      <c r="BI185" s="1936"/>
      <c r="BJ185" s="1937"/>
      <c r="BK185" s="1660"/>
      <c r="BL185" s="1051"/>
      <c r="BM185" s="1936"/>
      <c r="BN185" s="1937"/>
      <c r="BO185" s="1052"/>
      <c r="BP185" s="1997"/>
      <c r="BQ185" s="1052"/>
      <c r="BR185" s="2032"/>
      <c r="BS185" s="1660"/>
      <c r="BT185" s="1051"/>
      <c r="BU185" s="1936"/>
      <c r="BV185" s="1937"/>
      <c r="BW185" s="1052"/>
      <c r="BX185" s="2032"/>
      <c r="BY185" s="1660"/>
      <c r="BZ185" s="1051"/>
      <c r="CA185" s="1936"/>
      <c r="CB185" s="1937"/>
      <c r="CC185" s="1754"/>
      <c r="CD185" s="2162"/>
      <c r="CE185" s="965">
        <v>1</v>
      </c>
      <c r="CF185" s="961" t="s">
        <v>1635</v>
      </c>
      <c r="CG185" s="1660"/>
      <c r="CH185" s="1026">
        <v>8500</v>
      </c>
      <c r="CI185" s="1936"/>
      <c r="CJ185" s="1937"/>
      <c r="CK185" s="965"/>
      <c r="CL185" s="1109" t="s">
        <v>1636</v>
      </c>
      <c r="CM185" s="1660"/>
      <c r="CN185" s="1051"/>
      <c r="CO185" s="1936"/>
      <c r="CP185" s="1937"/>
      <c r="CQ185" s="1660"/>
      <c r="CR185" s="1051"/>
      <c r="CS185" s="1936"/>
      <c r="CT185" s="1937"/>
      <c r="CU185" s="1660"/>
      <c r="CV185" s="1051"/>
      <c r="CW185" s="1936"/>
      <c r="CX185" s="1937"/>
      <c r="CY185" s="1660"/>
      <c r="CZ185" s="1051"/>
      <c r="DA185" s="1936"/>
      <c r="DB185" s="1937"/>
      <c r="DC185" s="1052"/>
      <c r="DD185" s="2032"/>
      <c r="DE185" s="1660"/>
      <c r="DF185" s="1051"/>
      <c r="DG185" s="1936"/>
      <c r="DH185" s="1937"/>
      <c r="DI185" s="964"/>
      <c r="DJ185" s="993" t="s">
        <v>1355</v>
      </c>
      <c r="DK185" s="1052"/>
      <c r="DL185" s="1997"/>
      <c r="DM185" s="1052"/>
      <c r="DN185" s="1997"/>
      <c r="DO185" s="1052"/>
      <c r="DP185" s="2032"/>
      <c r="DQ185" s="965">
        <v>1</v>
      </c>
      <c r="DR185" s="958"/>
      <c r="DS185" s="1660"/>
      <c r="DT185" s="1051"/>
      <c r="DU185" s="1936"/>
      <c r="DV185" s="1937"/>
      <c r="DW185" s="965">
        <v>1</v>
      </c>
      <c r="DX185" s="961"/>
      <c r="DY185" s="1660"/>
      <c r="DZ185" s="1051"/>
      <c r="EA185" s="1936"/>
      <c r="EB185" s="1937"/>
      <c r="EC185" s="1052"/>
      <c r="ED185" s="2032"/>
      <c r="EE185" s="965">
        <v>1</v>
      </c>
      <c r="EF185" s="961"/>
      <c r="EG185" s="1052"/>
      <c r="EH185" s="2032"/>
      <c r="EI185" s="1660"/>
      <c r="EJ185" s="1051"/>
      <c r="EK185" s="2220"/>
      <c r="EL185" s="1937"/>
      <c r="EM185" s="2202">
        <f t="shared" ref="EM185:EM201" si="234">E185+S185+W185+AA185+AG185+AK185+AN185+AR185+AW185+BC185+BI185+BM185+BR185+BU185+CA185+CD185+CI185+CO185+CS185+CW185+DA185+DG185+DU185+EA185+EK185</f>
        <v>0</v>
      </c>
      <c r="EN185" s="1585">
        <f t="shared" ref="EN185:EN201" si="235">F185+H185+J185+L185+P185+T185+X185+AB185+AH185+AL185+AS185+AX185+BD185+BJ185+BN185+BP185+BV185+BX185+CB185+CJ185+CP185+CT185+CX185+DB185+DD185+DH185+DN185+DP185+DV185+EB185+ED185+EH185+EL185+DL185</f>
        <v>0</v>
      </c>
      <c r="EO185" s="1585">
        <f t="shared" ref="EO185:EO201" si="236">AQ185</f>
        <v>0</v>
      </c>
      <c r="EP185" s="1586">
        <f t="shared" si="130"/>
        <v>0</v>
      </c>
      <c r="EQ185" s="999">
        <f t="shared" si="127"/>
        <v>0</v>
      </c>
      <c r="ER185" s="1776">
        <f t="shared" si="128"/>
        <v>8500</v>
      </c>
      <c r="ES185" s="1776">
        <f t="shared" si="129"/>
        <v>0</v>
      </c>
      <c r="ET185" s="1055">
        <f t="shared" si="149"/>
        <v>8500</v>
      </c>
    </row>
    <row r="186" spans="1:150" ht="26.4" x14ac:dyDescent="0.25">
      <c r="A186" s="965">
        <v>2</v>
      </c>
      <c r="B186" s="961"/>
      <c r="C186" s="1660"/>
      <c r="D186" s="1051"/>
      <c r="E186" s="1936"/>
      <c r="F186" s="1937"/>
      <c r="G186" s="1052"/>
      <c r="H186" s="1997"/>
      <c r="I186" s="1052"/>
      <c r="J186" s="1997"/>
      <c r="K186" s="1052"/>
      <c r="L186" s="2032"/>
      <c r="M186" s="965">
        <v>2</v>
      </c>
      <c r="N186" s="961"/>
      <c r="O186" s="1052"/>
      <c r="P186" s="2032"/>
      <c r="Q186" s="1660"/>
      <c r="R186" s="1051"/>
      <c r="S186" s="1936"/>
      <c r="T186" s="1937"/>
      <c r="U186" s="1660"/>
      <c r="V186" s="1051"/>
      <c r="W186" s="1936"/>
      <c r="X186" s="1937"/>
      <c r="Y186" s="1660"/>
      <c r="Z186" s="1051"/>
      <c r="AA186" s="2066"/>
      <c r="AB186" s="1937"/>
      <c r="AC186" s="964">
        <v>2</v>
      </c>
      <c r="AD186" s="961"/>
      <c r="AE186" s="1660"/>
      <c r="AF186" s="1051"/>
      <c r="AG186" s="1936"/>
      <c r="AH186" s="1937"/>
      <c r="AI186" s="1660"/>
      <c r="AJ186" s="1051"/>
      <c r="AK186" s="1936"/>
      <c r="AL186" s="1937"/>
      <c r="AM186" s="1052"/>
      <c r="AN186" s="2032"/>
      <c r="AO186" s="1872"/>
      <c r="AP186" s="1101"/>
      <c r="AQ186" s="1053"/>
      <c r="AR186" s="2102"/>
      <c r="AS186" s="1554"/>
      <c r="AT186" s="2102"/>
      <c r="AU186" s="1660"/>
      <c r="AV186" s="1051"/>
      <c r="AW186" s="1936"/>
      <c r="AX186" s="1937"/>
      <c r="AY186" s="965">
        <v>2</v>
      </c>
      <c r="AZ186" s="961"/>
      <c r="BA186" s="1660"/>
      <c r="BB186" s="1051"/>
      <c r="BC186" s="1936"/>
      <c r="BD186" s="1937"/>
      <c r="BE186" s="965">
        <v>2</v>
      </c>
      <c r="BF186" s="987"/>
      <c r="BG186" s="1660"/>
      <c r="BH186" s="1051"/>
      <c r="BI186" s="1936"/>
      <c r="BJ186" s="1937"/>
      <c r="BK186" s="1660"/>
      <c r="BL186" s="1051"/>
      <c r="BM186" s="1936"/>
      <c r="BN186" s="1937"/>
      <c r="BO186" s="1052"/>
      <c r="BP186" s="1997"/>
      <c r="BQ186" s="1052"/>
      <c r="BR186" s="2032"/>
      <c r="BS186" s="1660"/>
      <c r="BT186" s="1051"/>
      <c r="BU186" s="1936"/>
      <c r="BV186" s="1937"/>
      <c r="BW186" s="1052"/>
      <c r="BX186" s="2032"/>
      <c r="BY186" s="1660"/>
      <c r="BZ186" s="1051"/>
      <c r="CA186" s="1936"/>
      <c r="CB186" s="1937"/>
      <c r="CC186" s="1743"/>
      <c r="CD186" s="2150"/>
      <c r="CE186" s="965">
        <v>2</v>
      </c>
      <c r="CF186" s="961" t="s">
        <v>893</v>
      </c>
      <c r="CG186" s="1660"/>
      <c r="CH186" s="1026">
        <v>10000</v>
      </c>
      <c r="CI186" s="1936"/>
      <c r="CJ186" s="1937"/>
      <c r="CK186" s="965">
        <v>1</v>
      </c>
      <c r="CL186" s="1019" t="s">
        <v>1637</v>
      </c>
      <c r="CM186" s="1660"/>
      <c r="CN186" s="1051"/>
      <c r="CO186" s="1936"/>
      <c r="CP186" s="1937"/>
      <c r="CQ186" s="1660"/>
      <c r="CR186" s="1051"/>
      <c r="CS186" s="1936"/>
      <c r="CT186" s="1937"/>
      <c r="CU186" s="1660"/>
      <c r="CV186" s="1051"/>
      <c r="CW186" s="1936"/>
      <c r="CX186" s="1937"/>
      <c r="CY186" s="1660"/>
      <c r="CZ186" s="1051"/>
      <c r="DA186" s="1936"/>
      <c r="DB186" s="1937"/>
      <c r="DC186" s="1052"/>
      <c r="DD186" s="2032"/>
      <c r="DE186" s="1660"/>
      <c r="DF186" s="1051"/>
      <c r="DG186" s="1936"/>
      <c r="DH186" s="1937"/>
      <c r="DI186" s="964">
        <v>3</v>
      </c>
      <c r="DJ186" s="995" t="s">
        <v>1638</v>
      </c>
      <c r="DK186" s="1052"/>
      <c r="DL186" s="1997"/>
      <c r="DM186" s="1052"/>
      <c r="DN186" s="1997"/>
      <c r="DO186" s="1052"/>
      <c r="DP186" s="2032"/>
      <c r="DQ186" s="965">
        <v>2</v>
      </c>
      <c r="DR186" s="1110"/>
      <c r="DS186" s="1660"/>
      <c r="DT186" s="1051"/>
      <c r="DU186" s="1936"/>
      <c r="DV186" s="1937"/>
      <c r="DW186" s="965">
        <v>2</v>
      </c>
      <c r="DX186" s="961"/>
      <c r="DY186" s="1660"/>
      <c r="DZ186" s="1051"/>
      <c r="EA186" s="1936"/>
      <c r="EB186" s="1937"/>
      <c r="EC186" s="1052"/>
      <c r="ED186" s="2032"/>
      <c r="EE186" s="965">
        <v>2</v>
      </c>
      <c r="EF186" s="961"/>
      <c r="EG186" s="1052"/>
      <c r="EH186" s="2032"/>
      <c r="EI186" s="1660"/>
      <c r="EJ186" s="1051"/>
      <c r="EK186" s="2220"/>
      <c r="EL186" s="1937"/>
      <c r="EM186" s="2202">
        <f t="shared" si="234"/>
        <v>0</v>
      </c>
      <c r="EN186" s="1585">
        <f t="shared" si="235"/>
        <v>0</v>
      </c>
      <c r="EO186" s="1585">
        <f t="shared" si="236"/>
        <v>0</v>
      </c>
      <c r="EP186" s="1586">
        <f t="shared" si="130"/>
        <v>0</v>
      </c>
      <c r="EQ186" s="999">
        <f t="shared" si="127"/>
        <v>0</v>
      </c>
      <c r="ER186" s="1776">
        <f t="shared" si="128"/>
        <v>10000</v>
      </c>
      <c r="ES186" s="1776">
        <f t="shared" si="129"/>
        <v>0</v>
      </c>
      <c r="ET186" s="1055">
        <f t="shared" si="149"/>
        <v>10000</v>
      </c>
    </row>
    <row r="187" spans="1:150" ht="26.4" x14ac:dyDescent="0.25">
      <c r="A187" s="965">
        <v>3</v>
      </c>
      <c r="B187" s="961"/>
      <c r="C187" s="1660"/>
      <c r="D187" s="1051"/>
      <c r="E187" s="1936"/>
      <c r="F187" s="1937"/>
      <c r="G187" s="1052"/>
      <c r="H187" s="1997"/>
      <c r="I187" s="1052"/>
      <c r="J187" s="1997"/>
      <c r="K187" s="1052"/>
      <c r="L187" s="2032"/>
      <c r="M187" s="965">
        <v>3</v>
      </c>
      <c r="N187" s="961"/>
      <c r="O187" s="1052"/>
      <c r="P187" s="2032"/>
      <c r="Q187" s="1660"/>
      <c r="R187" s="1051"/>
      <c r="S187" s="1936"/>
      <c r="T187" s="1937"/>
      <c r="U187" s="1660"/>
      <c r="V187" s="1051"/>
      <c r="W187" s="1936"/>
      <c r="X187" s="1937"/>
      <c r="Y187" s="1660"/>
      <c r="Z187" s="1051"/>
      <c r="AA187" s="2066"/>
      <c r="AB187" s="1937"/>
      <c r="AC187" s="964">
        <v>3</v>
      </c>
      <c r="AD187" s="961"/>
      <c r="AE187" s="1660"/>
      <c r="AF187" s="1051"/>
      <c r="AG187" s="1936"/>
      <c r="AH187" s="1937"/>
      <c r="AI187" s="1660"/>
      <c r="AJ187" s="1051"/>
      <c r="AK187" s="1936"/>
      <c r="AL187" s="1937"/>
      <c r="AM187" s="1052"/>
      <c r="AN187" s="2032"/>
      <c r="AO187" s="1872"/>
      <c r="AP187" s="1101"/>
      <c r="AQ187" s="1053"/>
      <c r="AR187" s="2102"/>
      <c r="AS187" s="1554"/>
      <c r="AT187" s="2102"/>
      <c r="AU187" s="1660"/>
      <c r="AV187" s="1051"/>
      <c r="AW187" s="1936"/>
      <c r="AX187" s="1937"/>
      <c r="AY187" s="965">
        <v>3</v>
      </c>
      <c r="AZ187" s="961"/>
      <c r="BA187" s="1660"/>
      <c r="BB187" s="1051"/>
      <c r="BC187" s="1936"/>
      <c r="BD187" s="1937"/>
      <c r="BE187" s="965">
        <v>3</v>
      </c>
      <c r="BF187" s="987"/>
      <c r="BG187" s="1660"/>
      <c r="BH187" s="1051"/>
      <c r="BI187" s="1936"/>
      <c r="BJ187" s="1937"/>
      <c r="BK187" s="1660"/>
      <c r="BL187" s="1051"/>
      <c r="BM187" s="1936"/>
      <c r="BN187" s="1937"/>
      <c r="BO187" s="1052"/>
      <c r="BP187" s="1997"/>
      <c r="BQ187" s="1052"/>
      <c r="BR187" s="2032"/>
      <c r="BS187" s="1660"/>
      <c r="BT187" s="1051"/>
      <c r="BU187" s="1936"/>
      <c r="BV187" s="1937"/>
      <c r="BW187" s="1052"/>
      <c r="BX187" s="2032"/>
      <c r="BY187" s="1660"/>
      <c r="BZ187" s="1051"/>
      <c r="CA187" s="1936"/>
      <c r="CB187" s="1937"/>
      <c r="CC187" s="1743"/>
      <c r="CD187" s="2150"/>
      <c r="CE187" s="965">
        <v>3</v>
      </c>
      <c r="CF187" s="961"/>
      <c r="CG187" s="1660"/>
      <c r="CH187" s="1051"/>
      <c r="CI187" s="1936"/>
      <c r="CJ187" s="1937"/>
      <c r="CK187" s="965">
        <v>2</v>
      </c>
      <c r="CL187" s="995" t="s">
        <v>1639</v>
      </c>
      <c r="CM187" s="1660"/>
      <c r="CN187" s="1051"/>
      <c r="CO187" s="1936"/>
      <c r="CP187" s="1937"/>
      <c r="CQ187" s="1660"/>
      <c r="CR187" s="1051"/>
      <c r="CS187" s="1936"/>
      <c r="CT187" s="1937"/>
      <c r="CU187" s="1660"/>
      <c r="CV187" s="1051"/>
      <c r="CW187" s="1936"/>
      <c r="CX187" s="1937"/>
      <c r="CY187" s="1660"/>
      <c r="CZ187" s="1051"/>
      <c r="DA187" s="1936"/>
      <c r="DB187" s="1937"/>
      <c r="DC187" s="1052"/>
      <c r="DD187" s="2032"/>
      <c r="DE187" s="1660"/>
      <c r="DF187" s="1051"/>
      <c r="DG187" s="1936"/>
      <c r="DH187" s="1937"/>
      <c r="DI187" s="964">
        <v>4</v>
      </c>
      <c r="DJ187" s="995" t="s">
        <v>1640</v>
      </c>
      <c r="DK187" s="1052"/>
      <c r="DL187" s="1997"/>
      <c r="DM187" s="1052"/>
      <c r="DN187" s="1997"/>
      <c r="DO187" s="1052"/>
      <c r="DP187" s="2032"/>
      <c r="DQ187" s="965">
        <v>3</v>
      </c>
      <c r="DR187" s="962"/>
      <c r="DS187" s="1660"/>
      <c r="DT187" s="1051"/>
      <c r="DU187" s="1936"/>
      <c r="DV187" s="1937"/>
      <c r="DW187" s="965">
        <v>3</v>
      </c>
      <c r="DX187" s="961"/>
      <c r="DY187" s="1660"/>
      <c r="DZ187" s="1051"/>
      <c r="EA187" s="1936"/>
      <c r="EB187" s="1937"/>
      <c r="EC187" s="1052"/>
      <c r="ED187" s="2032"/>
      <c r="EE187" s="965">
        <v>3</v>
      </c>
      <c r="EF187" s="961"/>
      <c r="EG187" s="1052"/>
      <c r="EH187" s="2032"/>
      <c r="EI187" s="1660"/>
      <c r="EJ187" s="1051"/>
      <c r="EK187" s="2220"/>
      <c r="EL187" s="1937"/>
      <c r="EM187" s="2202">
        <f t="shared" si="234"/>
        <v>0</v>
      </c>
      <c r="EN187" s="1585">
        <f t="shared" si="235"/>
        <v>0</v>
      </c>
      <c r="EO187" s="1585">
        <f t="shared" si="236"/>
        <v>0</v>
      </c>
      <c r="EP187" s="1586">
        <f t="shared" si="130"/>
        <v>0</v>
      </c>
      <c r="EQ187" s="999">
        <f t="shared" si="127"/>
        <v>0</v>
      </c>
      <c r="ER187" s="1776">
        <f t="shared" si="128"/>
        <v>0</v>
      </c>
      <c r="ES187" s="1776">
        <f t="shared" si="129"/>
        <v>0</v>
      </c>
      <c r="ET187" s="1055">
        <f t="shared" si="149"/>
        <v>0</v>
      </c>
    </row>
    <row r="188" spans="1:150" ht="26.4" x14ac:dyDescent="0.25">
      <c r="A188" s="965"/>
      <c r="B188" s="961"/>
      <c r="C188" s="1660"/>
      <c r="D188" s="1051"/>
      <c r="E188" s="1936"/>
      <c r="F188" s="1937"/>
      <c r="G188" s="1052"/>
      <c r="H188" s="1997"/>
      <c r="I188" s="1052"/>
      <c r="J188" s="1997"/>
      <c r="K188" s="1052"/>
      <c r="L188" s="2032"/>
      <c r="M188" s="965"/>
      <c r="N188" s="961"/>
      <c r="O188" s="1052"/>
      <c r="P188" s="2032"/>
      <c r="Q188" s="1660"/>
      <c r="R188" s="1051"/>
      <c r="S188" s="1936"/>
      <c r="T188" s="1937"/>
      <c r="U188" s="1660"/>
      <c r="V188" s="1051"/>
      <c r="W188" s="1936"/>
      <c r="X188" s="1937"/>
      <c r="Y188" s="1660"/>
      <c r="Z188" s="1051"/>
      <c r="AA188" s="2066"/>
      <c r="AB188" s="1937"/>
      <c r="AC188" s="964"/>
      <c r="AD188" s="961"/>
      <c r="AE188" s="1660"/>
      <c r="AF188" s="1051"/>
      <c r="AG188" s="1936"/>
      <c r="AH188" s="1937"/>
      <c r="AI188" s="1660"/>
      <c r="AJ188" s="1051"/>
      <c r="AK188" s="1936"/>
      <c r="AL188" s="1937"/>
      <c r="AM188" s="1052"/>
      <c r="AN188" s="2032"/>
      <c r="AO188" s="1872"/>
      <c r="AP188" s="1101"/>
      <c r="AQ188" s="1053"/>
      <c r="AR188" s="2102"/>
      <c r="AS188" s="1554"/>
      <c r="AT188" s="2102"/>
      <c r="AU188" s="1660"/>
      <c r="AV188" s="1051"/>
      <c r="AW188" s="1936"/>
      <c r="AX188" s="1937"/>
      <c r="AY188" s="965"/>
      <c r="AZ188" s="961"/>
      <c r="BA188" s="1660"/>
      <c r="BB188" s="1051"/>
      <c r="BC188" s="1936"/>
      <c r="BD188" s="1937"/>
      <c r="BE188" s="965">
        <v>4</v>
      </c>
      <c r="BF188" s="987"/>
      <c r="BG188" s="1660"/>
      <c r="BH188" s="1051"/>
      <c r="BI188" s="1936"/>
      <c r="BJ188" s="1937"/>
      <c r="BK188" s="1660"/>
      <c r="BL188" s="1051"/>
      <c r="BM188" s="1936"/>
      <c r="BN188" s="1937"/>
      <c r="BO188" s="1052"/>
      <c r="BP188" s="1997"/>
      <c r="BQ188" s="1052"/>
      <c r="BR188" s="2032"/>
      <c r="BS188" s="1660"/>
      <c r="BT188" s="1051"/>
      <c r="BU188" s="1936"/>
      <c r="BV188" s="1937"/>
      <c r="BW188" s="1052"/>
      <c r="BX188" s="2032"/>
      <c r="BY188" s="1660"/>
      <c r="BZ188" s="1051"/>
      <c r="CA188" s="1936"/>
      <c r="CB188" s="1937"/>
      <c r="CC188" s="1743"/>
      <c r="CD188" s="2150"/>
      <c r="CE188" s="965"/>
      <c r="CF188" s="961"/>
      <c r="CG188" s="1660"/>
      <c r="CH188" s="1051"/>
      <c r="CI188" s="1936"/>
      <c r="CJ188" s="1937"/>
      <c r="CK188" s="965">
        <v>3</v>
      </c>
      <c r="CL188" s="995" t="s">
        <v>1641</v>
      </c>
      <c r="CM188" s="1660"/>
      <c r="CN188" s="1051"/>
      <c r="CO188" s="1936"/>
      <c r="CP188" s="1937"/>
      <c r="CQ188" s="1660"/>
      <c r="CR188" s="1051"/>
      <c r="CS188" s="1936"/>
      <c r="CT188" s="1937"/>
      <c r="CU188" s="1660"/>
      <c r="CV188" s="1051"/>
      <c r="CW188" s="1936"/>
      <c r="CX188" s="1937"/>
      <c r="CY188" s="1660"/>
      <c r="CZ188" s="1051"/>
      <c r="DA188" s="1936"/>
      <c r="DB188" s="1937"/>
      <c r="DC188" s="1052"/>
      <c r="DD188" s="2032"/>
      <c r="DE188" s="1660"/>
      <c r="DF188" s="1051"/>
      <c r="DG188" s="1936"/>
      <c r="DH188" s="1937"/>
      <c r="DI188" s="964">
        <v>5</v>
      </c>
      <c r="DJ188" s="995" t="s">
        <v>1642</v>
      </c>
      <c r="DK188" s="1052"/>
      <c r="DL188" s="1997"/>
      <c r="DM188" s="1052"/>
      <c r="DN188" s="1997"/>
      <c r="DO188" s="1052"/>
      <c r="DP188" s="2032"/>
      <c r="DQ188" s="965"/>
      <c r="DR188" s="1083"/>
      <c r="DS188" s="1660"/>
      <c r="DT188" s="1051"/>
      <c r="DU188" s="1936"/>
      <c r="DV188" s="1937"/>
      <c r="DW188" s="965"/>
      <c r="DX188" s="961"/>
      <c r="DY188" s="1660"/>
      <c r="DZ188" s="1051"/>
      <c r="EA188" s="1936"/>
      <c r="EB188" s="1937"/>
      <c r="EC188" s="1052"/>
      <c r="ED188" s="2032"/>
      <c r="EE188" s="965"/>
      <c r="EF188" s="961"/>
      <c r="EG188" s="1052"/>
      <c r="EH188" s="2032"/>
      <c r="EI188" s="1660"/>
      <c r="EJ188" s="1051"/>
      <c r="EK188" s="2220"/>
      <c r="EL188" s="1937"/>
      <c r="EM188" s="2202">
        <f t="shared" si="234"/>
        <v>0</v>
      </c>
      <c r="EN188" s="1585">
        <f t="shared" si="235"/>
        <v>0</v>
      </c>
      <c r="EO188" s="1585">
        <f t="shared" si="236"/>
        <v>0</v>
      </c>
      <c r="EP188" s="1586">
        <f t="shared" si="130"/>
        <v>0</v>
      </c>
      <c r="EQ188" s="999">
        <f t="shared" si="127"/>
        <v>0</v>
      </c>
      <c r="ER188" s="1776">
        <f t="shared" si="128"/>
        <v>0</v>
      </c>
      <c r="ES188" s="1776">
        <f t="shared" si="129"/>
        <v>0</v>
      </c>
      <c r="ET188" s="1055">
        <f t="shared" si="149"/>
        <v>0</v>
      </c>
    </row>
    <row r="189" spans="1:150" ht="26.4" x14ac:dyDescent="0.25">
      <c r="A189" s="965"/>
      <c r="B189" s="961"/>
      <c r="C189" s="1660"/>
      <c r="D189" s="1051"/>
      <c r="E189" s="1936"/>
      <c r="F189" s="1937"/>
      <c r="G189" s="1052"/>
      <c r="H189" s="1997"/>
      <c r="I189" s="1052"/>
      <c r="J189" s="1997"/>
      <c r="K189" s="1052"/>
      <c r="L189" s="2032"/>
      <c r="M189" s="965"/>
      <c r="N189" s="961"/>
      <c r="O189" s="1052"/>
      <c r="P189" s="2032"/>
      <c r="Q189" s="1660"/>
      <c r="R189" s="1051"/>
      <c r="S189" s="1936"/>
      <c r="T189" s="1937"/>
      <c r="U189" s="1660"/>
      <c r="V189" s="1051"/>
      <c r="W189" s="1936"/>
      <c r="X189" s="1937"/>
      <c r="Y189" s="1660"/>
      <c r="Z189" s="1051"/>
      <c r="AA189" s="2066"/>
      <c r="AB189" s="1937"/>
      <c r="AC189" s="964"/>
      <c r="AD189" s="961"/>
      <c r="AE189" s="1660"/>
      <c r="AF189" s="1051"/>
      <c r="AG189" s="1936"/>
      <c r="AH189" s="1937"/>
      <c r="AI189" s="1660"/>
      <c r="AJ189" s="1051"/>
      <c r="AK189" s="1936"/>
      <c r="AL189" s="1937"/>
      <c r="AM189" s="1052"/>
      <c r="AN189" s="2032"/>
      <c r="AO189" s="1872"/>
      <c r="AP189" s="1101"/>
      <c r="AQ189" s="1053"/>
      <c r="AR189" s="2102"/>
      <c r="AS189" s="1554"/>
      <c r="AT189" s="2102"/>
      <c r="AU189" s="1660"/>
      <c r="AV189" s="1051"/>
      <c r="AW189" s="1936"/>
      <c r="AX189" s="1937"/>
      <c r="AY189" s="965"/>
      <c r="AZ189" s="961"/>
      <c r="BA189" s="1660"/>
      <c r="BB189" s="1051"/>
      <c r="BC189" s="1936"/>
      <c r="BD189" s="1937"/>
      <c r="BE189" s="965">
        <v>5</v>
      </c>
      <c r="BF189" s="995"/>
      <c r="BG189" s="1660"/>
      <c r="BH189" s="1051"/>
      <c r="BI189" s="1936"/>
      <c r="BJ189" s="1937"/>
      <c r="BK189" s="1660"/>
      <c r="BL189" s="1051"/>
      <c r="BM189" s="1936"/>
      <c r="BN189" s="1937"/>
      <c r="BO189" s="1052"/>
      <c r="BP189" s="1997"/>
      <c r="BQ189" s="1052"/>
      <c r="BR189" s="2032"/>
      <c r="BS189" s="1660"/>
      <c r="BT189" s="1051"/>
      <c r="BU189" s="1936"/>
      <c r="BV189" s="1937"/>
      <c r="BW189" s="1052"/>
      <c r="BX189" s="2032"/>
      <c r="BY189" s="1660"/>
      <c r="BZ189" s="1051"/>
      <c r="CA189" s="1936"/>
      <c r="CB189" s="1937"/>
      <c r="CC189" s="1743"/>
      <c r="CD189" s="2150"/>
      <c r="CE189" s="965"/>
      <c r="CF189" s="961"/>
      <c r="CG189" s="1660"/>
      <c r="CH189" s="1051"/>
      <c r="CI189" s="1936"/>
      <c r="CJ189" s="1937"/>
      <c r="CK189" s="965">
        <v>4</v>
      </c>
      <c r="CL189" s="995" t="s">
        <v>1643</v>
      </c>
      <c r="CM189" s="1660"/>
      <c r="CN189" s="1051"/>
      <c r="CO189" s="1936"/>
      <c r="CP189" s="1937"/>
      <c r="CQ189" s="1660"/>
      <c r="CR189" s="1051"/>
      <c r="CS189" s="1936"/>
      <c r="CT189" s="1937"/>
      <c r="CU189" s="1660"/>
      <c r="CV189" s="1051"/>
      <c r="CW189" s="1936"/>
      <c r="CX189" s="1937"/>
      <c r="CY189" s="1660"/>
      <c r="CZ189" s="1051"/>
      <c r="DA189" s="1936"/>
      <c r="DB189" s="1937"/>
      <c r="DC189" s="1052"/>
      <c r="DD189" s="2032"/>
      <c r="DE189" s="1660"/>
      <c r="DF189" s="1051"/>
      <c r="DG189" s="1936"/>
      <c r="DH189" s="1937"/>
      <c r="DI189" s="964">
        <v>6</v>
      </c>
      <c r="DJ189" s="995" t="s">
        <v>1644</v>
      </c>
      <c r="DK189" s="1052"/>
      <c r="DL189" s="1997"/>
      <c r="DM189" s="1052"/>
      <c r="DN189" s="1997"/>
      <c r="DO189" s="1052"/>
      <c r="DP189" s="2032"/>
      <c r="DQ189" s="965">
        <v>4</v>
      </c>
      <c r="DR189" s="1111"/>
      <c r="DS189" s="1660"/>
      <c r="DT189" s="1051"/>
      <c r="DU189" s="1936"/>
      <c r="DV189" s="1937"/>
      <c r="DW189" s="965"/>
      <c r="DX189" s="961"/>
      <c r="DY189" s="1660"/>
      <c r="DZ189" s="1051"/>
      <c r="EA189" s="1936"/>
      <c r="EB189" s="1937"/>
      <c r="EC189" s="1052"/>
      <c r="ED189" s="2032"/>
      <c r="EE189" s="965"/>
      <c r="EF189" s="961"/>
      <c r="EG189" s="1052"/>
      <c r="EH189" s="2032"/>
      <c r="EI189" s="1660"/>
      <c r="EJ189" s="1051"/>
      <c r="EK189" s="2220"/>
      <c r="EL189" s="1937"/>
      <c r="EM189" s="2202">
        <f t="shared" si="234"/>
        <v>0</v>
      </c>
      <c r="EN189" s="1585">
        <f t="shared" si="235"/>
        <v>0</v>
      </c>
      <c r="EO189" s="1585">
        <f t="shared" si="236"/>
        <v>0</v>
      </c>
      <c r="EP189" s="1586">
        <f t="shared" si="130"/>
        <v>0</v>
      </c>
      <c r="EQ189" s="999">
        <f t="shared" si="127"/>
        <v>0</v>
      </c>
      <c r="ER189" s="1776">
        <f t="shared" si="128"/>
        <v>0</v>
      </c>
      <c r="ES189" s="1776">
        <f t="shared" si="129"/>
        <v>0</v>
      </c>
      <c r="ET189" s="1055">
        <f t="shared" si="149"/>
        <v>0</v>
      </c>
    </row>
    <row r="190" spans="1:150" x14ac:dyDescent="0.25">
      <c r="A190" s="965"/>
      <c r="B190" s="961"/>
      <c r="C190" s="1660"/>
      <c r="D190" s="1051"/>
      <c r="E190" s="1936"/>
      <c r="F190" s="1937"/>
      <c r="G190" s="1052"/>
      <c r="H190" s="1997"/>
      <c r="I190" s="1052"/>
      <c r="J190" s="1997"/>
      <c r="K190" s="1052"/>
      <c r="L190" s="2032"/>
      <c r="M190" s="965"/>
      <c r="N190" s="961"/>
      <c r="O190" s="1052"/>
      <c r="P190" s="2032"/>
      <c r="Q190" s="1660"/>
      <c r="R190" s="1051"/>
      <c r="S190" s="1936"/>
      <c r="T190" s="1937"/>
      <c r="U190" s="1660"/>
      <c r="V190" s="1051"/>
      <c r="W190" s="1936"/>
      <c r="X190" s="1937"/>
      <c r="Y190" s="1660"/>
      <c r="Z190" s="1051"/>
      <c r="AA190" s="2066"/>
      <c r="AB190" s="1937"/>
      <c r="AC190" s="964"/>
      <c r="AD190" s="961"/>
      <c r="AE190" s="1660"/>
      <c r="AF190" s="1051"/>
      <c r="AG190" s="1936"/>
      <c r="AH190" s="1937"/>
      <c r="AI190" s="1660"/>
      <c r="AJ190" s="1051"/>
      <c r="AK190" s="1936"/>
      <c r="AL190" s="1937"/>
      <c r="AM190" s="1052"/>
      <c r="AN190" s="2032"/>
      <c r="AO190" s="1872"/>
      <c r="AP190" s="1101"/>
      <c r="AQ190" s="1053"/>
      <c r="AR190" s="2102"/>
      <c r="AS190" s="1554"/>
      <c r="AT190" s="2102"/>
      <c r="AU190" s="1660"/>
      <c r="AV190" s="1051"/>
      <c r="AW190" s="1936"/>
      <c r="AX190" s="1937"/>
      <c r="AY190" s="965"/>
      <c r="AZ190" s="961"/>
      <c r="BA190" s="1660"/>
      <c r="BB190" s="1051"/>
      <c r="BC190" s="1936"/>
      <c r="BD190" s="1937"/>
      <c r="BE190" s="965">
        <v>6</v>
      </c>
      <c r="BF190" s="995"/>
      <c r="BG190" s="1660"/>
      <c r="BH190" s="1051"/>
      <c r="BI190" s="1936"/>
      <c r="BJ190" s="1937"/>
      <c r="BK190" s="1660"/>
      <c r="BL190" s="1051"/>
      <c r="BM190" s="1936"/>
      <c r="BN190" s="1937"/>
      <c r="BO190" s="1052"/>
      <c r="BP190" s="1997"/>
      <c r="BQ190" s="1052"/>
      <c r="BR190" s="2032"/>
      <c r="BS190" s="1660"/>
      <c r="BT190" s="1051"/>
      <c r="BU190" s="1936"/>
      <c r="BV190" s="1937"/>
      <c r="BW190" s="1052"/>
      <c r="BX190" s="2032"/>
      <c r="BY190" s="1660"/>
      <c r="BZ190" s="1051"/>
      <c r="CA190" s="1936"/>
      <c r="CB190" s="1937"/>
      <c r="CC190" s="1743"/>
      <c r="CD190" s="2150"/>
      <c r="CE190" s="965"/>
      <c r="CF190" s="961"/>
      <c r="CG190" s="1660"/>
      <c r="CH190" s="1051"/>
      <c r="CI190" s="1936"/>
      <c r="CJ190" s="1937"/>
      <c r="CK190" s="965">
        <v>5</v>
      </c>
      <c r="CL190" s="995" t="s">
        <v>1645</v>
      </c>
      <c r="CM190" s="1660"/>
      <c r="CN190" s="1051"/>
      <c r="CO190" s="1936"/>
      <c r="CP190" s="1937"/>
      <c r="CQ190" s="1660"/>
      <c r="CR190" s="1051"/>
      <c r="CS190" s="1936"/>
      <c r="CT190" s="1937"/>
      <c r="CU190" s="1660"/>
      <c r="CV190" s="1051"/>
      <c r="CW190" s="1936"/>
      <c r="CX190" s="1937"/>
      <c r="CY190" s="1660"/>
      <c r="CZ190" s="1051"/>
      <c r="DA190" s="1936"/>
      <c r="DB190" s="1937"/>
      <c r="DC190" s="1052"/>
      <c r="DD190" s="2032"/>
      <c r="DE190" s="1660"/>
      <c r="DF190" s="1051"/>
      <c r="DG190" s="1936"/>
      <c r="DH190" s="1937"/>
      <c r="DI190" s="964">
        <v>7</v>
      </c>
      <c r="DJ190" s="1025" t="s">
        <v>1646</v>
      </c>
      <c r="DK190" s="1052"/>
      <c r="DL190" s="1997"/>
      <c r="DM190" s="1052"/>
      <c r="DN190" s="1997"/>
      <c r="DO190" s="1052"/>
      <c r="DP190" s="2032"/>
      <c r="DQ190" s="965">
        <v>5</v>
      </c>
      <c r="DR190" s="962"/>
      <c r="DS190" s="1660"/>
      <c r="DT190" s="1051"/>
      <c r="DU190" s="1936"/>
      <c r="DV190" s="1937"/>
      <c r="DW190" s="965"/>
      <c r="DX190" s="961"/>
      <c r="DY190" s="1660"/>
      <c r="DZ190" s="1051"/>
      <c r="EA190" s="1936"/>
      <c r="EB190" s="1937"/>
      <c r="EC190" s="1052"/>
      <c r="ED190" s="2032"/>
      <c r="EE190" s="965"/>
      <c r="EF190" s="961"/>
      <c r="EG190" s="1052"/>
      <c r="EH190" s="2032"/>
      <c r="EI190" s="1660"/>
      <c r="EJ190" s="1051"/>
      <c r="EK190" s="2220"/>
      <c r="EL190" s="1937"/>
      <c r="EM190" s="2202">
        <f t="shared" si="234"/>
        <v>0</v>
      </c>
      <c r="EN190" s="1585">
        <f t="shared" si="235"/>
        <v>0</v>
      </c>
      <c r="EO190" s="1585">
        <f t="shared" si="236"/>
        <v>0</v>
      </c>
      <c r="EP190" s="1586">
        <f t="shared" si="130"/>
        <v>0</v>
      </c>
      <c r="EQ190" s="999">
        <f t="shared" ref="EQ190:EQ253" si="237">SUM(C190+Q190+U190+Y190+AE190+AI190+AM190+AO190+AU190+BA190+BG190+BK190+BQ190+BS190+CC190+CG190+CM190+CQ190+CU190+CY190+DE190+DS190+DY190+EI190)</f>
        <v>0</v>
      </c>
      <c r="ER190" s="1776">
        <f t="shared" ref="ER190:ER253" si="238">SUM(D190+I190+K190+O190+R190+V190+Z190+AF190+AJ190+AP190+AV190+BB190+BH190+BL190+BO190+BT190+BW190+CH190+CN190+CR190+CV190+CZ190+DC190+DF190+DM190+DO190+DT190+DZ190+EC190+EG190+EJ190+G190)</f>
        <v>0</v>
      </c>
      <c r="ES190" s="1776">
        <f t="shared" ref="ES190:ES253" si="239">SUM(AQ190)</f>
        <v>0</v>
      </c>
      <c r="ET190" s="1055">
        <f t="shared" si="149"/>
        <v>0</v>
      </c>
    </row>
    <row r="191" spans="1:150" ht="39.6" x14ac:dyDescent="0.25">
      <c r="A191" s="965"/>
      <c r="B191" s="961"/>
      <c r="C191" s="1660"/>
      <c r="D191" s="1051"/>
      <c r="E191" s="1936"/>
      <c r="F191" s="1937"/>
      <c r="G191" s="1052"/>
      <c r="H191" s="1997"/>
      <c r="I191" s="1052"/>
      <c r="J191" s="1997"/>
      <c r="K191" s="1052"/>
      <c r="L191" s="2032"/>
      <c r="M191" s="965"/>
      <c r="N191" s="961"/>
      <c r="O191" s="1052"/>
      <c r="P191" s="2032"/>
      <c r="Q191" s="1660"/>
      <c r="R191" s="1051"/>
      <c r="S191" s="1936"/>
      <c r="T191" s="1937"/>
      <c r="U191" s="1660"/>
      <c r="V191" s="1051"/>
      <c r="W191" s="1936"/>
      <c r="X191" s="1937"/>
      <c r="Y191" s="1660"/>
      <c r="Z191" s="1051"/>
      <c r="AA191" s="2066"/>
      <c r="AB191" s="1937"/>
      <c r="AC191" s="964"/>
      <c r="AD191" s="961"/>
      <c r="AE191" s="1660"/>
      <c r="AF191" s="1051"/>
      <c r="AG191" s="1936"/>
      <c r="AH191" s="1937"/>
      <c r="AI191" s="1660"/>
      <c r="AJ191" s="1051"/>
      <c r="AK191" s="1936"/>
      <c r="AL191" s="1937"/>
      <c r="AM191" s="1052"/>
      <c r="AN191" s="2032"/>
      <c r="AO191" s="1872"/>
      <c r="AP191" s="1101"/>
      <c r="AQ191" s="1053"/>
      <c r="AR191" s="2102"/>
      <c r="AS191" s="1554"/>
      <c r="AT191" s="2102"/>
      <c r="AU191" s="1660"/>
      <c r="AV191" s="1051"/>
      <c r="AW191" s="1936"/>
      <c r="AX191" s="1937"/>
      <c r="AY191" s="965"/>
      <c r="AZ191" s="961"/>
      <c r="BA191" s="1660"/>
      <c r="BB191" s="1051"/>
      <c r="BC191" s="1936"/>
      <c r="BD191" s="1937"/>
      <c r="BE191" s="965">
        <v>7</v>
      </c>
      <c r="BF191" s="987"/>
      <c r="BG191" s="1660"/>
      <c r="BH191" s="1051"/>
      <c r="BI191" s="1936"/>
      <c r="BJ191" s="1937"/>
      <c r="BK191" s="1660"/>
      <c r="BL191" s="1051"/>
      <c r="BM191" s="1936"/>
      <c r="BN191" s="1937"/>
      <c r="BO191" s="1052"/>
      <c r="BP191" s="1997"/>
      <c r="BQ191" s="1052"/>
      <c r="BR191" s="2032"/>
      <c r="BS191" s="1660"/>
      <c r="BT191" s="1051"/>
      <c r="BU191" s="1936"/>
      <c r="BV191" s="1937"/>
      <c r="BW191" s="1052"/>
      <c r="BX191" s="2032"/>
      <c r="BY191" s="1660"/>
      <c r="BZ191" s="1051"/>
      <c r="CA191" s="1936"/>
      <c r="CB191" s="1937"/>
      <c r="CC191" s="1743"/>
      <c r="CD191" s="2150"/>
      <c r="CE191" s="965"/>
      <c r="CF191" s="961"/>
      <c r="CG191" s="1660"/>
      <c r="CH191" s="1051"/>
      <c r="CI191" s="1936"/>
      <c r="CJ191" s="1937"/>
      <c r="CK191" s="965">
        <v>6</v>
      </c>
      <c r="CL191" s="995" t="s">
        <v>1647</v>
      </c>
      <c r="CM191" s="1660"/>
      <c r="CN191" s="1051"/>
      <c r="CO191" s="1936"/>
      <c r="CP191" s="1937"/>
      <c r="CQ191" s="1660"/>
      <c r="CR191" s="1051"/>
      <c r="CS191" s="1936"/>
      <c r="CT191" s="1937"/>
      <c r="CU191" s="1660"/>
      <c r="CV191" s="1051"/>
      <c r="CW191" s="1936"/>
      <c r="CX191" s="1937"/>
      <c r="CY191" s="1660"/>
      <c r="CZ191" s="1051"/>
      <c r="DA191" s="1936"/>
      <c r="DB191" s="1937"/>
      <c r="DC191" s="1052"/>
      <c r="DD191" s="2032"/>
      <c r="DE191" s="1660"/>
      <c r="DF191" s="1051"/>
      <c r="DG191" s="1936"/>
      <c r="DH191" s="1937"/>
      <c r="DI191" s="964">
        <v>8</v>
      </c>
      <c r="DJ191" s="1112" t="s">
        <v>1648</v>
      </c>
      <c r="DK191" s="1052"/>
      <c r="DL191" s="1997"/>
      <c r="DM191" s="1052"/>
      <c r="DN191" s="1997"/>
      <c r="DO191" s="1052"/>
      <c r="DP191" s="2032"/>
      <c r="DQ191" s="965"/>
      <c r="DR191" s="1083"/>
      <c r="DS191" s="1660"/>
      <c r="DT191" s="1051"/>
      <c r="DU191" s="1936"/>
      <c r="DV191" s="1937"/>
      <c r="DW191" s="965"/>
      <c r="DX191" s="961"/>
      <c r="DY191" s="1660"/>
      <c r="DZ191" s="1051"/>
      <c r="EA191" s="1936"/>
      <c r="EB191" s="1937"/>
      <c r="EC191" s="1052"/>
      <c r="ED191" s="2032"/>
      <c r="EE191" s="965"/>
      <c r="EF191" s="961"/>
      <c r="EG191" s="1052"/>
      <c r="EH191" s="2032"/>
      <c r="EI191" s="1660"/>
      <c r="EJ191" s="1051"/>
      <c r="EK191" s="2220"/>
      <c r="EL191" s="1937"/>
      <c r="EM191" s="2202">
        <f t="shared" si="234"/>
        <v>0</v>
      </c>
      <c r="EN191" s="1585">
        <f t="shared" si="235"/>
        <v>0</v>
      </c>
      <c r="EO191" s="1585">
        <f t="shared" si="236"/>
        <v>0</v>
      </c>
      <c r="EP191" s="1586">
        <f t="shared" ref="EP191:EP262" si="240">SUM(EM191:EO191)</f>
        <v>0</v>
      </c>
      <c r="EQ191" s="999">
        <f t="shared" si="237"/>
        <v>0</v>
      </c>
      <c r="ER191" s="1776">
        <f t="shared" si="238"/>
        <v>0</v>
      </c>
      <c r="ES191" s="1776">
        <f t="shared" si="239"/>
        <v>0</v>
      </c>
      <c r="ET191" s="1055">
        <f t="shared" si="149"/>
        <v>0</v>
      </c>
    </row>
    <row r="192" spans="1:150" ht="26.4" x14ac:dyDescent="0.25">
      <c r="A192" s="965"/>
      <c r="B192" s="961"/>
      <c r="C192" s="1660"/>
      <c r="D192" s="1051"/>
      <c r="E192" s="1936"/>
      <c r="F192" s="1937"/>
      <c r="G192" s="1052"/>
      <c r="H192" s="1997"/>
      <c r="I192" s="1052"/>
      <c r="J192" s="1997"/>
      <c r="K192" s="1052"/>
      <c r="L192" s="2032"/>
      <c r="M192" s="965"/>
      <c r="N192" s="961"/>
      <c r="O192" s="1052"/>
      <c r="P192" s="2032"/>
      <c r="Q192" s="1660"/>
      <c r="R192" s="1051"/>
      <c r="S192" s="1936"/>
      <c r="T192" s="1937"/>
      <c r="U192" s="1660"/>
      <c r="V192" s="1051"/>
      <c r="W192" s="1936"/>
      <c r="X192" s="1937"/>
      <c r="Y192" s="1660"/>
      <c r="Z192" s="1051"/>
      <c r="AA192" s="2066"/>
      <c r="AB192" s="1937"/>
      <c r="AC192" s="964"/>
      <c r="AD192" s="961"/>
      <c r="AE192" s="1660"/>
      <c r="AF192" s="1051"/>
      <c r="AG192" s="1936"/>
      <c r="AH192" s="1937"/>
      <c r="AI192" s="1660"/>
      <c r="AJ192" s="1051"/>
      <c r="AK192" s="1936"/>
      <c r="AL192" s="1937"/>
      <c r="AM192" s="1052"/>
      <c r="AN192" s="2032"/>
      <c r="AO192" s="1872"/>
      <c r="AP192" s="1101"/>
      <c r="AQ192" s="1053"/>
      <c r="AR192" s="2102"/>
      <c r="AS192" s="1554"/>
      <c r="AT192" s="2102"/>
      <c r="AU192" s="1660"/>
      <c r="AV192" s="1051"/>
      <c r="AW192" s="1936"/>
      <c r="AX192" s="1937"/>
      <c r="AY192" s="965"/>
      <c r="AZ192" s="961"/>
      <c r="BA192" s="1660"/>
      <c r="BB192" s="1051"/>
      <c r="BC192" s="1936"/>
      <c r="BD192" s="1937"/>
      <c r="BE192" s="965">
        <v>8</v>
      </c>
      <c r="BF192" s="995"/>
      <c r="BG192" s="1660"/>
      <c r="BH192" s="1051"/>
      <c r="BI192" s="1936"/>
      <c r="BJ192" s="1937"/>
      <c r="BK192" s="1660"/>
      <c r="BL192" s="1051"/>
      <c r="BM192" s="1936"/>
      <c r="BN192" s="1937"/>
      <c r="BO192" s="1052"/>
      <c r="BP192" s="1997"/>
      <c r="BQ192" s="1052"/>
      <c r="BR192" s="2032"/>
      <c r="BS192" s="1660"/>
      <c r="BT192" s="1051"/>
      <c r="BU192" s="1936"/>
      <c r="BV192" s="1937"/>
      <c r="BW192" s="1052"/>
      <c r="BX192" s="2032"/>
      <c r="BY192" s="1660"/>
      <c r="BZ192" s="1051"/>
      <c r="CA192" s="1936"/>
      <c r="CB192" s="1937"/>
      <c r="CC192" s="1743"/>
      <c r="CD192" s="2150"/>
      <c r="CE192" s="965"/>
      <c r="CF192" s="961"/>
      <c r="CG192" s="1660"/>
      <c r="CH192" s="1051"/>
      <c r="CI192" s="1936"/>
      <c r="CJ192" s="1937"/>
      <c r="CK192" s="965">
        <v>7</v>
      </c>
      <c r="CL192" s="1019" t="s">
        <v>1649</v>
      </c>
      <c r="CM192" s="1660"/>
      <c r="CN192" s="1051"/>
      <c r="CO192" s="1936"/>
      <c r="CP192" s="1937"/>
      <c r="CQ192" s="1660"/>
      <c r="CR192" s="1051"/>
      <c r="CS192" s="1936"/>
      <c r="CT192" s="1937"/>
      <c r="CU192" s="1660"/>
      <c r="CV192" s="1051"/>
      <c r="CW192" s="1936"/>
      <c r="CX192" s="1937"/>
      <c r="CY192" s="1660"/>
      <c r="CZ192" s="1051"/>
      <c r="DA192" s="1936"/>
      <c r="DB192" s="1937"/>
      <c r="DC192" s="1052"/>
      <c r="DD192" s="2032"/>
      <c r="DE192" s="1660"/>
      <c r="DF192" s="1051"/>
      <c r="DG192" s="1936"/>
      <c r="DH192" s="1937"/>
      <c r="DI192" s="964">
        <v>9</v>
      </c>
      <c r="DJ192" s="1025" t="s">
        <v>1646</v>
      </c>
      <c r="DK192" s="1052"/>
      <c r="DL192" s="1997"/>
      <c r="DM192" s="1052"/>
      <c r="DN192" s="1997"/>
      <c r="DO192" s="1052"/>
      <c r="DP192" s="2032"/>
      <c r="DQ192" s="965">
        <v>6</v>
      </c>
      <c r="DR192" s="1083"/>
      <c r="DS192" s="1660"/>
      <c r="DT192" s="1051"/>
      <c r="DU192" s="1936"/>
      <c r="DV192" s="1937"/>
      <c r="DW192" s="965"/>
      <c r="DX192" s="961"/>
      <c r="DY192" s="1660"/>
      <c r="DZ192" s="1051"/>
      <c r="EA192" s="1936"/>
      <c r="EB192" s="1937"/>
      <c r="EC192" s="1052"/>
      <c r="ED192" s="2032"/>
      <c r="EE192" s="965"/>
      <c r="EF192" s="961"/>
      <c r="EG192" s="1052"/>
      <c r="EH192" s="2032"/>
      <c r="EI192" s="1660"/>
      <c r="EJ192" s="1051"/>
      <c r="EK192" s="2220"/>
      <c r="EL192" s="1937"/>
      <c r="EM192" s="2202">
        <f t="shared" si="234"/>
        <v>0</v>
      </c>
      <c r="EN192" s="1585">
        <f t="shared" si="235"/>
        <v>0</v>
      </c>
      <c r="EO192" s="1585">
        <f t="shared" si="236"/>
        <v>0</v>
      </c>
      <c r="EP192" s="1586">
        <f t="shared" si="240"/>
        <v>0</v>
      </c>
      <c r="EQ192" s="999">
        <f t="shared" si="237"/>
        <v>0</v>
      </c>
      <c r="ER192" s="1776">
        <f t="shared" si="238"/>
        <v>0</v>
      </c>
      <c r="ES192" s="1776">
        <f t="shared" si="239"/>
        <v>0</v>
      </c>
      <c r="ET192" s="1055">
        <f t="shared" si="149"/>
        <v>0</v>
      </c>
    </row>
    <row r="193" spans="1:150" x14ac:dyDescent="0.25">
      <c r="A193" s="965"/>
      <c r="B193" s="961"/>
      <c r="C193" s="1660"/>
      <c r="D193" s="1051"/>
      <c r="E193" s="1936"/>
      <c r="F193" s="1937"/>
      <c r="G193" s="1052"/>
      <c r="H193" s="1997"/>
      <c r="I193" s="1052"/>
      <c r="J193" s="1997"/>
      <c r="K193" s="1052"/>
      <c r="L193" s="2032"/>
      <c r="M193" s="965"/>
      <c r="N193" s="961"/>
      <c r="O193" s="1052"/>
      <c r="P193" s="2032"/>
      <c r="Q193" s="1660"/>
      <c r="R193" s="1051"/>
      <c r="S193" s="1936"/>
      <c r="T193" s="1937"/>
      <c r="U193" s="1660"/>
      <c r="V193" s="1051"/>
      <c r="W193" s="1936"/>
      <c r="X193" s="1937"/>
      <c r="Y193" s="1660"/>
      <c r="Z193" s="1051"/>
      <c r="AA193" s="2066"/>
      <c r="AB193" s="1937"/>
      <c r="AC193" s="964"/>
      <c r="AD193" s="961"/>
      <c r="AE193" s="1660"/>
      <c r="AF193" s="1051"/>
      <c r="AG193" s="1936"/>
      <c r="AH193" s="1937"/>
      <c r="AI193" s="1660"/>
      <c r="AJ193" s="1051"/>
      <c r="AK193" s="1936"/>
      <c r="AL193" s="1937"/>
      <c r="AM193" s="1052"/>
      <c r="AN193" s="2032"/>
      <c r="AO193" s="1872"/>
      <c r="AP193" s="1101"/>
      <c r="AQ193" s="1053"/>
      <c r="AR193" s="2102"/>
      <c r="AS193" s="1554"/>
      <c r="AT193" s="2102"/>
      <c r="AU193" s="1660"/>
      <c r="AV193" s="1051"/>
      <c r="AW193" s="1936"/>
      <c r="AX193" s="1937"/>
      <c r="AY193" s="965"/>
      <c r="AZ193" s="961"/>
      <c r="BA193" s="1660"/>
      <c r="BB193" s="1051"/>
      <c r="BC193" s="1936"/>
      <c r="BD193" s="1937"/>
      <c r="BE193" s="965">
        <v>9</v>
      </c>
      <c r="BF193" s="987"/>
      <c r="BG193" s="1660"/>
      <c r="BH193" s="1051"/>
      <c r="BI193" s="1936"/>
      <c r="BJ193" s="1937"/>
      <c r="BK193" s="1660"/>
      <c r="BL193" s="1051"/>
      <c r="BM193" s="1936"/>
      <c r="BN193" s="1937"/>
      <c r="BO193" s="1052"/>
      <c r="BP193" s="1997"/>
      <c r="BQ193" s="1052"/>
      <c r="BR193" s="2032"/>
      <c r="BS193" s="1660"/>
      <c r="BT193" s="1051"/>
      <c r="BU193" s="1936"/>
      <c r="BV193" s="1937"/>
      <c r="BW193" s="1052"/>
      <c r="BX193" s="2032"/>
      <c r="BY193" s="1660"/>
      <c r="BZ193" s="1051"/>
      <c r="CA193" s="1936"/>
      <c r="CB193" s="1937"/>
      <c r="CC193" s="1743"/>
      <c r="CD193" s="2150"/>
      <c r="CE193" s="965"/>
      <c r="CF193" s="961"/>
      <c r="CG193" s="1660"/>
      <c r="CH193" s="1051"/>
      <c r="CI193" s="1936"/>
      <c r="CJ193" s="1937"/>
      <c r="CK193" s="965">
        <v>8</v>
      </c>
      <c r="CL193" s="1019" t="s">
        <v>1650</v>
      </c>
      <c r="CM193" s="1660"/>
      <c r="CN193" s="1051"/>
      <c r="CO193" s="1936"/>
      <c r="CP193" s="1937"/>
      <c r="CQ193" s="1660"/>
      <c r="CR193" s="1051"/>
      <c r="CS193" s="1936"/>
      <c r="CT193" s="1937"/>
      <c r="CU193" s="1660"/>
      <c r="CV193" s="1051"/>
      <c r="CW193" s="1936"/>
      <c r="CX193" s="1937"/>
      <c r="CY193" s="1660"/>
      <c r="CZ193" s="1051"/>
      <c r="DA193" s="1936"/>
      <c r="DB193" s="1937"/>
      <c r="DC193" s="1052"/>
      <c r="DD193" s="2032"/>
      <c r="DE193" s="1660"/>
      <c r="DF193" s="1051"/>
      <c r="DG193" s="1936"/>
      <c r="DH193" s="1937"/>
      <c r="DI193" s="964">
        <v>10</v>
      </c>
      <c r="DJ193" s="987"/>
      <c r="DK193" s="1052"/>
      <c r="DL193" s="1997"/>
      <c r="DM193" s="1052"/>
      <c r="DN193" s="1997"/>
      <c r="DO193" s="1052"/>
      <c r="DP193" s="2032"/>
      <c r="DQ193" s="965"/>
      <c r="DR193" s="1083"/>
      <c r="DS193" s="1660"/>
      <c r="DT193" s="1051"/>
      <c r="DU193" s="1936"/>
      <c r="DV193" s="1937"/>
      <c r="DW193" s="965"/>
      <c r="DX193" s="961"/>
      <c r="DY193" s="1660"/>
      <c r="DZ193" s="1051"/>
      <c r="EA193" s="1936"/>
      <c r="EB193" s="1937"/>
      <c r="EC193" s="1052"/>
      <c r="ED193" s="2032"/>
      <c r="EE193" s="965"/>
      <c r="EF193" s="961"/>
      <c r="EG193" s="1052"/>
      <c r="EH193" s="2032"/>
      <c r="EI193" s="1660"/>
      <c r="EJ193" s="1051"/>
      <c r="EK193" s="2220"/>
      <c r="EL193" s="1937"/>
      <c r="EM193" s="2202">
        <f t="shared" si="234"/>
        <v>0</v>
      </c>
      <c r="EN193" s="1585">
        <f t="shared" si="235"/>
        <v>0</v>
      </c>
      <c r="EO193" s="1585">
        <f t="shared" si="236"/>
        <v>0</v>
      </c>
      <c r="EP193" s="1586">
        <f t="shared" si="240"/>
        <v>0</v>
      </c>
      <c r="EQ193" s="999">
        <f t="shared" si="237"/>
        <v>0</v>
      </c>
      <c r="ER193" s="1776">
        <f t="shared" si="238"/>
        <v>0</v>
      </c>
      <c r="ES193" s="1776">
        <f t="shared" si="239"/>
        <v>0</v>
      </c>
      <c r="ET193" s="1055">
        <f t="shared" si="149"/>
        <v>0</v>
      </c>
    </row>
    <row r="194" spans="1:150" ht="26.4" x14ac:dyDescent="0.25">
      <c r="A194" s="965"/>
      <c r="B194" s="961"/>
      <c r="C194" s="1660"/>
      <c r="D194" s="1051"/>
      <c r="E194" s="1936"/>
      <c r="F194" s="1937"/>
      <c r="G194" s="1052"/>
      <c r="H194" s="1997"/>
      <c r="I194" s="1052"/>
      <c r="J194" s="1997"/>
      <c r="K194" s="1052"/>
      <c r="L194" s="2032"/>
      <c r="M194" s="965"/>
      <c r="N194" s="961"/>
      <c r="O194" s="1052"/>
      <c r="P194" s="2032"/>
      <c r="Q194" s="1660"/>
      <c r="R194" s="1051"/>
      <c r="S194" s="1936"/>
      <c r="T194" s="1937"/>
      <c r="U194" s="1660"/>
      <c r="V194" s="1051"/>
      <c r="W194" s="1936"/>
      <c r="X194" s="1937"/>
      <c r="Y194" s="1660"/>
      <c r="Z194" s="1051"/>
      <c r="AA194" s="2066"/>
      <c r="AB194" s="1937"/>
      <c r="AC194" s="964"/>
      <c r="AD194" s="961"/>
      <c r="AE194" s="1660"/>
      <c r="AF194" s="1051"/>
      <c r="AG194" s="1936"/>
      <c r="AH194" s="1937"/>
      <c r="AI194" s="1660"/>
      <c r="AJ194" s="1051"/>
      <c r="AK194" s="1936"/>
      <c r="AL194" s="1937"/>
      <c r="AM194" s="1052"/>
      <c r="AN194" s="2032"/>
      <c r="AO194" s="1872"/>
      <c r="AP194" s="1101"/>
      <c r="AQ194" s="1053"/>
      <c r="AR194" s="2102"/>
      <c r="AS194" s="1554"/>
      <c r="AT194" s="2102"/>
      <c r="AU194" s="1660"/>
      <c r="AV194" s="1051"/>
      <c r="AW194" s="1936"/>
      <c r="AX194" s="1937"/>
      <c r="AY194" s="965"/>
      <c r="AZ194" s="961"/>
      <c r="BA194" s="1660"/>
      <c r="BB194" s="1051"/>
      <c r="BC194" s="1936"/>
      <c r="BD194" s="1937"/>
      <c r="BE194" s="965">
        <v>10</v>
      </c>
      <c r="BF194" s="995"/>
      <c r="BG194" s="1660"/>
      <c r="BH194" s="1051"/>
      <c r="BI194" s="1936"/>
      <c r="BJ194" s="1937"/>
      <c r="BK194" s="1660"/>
      <c r="BL194" s="1051"/>
      <c r="BM194" s="1936"/>
      <c r="BN194" s="1937"/>
      <c r="BO194" s="1052"/>
      <c r="BP194" s="1997"/>
      <c r="BQ194" s="1052"/>
      <c r="BR194" s="2032"/>
      <c r="BS194" s="1660"/>
      <c r="BT194" s="1051"/>
      <c r="BU194" s="1936"/>
      <c r="BV194" s="1937"/>
      <c r="BW194" s="1052"/>
      <c r="BX194" s="2032"/>
      <c r="BY194" s="1660"/>
      <c r="BZ194" s="1051"/>
      <c r="CA194" s="1936"/>
      <c r="CB194" s="1937"/>
      <c r="CC194" s="1743"/>
      <c r="CD194" s="2150"/>
      <c r="CE194" s="965"/>
      <c r="CF194" s="961"/>
      <c r="CG194" s="1660"/>
      <c r="CH194" s="1051"/>
      <c r="CI194" s="1936"/>
      <c r="CJ194" s="1937"/>
      <c r="CK194" s="965">
        <v>9</v>
      </c>
      <c r="CL194" s="959" t="s">
        <v>1651</v>
      </c>
      <c r="CM194" s="1660"/>
      <c r="CN194" s="1051"/>
      <c r="CO194" s="1936"/>
      <c r="CP194" s="1937"/>
      <c r="CQ194" s="1660"/>
      <c r="CR194" s="1051"/>
      <c r="CS194" s="1936"/>
      <c r="CT194" s="1937"/>
      <c r="CU194" s="1660"/>
      <c r="CV194" s="1051"/>
      <c r="CW194" s="1936"/>
      <c r="CX194" s="1937"/>
      <c r="CY194" s="1660"/>
      <c r="CZ194" s="1051"/>
      <c r="DA194" s="1936"/>
      <c r="DB194" s="1937"/>
      <c r="DC194" s="1052"/>
      <c r="DD194" s="2032"/>
      <c r="DE194" s="1660"/>
      <c r="DF194" s="1051"/>
      <c r="DG194" s="1936"/>
      <c r="DH194" s="1937"/>
      <c r="DI194" s="964">
        <v>11</v>
      </c>
      <c r="DJ194" s="1015"/>
      <c r="DK194" s="1052"/>
      <c r="DL194" s="1997"/>
      <c r="DM194" s="1052"/>
      <c r="DN194" s="1997"/>
      <c r="DO194" s="1052"/>
      <c r="DP194" s="2032"/>
      <c r="DQ194" s="965"/>
      <c r="DR194" s="1083"/>
      <c r="DS194" s="1660"/>
      <c r="DT194" s="1051"/>
      <c r="DU194" s="1936"/>
      <c r="DV194" s="1937"/>
      <c r="DW194" s="965"/>
      <c r="DX194" s="961"/>
      <c r="DY194" s="1660"/>
      <c r="DZ194" s="1051"/>
      <c r="EA194" s="1936"/>
      <c r="EB194" s="1937"/>
      <c r="EC194" s="1052"/>
      <c r="ED194" s="2032"/>
      <c r="EE194" s="965"/>
      <c r="EF194" s="961"/>
      <c r="EG194" s="1052"/>
      <c r="EH194" s="2032"/>
      <c r="EI194" s="1660"/>
      <c r="EJ194" s="1051"/>
      <c r="EK194" s="2220"/>
      <c r="EL194" s="1937"/>
      <c r="EM194" s="2202">
        <f t="shared" si="234"/>
        <v>0</v>
      </c>
      <c r="EN194" s="1585">
        <f t="shared" si="235"/>
        <v>0</v>
      </c>
      <c r="EO194" s="1585">
        <f t="shared" si="236"/>
        <v>0</v>
      </c>
      <c r="EP194" s="1586">
        <f t="shared" si="240"/>
        <v>0</v>
      </c>
      <c r="EQ194" s="999">
        <f t="shared" si="237"/>
        <v>0</v>
      </c>
      <c r="ER194" s="1776">
        <f t="shared" si="238"/>
        <v>0</v>
      </c>
      <c r="ES194" s="1776">
        <f t="shared" si="239"/>
        <v>0</v>
      </c>
      <c r="ET194" s="1055">
        <f t="shared" si="149"/>
        <v>0</v>
      </c>
    </row>
    <row r="195" spans="1:150" ht="26.4" x14ac:dyDescent="0.25">
      <c r="A195" s="965"/>
      <c r="B195" s="961"/>
      <c r="C195" s="1660"/>
      <c r="D195" s="1051"/>
      <c r="E195" s="1936"/>
      <c r="F195" s="1937"/>
      <c r="G195" s="1052"/>
      <c r="H195" s="1997"/>
      <c r="I195" s="1052"/>
      <c r="J195" s="1997"/>
      <c r="K195" s="1052"/>
      <c r="L195" s="2032"/>
      <c r="M195" s="965"/>
      <c r="N195" s="961"/>
      <c r="O195" s="1052"/>
      <c r="P195" s="2032"/>
      <c r="Q195" s="1660"/>
      <c r="R195" s="1051"/>
      <c r="S195" s="1936"/>
      <c r="T195" s="1937"/>
      <c r="U195" s="1660"/>
      <c r="V195" s="1051"/>
      <c r="W195" s="1936"/>
      <c r="X195" s="1937"/>
      <c r="Y195" s="1660"/>
      <c r="Z195" s="1051"/>
      <c r="AA195" s="2066"/>
      <c r="AB195" s="1937"/>
      <c r="AC195" s="964"/>
      <c r="AD195" s="961"/>
      <c r="AE195" s="1660"/>
      <c r="AF195" s="1051"/>
      <c r="AG195" s="1936"/>
      <c r="AH195" s="1937"/>
      <c r="AI195" s="1660"/>
      <c r="AJ195" s="1051"/>
      <c r="AK195" s="1936"/>
      <c r="AL195" s="1937"/>
      <c r="AM195" s="1052"/>
      <c r="AN195" s="2032"/>
      <c r="AO195" s="1872"/>
      <c r="AP195" s="1101"/>
      <c r="AQ195" s="1053"/>
      <c r="AR195" s="2102"/>
      <c r="AS195" s="1554"/>
      <c r="AT195" s="2102"/>
      <c r="AU195" s="1660"/>
      <c r="AV195" s="1051"/>
      <c r="AW195" s="1936"/>
      <c r="AX195" s="1937"/>
      <c r="AY195" s="965"/>
      <c r="AZ195" s="961"/>
      <c r="BA195" s="1660"/>
      <c r="BB195" s="1051"/>
      <c r="BC195" s="1936"/>
      <c r="BD195" s="1937"/>
      <c r="BE195" s="1021">
        <v>11</v>
      </c>
      <c r="BF195" s="1113"/>
      <c r="BG195" s="1660"/>
      <c r="BH195" s="1051"/>
      <c r="BI195" s="1936"/>
      <c r="BJ195" s="1937"/>
      <c r="BK195" s="1660"/>
      <c r="BL195" s="1051"/>
      <c r="BM195" s="1936"/>
      <c r="BN195" s="1937"/>
      <c r="BO195" s="1052"/>
      <c r="BP195" s="1997"/>
      <c r="BQ195" s="1052"/>
      <c r="BR195" s="2032"/>
      <c r="BS195" s="1660"/>
      <c r="BT195" s="1051"/>
      <c r="BU195" s="1936"/>
      <c r="BV195" s="1937"/>
      <c r="BW195" s="1052"/>
      <c r="BX195" s="2032"/>
      <c r="BY195" s="1660"/>
      <c r="BZ195" s="1051"/>
      <c r="CA195" s="1936"/>
      <c r="CB195" s="1937"/>
      <c r="CC195" s="1743"/>
      <c r="CD195" s="2150"/>
      <c r="CE195" s="965"/>
      <c r="CF195" s="961"/>
      <c r="CG195" s="1660"/>
      <c r="CH195" s="1051"/>
      <c r="CI195" s="1936"/>
      <c r="CJ195" s="1937"/>
      <c r="CK195" s="965">
        <v>10</v>
      </c>
      <c r="CL195" s="959" t="s">
        <v>1652</v>
      </c>
      <c r="CM195" s="1660"/>
      <c r="CN195" s="1051"/>
      <c r="CO195" s="1936"/>
      <c r="CP195" s="1937"/>
      <c r="CQ195" s="1660"/>
      <c r="CR195" s="1051"/>
      <c r="CS195" s="1936"/>
      <c r="CT195" s="1937"/>
      <c r="CU195" s="1660"/>
      <c r="CV195" s="1051"/>
      <c r="CW195" s="1936"/>
      <c r="CX195" s="1937"/>
      <c r="CY195" s="1660"/>
      <c r="CZ195" s="1051"/>
      <c r="DA195" s="1936"/>
      <c r="DB195" s="1937"/>
      <c r="DC195" s="1052"/>
      <c r="DD195" s="2032"/>
      <c r="DE195" s="1660"/>
      <c r="DF195" s="1051"/>
      <c r="DG195" s="1936"/>
      <c r="DH195" s="1937"/>
      <c r="DI195" s="964">
        <v>12</v>
      </c>
      <c r="DJ195" s="987"/>
      <c r="DK195" s="1052"/>
      <c r="DL195" s="1997"/>
      <c r="DM195" s="1052"/>
      <c r="DN195" s="1997"/>
      <c r="DO195" s="1052"/>
      <c r="DP195" s="2032"/>
      <c r="DQ195" s="965"/>
      <c r="DR195" s="1083"/>
      <c r="DS195" s="1660"/>
      <c r="DT195" s="1051"/>
      <c r="DU195" s="1936"/>
      <c r="DV195" s="1937"/>
      <c r="DW195" s="965"/>
      <c r="DX195" s="961"/>
      <c r="DY195" s="1660"/>
      <c r="DZ195" s="1051"/>
      <c r="EA195" s="1936"/>
      <c r="EB195" s="1937"/>
      <c r="EC195" s="1052"/>
      <c r="ED195" s="2032"/>
      <c r="EE195" s="965"/>
      <c r="EF195" s="961"/>
      <c r="EG195" s="1052"/>
      <c r="EH195" s="2032"/>
      <c r="EI195" s="1660"/>
      <c r="EJ195" s="1051"/>
      <c r="EK195" s="2220"/>
      <c r="EL195" s="1937"/>
      <c r="EM195" s="2202">
        <f t="shared" si="234"/>
        <v>0</v>
      </c>
      <c r="EN195" s="1585">
        <f t="shared" si="235"/>
        <v>0</v>
      </c>
      <c r="EO195" s="1585">
        <f t="shared" si="236"/>
        <v>0</v>
      </c>
      <c r="EP195" s="1586">
        <f t="shared" si="240"/>
        <v>0</v>
      </c>
      <c r="EQ195" s="999">
        <f t="shared" si="237"/>
        <v>0</v>
      </c>
      <c r="ER195" s="1776">
        <f t="shared" si="238"/>
        <v>0</v>
      </c>
      <c r="ES195" s="1776">
        <f t="shared" si="239"/>
        <v>0</v>
      </c>
      <c r="ET195" s="1055">
        <f t="shared" si="149"/>
        <v>0</v>
      </c>
    </row>
    <row r="196" spans="1:150" x14ac:dyDescent="0.25">
      <c r="A196" s="965"/>
      <c r="B196" s="961"/>
      <c r="C196" s="1660"/>
      <c r="D196" s="1051"/>
      <c r="E196" s="1936"/>
      <c r="F196" s="1937"/>
      <c r="G196" s="1052"/>
      <c r="H196" s="1997"/>
      <c r="I196" s="1052"/>
      <c r="J196" s="1997"/>
      <c r="K196" s="1052"/>
      <c r="L196" s="2032"/>
      <c r="M196" s="965"/>
      <c r="N196" s="961"/>
      <c r="O196" s="1052"/>
      <c r="P196" s="2032"/>
      <c r="Q196" s="1660"/>
      <c r="R196" s="1051"/>
      <c r="S196" s="1936"/>
      <c r="T196" s="1937"/>
      <c r="U196" s="1660"/>
      <c r="V196" s="1051"/>
      <c r="W196" s="1936"/>
      <c r="X196" s="1937"/>
      <c r="Y196" s="1660"/>
      <c r="Z196" s="1051"/>
      <c r="AA196" s="2066"/>
      <c r="AB196" s="1937"/>
      <c r="AC196" s="964"/>
      <c r="AD196" s="961"/>
      <c r="AE196" s="1660"/>
      <c r="AF196" s="1051"/>
      <c r="AG196" s="1936"/>
      <c r="AH196" s="1937"/>
      <c r="AI196" s="1660"/>
      <c r="AJ196" s="1051"/>
      <c r="AK196" s="1936"/>
      <c r="AL196" s="1937"/>
      <c r="AM196" s="1052"/>
      <c r="AN196" s="2032"/>
      <c r="AO196" s="1872"/>
      <c r="AP196" s="1101"/>
      <c r="AQ196" s="1053"/>
      <c r="AR196" s="2102"/>
      <c r="AS196" s="1554"/>
      <c r="AT196" s="2102"/>
      <c r="AU196" s="1660"/>
      <c r="AV196" s="1051"/>
      <c r="AW196" s="1936"/>
      <c r="AX196" s="1937"/>
      <c r="AY196" s="965"/>
      <c r="AZ196" s="961"/>
      <c r="BA196" s="1660"/>
      <c r="BB196" s="1051"/>
      <c r="BC196" s="2194"/>
      <c r="BD196" s="2076"/>
      <c r="BE196" s="1017">
        <v>12</v>
      </c>
      <c r="BF196" s="1114"/>
      <c r="BG196" s="1660"/>
      <c r="BH196" s="1051"/>
      <c r="BI196" s="1936"/>
      <c r="BJ196" s="1937"/>
      <c r="BK196" s="1660"/>
      <c r="BL196" s="1051"/>
      <c r="BM196" s="1936"/>
      <c r="BN196" s="1937"/>
      <c r="BO196" s="1052"/>
      <c r="BP196" s="1997"/>
      <c r="BQ196" s="1052"/>
      <c r="BR196" s="2032"/>
      <c r="BS196" s="1660"/>
      <c r="BT196" s="1051"/>
      <c r="BU196" s="1936"/>
      <c r="BV196" s="1937"/>
      <c r="BW196" s="1052"/>
      <c r="BX196" s="2032"/>
      <c r="BY196" s="1660"/>
      <c r="BZ196" s="1051"/>
      <c r="CA196" s="1936"/>
      <c r="CB196" s="1937"/>
      <c r="CC196" s="1761"/>
      <c r="CD196" s="2171"/>
      <c r="CE196" s="965"/>
      <c r="CF196" s="961"/>
      <c r="CG196" s="1660"/>
      <c r="CH196" s="1051"/>
      <c r="CI196" s="1936"/>
      <c r="CJ196" s="1937"/>
      <c r="CK196" s="965">
        <v>11</v>
      </c>
      <c r="CL196" s="1025" t="s">
        <v>1646</v>
      </c>
      <c r="CM196" s="1660"/>
      <c r="CN196" s="1051"/>
      <c r="CO196" s="1936"/>
      <c r="CP196" s="1937"/>
      <c r="CQ196" s="1660"/>
      <c r="CR196" s="1051"/>
      <c r="CS196" s="1936"/>
      <c r="CT196" s="1937"/>
      <c r="CU196" s="1660"/>
      <c r="CV196" s="1051"/>
      <c r="CW196" s="1936"/>
      <c r="CX196" s="1937"/>
      <c r="CY196" s="1660"/>
      <c r="CZ196" s="1051"/>
      <c r="DA196" s="1936"/>
      <c r="DB196" s="1937"/>
      <c r="DC196" s="1052"/>
      <c r="DD196" s="2032"/>
      <c r="DE196" s="1660"/>
      <c r="DF196" s="1051"/>
      <c r="DG196" s="1936"/>
      <c r="DH196" s="1937"/>
      <c r="DI196" s="964"/>
      <c r="DJ196" s="987"/>
      <c r="DK196" s="1052"/>
      <c r="DL196" s="1997"/>
      <c r="DM196" s="1052"/>
      <c r="DN196" s="1997"/>
      <c r="DO196" s="1052"/>
      <c r="DP196" s="2032"/>
      <c r="DQ196" s="965"/>
      <c r="DR196" s="1083"/>
      <c r="DS196" s="1660"/>
      <c r="DT196" s="1051"/>
      <c r="DU196" s="1936"/>
      <c r="DV196" s="1937"/>
      <c r="DW196" s="965"/>
      <c r="DX196" s="961"/>
      <c r="DY196" s="1660"/>
      <c r="DZ196" s="1051"/>
      <c r="EA196" s="1936"/>
      <c r="EB196" s="1937"/>
      <c r="EC196" s="1052"/>
      <c r="ED196" s="2032"/>
      <c r="EE196" s="965"/>
      <c r="EF196" s="961"/>
      <c r="EG196" s="1052"/>
      <c r="EH196" s="2032"/>
      <c r="EI196" s="1660"/>
      <c r="EJ196" s="1051"/>
      <c r="EK196" s="2220"/>
      <c r="EL196" s="1937"/>
      <c r="EM196" s="2202">
        <f t="shared" si="234"/>
        <v>0</v>
      </c>
      <c r="EN196" s="1585">
        <f t="shared" si="235"/>
        <v>0</v>
      </c>
      <c r="EO196" s="1585">
        <f t="shared" si="236"/>
        <v>0</v>
      </c>
      <c r="EP196" s="1586">
        <f t="shared" si="240"/>
        <v>0</v>
      </c>
      <c r="EQ196" s="999">
        <f t="shared" si="237"/>
        <v>0</v>
      </c>
      <c r="ER196" s="1776">
        <f t="shared" si="238"/>
        <v>0</v>
      </c>
      <c r="ES196" s="1776">
        <f t="shared" si="239"/>
        <v>0</v>
      </c>
      <c r="ET196" s="1055">
        <f t="shared" si="149"/>
        <v>0</v>
      </c>
    </row>
    <row r="197" spans="1:150" ht="26.4" x14ac:dyDescent="0.25">
      <c r="A197" s="965"/>
      <c r="B197" s="961"/>
      <c r="C197" s="1660"/>
      <c r="D197" s="1051"/>
      <c r="E197" s="1936"/>
      <c r="F197" s="1937"/>
      <c r="G197" s="1052"/>
      <c r="H197" s="1997"/>
      <c r="I197" s="1052"/>
      <c r="J197" s="1997"/>
      <c r="K197" s="1052"/>
      <c r="L197" s="2032"/>
      <c r="M197" s="965"/>
      <c r="N197" s="961"/>
      <c r="O197" s="1052"/>
      <c r="P197" s="2032"/>
      <c r="Q197" s="1660"/>
      <c r="R197" s="1051"/>
      <c r="S197" s="1936"/>
      <c r="T197" s="1937"/>
      <c r="U197" s="1660"/>
      <c r="V197" s="1051"/>
      <c r="W197" s="1936"/>
      <c r="X197" s="1937"/>
      <c r="Y197" s="1660"/>
      <c r="Z197" s="1051"/>
      <c r="AA197" s="2066"/>
      <c r="AB197" s="1937"/>
      <c r="AC197" s="964"/>
      <c r="AD197" s="961"/>
      <c r="AE197" s="1660"/>
      <c r="AF197" s="1051"/>
      <c r="AG197" s="1936"/>
      <c r="AH197" s="1937"/>
      <c r="AI197" s="1660"/>
      <c r="AJ197" s="1051"/>
      <c r="AK197" s="1936"/>
      <c r="AL197" s="1937"/>
      <c r="AM197" s="1052"/>
      <c r="AN197" s="2032"/>
      <c r="AO197" s="1872"/>
      <c r="AP197" s="1101"/>
      <c r="AQ197" s="1053"/>
      <c r="AR197" s="2102"/>
      <c r="AS197" s="1554"/>
      <c r="AT197" s="2102"/>
      <c r="AU197" s="1660"/>
      <c r="AV197" s="1051"/>
      <c r="AW197" s="1936"/>
      <c r="AX197" s="1937"/>
      <c r="AY197" s="965"/>
      <c r="AZ197" s="961"/>
      <c r="BA197" s="1660"/>
      <c r="BB197" s="1051"/>
      <c r="BC197" s="1936"/>
      <c r="BD197" s="1937"/>
      <c r="BE197" s="965">
        <v>13</v>
      </c>
      <c r="BF197" s="995"/>
      <c r="BG197" s="1660"/>
      <c r="BH197" s="1051"/>
      <c r="BI197" s="1936"/>
      <c r="BJ197" s="1937"/>
      <c r="BK197" s="1660"/>
      <c r="BL197" s="1051"/>
      <c r="BM197" s="1936"/>
      <c r="BN197" s="1937"/>
      <c r="BO197" s="1052"/>
      <c r="BP197" s="1997"/>
      <c r="BQ197" s="1052"/>
      <c r="BR197" s="2032"/>
      <c r="BS197" s="1660"/>
      <c r="BT197" s="1051"/>
      <c r="BU197" s="1936"/>
      <c r="BV197" s="1937"/>
      <c r="BW197" s="1052"/>
      <c r="BX197" s="2032"/>
      <c r="BY197" s="1660"/>
      <c r="BZ197" s="1051"/>
      <c r="CA197" s="1936"/>
      <c r="CB197" s="1937"/>
      <c r="CC197" s="1743"/>
      <c r="CD197" s="2150"/>
      <c r="CE197" s="965"/>
      <c r="CF197" s="961"/>
      <c r="CG197" s="1660"/>
      <c r="CH197" s="1051"/>
      <c r="CI197" s="1936"/>
      <c r="CJ197" s="1937"/>
      <c r="CK197" s="1021">
        <v>12</v>
      </c>
      <c r="CL197" s="1022" t="s">
        <v>1653</v>
      </c>
      <c r="CM197" s="1660"/>
      <c r="CN197" s="1051"/>
      <c r="CO197" s="1936"/>
      <c r="CP197" s="1937"/>
      <c r="CQ197" s="1660"/>
      <c r="CR197" s="1051"/>
      <c r="CS197" s="1936"/>
      <c r="CT197" s="1937"/>
      <c r="CU197" s="1660"/>
      <c r="CV197" s="1051"/>
      <c r="CW197" s="1936"/>
      <c r="CX197" s="1937"/>
      <c r="CY197" s="1660"/>
      <c r="CZ197" s="1051"/>
      <c r="DA197" s="1936"/>
      <c r="DB197" s="1937"/>
      <c r="DC197" s="1052"/>
      <c r="DD197" s="2032"/>
      <c r="DE197" s="1660"/>
      <c r="DF197" s="1051"/>
      <c r="DG197" s="1936"/>
      <c r="DH197" s="1937"/>
      <c r="DI197" s="964"/>
      <c r="DJ197" s="987"/>
      <c r="DK197" s="1052"/>
      <c r="DL197" s="1997"/>
      <c r="DM197" s="1052"/>
      <c r="DN197" s="1997"/>
      <c r="DO197" s="1052"/>
      <c r="DP197" s="2032"/>
      <c r="DQ197" s="965"/>
      <c r="DR197" s="1083"/>
      <c r="DS197" s="1660"/>
      <c r="DT197" s="1051"/>
      <c r="DU197" s="1936"/>
      <c r="DV197" s="1937"/>
      <c r="DW197" s="965"/>
      <c r="DX197" s="961"/>
      <c r="DY197" s="1660"/>
      <c r="DZ197" s="1051"/>
      <c r="EA197" s="1936"/>
      <c r="EB197" s="1937"/>
      <c r="EC197" s="1052"/>
      <c r="ED197" s="2032"/>
      <c r="EE197" s="965"/>
      <c r="EF197" s="961"/>
      <c r="EG197" s="1052"/>
      <c r="EH197" s="2032"/>
      <c r="EI197" s="1660"/>
      <c r="EJ197" s="1051"/>
      <c r="EK197" s="2031"/>
      <c r="EL197" s="1935"/>
      <c r="EM197" s="2202">
        <f t="shared" si="234"/>
        <v>0</v>
      </c>
      <c r="EN197" s="1585">
        <f t="shared" si="235"/>
        <v>0</v>
      </c>
      <c r="EO197" s="1585">
        <f t="shared" si="236"/>
        <v>0</v>
      </c>
      <c r="EP197" s="1585">
        <f t="shared" si="240"/>
        <v>0</v>
      </c>
      <c r="EQ197" s="988">
        <f t="shared" si="237"/>
        <v>0</v>
      </c>
      <c r="ER197" s="1775">
        <f t="shared" si="238"/>
        <v>0</v>
      </c>
      <c r="ES197" s="1775">
        <f t="shared" si="239"/>
        <v>0</v>
      </c>
      <c r="ET197" s="992">
        <f t="shared" si="149"/>
        <v>0</v>
      </c>
    </row>
    <row r="198" spans="1:150" x14ac:dyDescent="0.25">
      <c r="A198" s="965"/>
      <c r="B198" s="961"/>
      <c r="C198" s="1660"/>
      <c r="D198" s="1051"/>
      <c r="E198" s="1936"/>
      <c r="F198" s="1937"/>
      <c r="G198" s="1052"/>
      <c r="H198" s="1997"/>
      <c r="I198" s="1052"/>
      <c r="J198" s="1997"/>
      <c r="K198" s="1052"/>
      <c r="L198" s="2032"/>
      <c r="M198" s="965"/>
      <c r="N198" s="961"/>
      <c r="O198" s="1052"/>
      <c r="P198" s="2032"/>
      <c r="Q198" s="1660"/>
      <c r="R198" s="1051"/>
      <c r="S198" s="1936"/>
      <c r="T198" s="1937"/>
      <c r="U198" s="1660"/>
      <c r="V198" s="1051"/>
      <c r="W198" s="1936"/>
      <c r="X198" s="1937"/>
      <c r="Y198" s="1660"/>
      <c r="Z198" s="1051"/>
      <c r="AA198" s="2066"/>
      <c r="AB198" s="1937"/>
      <c r="AC198" s="964"/>
      <c r="AD198" s="961"/>
      <c r="AE198" s="1660"/>
      <c r="AF198" s="1051"/>
      <c r="AG198" s="1936"/>
      <c r="AH198" s="1937"/>
      <c r="AI198" s="1660"/>
      <c r="AJ198" s="1051"/>
      <c r="AK198" s="1936"/>
      <c r="AL198" s="1937"/>
      <c r="AM198" s="1052"/>
      <c r="AN198" s="2032"/>
      <c r="AO198" s="1872"/>
      <c r="AP198" s="1101"/>
      <c r="AQ198" s="1053"/>
      <c r="AR198" s="2102"/>
      <c r="AS198" s="1554"/>
      <c r="AT198" s="2102"/>
      <c r="AU198" s="1660"/>
      <c r="AV198" s="1051"/>
      <c r="AW198" s="1936"/>
      <c r="AX198" s="1937"/>
      <c r="AY198" s="965"/>
      <c r="AZ198" s="961"/>
      <c r="BA198" s="1660"/>
      <c r="BB198" s="1051"/>
      <c r="BC198" s="1936"/>
      <c r="BD198" s="1937"/>
      <c r="BE198" s="965">
        <v>14</v>
      </c>
      <c r="BF198" s="995"/>
      <c r="BG198" s="1660"/>
      <c r="BH198" s="1051"/>
      <c r="BI198" s="1936"/>
      <c r="BJ198" s="1937"/>
      <c r="BK198" s="1660"/>
      <c r="BL198" s="1051"/>
      <c r="BM198" s="1936"/>
      <c r="BN198" s="1937"/>
      <c r="BO198" s="1052"/>
      <c r="BP198" s="1997"/>
      <c r="BQ198" s="1052"/>
      <c r="BR198" s="2032"/>
      <c r="BS198" s="1660"/>
      <c r="BT198" s="1051"/>
      <c r="BU198" s="1936"/>
      <c r="BV198" s="1937"/>
      <c r="BW198" s="1052"/>
      <c r="BX198" s="2032"/>
      <c r="BY198" s="1660"/>
      <c r="BZ198" s="1051"/>
      <c r="CA198" s="1936"/>
      <c r="CB198" s="1937"/>
      <c r="CC198" s="1743"/>
      <c r="CD198" s="2150"/>
      <c r="CE198" s="965"/>
      <c r="CF198" s="961"/>
      <c r="CG198" s="1660"/>
      <c r="CH198" s="1051"/>
      <c r="CI198" s="2194"/>
      <c r="CJ198" s="2076"/>
      <c r="CK198" s="1017">
        <v>13</v>
      </c>
      <c r="CL198" s="1023" t="s">
        <v>1654</v>
      </c>
      <c r="CM198" s="1660"/>
      <c r="CN198" s="1051"/>
      <c r="CO198" s="1936"/>
      <c r="CP198" s="1937"/>
      <c r="CQ198" s="1660"/>
      <c r="CR198" s="1051"/>
      <c r="CS198" s="1936"/>
      <c r="CT198" s="1937"/>
      <c r="CU198" s="1660"/>
      <c r="CV198" s="1051"/>
      <c r="CW198" s="1936"/>
      <c r="CX198" s="1937"/>
      <c r="CY198" s="1660"/>
      <c r="CZ198" s="1051"/>
      <c r="DA198" s="1936"/>
      <c r="DB198" s="1937"/>
      <c r="DC198" s="1052"/>
      <c r="DD198" s="2032"/>
      <c r="DE198" s="1660"/>
      <c r="DF198" s="1051"/>
      <c r="DG198" s="1936"/>
      <c r="DH198" s="1937"/>
      <c r="DI198" s="964"/>
      <c r="DJ198" s="987"/>
      <c r="DK198" s="1052"/>
      <c r="DL198" s="1997"/>
      <c r="DM198" s="1052"/>
      <c r="DN198" s="1997"/>
      <c r="DO198" s="1052"/>
      <c r="DP198" s="2032"/>
      <c r="DQ198" s="965"/>
      <c r="DR198" s="1083"/>
      <c r="DS198" s="1660"/>
      <c r="DT198" s="1051"/>
      <c r="DU198" s="1936"/>
      <c r="DV198" s="1937"/>
      <c r="DW198" s="965"/>
      <c r="DX198" s="961"/>
      <c r="DY198" s="1660"/>
      <c r="DZ198" s="1051"/>
      <c r="EA198" s="1936"/>
      <c r="EB198" s="1937"/>
      <c r="EC198" s="1052"/>
      <c r="ED198" s="2032"/>
      <c r="EE198" s="965"/>
      <c r="EF198" s="961"/>
      <c r="EG198" s="1052"/>
      <c r="EH198" s="2032"/>
      <c r="EI198" s="1660"/>
      <c r="EJ198" s="1051"/>
      <c r="EK198" s="2231"/>
      <c r="EL198" s="2076"/>
      <c r="EM198" s="2202">
        <f t="shared" si="234"/>
        <v>0</v>
      </c>
      <c r="EN198" s="1585">
        <f t="shared" si="235"/>
        <v>0</v>
      </c>
      <c r="EO198" s="1585">
        <f t="shared" si="236"/>
        <v>0</v>
      </c>
      <c r="EP198" s="1611">
        <f t="shared" si="240"/>
        <v>0</v>
      </c>
      <c r="EQ198" s="1834">
        <f t="shared" si="237"/>
        <v>0</v>
      </c>
      <c r="ER198" s="1835">
        <f t="shared" si="238"/>
        <v>0</v>
      </c>
      <c r="ES198" s="1835">
        <f t="shared" si="239"/>
        <v>0</v>
      </c>
      <c r="ET198" s="1836">
        <f t="shared" si="149"/>
        <v>0</v>
      </c>
    </row>
    <row r="199" spans="1:150" x14ac:dyDescent="0.25">
      <c r="A199" s="965"/>
      <c r="B199" s="961"/>
      <c r="C199" s="1660"/>
      <c r="D199" s="1051"/>
      <c r="E199" s="1936"/>
      <c r="F199" s="1937"/>
      <c r="G199" s="1052"/>
      <c r="H199" s="1997"/>
      <c r="I199" s="1052"/>
      <c r="J199" s="1997"/>
      <c r="K199" s="1052"/>
      <c r="L199" s="2032"/>
      <c r="M199" s="965"/>
      <c r="N199" s="961"/>
      <c r="O199" s="1052"/>
      <c r="P199" s="2032"/>
      <c r="Q199" s="1660"/>
      <c r="R199" s="1051"/>
      <c r="S199" s="1936"/>
      <c r="T199" s="1937"/>
      <c r="U199" s="1660"/>
      <c r="V199" s="1051"/>
      <c r="W199" s="1936"/>
      <c r="X199" s="1937"/>
      <c r="Y199" s="1660"/>
      <c r="Z199" s="1051"/>
      <c r="AA199" s="2066"/>
      <c r="AB199" s="1937"/>
      <c r="AC199" s="964"/>
      <c r="AD199" s="961"/>
      <c r="AE199" s="1660"/>
      <c r="AF199" s="1051"/>
      <c r="AG199" s="1936"/>
      <c r="AH199" s="1937"/>
      <c r="AI199" s="1660"/>
      <c r="AJ199" s="1051"/>
      <c r="AK199" s="1936"/>
      <c r="AL199" s="1937"/>
      <c r="AM199" s="1052"/>
      <c r="AN199" s="2032"/>
      <c r="AO199" s="1872"/>
      <c r="AP199" s="1101"/>
      <c r="AQ199" s="1053"/>
      <c r="AR199" s="2102"/>
      <c r="AS199" s="1554"/>
      <c r="AT199" s="2102"/>
      <c r="AU199" s="1660"/>
      <c r="AV199" s="1051"/>
      <c r="AW199" s="1936"/>
      <c r="AX199" s="1937"/>
      <c r="AY199" s="965"/>
      <c r="AZ199" s="961"/>
      <c r="BA199" s="1660"/>
      <c r="BB199" s="1051"/>
      <c r="BC199" s="1936"/>
      <c r="BD199" s="1937"/>
      <c r="BE199" s="965">
        <v>15</v>
      </c>
      <c r="BF199" s="995"/>
      <c r="BG199" s="1660"/>
      <c r="BH199" s="1051"/>
      <c r="BI199" s="1936"/>
      <c r="BJ199" s="1937"/>
      <c r="BK199" s="1660"/>
      <c r="BL199" s="1051"/>
      <c r="BM199" s="1936"/>
      <c r="BN199" s="1937"/>
      <c r="BO199" s="1052"/>
      <c r="BP199" s="1997"/>
      <c r="BQ199" s="1052"/>
      <c r="BR199" s="2032"/>
      <c r="BS199" s="1660"/>
      <c r="BT199" s="1051"/>
      <c r="BU199" s="1936"/>
      <c r="BV199" s="1937"/>
      <c r="BW199" s="1052"/>
      <c r="BX199" s="2032"/>
      <c r="BY199" s="1660"/>
      <c r="BZ199" s="1051"/>
      <c r="CA199" s="1936"/>
      <c r="CB199" s="1937"/>
      <c r="CC199" s="1743"/>
      <c r="CD199" s="2150"/>
      <c r="CE199" s="965"/>
      <c r="CF199" s="961"/>
      <c r="CG199" s="1660"/>
      <c r="CH199" s="1051"/>
      <c r="CI199" s="1936"/>
      <c r="CJ199" s="1937"/>
      <c r="CK199" s="965">
        <v>14</v>
      </c>
      <c r="CL199" s="1025" t="s">
        <v>1646</v>
      </c>
      <c r="CM199" s="1660"/>
      <c r="CN199" s="1051"/>
      <c r="CO199" s="1936"/>
      <c r="CP199" s="1937"/>
      <c r="CQ199" s="1660"/>
      <c r="CR199" s="1051"/>
      <c r="CS199" s="1936"/>
      <c r="CT199" s="1937"/>
      <c r="CU199" s="1660"/>
      <c r="CV199" s="1051"/>
      <c r="CW199" s="1936"/>
      <c r="CX199" s="1937"/>
      <c r="CY199" s="1660"/>
      <c r="CZ199" s="1051"/>
      <c r="DA199" s="1936"/>
      <c r="DB199" s="1937"/>
      <c r="DC199" s="1052"/>
      <c r="DD199" s="2032"/>
      <c r="DE199" s="1660"/>
      <c r="DF199" s="1051"/>
      <c r="DG199" s="1936"/>
      <c r="DH199" s="1937"/>
      <c r="DI199" s="964"/>
      <c r="DJ199" s="987"/>
      <c r="DK199" s="1052"/>
      <c r="DL199" s="1997"/>
      <c r="DM199" s="1052"/>
      <c r="DN199" s="1997"/>
      <c r="DO199" s="1052"/>
      <c r="DP199" s="2032"/>
      <c r="DQ199" s="965"/>
      <c r="DR199" s="1083"/>
      <c r="DS199" s="1660"/>
      <c r="DT199" s="1051"/>
      <c r="DU199" s="1936"/>
      <c r="DV199" s="1937"/>
      <c r="DW199" s="965"/>
      <c r="DX199" s="961"/>
      <c r="DY199" s="1660"/>
      <c r="DZ199" s="1051"/>
      <c r="EA199" s="1936"/>
      <c r="EB199" s="1937"/>
      <c r="EC199" s="1052"/>
      <c r="ED199" s="2032"/>
      <c r="EE199" s="965"/>
      <c r="EF199" s="961"/>
      <c r="EG199" s="1052"/>
      <c r="EH199" s="2032"/>
      <c r="EI199" s="1660"/>
      <c r="EJ199" s="1051"/>
      <c r="EK199" s="2220"/>
      <c r="EL199" s="1937"/>
      <c r="EM199" s="2202">
        <f t="shared" si="234"/>
        <v>0</v>
      </c>
      <c r="EN199" s="1585">
        <f t="shared" si="235"/>
        <v>0</v>
      </c>
      <c r="EO199" s="1585">
        <f t="shared" si="236"/>
        <v>0</v>
      </c>
      <c r="EP199" s="1586">
        <f t="shared" si="240"/>
        <v>0</v>
      </c>
      <c r="EQ199" s="999">
        <f t="shared" si="237"/>
        <v>0</v>
      </c>
      <c r="ER199" s="1776">
        <f t="shared" si="238"/>
        <v>0</v>
      </c>
      <c r="ES199" s="1776">
        <f t="shared" si="239"/>
        <v>0</v>
      </c>
      <c r="ET199" s="1055">
        <f t="shared" si="149"/>
        <v>0</v>
      </c>
    </row>
    <row r="200" spans="1:150" x14ac:dyDescent="0.25">
      <c r="A200" s="965"/>
      <c r="B200" s="961"/>
      <c r="C200" s="1660"/>
      <c r="D200" s="1051"/>
      <c r="E200" s="1936"/>
      <c r="F200" s="1937"/>
      <c r="G200" s="1052"/>
      <c r="H200" s="1997"/>
      <c r="I200" s="1052"/>
      <c r="J200" s="1997"/>
      <c r="K200" s="1052"/>
      <c r="L200" s="2032"/>
      <c r="M200" s="965"/>
      <c r="N200" s="961"/>
      <c r="O200" s="1052"/>
      <c r="P200" s="2032"/>
      <c r="Q200" s="1660"/>
      <c r="R200" s="1051"/>
      <c r="S200" s="1936"/>
      <c r="T200" s="1937"/>
      <c r="U200" s="1660"/>
      <c r="V200" s="1051"/>
      <c r="W200" s="1936"/>
      <c r="X200" s="1937"/>
      <c r="Y200" s="1660"/>
      <c r="Z200" s="1051"/>
      <c r="AA200" s="2066"/>
      <c r="AB200" s="1937"/>
      <c r="AC200" s="964"/>
      <c r="AD200" s="961"/>
      <c r="AE200" s="1660"/>
      <c r="AF200" s="1051"/>
      <c r="AG200" s="1936"/>
      <c r="AH200" s="1937"/>
      <c r="AI200" s="1660"/>
      <c r="AJ200" s="1051"/>
      <c r="AK200" s="1936"/>
      <c r="AL200" s="1937"/>
      <c r="AM200" s="1052"/>
      <c r="AN200" s="2032"/>
      <c r="AO200" s="1872"/>
      <c r="AP200" s="1101"/>
      <c r="AQ200" s="1053"/>
      <c r="AR200" s="2102"/>
      <c r="AS200" s="1554"/>
      <c r="AT200" s="2102"/>
      <c r="AU200" s="1660"/>
      <c r="AV200" s="1051"/>
      <c r="AW200" s="1936"/>
      <c r="AX200" s="1937"/>
      <c r="AY200" s="965"/>
      <c r="AZ200" s="961"/>
      <c r="BA200" s="1660"/>
      <c r="BB200" s="1051"/>
      <c r="BC200" s="1936"/>
      <c r="BD200" s="1937"/>
      <c r="BE200" s="965"/>
      <c r="BF200" s="987"/>
      <c r="BG200" s="1660"/>
      <c r="BH200" s="1051"/>
      <c r="BI200" s="1936"/>
      <c r="BJ200" s="1937"/>
      <c r="BK200" s="1660"/>
      <c r="BL200" s="1051"/>
      <c r="BM200" s="1936"/>
      <c r="BN200" s="1937"/>
      <c r="BO200" s="1052"/>
      <c r="BP200" s="1997"/>
      <c r="BQ200" s="1052"/>
      <c r="BR200" s="2032"/>
      <c r="BS200" s="1660"/>
      <c r="BT200" s="1051"/>
      <c r="BU200" s="1936"/>
      <c r="BV200" s="1937"/>
      <c r="BW200" s="1052"/>
      <c r="BX200" s="2032"/>
      <c r="BY200" s="1660"/>
      <c r="BZ200" s="1051"/>
      <c r="CA200" s="1936"/>
      <c r="CB200" s="1937"/>
      <c r="CC200" s="1743"/>
      <c r="CD200" s="2150"/>
      <c r="CE200" s="965"/>
      <c r="CF200" s="961"/>
      <c r="CG200" s="1660"/>
      <c r="CH200" s="1051"/>
      <c r="CI200" s="1936"/>
      <c r="CJ200" s="1937"/>
      <c r="CK200" s="965">
        <v>21</v>
      </c>
      <c r="CL200" s="959"/>
      <c r="CM200" s="1660"/>
      <c r="CN200" s="1051"/>
      <c r="CO200" s="1936"/>
      <c r="CP200" s="1937"/>
      <c r="CQ200" s="1660"/>
      <c r="CR200" s="1051"/>
      <c r="CS200" s="1936"/>
      <c r="CT200" s="1937"/>
      <c r="CU200" s="1660"/>
      <c r="CV200" s="1051"/>
      <c r="CW200" s="1936"/>
      <c r="CX200" s="1937"/>
      <c r="CY200" s="1660"/>
      <c r="CZ200" s="1051"/>
      <c r="DA200" s="1936"/>
      <c r="DB200" s="1937"/>
      <c r="DC200" s="1052"/>
      <c r="DD200" s="2032"/>
      <c r="DE200" s="1660"/>
      <c r="DF200" s="1051"/>
      <c r="DG200" s="1936"/>
      <c r="DH200" s="1937"/>
      <c r="DI200" s="964"/>
      <c r="DJ200" s="987"/>
      <c r="DK200" s="1052"/>
      <c r="DL200" s="1997"/>
      <c r="DM200" s="1052"/>
      <c r="DN200" s="1997"/>
      <c r="DO200" s="1052"/>
      <c r="DP200" s="2032"/>
      <c r="DQ200" s="965"/>
      <c r="DR200" s="1083"/>
      <c r="DS200" s="1660"/>
      <c r="DT200" s="1051"/>
      <c r="DU200" s="1936"/>
      <c r="DV200" s="1937"/>
      <c r="DW200" s="965"/>
      <c r="DX200" s="961"/>
      <c r="DY200" s="1660"/>
      <c r="DZ200" s="1051"/>
      <c r="EA200" s="1936"/>
      <c r="EB200" s="1937"/>
      <c r="EC200" s="1052"/>
      <c r="ED200" s="2032"/>
      <c r="EE200" s="965"/>
      <c r="EF200" s="961"/>
      <c r="EG200" s="1052"/>
      <c r="EH200" s="2032"/>
      <c r="EI200" s="1660"/>
      <c r="EJ200" s="1051"/>
      <c r="EK200" s="2220"/>
      <c r="EL200" s="1937"/>
      <c r="EM200" s="2202">
        <f t="shared" si="234"/>
        <v>0</v>
      </c>
      <c r="EN200" s="1585">
        <f t="shared" si="235"/>
        <v>0</v>
      </c>
      <c r="EO200" s="1585">
        <f t="shared" si="236"/>
        <v>0</v>
      </c>
      <c r="EP200" s="1586">
        <f t="shared" si="240"/>
        <v>0</v>
      </c>
      <c r="EQ200" s="999">
        <f t="shared" si="237"/>
        <v>0</v>
      </c>
      <c r="ER200" s="1776">
        <f t="shared" si="238"/>
        <v>0</v>
      </c>
      <c r="ES200" s="1776">
        <f t="shared" si="239"/>
        <v>0</v>
      </c>
      <c r="ET200" s="1055">
        <f t="shared" si="149"/>
        <v>0</v>
      </c>
    </row>
    <row r="201" spans="1:150" x14ac:dyDescent="0.25">
      <c r="A201" s="965"/>
      <c r="B201" s="961"/>
      <c r="C201" s="1660"/>
      <c r="D201" s="1051"/>
      <c r="E201" s="1936"/>
      <c r="F201" s="1937"/>
      <c r="G201" s="1052"/>
      <c r="H201" s="1997"/>
      <c r="I201" s="1052"/>
      <c r="J201" s="1997"/>
      <c r="K201" s="1052"/>
      <c r="L201" s="2032"/>
      <c r="M201" s="965"/>
      <c r="N201" s="961"/>
      <c r="O201" s="1052"/>
      <c r="P201" s="2032"/>
      <c r="Q201" s="1660"/>
      <c r="R201" s="1051"/>
      <c r="S201" s="1936"/>
      <c r="T201" s="1937"/>
      <c r="U201" s="1660"/>
      <c r="V201" s="1051"/>
      <c r="W201" s="1936"/>
      <c r="X201" s="1937"/>
      <c r="Y201" s="1660"/>
      <c r="Z201" s="1051"/>
      <c r="AA201" s="2066"/>
      <c r="AB201" s="1937"/>
      <c r="AC201" s="964"/>
      <c r="AD201" s="961"/>
      <c r="AE201" s="1660"/>
      <c r="AF201" s="1051"/>
      <c r="AG201" s="1936"/>
      <c r="AH201" s="1937"/>
      <c r="AI201" s="1660"/>
      <c r="AJ201" s="1051"/>
      <c r="AK201" s="1936"/>
      <c r="AL201" s="1937"/>
      <c r="AM201" s="1052"/>
      <c r="AN201" s="2032"/>
      <c r="AO201" s="1872"/>
      <c r="AP201" s="1101"/>
      <c r="AQ201" s="1053"/>
      <c r="AR201" s="2102"/>
      <c r="AS201" s="1554"/>
      <c r="AT201" s="2102"/>
      <c r="AU201" s="1660"/>
      <c r="AV201" s="1051"/>
      <c r="AW201" s="1936"/>
      <c r="AX201" s="1937"/>
      <c r="AY201" s="965"/>
      <c r="AZ201" s="961"/>
      <c r="BA201" s="1660"/>
      <c r="BB201" s="1051"/>
      <c r="BC201" s="1936"/>
      <c r="BD201" s="1937"/>
      <c r="BE201" s="965"/>
      <c r="BF201" s="987"/>
      <c r="BG201" s="1660"/>
      <c r="BH201" s="1051"/>
      <c r="BI201" s="1936"/>
      <c r="BJ201" s="1937"/>
      <c r="BK201" s="1660"/>
      <c r="BL201" s="1051"/>
      <c r="BM201" s="1936"/>
      <c r="BN201" s="1937"/>
      <c r="BO201" s="1052"/>
      <c r="BP201" s="1997"/>
      <c r="BQ201" s="1052"/>
      <c r="BR201" s="2032"/>
      <c r="BS201" s="1660"/>
      <c r="BT201" s="1051"/>
      <c r="BU201" s="1936"/>
      <c r="BV201" s="1937"/>
      <c r="BW201" s="1052"/>
      <c r="BX201" s="2032"/>
      <c r="BY201" s="1660"/>
      <c r="BZ201" s="1051"/>
      <c r="CA201" s="1936"/>
      <c r="CB201" s="1937"/>
      <c r="CC201" s="1743"/>
      <c r="CD201" s="2150"/>
      <c r="CE201" s="965"/>
      <c r="CF201" s="961"/>
      <c r="CG201" s="1660"/>
      <c r="CH201" s="1051"/>
      <c r="CI201" s="1936"/>
      <c r="CJ201" s="1937"/>
      <c r="CK201" s="965"/>
      <c r="CL201" s="959"/>
      <c r="CM201" s="1660"/>
      <c r="CN201" s="1051"/>
      <c r="CO201" s="1912">
        <f>'kiadás 11601'!E10</f>
        <v>0</v>
      </c>
      <c r="CP201" s="1913">
        <f>'kiadás 11601'!E30</f>
        <v>59379</v>
      </c>
      <c r="CQ201" s="1660"/>
      <c r="CR201" s="1051"/>
      <c r="CS201" s="1936"/>
      <c r="CT201" s="1937"/>
      <c r="CU201" s="1660"/>
      <c r="CV201" s="1051"/>
      <c r="CW201" s="1936"/>
      <c r="CX201" s="1937"/>
      <c r="CY201" s="1654"/>
      <c r="CZ201" s="977"/>
      <c r="DA201" s="2026">
        <f>kiadás11602!F24</f>
        <v>0</v>
      </c>
      <c r="DB201" s="1919">
        <f>kiadás11602!F39</f>
        <v>400000</v>
      </c>
      <c r="DC201" s="1052"/>
      <c r="DD201" s="2032"/>
      <c r="DE201" s="1660"/>
      <c r="DF201" s="1051"/>
      <c r="DG201" s="1936"/>
      <c r="DH201" s="1937"/>
      <c r="DI201" s="964"/>
      <c r="DJ201" s="987"/>
      <c r="DK201" s="1052"/>
      <c r="DL201" s="1986">
        <f>'kiadás 11603'!E13</f>
        <v>1296740</v>
      </c>
      <c r="DM201" s="2323"/>
      <c r="DN201" s="1986">
        <f>'kiadás 11604 '!H68</f>
        <v>48241</v>
      </c>
      <c r="DO201" s="2323"/>
      <c r="DP201" s="2023">
        <f>kiadás11605projektek!H61</f>
        <v>155239</v>
      </c>
      <c r="DQ201" s="965"/>
      <c r="DR201" s="1083"/>
      <c r="DS201" s="1660"/>
      <c r="DT201" s="1051"/>
      <c r="DU201" s="1936"/>
      <c r="DV201" s="1937"/>
      <c r="DW201" s="965"/>
      <c r="DX201" s="961"/>
      <c r="DY201" s="1660"/>
      <c r="DZ201" s="1051"/>
      <c r="EA201" s="1936"/>
      <c r="EB201" s="1937"/>
      <c r="EC201" s="1052"/>
      <c r="ED201" s="2032"/>
      <c r="EE201" s="965"/>
      <c r="EF201" s="961"/>
      <c r="EG201" s="1052"/>
      <c r="EH201" s="2032"/>
      <c r="EI201" s="1660"/>
      <c r="EJ201" s="1051"/>
      <c r="EK201" s="2220"/>
      <c r="EL201" s="1937"/>
      <c r="EM201" s="2202">
        <f t="shared" si="234"/>
        <v>0</v>
      </c>
      <c r="EN201" s="1585">
        <f t="shared" si="235"/>
        <v>1959599</v>
      </c>
      <c r="EO201" s="1585">
        <f t="shared" si="236"/>
        <v>0</v>
      </c>
      <c r="EP201" s="1586">
        <f t="shared" si="240"/>
        <v>1959599</v>
      </c>
      <c r="EQ201" s="999">
        <f t="shared" si="237"/>
        <v>0</v>
      </c>
      <c r="ER201" s="1776">
        <f t="shared" si="238"/>
        <v>0</v>
      </c>
      <c r="ES201" s="1776">
        <f t="shared" si="239"/>
        <v>0</v>
      </c>
      <c r="ET201" s="1055">
        <f t="shared" ref="ET201:ET264" si="241">SUM(EQ201:ES201)</f>
        <v>0</v>
      </c>
    </row>
    <row r="202" spans="1:150" ht="19.95" customHeight="1" thickBot="1" x14ac:dyDescent="0.3">
      <c r="A202" s="968"/>
      <c r="B202" s="1081" t="s">
        <v>1655</v>
      </c>
      <c r="C202" s="1656">
        <f t="shared" ref="C202:L202" si="242">SUM(C184:C201)</f>
        <v>0</v>
      </c>
      <c r="D202" s="1642">
        <f t="shared" si="242"/>
        <v>0</v>
      </c>
      <c r="E202" s="1926">
        <f t="shared" si="242"/>
        <v>0</v>
      </c>
      <c r="F202" s="1927">
        <f t="shared" si="242"/>
        <v>0</v>
      </c>
      <c r="G202" s="1058">
        <f t="shared" si="242"/>
        <v>0</v>
      </c>
      <c r="H202" s="1992">
        <f t="shared" si="242"/>
        <v>0</v>
      </c>
      <c r="I202" s="1058">
        <f t="shared" si="242"/>
        <v>0</v>
      </c>
      <c r="J202" s="1992">
        <f t="shared" si="242"/>
        <v>0</v>
      </c>
      <c r="K202" s="1058">
        <f t="shared" si="242"/>
        <v>0</v>
      </c>
      <c r="L202" s="1992">
        <f t="shared" si="242"/>
        <v>0</v>
      </c>
      <c r="M202" s="968"/>
      <c r="N202" s="1081" t="s">
        <v>1655</v>
      </c>
      <c r="O202" s="1058">
        <f t="shared" ref="O202:AB202" si="243">SUM(O184:O201)</f>
        <v>0</v>
      </c>
      <c r="P202" s="1992">
        <f t="shared" si="243"/>
        <v>0</v>
      </c>
      <c r="Q202" s="1656">
        <f t="shared" si="243"/>
        <v>0</v>
      </c>
      <c r="R202" s="1642">
        <f t="shared" si="243"/>
        <v>0</v>
      </c>
      <c r="S202" s="1926">
        <f t="shared" si="243"/>
        <v>0</v>
      </c>
      <c r="T202" s="1927">
        <f t="shared" si="243"/>
        <v>0</v>
      </c>
      <c r="U202" s="1656">
        <f t="shared" si="243"/>
        <v>0</v>
      </c>
      <c r="V202" s="1642">
        <f t="shared" si="243"/>
        <v>0</v>
      </c>
      <c r="W202" s="1926">
        <f t="shared" si="243"/>
        <v>0</v>
      </c>
      <c r="X202" s="1927">
        <f t="shared" si="243"/>
        <v>0</v>
      </c>
      <c r="Y202" s="1656">
        <f t="shared" si="243"/>
        <v>0</v>
      </c>
      <c r="Z202" s="1642">
        <f t="shared" si="243"/>
        <v>0</v>
      </c>
      <c r="AA202" s="1926">
        <f t="shared" si="243"/>
        <v>0</v>
      </c>
      <c r="AB202" s="1927">
        <f t="shared" si="243"/>
        <v>0</v>
      </c>
      <c r="AC202" s="970"/>
      <c r="AD202" s="1081" t="s">
        <v>1655</v>
      </c>
      <c r="AE202" s="1656">
        <f t="shared" ref="AE202:AX202" si="244">SUM(AE184:AE201)</f>
        <v>0</v>
      </c>
      <c r="AF202" s="1642">
        <f t="shared" si="244"/>
        <v>0</v>
      </c>
      <c r="AG202" s="1926">
        <f t="shared" si="244"/>
        <v>0</v>
      </c>
      <c r="AH202" s="1927">
        <f t="shared" si="244"/>
        <v>0</v>
      </c>
      <c r="AI202" s="1656">
        <f t="shared" si="244"/>
        <v>0</v>
      </c>
      <c r="AJ202" s="1642">
        <f t="shared" si="244"/>
        <v>0</v>
      </c>
      <c r="AK202" s="1926">
        <f t="shared" si="244"/>
        <v>0</v>
      </c>
      <c r="AL202" s="1927">
        <f t="shared" si="244"/>
        <v>0</v>
      </c>
      <c r="AM202" s="1058">
        <f t="shared" si="244"/>
        <v>0</v>
      </c>
      <c r="AN202" s="1992">
        <f t="shared" si="244"/>
        <v>0</v>
      </c>
      <c r="AO202" s="1656">
        <f t="shared" si="244"/>
        <v>0</v>
      </c>
      <c r="AP202" s="1854">
        <f t="shared" si="244"/>
        <v>0</v>
      </c>
      <c r="AQ202" s="1030">
        <f t="shared" si="244"/>
        <v>0</v>
      </c>
      <c r="AR202" s="1926">
        <f t="shared" si="244"/>
        <v>0</v>
      </c>
      <c r="AS202" s="2096">
        <f t="shared" si="244"/>
        <v>0</v>
      </c>
      <c r="AT202" s="2097">
        <f t="shared" si="244"/>
        <v>0</v>
      </c>
      <c r="AU202" s="1656">
        <f t="shared" si="244"/>
        <v>0</v>
      </c>
      <c r="AV202" s="1642">
        <f t="shared" si="244"/>
        <v>0</v>
      </c>
      <c r="AW202" s="1926">
        <f t="shared" si="244"/>
        <v>0</v>
      </c>
      <c r="AX202" s="1927">
        <f t="shared" si="244"/>
        <v>0</v>
      </c>
      <c r="AY202" s="968"/>
      <c r="AZ202" s="1081" t="s">
        <v>1655</v>
      </c>
      <c r="BA202" s="1656">
        <f t="shared" ref="BA202:BD202" si="245">SUM(BA184:BA201)</f>
        <v>0</v>
      </c>
      <c r="BB202" s="1642">
        <f t="shared" si="245"/>
        <v>0</v>
      </c>
      <c r="BC202" s="1926">
        <f t="shared" si="245"/>
        <v>0</v>
      </c>
      <c r="BD202" s="1927">
        <f t="shared" si="245"/>
        <v>0</v>
      </c>
      <c r="BE202" s="968"/>
      <c r="BF202" s="1081" t="s">
        <v>1655</v>
      </c>
      <c r="BG202" s="1656">
        <f t="shared" ref="BG202:CD202" si="246">SUM(BG184:BG201)</f>
        <v>0</v>
      </c>
      <c r="BH202" s="1642">
        <f t="shared" si="246"/>
        <v>0</v>
      </c>
      <c r="BI202" s="1926">
        <f t="shared" si="246"/>
        <v>0</v>
      </c>
      <c r="BJ202" s="1927">
        <f t="shared" si="246"/>
        <v>0</v>
      </c>
      <c r="BK202" s="1656">
        <f t="shared" si="246"/>
        <v>0</v>
      </c>
      <c r="BL202" s="1642">
        <f t="shared" si="246"/>
        <v>0</v>
      </c>
      <c r="BM202" s="1926">
        <f t="shared" si="246"/>
        <v>0</v>
      </c>
      <c r="BN202" s="1927">
        <f t="shared" si="246"/>
        <v>0</v>
      </c>
      <c r="BO202" s="1058">
        <f t="shared" si="246"/>
        <v>0</v>
      </c>
      <c r="BP202" s="1992">
        <f t="shared" si="246"/>
        <v>0</v>
      </c>
      <c r="BQ202" s="1058">
        <f t="shared" si="246"/>
        <v>0</v>
      </c>
      <c r="BR202" s="1992">
        <f t="shared" si="246"/>
        <v>0</v>
      </c>
      <c r="BS202" s="1656">
        <f t="shared" si="246"/>
        <v>0</v>
      </c>
      <c r="BT202" s="1642">
        <f t="shared" si="246"/>
        <v>0</v>
      </c>
      <c r="BU202" s="1926">
        <f t="shared" si="246"/>
        <v>0</v>
      </c>
      <c r="BV202" s="1927">
        <f t="shared" si="246"/>
        <v>0</v>
      </c>
      <c r="BW202" s="1058">
        <f t="shared" si="246"/>
        <v>0</v>
      </c>
      <c r="BX202" s="1992">
        <f t="shared" si="246"/>
        <v>0</v>
      </c>
      <c r="BY202" s="1656">
        <f t="shared" si="246"/>
        <v>0</v>
      </c>
      <c r="BZ202" s="1642">
        <f t="shared" si="246"/>
        <v>0</v>
      </c>
      <c r="CA202" s="1926">
        <f t="shared" si="246"/>
        <v>0</v>
      </c>
      <c r="CB202" s="1927">
        <f t="shared" si="246"/>
        <v>0</v>
      </c>
      <c r="CC202" s="1705">
        <f t="shared" si="246"/>
        <v>0</v>
      </c>
      <c r="CD202" s="2159">
        <f t="shared" si="246"/>
        <v>0</v>
      </c>
      <c r="CE202" s="968"/>
      <c r="CF202" s="1081" t="s">
        <v>1655</v>
      </c>
      <c r="CG202" s="1656">
        <f t="shared" ref="CG202:CJ202" si="247">SUM(CG184:CG201)</f>
        <v>0</v>
      </c>
      <c r="CH202" s="1642">
        <f t="shared" si="247"/>
        <v>18500</v>
      </c>
      <c r="CI202" s="1926">
        <f t="shared" si="247"/>
        <v>0</v>
      </c>
      <c r="CJ202" s="1927">
        <f t="shared" si="247"/>
        <v>0</v>
      </c>
      <c r="CK202" s="968"/>
      <c r="CL202" s="1081" t="s">
        <v>1655</v>
      </c>
      <c r="CM202" s="1656">
        <f t="shared" ref="CM202:DH202" si="248">SUM(CM184:CM201)</f>
        <v>0</v>
      </c>
      <c r="CN202" s="1642">
        <f t="shared" si="248"/>
        <v>0</v>
      </c>
      <c r="CO202" s="1926">
        <f t="shared" si="248"/>
        <v>0</v>
      </c>
      <c r="CP202" s="1927">
        <f t="shared" si="248"/>
        <v>59379</v>
      </c>
      <c r="CQ202" s="1656">
        <f t="shared" si="248"/>
        <v>0</v>
      </c>
      <c r="CR202" s="1642">
        <f t="shared" si="248"/>
        <v>0</v>
      </c>
      <c r="CS202" s="1926">
        <f t="shared" si="248"/>
        <v>0</v>
      </c>
      <c r="CT202" s="1927">
        <f t="shared" si="248"/>
        <v>0</v>
      </c>
      <c r="CU202" s="1656">
        <f t="shared" si="248"/>
        <v>0</v>
      </c>
      <c r="CV202" s="1642">
        <f t="shared" si="248"/>
        <v>0</v>
      </c>
      <c r="CW202" s="1926">
        <f t="shared" si="248"/>
        <v>0</v>
      </c>
      <c r="CX202" s="1927">
        <f t="shared" si="248"/>
        <v>0</v>
      </c>
      <c r="CY202" s="1656">
        <f t="shared" si="248"/>
        <v>0</v>
      </c>
      <c r="CZ202" s="1642">
        <f t="shared" si="248"/>
        <v>0</v>
      </c>
      <c r="DA202" s="1926">
        <f t="shared" si="248"/>
        <v>0</v>
      </c>
      <c r="DB202" s="1927">
        <f t="shared" si="248"/>
        <v>400000</v>
      </c>
      <c r="DC202" s="1058">
        <f t="shared" si="248"/>
        <v>0</v>
      </c>
      <c r="DD202" s="1992">
        <f t="shared" si="248"/>
        <v>0</v>
      </c>
      <c r="DE202" s="1656">
        <f t="shared" si="248"/>
        <v>0</v>
      </c>
      <c r="DF202" s="1642">
        <f t="shared" si="248"/>
        <v>0</v>
      </c>
      <c r="DG202" s="1926">
        <f t="shared" si="248"/>
        <v>0</v>
      </c>
      <c r="DH202" s="1927">
        <f t="shared" si="248"/>
        <v>0</v>
      </c>
      <c r="DI202" s="970"/>
      <c r="DJ202" s="1081" t="s">
        <v>1655</v>
      </c>
      <c r="DK202" s="1058">
        <f t="shared" ref="DK202:DL202" si="249">SUM(DK184:DK201)</f>
        <v>0</v>
      </c>
      <c r="DL202" s="1992">
        <f t="shared" si="249"/>
        <v>1296740</v>
      </c>
      <c r="DM202" s="1058">
        <f t="shared" ref="DM202:DP202" si="250">SUM(DM184:DM201)</f>
        <v>0</v>
      </c>
      <c r="DN202" s="1992">
        <f t="shared" si="250"/>
        <v>48241</v>
      </c>
      <c r="DO202" s="1058">
        <f t="shared" si="250"/>
        <v>0</v>
      </c>
      <c r="DP202" s="1992">
        <f t="shared" si="250"/>
        <v>155239</v>
      </c>
      <c r="DQ202" s="968"/>
      <c r="DR202" s="1082" t="s">
        <v>1655</v>
      </c>
      <c r="DS202" s="1656">
        <f t="shared" ref="DS202:DV202" si="251">SUM(DS184:DS201)</f>
        <v>0</v>
      </c>
      <c r="DT202" s="1642">
        <f t="shared" si="251"/>
        <v>0</v>
      </c>
      <c r="DU202" s="1926">
        <f t="shared" si="251"/>
        <v>0</v>
      </c>
      <c r="DV202" s="1927">
        <f t="shared" si="251"/>
        <v>0</v>
      </c>
      <c r="DW202" s="968"/>
      <c r="DX202" s="1081" t="s">
        <v>1655</v>
      </c>
      <c r="DY202" s="1656">
        <f t="shared" ref="DY202:ED202" si="252">SUM(DY184:DY201)</f>
        <v>0</v>
      </c>
      <c r="DZ202" s="1642">
        <f t="shared" si="252"/>
        <v>0</v>
      </c>
      <c r="EA202" s="1926">
        <f t="shared" si="252"/>
        <v>0</v>
      </c>
      <c r="EB202" s="1927">
        <f t="shared" si="252"/>
        <v>0</v>
      </c>
      <c r="EC202" s="1058">
        <f t="shared" si="252"/>
        <v>0</v>
      </c>
      <c r="ED202" s="1992">
        <f t="shared" si="252"/>
        <v>0</v>
      </c>
      <c r="EE202" s="968"/>
      <c r="EF202" s="1081" t="s">
        <v>1655</v>
      </c>
      <c r="EG202" s="1058">
        <f t="shared" ref="EG202:EO202" si="253">SUM(EG184:EG201)</f>
        <v>0</v>
      </c>
      <c r="EH202" s="1992">
        <f t="shared" si="253"/>
        <v>0</v>
      </c>
      <c r="EI202" s="1656">
        <f t="shared" si="253"/>
        <v>0</v>
      </c>
      <c r="EJ202" s="1642">
        <f t="shared" si="253"/>
        <v>0</v>
      </c>
      <c r="EK202" s="1926">
        <f t="shared" si="253"/>
        <v>0</v>
      </c>
      <c r="EL202" s="1927">
        <f t="shared" si="253"/>
        <v>0</v>
      </c>
      <c r="EM202" s="1927">
        <f t="shared" si="253"/>
        <v>0</v>
      </c>
      <c r="EN202" s="1927">
        <f t="shared" si="253"/>
        <v>1959599</v>
      </c>
      <c r="EO202" s="1927">
        <f t="shared" si="253"/>
        <v>0</v>
      </c>
      <c r="EP202" s="1962">
        <f t="shared" si="240"/>
        <v>1959599</v>
      </c>
      <c r="EQ202" s="1707">
        <f t="shared" si="237"/>
        <v>0</v>
      </c>
      <c r="ER202" s="1786">
        <f t="shared" si="238"/>
        <v>18500</v>
      </c>
      <c r="ES202" s="1786">
        <f t="shared" si="239"/>
        <v>0</v>
      </c>
      <c r="ET202" s="1061">
        <f t="shared" si="241"/>
        <v>18500</v>
      </c>
    </row>
    <row r="203" spans="1:150" ht="19.95" customHeight="1" x14ac:dyDescent="0.25">
      <c r="A203" s="948"/>
      <c r="B203" s="949" t="s">
        <v>1656</v>
      </c>
      <c r="C203" s="1670"/>
      <c r="D203" s="1633"/>
      <c r="E203" s="1956"/>
      <c r="F203" s="1957"/>
      <c r="G203" s="1694"/>
      <c r="H203" s="2009"/>
      <c r="I203" s="1694"/>
      <c r="J203" s="2009"/>
      <c r="K203" s="1694"/>
      <c r="L203" s="2039"/>
      <c r="M203" s="948"/>
      <c r="N203" s="949" t="s">
        <v>1656</v>
      </c>
      <c r="O203" s="1694"/>
      <c r="P203" s="2039"/>
      <c r="Q203" s="1670"/>
      <c r="R203" s="1633"/>
      <c r="S203" s="1956"/>
      <c r="T203" s="1957"/>
      <c r="U203" s="1670"/>
      <c r="V203" s="1633"/>
      <c r="W203" s="1956"/>
      <c r="X203" s="1957"/>
      <c r="Y203" s="1670"/>
      <c r="Z203" s="1633"/>
      <c r="AA203" s="2073"/>
      <c r="AB203" s="1957"/>
      <c r="AC203" s="950"/>
      <c r="AD203" s="949" t="s">
        <v>1656</v>
      </c>
      <c r="AE203" s="1670"/>
      <c r="AF203" s="1633"/>
      <c r="AG203" s="1956"/>
      <c r="AH203" s="1957"/>
      <c r="AI203" s="1670"/>
      <c r="AJ203" s="1633"/>
      <c r="AK203" s="1956"/>
      <c r="AL203" s="1957"/>
      <c r="AM203" s="1694"/>
      <c r="AN203" s="2039"/>
      <c r="AO203" s="1878"/>
      <c r="AP203" s="1726"/>
      <c r="AQ203" s="1727"/>
      <c r="AR203" s="2120"/>
      <c r="AS203" s="2121"/>
      <c r="AT203" s="2120"/>
      <c r="AU203" s="1670"/>
      <c r="AV203" s="1633"/>
      <c r="AW203" s="1956"/>
      <c r="AX203" s="1957"/>
      <c r="AY203" s="948"/>
      <c r="AZ203" s="949" t="s">
        <v>1656</v>
      </c>
      <c r="BA203" s="1670"/>
      <c r="BB203" s="1633"/>
      <c r="BC203" s="1956"/>
      <c r="BD203" s="1957"/>
      <c r="BE203" s="948"/>
      <c r="BF203" s="949" t="s">
        <v>1656</v>
      </c>
      <c r="BG203" s="1670"/>
      <c r="BH203" s="1633"/>
      <c r="BI203" s="1956"/>
      <c r="BJ203" s="1957"/>
      <c r="BK203" s="1670"/>
      <c r="BL203" s="1633"/>
      <c r="BM203" s="1956"/>
      <c r="BN203" s="1957"/>
      <c r="BO203" s="1694"/>
      <c r="BP203" s="2009"/>
      <c r="BQ203" s="1694"/>
      <c r="BR203" s="2039"/>
      <c r="BS203" s="1670"/>
      <c r="BT203" s="1633"/>
      <c r="BU203" s="1956"/>
      <c r="BV203" s="1957"/>
      <c r="BW203" s="1694"/>
      <c r="BX203" s="2039"/>
      <c r="BY203" s="1670"/>
      <c r="BZ203" s="1633"/>
      <c r="CA203" s="1956"/>
      <c r="CB203" s="1957"/>
      <c r="CC203" s="1762"/>
      <c r="CD203" s="2172"/>
      <c r="CE203" s="948"/>
      <c r="CF203" s="949" t="s">
        <v>1656</v>
      </c>
      <c r="CG203" s="1670"/>
      <c r="CH203" s="1633"/>
      <c r="CI203" s="1956"/>
      <c r="CJ203" s="1957"/>
      <c r="CK203" s="948"/>
      <c r="CL203" s="949" t="s">
        <v>1656</v>
      </c>
      <c r="CM203" s="1670"/>
      <c r="CN203" s="1633"/>
      <c r="CO203" s="1956"/>
      <c r="CP203" s="1957"/>
      <c r="CQ203" s="1670"/>
      <c r="CR203" s="1633"/>
      <c r="CS203" s="1956"/>
      <c r="CT203" s="1957"/>
      <c r="CU203" s="1670"/>
      <c r="CV203" s="1633"/>
      <c r="CW203" s="1956"/>
      <c r="CX203" s="1957"/>
      <c r="CY203" s="1670"/>
      <c r="CZ203" s="1633"/>
      <c r="DA203" s="1956"/>
      <c r="DB203" s="1957"/>
      <c r="DC203" s="1694"/>
      <c r="DD203" s="2039"/>
      <c r="DE203" s="1670"/>
      <c r="DF203" s="1633"/>
      <c r="DG203" s="1956"/>
      <c r="DH203" s="1957"/>
      <c r="DI203" s="950"/>
      <c r="DJ203" s="949" t="s">
        <v>1656</v>
      </c>
      <c r="DK203" s="1694"/>
      <c r="DL203" s="2009"/>
      <c r="DM203" s="1694"/>
      <c r="DN203" s="2009"/>
      <c r="DO203" s="1694"/>
      <c r="DP203" s="2039"/>
      <c r="DQ203" s="948"/>
      <c r="DR203" s="949" t="s">
        <v>1656</v>
      </c>
      <c r="DS203" s="1670"/>
      <c r="DT203" s="1633"/>
      <c r="DU203" s="1956"/>
      <c r="DV203" s="1957"/>
      <c r="DW203" s="948"/>
      <c r="DX203" s="949" t="s">
        <v>1656</v>
      </c>
      <c r="DY203" s="1670"/>
      <c r="DZ203" s="1633"/>
      <c r="EA203" s="1956"/>
      <c r="EB203" s="1957"/>
      <c r="EC203" s="1694"/>
      <c r="ED203" s="2039"/>
      <c r="EE203" s="948"/>
      <c r="EF203" s="949" t="s">
        <v>1656</v>
      </c>
      <c r="EG203" s="1694"/>
      <c r="EH203" s="2039"/>
      <c r="EI203" s="1670"/>
      <c r="EJ203" s="1633"/>
      <c r="EK203" s="2215"/>
      <c r="EL203" s="1929"/>
      <c r="EM203" s="2216"/>
      <c r="EN203" s="1597"/>
      <c r="EO203" s="1597"/>
      <c r="EP203" s="1597">
        <f t="shared" si="240"/>
        <v>0</v>
      </c>
      <c r="EQ203" s="1162">
        <f t="shared" si="237"/>
        <v>0</v>
      </c>
      <c r="ER203" s="1785">
        <f t="shared" si="238"/>
        <v>0</v>
      </c>
      <c r="ES203" s="1785">
        <f t="shared" si="239"/>
        <v>0</v>
      </c>
      <c r="ET203" s="1070">
        <f t="shared" si="241"/>
        <v>0</v>
      </c>
    </row>
    <row r="204" spans="1:150" x14ac:dyDescent="0.25">
      <c r="A204" s="973">
        <v>1</v>
      </c>
      <c r="B204" s="1040"/>
      <c r="C204" s="1043"/>
      <c r="D204" s="1039"/>
      <c r="E204" s="1930"/>
      <c r="F204" s="1931"/>
      <c r="G204" s="1072"/>
      <c r="H204" s="1994"/>
      <c r="I204" s="1072"/>
      <c r="J204" s="1994"/>
      <c r="K204" s="1072"/>
      <c r="L204" s="1975"/>
      <c r="M204" s="973">
        <v>1</v>
      </c>
      <c r="N204" s="1040"/>
      <c r="O204" s="1072"/>
      <c r="P204" s="2029"/>
      <c r="Q204" s="1043"/>
      <c r="R204" s="1039"/>
      <c r="S204" s="1930"/>
      <c r="T204" s="1931"/>
      <c r="U204" s="1043"/>
      <c r="V204" s="1039"/>
      <c r="W204" s="1930"/>
      <c r="X204" s="1931"/>
      <c r="Y204" s="1043"/>
      <c r="Z204" s="1039"/>
      <c r="AA204" s="2062"/>
      <c r="AB204" s="1929"/>
      <c r="AC204" s="975">
        <v>1</v>
      </c>
      <c r="AD204" s="1040"/>
      <c r="AE204" s="1043"/>
      <c r="AF204" s="1039"/>
      <c r="AG204" s="1930"/>
      <c r="AH204" s="1931"/>
      <c r="AI204" s="1043"/>
      <c r="AJ204" s="1039"/>
      <c r="AK204" s="1930"/>
      <c r="AL204" s="1931"/>
      <c r="AM204" s="1072"/>
      <c r="AN204" s="2029"/>
      <c r="AO204" s="1718"/>
      <c r="AP204" s="1075"/>
      <c r="AQ204" s="1076"/>
      <c r="AR204" s="2099"/>
      <c r="AS204" s="1444"/>
      <c r="AT204" s="2099"/>
      <c r="AU204" s="1043"/>
      <c r="AV204" s="1039"/>
      <c r="AW204" s="1928"/>
      <c r="AX204" s="1929"/>
      <c r="AY204" s="973">
        <v>1</v>
      </c>
      <c r="AZ204" s="1040"/>
      <c r="BA204" s="1043"/>
      <c r="BB204" s="1039"/>
      <c r="BC204" s="1928"/>
      <c r="BD204" s="1929"/>
      <c r="BE204" s="973">
        <v>1</v>
      </c>
      <c r="BF204" s="1040"/>
      <c r="BG204" s="1043"/>
      <c r="BH204" s="1039"/>
      <c r="BI204" s="1930"/>
      <c r="BJ204" s="1931"/>
      <c r="BK204" s="1043"/>
      <c r="BL204" s="1039"/>
      <c r="BM204" s="1930"/>
      <c r="BN204" s="1931"/>
      <c r="BO204" s="1072"/>
      <c r="BP204" s="1994"/>
      <c r="BQ204" s="1072"/>
      <c r="BR204" s="2029"/>
      <c r="BS204" s="1043"/>
      <c r="BT204" s="1039"/>
      <c r="BU204" s="1930"/>
      <c r="BV204" s="1931"/>
      <c r="BW204" s="1072"/>
      <c r="BX204" s="2029"/>
      <c r="BY204" s="1043"/>
      <c r="BZ204" s="1039"/>
      <c r="CA204" s="1930"/>
      <c r="CB204" s="1931"/>
      <c r="CC204" s="1749"/>
      <c r="CD204" s="2156"/>
      <c r="CE204" s="973">
        <v>1</v>
      </c>
      <c r="CF204" s="1037" t="s">
        <v>1657</v>
      </c>
      <c r="CG204" s="1043"/>
      <c r="CH204" s="1039"/>
      <c r="CI204" s="1928"/>
      <c r="CJ204" s="1929"/>
      <c r="CK204" s="973">
        <v>1</v>
      </c>
      <c r="CL204" s="1037" t="s">
        <v>1658</v>
      </c>
      <c r="CM204" s="1043"/>
      <c r="CN204" s="1039"/>
      <c r="CO204" s="1930"/>
      <c r="CP204" s="1931"/>
      <c r="CQ204" s="1043"/>
      <c r="CR204" s="1039"/>
      <c r="CS204" s="1930"/>
      <c r="CT204" s="1931"/>
      <c r="CU204" s="1043"/>
      <c r="CV204" s="1039"/>
      <c r="CW204" s="1930"/>
      <c r="CX204" s="1931"/>
      <c r="CY204" s="1043"/>
      <c r="CZ204" s="1039"/>
      <c r="DA204" s="1930"/>
      <c r="DB204" s="1931"/>
      <c r="DC204" s="1161">
        <v>500000</v>
      </c>
      <c r="DD204" s="2043">
        <v>150000</v>
      </c>
      <c r="DE204" s="1675"/>
      <c r="DF204" s="1160"/>
      <c r="DG204" s="1928"/>
      <c r="DH204" s="1929"/>
      <c r="DI204" s="975">
        <v>1</v>
      </c>
      <c r="DJ204" s="1040"/>
      <c r="DK204" s="1072"/>
      <c r="DL204" s="1994"/>
      <c r="DM204" s="1072"/>
      <c r="DN204" s="1994"/>
      <c r="DO204" s="1072"/>
      <c r="DP204" s="1975"/>
      <c r="DQ204" s="973">
        <v>1</v>
      </c>
      <c r="DR204" s="1042"/>
      <c r="DS204" s="1675"/>
      <c r="DT204" s="1160"/>
      <c r="DU204" s="1963"/>
      <c r="DV204" s="1964"/>
      <c r="DW204" s="973">
        <v>1</v>
      </c>
      <c r="DX204" s="1040"/>
      <c r="DY204" s="1043"/>
      <c r="DZ204" s="1039"/>
      <c r="EA204" s="1930"/>
      <c r="EB204" s="1931"/>
      <c r="EC204" s="1072"/>
      <c r="ED204" s="1975"/>
      <c r="EE204" s="973">
        <v>1</v>
      </c>
      <c r="EF204" s="1040"/>
      <c r="EG204" s="1072"/>
      <c r="EH204" s="2029"/>
      <c r="EI204" s="1043"/>
      <c r="EJ204" s="1039"/>
      <c r="EK204" s="2217"/>
      <c r="EL204" s="1931"/>
      <c r="EM204" s="2202">
        <f t="shared" ref="EM204:EM207" si="254">E204+S204+W204+AA204+AG204+AK204+AN204+AR204+AW204+BC204+BI204+BM204+BR204+BU204+CA204+CD204+CI204+CO204+CS204+CW204+DA204+DG204+DU204+EA204+EK204</f>
        <v>0</v>
      </c>
      <c r="EN204" s="1585">
        <f t="shared" ref="EN204:EN207" si="255">F204+H204+J204+L204+P204+T204+X204+AB204+AH204+AL204+AS204+AX204+BD204+BJ204+BN204+BP204+BV204+BX204+CB204+CJ204+CP204+CT204+CX204+DB204+DD204+DH204+DN204+DP204+DV204+EB204+ED204+EH204+EL204+DL204</f>
        <v>150000</v>
      </c>
      <c r="EO204" s="1585">
        <f t="shared" ref="EO204:EO207" si="256">AQ204</f>
        <v>0</v>
      </c>
      <c r="EP204" s="1597">
        <f t="shared" si="240"/>
        <v>150000</v>
      </c>
      <c r="EQ204" s="1162">
        <f t="shared" si="237"/>
        <v>0</v>
      </c>
      <c r="ER204" s="1785">
        <f t="shared" si="238"/>
        <v>500000</v>
      </c>
      <c r="ES204" s="1785">
        <f t="shared" si="239"/>
        <v>0</v>
      </c>
      <c r="ET204" s="1070">
        <f t="shared" si="241"/>
        <v>500000</v>
      </c>
    </row>
    <row r="205" spans="1:150" x14ac:dyDescent="0.25">
      <c r="A205" s="973">
        <v>2</v>
      </c>
      <c r="B205" s="1040"/>
      <c r="C205" s="1043"/>
      <c r="D205" s="1039"/>
      <c r="E205" s="1930"/>
      <c r="F205" s="1931"/>
      <c r="G205" s="1072"/>
      <c r="H205" s="1994"/>
      <c r="I205" s="1072"/>
      <c r="J205" s="1994"/>
      <c r="K205" s="1072"/>
      <c r="L205" s="1975"/>
      <c r="M205" s="973">
        <v>2</v>
      </c>
      <c r="N205" s="1040"/>
      <c r="O205" s="1072"/>
      <c r="P205" s="2029"/>
      <c r="Q205" s="1043"/>
      <c r="R205" s="1039"/>
      <c r="S205" s="1930"/>
      <c r="T205" s="1931"/>
      <c r="U205" s="1043"/>
      <c r="V205" s="1039"/>
      <c r="W205" s="1930"/>
      <c r="X205" s="1931"/>
      <c r="Y205" s="1043"/>
      <c r="Z205" s="1039"/>
      <c r="AA205" s="2074"/>
      <c r="AB205" s="1959"/>
      <c r="AC205" s="975">
        <v>2</v>
      </c>
      <c r="AD205" s="1040"/>
      <c r="AE205" s="1043"/>
      <c r="AF205" s="1039"/>
      <c r="AG205" s="1930"/>
      <c r="AH205" s="1931"/>
      <c r="AI205" s="1043"/>
      <c r="AJ205" s="1039"/>
      <c r="AK205" s="1930"/>
      <c r="AL205" s="1931"/>
      <c r="AM205" s="1072"/>
      <c r="AN205" s="2029"/>
      <c r="AO205" s="1718"/>
      <c r="AP205" s="1075"/>
      <c r="AQ205" s="1076"/>
      <c r="AR205" s="2099"/>
      <c r="AS205" s="1444"/>
      <c r="AT205" s="2099"/>
      <c r="AU205" s="1043"/>
      <c r="AV205" s="1039"/>
      <c r="AW205" s="2040"/>
      <c r="AX205" s="1959"/>
      <c r="AY205" s="973">
        <v>2</v>
      </c>
      <c r="AZ205" s="1040"/>
      <c r="BA205" s="1043"/>
      <c r="BB205" s="1039"/>
      <c r="BC205" s="2040"/>
      <c r="BD205" s="1959"/>
      <c r="BE205" s="973">
        <v>2</v>
      </c>
      <c r="BF205" s="1115"/>
      <c r="BG205" s="1043"/>
      <c r="BH205" s="1039"/>
      <c r="BI205" s="1930"/>
      <c r="BJ205" s="1931"/>
      <c r="BK205" s="1043"/>
      <c r="BL205" s="1039"/>
      <c r="BM205" s="1930"/>
      <c r="BN205" s="1931"/>
      <c r="BO205" s="1072"/>
      <c r="BP205" s="1994"/>
      <c r="BQ205" s="1072"/>
      <c r="BR205" s="2029"/>
      <c r="BS205" s="1043"/>
      <c r="BT205" s="1039"/>
      <c r="BU205" s="1930"/>
      <c r="BV205" s="1931"/>
      <c r="BW205" s="1072"/>
      <c r="BX205" s="2029"/>
      <c r="BY205" s="1043"/>
      <c r="BZ205" s="1039"/>
      <c r="CA205" s="1930"/>
      <c r="CB205" s="1931"/>
      <c r="CC205" s="1860"/>
      <c r="CD205" s="2173"/>
      <c r="CE205" s="973">
        <v>2</v>
      </c>
      <c r="CF205" s="1037"/>
      <c r="CG205" s="1043"/>
      <c r="CH205" s="1039"/>
      <c r="CI205" s="2040"/>
      <c r="CJ205" s="1959"/>
      <c r="CK205" s="973">
        <v>2</v>
      </c>
      <c r="CL205" s="1037"/>
      <c r="CM205" s="1043"/>
      <c r="CN205" s="1039"/>
      <c r="CO205" s="1930"/>
      <c r="CP205" s="1931"/>
      <c r="CQ205" s="1043"/>
      <c r="CR205" s="1039"/>
      <c r="CS205" s="1930"/>
      <c r="CT205" s="1931"/>
      <c r="CU205" s="1043"/>
      <c r="CV205" s="1039"/>
      <c r="CW205" s="1930"/>
      <c r="CX205" s="1931"/>
      <c r="CY205" s="1043"/>
      <c r="CZ205" s="1039"/>
      <c r="DA205" s="1930"/>
      <c r="DB205" s="1931"/>
      <c r="DC205" s="1161"/>
      <c r="DD205" s="2043"/>
      <c r="DE205" s="1675"/>
      <c r="DF205" s="1160"/>
      <c r="DG205" s="2040"/>
      <c r="DH205" s="1959"/>
      <c r="DI205" s="975">
        <v>2</v>
      </c>
      <c r="DJ205" s="1040"/>
      <c r="DK205" s="1072"/>
      <c r="DL205" s="1994"/>
      <c r="DM205" s="1072"/>
      <c r="DN205" s="1994"/>
      <c r="DO205" s="1072"/>
      <c r="DP205" s="2010"/>
      <c r="DQ205" s="973">
        <v>2</v>
      </c>
      <c r="DR205" s="1042"/>
      <c r="DS205" s="1675"/>
      <c r="DT205" s="1160"/>
      <c r="DU205" s="2195"/>
      <c r="DV205" s="2200"/>
      <c r="DW205" s="973">
        <v>2</v>
      </c>
      <c r="DX205" s="1040"/>
      <c r="DY205" s="1043"/>
      <c r="DZ205" s="1039"/>
      <c r="EA205" s="1930"/>
      <c r="EB205" s="1931"/>
      <c r="EC205" s="1072"/>
      <c r="ED205" s="2010"/>
      <c r="EE205" s="973">
        <v>2</v>
      </c>
      <c r="EF205" s="1040"/>
      <c r="EG205" s="1072"/>
      <c r="EH205" s="2029"/>
      <c r="EI205" s="1043"/>
      <c r="EJ205" s="1039"/>
      <c r="EK205" s="2217"/>
      <c r="EL205" s="1931"/>
      <c r="EM205" s="2202">
        <f t="shared" si="254"/>
        <v>0</v>
      </c>
      <c r="EN205" s="1585">
        <f t="shared" si="255"/>
        <v>0</v>
      </c>
      <c r="EO205" s="1585">
        <f t="shared" si="256"/>
        <v>0</v>
      </c>
      <c r="EP205" s="1597">
        <f t="shared" si="240"/>
        <v>0</v>
      </c>
      <c r="EQ205" s="1162">
        <f t="shared" si="237"/>
        <v>0</v>
      </c>
      <c r="ER205" s="1785">
        <f t="shared" si="238"/>
        <v>0</v>
      </c>
      <c r="ES205" s="1785">
        <f t="shared" si="239"/>
        <v>0</v>
      </c>
      <c r="ET205" s="1070">
        <f t="shared" si="241"/>
        <v>0</v>
      </c>
    </row>
    <row r="206" spans="1:150" x14ac:dyDescent="0.25">
      <c r="A206" s="973">
        <v>3</v>
      </c>
      <c r="B206" s="1040"/>
      <c r="C206" s="1043"/>
      <c r="D206" s="1039"/>
      <c r="E206" s="1930"/>
      <c r="F206" s="1931"/>
      <c r="G206" s="1072"/>
      <c r="H206" s="1994"/>
      <c r="I206" s="1072"/>
      <c r="J206" s="1994"/>
      <c r="K206" s="1072"/>
      <c r="L206" s="1975"/>
      <c r="M206" s="973">
        <v>3</v>
      </c>
      <c r="N206" s="1040"/>
      <c r="O206" s="1072"/>
      <c r="P206" s="2029"/>
      <c r="Q206" s="1043"/>
      <c r="R206" s="1039"/>
      <c r="S206" s="1930"/>
      <c r="T206" s="1931"/>
      <c r="U206" s="1043"/>
      <c r="V206" s="1039"/>
      <c r="W206" s="1930"/>
      <c r="X206" s="1931"/>
      <c r="Y206" s="1043"/>
      <c r="Z206" s="1039"/>
      <c r="AA206" s="2074"/>
      <c r="AB206" s="1959"/>
      <c r="AC206" s="975">
        <v>3</v>
      </c>
      <c r="AD206" s="1040"/>
      <c r="AE206" s="1043"/>
      <c r="AF206" s="1039"/>
      <c r="AG206" s="1930"/>
      <c r="AH206" s="1931"/>
      <c r="AI206" s="1043"/>
      <c r="AJ206" s="1039"/>
      <c r="AK206" s="1930"/>
      <c r="AL206" s="1931"/>
      <c r="AM206" s="1072"/>
      <c r="AN206" s="2029"/>
      <c r="AO206" s="1718"/>
      <c r="AP206" s="1075"/>
      <c r="AQ206" s="1076"/>
      <c r="AR206" s="2099"/>
      <c r="AS206" s="1444"/>
      <c r="AT206" s="2099"/>
      <c r="AU206" s="1043"/>
      <c r="AV206" s="1039"/>
      <c r="AW206" s="2040"/>
      <c r="AX206" s="1959"/>
      <c r="AY206" s="973">
        <v>3</v>
      </c>
      <c r="AZ206" s="1040"/>
      <c r="BA206" s="1043"/>
      <c r="BB206" s="1039"/>
      <c r="BC206" s="2040"/>
      <c r="BD206" s="1959"/>
      <c r="BE206" s="973">
        <v>3</v>
      </c>
      <c r="BF206" s="1115"/>
      <c r="BG206" s="1043"/>
      <c r="BH206" s="1039"/>
      <c r="BI206" s="1930"/>
      <c r="BJ206" s="1931"/>
      <c r="BK206" s="1043"/>
      <c r="BL206" s="1039"/>
      <c r="BM206" s="1930"/>
      <c r="BN206" s="1931"/>
      <c r="BO206" s="1072"/>
      <c r="BP206" s="1994"/>
      <c r="BQ206" s="1072"/>
      <c r="BR206" s="2029"/>
      <c r="BS206" s="1043"/>
      <c r="BT206" s="1039"/>
      <c r="BU206" s="1930"/>
      <c r="BV206" s="1931"/>
      <c r="BW206" s="1072"/>
      <c r="BX206" s="2029"/>
      <c r="BY206" s="1043"/>
      <c r="BZ206" s="1039"/>
      <c r="CA206" s="1930"/>
      <c r="CB206" s="1931"/>
      <c r="CC206" s="1860"/>
      <c r="CD206" s="2173"/>
      <c r="CE206" s="973">
        <v>3</v>
      </c>
      <c r="CF206" s="1037"/>
      <c r="CG206" s="1043"/>
      <c r="CH206" s="1039"/>
      <c r="CI206" s="2040"/>
      <c r="CJ206" s="1959"/>
      <c r="CK206" s="973">
        <v>3</v>
      </c>
      <c r="CL206" s="1037"/>
      <c r="CM206" s="1043"/>
      <c r="CN206" s="1039"/>
      <c r="CO206" s="1930"/>
      <c r="CP206" s="1931"/>
      <c r="CQ206" s="1043"/>
      <c r="CR206" s="1039"/>
      <c r="CS206" s="1930"/>
      <c r="CT206" s="1931"/>
      <c r="CU206" s="1043"/>
      <c r="CV206" s="1039"/>
      <c r="CW206" s="1930"/>
      <c r="CX206" s="1931"/>
      <c r="CY206" s="1043"/>
      <c r="CZ206" s="1039"/>
      <c r="DA206" s="1930"/>
      <c r="DB206" s="1931"/>
      <c r="DC206" s="1161"/>
      <c r="DD206" s="2043"/>
      <c r="DE206" s="1675"/>
      <c r="DF206" s="1160"/>
      <c r="DG206" s="2040"/>
      <c r="DH206" s="1959"/>
      <c r="DI206" s="975">
        <v>3</v>
      </c>
      <c r="DJ206" s="1040"/>
      <c r="DK206" s="1072"/>
      <c r="DL206" s="1994"/>
      <c r="DM206" s="1072"/>
      <c r="DN206" s="1994"/>
      <c r="DO206" s="1072"/>
      <c r="DP206" s="2010"/>
      <c r="DQ206" s="973">
        <v>3</v>
      </c>
      <c r="DR206" s="1042"/>
      <c r="DS206" s="1675"/>
      <c r="DT206" s="1160"/>
      <c r="DU206" s="2195"/>
      <c r="DV206" s="2200"/>
      <c r="DW206" s="973">
        <v>3</v>
      </c>
      <c r="DX206" s="1040"/>
      <c r="DY206" s="1043"/>
      <c r="DZ206" s="1039"/>
      <c r="EA206" s="1930"/>
      <c r="EB206" s="1931"/>
      <c r="EC206" s="1072"/>
      <c r="ED206" s="2010"/>
      <c r="EE206" s="973">
        <v>3</v>
      </c>
      <c r="EF206" s="1040"/>
      <c r="EG206" s="1072"/>
      <c r="EH206" s="2029"/>
      <c r="EI206" s="1043"/>
      <c r="EJ206" s="1039"/>
      <c r="EK206" s="2217"/>
      <c r="EL206" s="1931"/>
      <c r="EM206" s="2202">
        <f t="shared" si="254"/>
        <v>0</v>
      </c>
      <c r="EN206" s="1585">
        <f t="shared" si="255"/>
        <v>0</v>
      </c>
      <c r="EO206" s="1585">
        <f t="shared" si="256"/>
        <v>0</v>
      </c>
      <c r="EP206" s="1597">
        <f t="shared" si="240"/>
        <v>0</v>
      </c>
      <c r="EQ206" s="1162">
        <f t="shared" si="237"/>
        <v>0</v>
      </c>
      <c r="ER206" s="1785">
        <f t="shared" si="238"/>
        <v>0</v>
      </c>
      <c r="ES206" s="1785">
        <f t="shared" si="239"/>
        <v>0</v>
      </c>
      <c r="ET206" s="1070">
        <f t="shared" si="241"/>
        <v>0</v>
      </c>
    </row>
    <row r="207" spans="1:150" x14ac:dyDescent="0.25">
      <c r="A207" s="973">
        <v>4</v>
      </c>
      <c r="B207" s="1040"/>
      <c r="C207" s="1043"/>
      <c r="D207" s="1039"/>
      <c r="E207" s="1930"/>
      <c r="F207" s="1931"/>
      <c r="G207" s="1072"/>
      <c r="H207" s="1994"/>
      <c r="I207" s="1072"/>
      <c r="J207" s="1994"/>
      <c r="K207" s="1072"/>
      <c r="L207" s="1975"/>
      <c r="M207" s="973">
        <v>4</v>
      </c>
      <c r="N207" s="1040"/>
      <c r="O207" s="1072"/>
      <c r="P207" s="2029"/>
      <c r="Q207" s="1043"/>
      <c r="R207" s="1039"/>
      <c r="S207" s="1930"/>
      <c r="T207" s="1931"/>
      <c r="U207" s="1043"/>
      <c r="V207" s="1039"/>
      <c r="W207" s="1930"/>
      <c r="X207" s="1931"/>
      <c r="Y207" s="1043"/>
      <c r="Z207" s="1039"/>
      <c r="AA207" s="2062"/>
      <c r="AB207" s="1929"/>
      <c r="AC207" s="975">
        <v>4</v>
      </c>
      <c r="AD207" s="1040"/>
      <c r="AE207" s="1043"/>
      <c r="AF207" s="1039"/>
      <c r="AG207" s="1930"/>
      <c r="AH207" s="1931"/>
      <c r="AI207" s="1043"/>
      <c r="AJ207" s="1039"/>
      <c r="AK207" s="1930"/>
      <c r="AL207" s="1931"/>
      <c r="AM207" s="1072"/>
      <c r="AN207" s="2029"/>
      <c r="AO207" s="1718"/>
      <c r="AP207" s="1075"/>
      <c r="AQ207" s="1076"/>
      <c r="AR207" s="2099"/>
      <c r="AS207" s="1444"/>
      <c r="AT207" s="2099"/>
      <c r="AU207" s="1043"/>
      <c r="AV207" s="1039"/>
      <c r="AW207" s="1928"/>
      <c r="AX207" s="1929"/>
      <c r="AY207" s="973">
        <v>4</v>
      </c>
      <c r="AZ207" s="1040"/>
      <c r="BA207" s="1043"/>
      <c r="BB207" s="1039"/>
      <c r="BC207" s="1928"/>
      <c r="BD207" s="1929"/>
      <c r="BE207" s="973">
        <v>4</v>
      </c>
      <c r="BF207" s="1115"/>
      <c r="BG207" s="1043"/>
      <c r="BH207" s="1039"/>
      <c r="BI207" s="1930"/>
      <c r="BJ207" s="1931"/>
      <c r="BK207" s="1043"/>
      <c r="BL207" s="1039"/>
      <c r="BM207" s="1930"/>
      <c r="BN207" s="1931"/>
      <c r="BO207" s="1072"/>
      <c r="BP207" s="1994"/>
      <c r="BQ207" s="1072"/>
      <c r="BR207" s="2029"/>
      <c r="BS207" s="1043"/>
      <c r="BT207" s="1039"/>
      <c r="BU207" s="1930"/>
      <c r="BV207" s="1931"/>
      <c r="BW207" s="1072"/>
      <c r="BX207" s="2029"/>
      <c r="BY207" s="1043"/>
      <c r="BZ207" s="1039"/>
      <c r="CA207" s="1930"/>
      <c r="CB207" s="1931"/>
      <c r="CC207" s="1749"/>
      <c r="CD207" s="2156"/>
      <c r="CE207" s="973">
        <v>4</v>
      </c>
      <c r="CF207" s="1037"/>
      <c r="CG207" s="1043"/>
      <c r="CH207" s="1039"/>
      <c r="CI207" s="1928"/>
      <c r="CJ207" s="1929"/>
      <c r="CK207" s="973">
        <v>4</v>
      </c>
      <c r="CL207" s="1037"/>
      <c r="CM207" s="1043"/>
      <c r="CN207" s="1039"/>
      <c r="CO207" s="1930"/>
      <c r="CP207" s="1931"/>
      <c r="CQ207" s="1043"/>
      <c r="CR207" s="1039"/>
      <c r="CS207" s="1930"/>
      <c r="CT207" s="1931"/>
      <c r="CU207" s="1043"/>
      <c r="CV207" s="1039"/>
      <c r="CW207" s="1930"/>
      <c r="CX207" s="1931"/>
      <c r="CY207" s="1043"/>
      <c r="CZ207" s="1039"/>
      <c r="DA207" s="1930"/>
      <c r="DB207" s="1931"/>
      <c r="DC207" s="1161"/>
      <c r="DD207" s="2043"/>
      <c r="DE207" s="1675"/>
      <c r="DF207" s="1160"/>
      <c r="DG207" s="1928"/>
      <c r="DH207" s="1929"/>
      <c r="DI207" s="975">
        <v>4</v>
      </c>
      <c r="DJ207" s="1040"/>
      <c r="DK207" s="1072"/>
      <c r="DL207" s="1994"/>
      <c r="DM207" s="1072"/>
      <c r="DN207" s="1994"/>
      <c r="DO207" s="1072"/>
      <c r="DP207" s="1975"/>
      <c r="DQ207" s="973">
        <v>4</v>
      </c>
      <c r="DR207" s="1042"/>
      <c r="DS207" s="1675"/>
      <c r="DT207" s="1160"/>
      <c r="DU207" s="1963"/>
      <c r="DV207" s="1964"/>
      <c r="DW207" s="973">
        <v>4</v>
      </c>
      <c r="DX207" s="1040"/>
      <c r="DY207" s="1043"/>
      <c r="DZ207" s="1039"/>
      <c r="EA207" s="1930"/>
      <c r="EB207" s="1931"/>
      <c r="EC207" s="1072"/>
      <c r="ED207" s="1975"/>
      <c r="EE207" s="973">
        <v>4</v>
      </c>
      <c r="EF207" s="1040"/>
      <c r="EG207" s="1072"/>
      <c r="EH207" s="2029"/>
      <c r="EI207" s="1043"/>
      <c r="EJ207" s="1039"/>
      <c r="EK207" s="2217"/>
      <c r="EL207" s="1931"/>
      <c r="EM207" s="2202">
        <f t="shared" si="254"/>
        <v>0</v>
      </c>
      <c r="EN207" s="1585">
        <f t="shared" si="255"/>
        <v>0</v>
      </c>
      <c r="EO207" s="1585">
        <f t="shared" si="256"/>
        <v>0</v>
      </c>
      <c r="EP207" s="1597">
        <f t="shared" si="240"/>
        <v>0</v>
      </c>
      <c r="EQ207" s="1162">
        <f t="shared" si="237"/>
        <v>0</v>
      </c>
      <c r="ER207" s="1785">
        <f t="shared" si="238"/>
        <v>0</v>
      </c>
      <c r="ES207" s="1785">
        <f t="shared" si="239"/>
        <v>0</v>
      </c>
      <c r="ET207" s="1070">
        <f t="shared" si="241"/>
        <v>0</v>
      </c>
    </row>
    <row r="208" spans="1:150" ht="30" customHeight="1" thickBot="1" x14ac:dyDescent="0.3">
      <c r="A208" s="968"/>
      <c r="B208" s="969" t="s">
        <v>1659</v>
      </c>
      <c r="C208" s="1656">
        <f t="shared" ref="C208:L208" si="257">SUM(C203:C207)</f>
        <v>0</v>
      </c>
      <c r="D208" s="1642">
        <f t="shared" si="257"/>
        <v>0</v>
      </c>
      <c r="E208" s="1926">
        <f t="shared" si="257"/>
        <v>0</v>
      </c>
      <c r="F208" s="1927">
        <f t="shared" si="257"/>
        <v>0</v>
      </c>
      <c r="G208" s="1058">
        <f t="shared" si="257"/>
        <v>0</v>
      </c>
      <c r="H208" s="1992">
        <f t="shared" si="257"/>
        <v>0</v>
      </c>
      <c r="I208" s="1058">
        <f t="shared" si="257"/>
        <v>0</v>
      </c>
      <c r="J208" s="1992">
        <f t="shared" si="257"/>
        <v>0</v>
      </c>
      <c r="K208" s="1058">
        <f t="shared" si="257"/>
        <v>0</v>
      </c>
      <c r="L208" s="1992">
        <f t="shared" si="257"/>
        <v>0</v>
      </c>
      <c r="M208" s="968"/>
      <c r="N208" s="969" t="s">
        <v>1659</v>
      </c>
      <c r="O208" s="1058">
        <f t="shared" ref="O208:AB208" si="258">SUM(O203:O207)</f>
        <v>0</v>
      </c>
      <c r="P208" s="1992">
        <f t="shared" si="258"/>
        <v>0</v>
      </c>
      <c r="Q208" s="1656">
        <f t="shared" si="258"/>
        <v>0</v>
      </c>
      <c r="R208" s="1642">
        <f t="shared" si="258"/>
        <v>0</v>
      </c>
      <c r="S208" s="1926">
        <f t="shared" si="258"/>
        <v>0</v>
      </c>
      <c r="T208" s="1927">
        <f t="shared" si="258"/>
        <v>0</v>
      </c>
      <c r="U208" s="1656">
        <f t="shared" si="258"/>
        <v>0</v>
      </c>
      <c r="V208" s="1642">
        <f t="shared" si="258"/>
        <v>0</v>
      </c>
      <c r="W208" s="1926">
        <f t="shared" si="258"/>
        <v>0</v>
      </c>
      <c r="X208" s="1927">
        <f t="shared" si="258"/>
        <v>0</v>
      </c>
      <c r="Y208" s="1656">
        <f t="shared" si="258"/>
        <v>0</v>
      </c>
      <c r="Z208" s="1642">
        <f t="shared" si="258"/>
        <v>0</v>
      </c>
      <c r="AA208" s="1926">
        <f t="shared" si="258"/>
        <v>0</v>
      </c>
      <c r="AB208" s="1927">
        <f t="shared" si="258"/>
        <v>0</v>
      </c>
      <c r="AC208" s="970"/>
      <c r="AD208" s="969" t="s">
        <v>1659</v>
      </c>
      <c r="AE208" s="1656">
        <f t="shared" ref="AE208:AX208" si="259">SUM(AE203:AE207)</f>
        <v>0</v>
      </c>
      <c r="AF208" s="1642">
        <f t="shared" si="259"/>
        <v>0</v>
      </c>
      <c r="AG208" s="1926">
        <f t="shared" si="259"/>
        <v>0</v>
      </c>
      <c r="AH208" s="1927">
        <f t="shared" si="259"/>
        <v>0</v>
      </c>
      <c r="AI208" s="1656">
        <f t="shared" si="259"/>
        <v>0</v>
      </c>
      <c r="AJ208" s="1642">
        <f t="shared" si="259"/>
        <v>0</v>
      </c>
      <c r="AK208" s="1926">
        <f t="shared" si="259"/>
        <v>0</v>
      </c>
      <c r="AL208" s="1927">
        <f t="shared" si="259"/>
        <v>0</v>
      </c>
      <c r="AM208" s="1058">
        <f t="shared" si="259"/>
        <v>0</v>
      </c>
      <c r="AN208" s="1992">
        <f t="shared" si="259"/>
        <v>0</v>
      </c>
      <c r="AO208" s="1656">
        <f t="shared" si="259"/>
        <v>0</v>
      </c>
      <c r="AP208" s="1854">
        <f t="shared" si="259"/>
        <v>0</v>
      </c>
      <c r="AQ208" s="1030">
        <f t="shared" si="259"/>
        <v>0</v>
      </c>
      <c r="AR208" s="1926">
        <f t="shared" si="259"/>
        <v>0</v>
      </c>
      <c r="AS208" s="2096">
        <f t="shared" si="259"/>
        <v>0</v>
      </c>
      <c r="AT208" s="2097">
        <f t="shared" si="259"/>
        <v>0</v>
      </c>
      <c r="AU208" s="1656">
        <f t="shared" si="259"/>
        <v>0</v>
      </c>
      <c r="AV208" s="1642">
        <f t="shared" si="259"/>
        <v>0</v>
      </c>
      <c r="AW208" s="1926">
        <f t="shared" si="259"/>
        <v>0</v>
      </c>
      <c r="AX208" s="1927">
        <f t="shared" si="259"/>
        <v>0</v>
      </c>
      <c r="AY208" s="968"/>
      <c r="AZ208" s="969" t="s">
        <v>1659</v>
      </c>
      <c r="BA208" s="1656">
        <f t="shared" ref="BA208:BD208" si="260">SUM(BA203:BA207)</f>
        <v>0</v>
      </c>
      <c r="BB208" s="1642">
        <f t="shared" si="260"/>
        <v>0</v>
      </c>
      <c r="BC208" s="1926">
        <f t="shared" si="260"/>
        <v>0</v>
      </c>
      <c r="BD208" s="1927">
        <f t="shared" si="260"/>
        <v>0</v>
      </c>
      <c r="BE208" s="968"/>
      <c r="BF208" s="969" t="s">
        <v>1659</v>
      </c>
      <c r="BG208" s="1656">
        <f t="shared" ref="BG208:CD208" si="261">SUM(BG203:BG207)</f>
        <v>0</v>
      </c>
      <c r="BH208" s="1642">
        <f t="shared" si="261"/>
        <v>0</v>
      </c>
      <c r="BI208" s="1926">
        <f t="shared" si="261"/>
        <v>0</v>
      </c>
      <c r="BJ208" s="1927">
        <f t="shared" si="261"/>
        <v>0</v>
      </c>
      <c r="BK208" s="1656">
        <f t="shared" si="261"/>
        <v>0</v>
      </c>
      <c r="BL208" s="1642">
        <f t="shared" si="261"/>
        <v>0</v>
      </c>
      <c r="BM208" s="1926">
        <f t="shared" si="261"/>
        <v>0</v>
      </c>
      <c r="BN208" s="1927">
        <f t="shared" si="261"/>
        <v>0</v>
      </c>
      <c r="BO208" s="1058">
        <f t="shared" si="261"/>
        <v>0</v>
      </c>
      <c r="BP208" s="1992">
        <f t="shared" si="261"/>
        <v>0</v>
      </c>
      <c r="BQ208" s="1058">
        <f t="shared" si="261"/>
        <v>0</v>
      </c>
      <c r="BR208" s="1992">
        <f t="shared" si="261"/>
        <v>0</v>
      </c>
      <c r="BS208" s="1656">
        <f t="shared" si="261"/>
        <v>0</v>
      </c>
      <c r="BT208" s="1642">
        <f t="shared" si="261"/>
        <v>0</v>
      </c>
      <c r="BU208" s="1926">
        <f t="shared" si="261"/>
        <v>0</v>
      </c>
      <c r="BV208" s="1927">
        <f t="shared" si="261"/>
        <v>0</v>
      </c>
      <c r="BW208" s="1058">
        <f t="shared" si="261"/>
        <v>0</v>
      </c>
      <c r="BX208" s="1992">
        <f t="shared" si="261"/>
        <v>0</v>
      </c>
      <c r="BY208" s="1656">
        <f t="shared" si="261"/>
        <v>0</v>
      </c>
      <c r="BZ208" s="1642">
        <f t="shared" si="261"/>
        <v>0</v>
      </c>
      <c r="CA208" s="1926">
        <f t="shared" si="261"/>
        <v>0</v>
      </c>
      <c r="CB208" s="1927">
        <f t="shared" si="261"/>
        <v>0</v>
      </c>
      <c r="CC208" s="1705">
        <f t="shared" si="261"/>
        <v>0</v>
      </c>
      <c r="CD208" s="2159">
        <f t="shared" si="261"/>
        <v>0</v>
      </c>
      <c r="CE208" s="968"/>
      <c r="CF208" s="969" t="s">
        <v>1659</v>
      </c>
      <c r="CG208" s="1656">
        <f t="shared" ref="CG208:CJ208" si="262">SUM(CG203:CG207)</f>
        <v>0</v>
      </c>
      <c r="CH208" s="1642">
        <f t="shared" si="262"/>
        <v>0</v>
      </c>
      <c r="CI208" s="1926">
        <f t="shared" si="262"/>
        <v>0</v>
      </c>
      <c r="CJ208" s="1927">
        <f t="shared" si="262"/>
        <v>0</v>
      </c>
      <c r="CK208" s="968"/>
      <c r="CL208" s="969" t="s">
        <v>1659</v>
      </c>
      <c r="CM208" s="1656">
        <f t="shared" ref="CM208:DH208" si="263">SUM(CM203:CM207)</f>
        <v>0</v>
      </c>
      <c r="CN208" s="1642">
        <f t="shared" si="263"/>
        <v>0</v>
      </c>
      <c r="CO208" s="1926">
        <f t="shared" si="263"/>
        <v>0</v>
      </c>
      <c r="CP208" s="1927">
        <f t="shared" si="263"/>
        <v>0</v>
      </c>
      <c r="CQ208" s="1656">
        <f t="shared" si="263"/>
        <v>0</v>
      </c>
      <c r="CR208" s="1642">
        <f t="shared" si="263"/>
        <v>0</v>
      </c>
      <c r="CS208" s="1926">
        <f t="shared" si="263"/>
        <v>0</v>
      </c>
      <c r="CT208" s="1927">
        <f t="shared" si="263"/>
        <v>0</v>
      </c>
      <c r="CU208" s="1656">
        <f t="shared" si="263"/>
        <v>0</v>
      </c>
      <c r="CV208" s="1642">
        <f t="shared" si="263"/>
        <v>0</v>
      </c>
      <c r="CW208" s="1926">
        <f t="shared" si="263"/>
        <v>0</v>
      </c>
      <c r="CX208" s="1927">
        <f t="shared" si="263"/>
        <v>0</v>
      </c>
      <c r="CY208" s="1656">
        <f t="shared" si="263"/>
        <v>0</v>
      </c>
      <c r="CZ208" s="1642">
        <f t="shared" si="263"/>
        <v>0</v>
      </c>
      <c r="DA208" s="1926">
        <f t="shared" si="263"/>
        <v>0</v>
      </c>
      <c r="DB208" s="1927">
        <f t="shared" si="263"/>
        <v>0</v>
      </c>
      <c r="DC208" s="1058">
        <f t="shared" si="263"/>
        <v>500000</v>
      </c>
      <c r="DD208" s="1992">
        <f t="shared" si="263"/>
        <v>150000</v>
      </c>
      <c r="DE208" s="1656">
        <f t="shared" si="263"/>
        <v>0</v>
      </c>
      <c r="DF208" s="1642">
        <f t="shared" si="263"/>
        <v>0</v>
      </c>
      <c r="DG208" s="1926">
        <f t="shared" si="263"/>
        <v>0</v>
      </c>
      <c r="DH208" s="1927">
        <f t="shared" si="263"/>
        <v>0</v>
      </c>
      <c r="DI208" s="970"/>
      <c r="DJ208" s="969" t="s">
        <v>1659</v>
      </c>
      <c r="DK208" s="1058">
        <f t="shared" ref="DK208:DL208" si="264">SUM(DK203:DK207)</f>
        <v>0</v>
      </c>
      <c r="DL208" s="1992">
        <f t="shared" si="264"/>
        <v>0</v>
      </c>
      <c r="DM208" s="1058">
        <f t="shared" ref="DM208:DP208" si="265">SUM(DM203:DM207)</f>
        <v>0</v>
      </c>
      <c r="DN208" s="1992">
        <f t="shared" si="265"/>
        <v>0</v>
      </c>
      <c r="DO208" s="1058">
        <f t="shared" si="265"/>
        <v>0</v>
      </c>
      <c r="DP208" s="1992">
        <f t="shared" si="265"/>
        <v>0</v>
      </c>
      <c r="DQ208" s="968"/>
      <c r="DR208" s="969" t="s">
        <v>1659</v>
      </c>
      <c r="DS208" s="1656">
        <f t="shared" ref="DS208:DV208" si="266">SUM(DS203:DS207)</f>
        <v>0</v>
      </c>
      <c r="DT208" s="1642">
        <f t="shared" si="266"/>
        <v>0</v>
      </c>
      <c r="DU208" s="1926">
        <f t="shared" si="266"/>
        <v>0</v>
      </c>
      <c r="DV208" s="1927">
        <f t="shared" si="266"/>
        <v>0</v>
      </c>
      <c r="DW208" s="968"/>
      <c r="DX208" s="969" t="s">
        <v>1659</v>
      </c>
      <c r="DY208" s="1656">
        <f t="shared" ref="DY208:ED208" si="267">SUM(DY203:DY207)</f>
        <v>0</v>
      </c>
      <c r="DZ208" s="1642">
        <f t="shared" si="267"/>
        <v>0</v>
      </c>
      <c r="EA208" s="1926">
        <f t="shared" si="267"/>
        <v>0</v>
      </c>
      <c r="EB208" s="1927">
        <f t="shared" si="267"/>
        <v>0</v>
      </c>
      <c r="EC208" s="1058">
        <f t="shared" si="267"/>
        <v>0</v>
      </c>
      <c r="ED208" s="1992">
        <f t="shared" si="267"/>
        <v>0</v>
      </c>
      <c r="EE208" s="968"/>
      <c r="EF208" s="969" t="s">
        <v>1659</v>
      </c>
      <c r="EG208" s="1058">
        <f t="shared" ref="EG208:EO208" si="268">SUM(EG203:EG207)</f>
        <v>0</v>
      </c>
      <c r="EH208" s="1992">
        <f t="shared" si="268"/>
        <v>0</v>
      </c>
      <c r="EI208" s="1656">
        <f t="shared" si="268"/>
        <v>0</v>
      </c>
      <c r="EJ208" s="1642">
        <f t="shared" si="268"/>
        <v>0</v>
      </c>
      <c r="EK208" s="1926">
        <f t="shared" si="268"/>
        <v>0</v>
      </c>
      <c r="EL208" s="1927">
        <f t="shared" si="268"/>
        <v>0</v>
      </c>
      <c r="EM208" s="1927">
        <f t="shared" si="268"/>
        <v>0</v>
      </c>
      <c r="EN208" s="1927">
        <f t="shared" si="268"/>
        <v>150000</v>
      </c>
      <c r="EO208" s="1927">
        <f t="shared" si="268"/>
        <v>0</v>
      </c>
      <c r="EP208" s="1962">
        <f t="shared" si="240"/>
        <v>150000</v>
      </c>
      <c r="EQ208" s="1707">
        <f t="shared" si="237"/>
        <v>0</v>
      </c>
      <c r="ER208" s="1786">
        <f t="shared" si="238"/>
        <v>500000</v>
      </c>
      <c r="ES208" s="1786">
        <f t="shared" si="239"/>
        <v>0</v>
      </c>
      <c r="ET208" s="1061">
        <f t="shared" si="241"/>
        <v>500000</v>
      </c>
    </row>
    <row r="209" spans="1:150" ht="30" customHeight="1" x14ac:dyDescent="0.25">
      <c r="A209" s="973"/>
      <c r="B209" s="949" t="s">
        <v>1660</v>
      </c>
      <c r="C209" s="1661"/>
      <c r="D209" s="1064"/>
      <c r="E209" s="1938"/>
      <c r="F209" s="1939"/>
      <c r="G209" s="1065"/>
      <c r="H209" s="1998"/>
      <c r="I209" s="1065"/>
      <c r="J209" s="1998"/>
      <c r="K209" s="1065"/>
      <c r="L209" s="2033"/>
      <c r="M209" s="973"/>
      <c r="N209" s="949" t="s">
        <v>1660</v>
      </c>
      <c r="O209" s="1065"/>
      <c r="P209" s="2033"/>
      <c r="Q209" s="1661"/>
      <c r="R209" s="1064"/>
      <c r="S209" s="1938"/>
      <c r="T209" s="1939"/>
      <c r="U209" s="1661"/>
      <c r="V209" s="1064"/>
      <c r="W209" s="1938"/>
      <c r="X209" s="1939"/>
      <c r="Y209" s="1661"/>
      <c r="Z209" s="1064"/>
      <c r="AA209" s="2067"/>
      <c r="AB209" s="1939"/>
      <c r="AC209" s="975"/>
      <c r="AD209" s="949" t="s">
        <v>1660</v>
      </c>
      <c r="AE209" s="1661"/>
      <c r="AF209" s="1064"/>
      <c r="AG209" s="1938"/>
      <c r="AH209" s="1939"/>
      <c r="AI209" s="1661"/>
      <c r="AJ209" s="1064"/>
      <c r="AK209" s="1938"/>
      <c r="AL209" s="1939"/>
      <c r="AM209" s="1065"/>
      <c r="AN209" s="2033"/>
      <c r="AO209" s="1873"/>
      <c r="AP209" s="1067"/>
      <c r="AQ209" s="1068"/>
      <c r="AR209" s="2103"/>
      <c r="AS209" s="1493"/>
      <c r="AT209" s="2103"/>
      <c r="AU209" s="1661"/>
      <c r="AV209" s="1064"/>
      <c r="AW209" s="1938"/>
      <c r="AX209" s="1939"/>
      <c r="AY209" s="973"/>
      <c r="AZ209" s="949" t="s">
        <v>1660</v>
      </c>
      <c r="BA209" s="1661"/>
      <c r="BB209" s="1064"/>
      <c r="BC209" s="1938"/>
      <c r="BD209" s="1939"/>
      <c r="BE209" s="973"/>
      <c r="BF209" s="949" t="s">
        <v>1660</v>
      </c>
      <c r="BG209" s="1661"/>
      <c r="BH209" s="1064"/>
      <c r="BI209" s="1938"/>
      <c r="BJ209" s="1939"/>
      <c r="BK209" s="1661"/>
      <c r="BL209" s="1064"/>
      <c r="BM209" s="1938"/>
      <c r="BN209" s="1939"/>
      <c r="BO209" s="1065"/>
      <c r="BP209" s="1998"/>
      <c r="BQ209" s="1065"/>
      <c r="BR209" s="2033"/>
      <c r="BS209" s="1661"/>
      <c r="BT209" s="1064"/>
      <c r="BU209" s="1938"/>
      <c r="BV209" s="1939"/>
      <c r="BW209" s="1065"/>
      <c r="BX209" s="2033"/>
      <c r="BY209" s="1661"/>
      <c r="BZ209" s="1064"/>
      <c r="CA209" s="1938"/>
      <c r="CB209" s="1939"/>
      <c r="CC209" s="1755"/>
      <c r="CD209" s="2163"/>
      <c r="CE209" s="948"/>
      <c r="CF209" s="949" t="s">
        <v>1660</v>
      </c>
      <c r="CG209" s="1661"/>
      <c r="CH209" s="1064"/>
      <c r="CI209" s="1938"/>
      <c r="CJ209" s="1939"/>
      <c r="CK209" s="948"/>
      <c r="CL209" s="949" t="s">
        <v>1660</v>
      </c>
      <c r="CM209" s="1661"/>
      <c r="CN209" s="1064"/>
      <c r="CO209" s="1938"/>
      <c r="CP209" s="1939"/>
      <c r="CQ209" s="1661"/>
      <c r="CR209" s="1064"/>
      <c r="CS209" s="1938"/>
      <c r="CT209" s="1939"/>
      <c r="CU209" s="1661"/>
      <c r="CV209" s="1064"/>
      <c r="CW209" s="1938"/>
      <c r="CX209" s="1939"/>
      <c r="CY209" s="1661"/>
      <c r="CZ209" s="1064"/>
      <c r="DA209" s="1938"/>
      <c r="DB209" s="1939"/>
      <c r="DC209" s="1065"/>
      <c r="DD209" s="2033"/>
      <c r="DE209" s="1661"/>
      <c r="DF209" s="1064"/>
      <c r="DG209" s="1938"/>
      <c r="DH209" s="1939"/>
      <c r="DI209" s="975"/>
      <c r="DJ209" s="949" t="s">
        <v>1660</v>
      </c>
      <c r="DK209" s="1065"/>
      <c r="DL209" s="1998"/>
      <c r="DM209" s="1065"/>
      <c r="DN209" s="1998"/>
      <c r="DO209" s="1065"/>
      <c r="DP209" s="2033"/>
      <c r="DQ209" s="973"/>
      <c r="DR209" s="949" t="s">
        <v>1660</v>
      </c>
      <c r="DS209" s="1661"/>
      <c r="DT209" s="1064"/>
      <c r="DU209" s="1938"/>
      <c r="DV209" s="1939"/>
      <c r="DW209" s="973"/>
      <c r="DX209" s="949" t="s">
        <v>1660</v>
      </c>
      <c r="DY209" s="1661"/>
      <c r="DZ209" s="1064"/>
      <c r="EA209" s="1938"/>
      <c r="EB209" s="1939"/>
      <c r="EC209" s="1065"/>
      <c r="ED209" s="2033"/>
      <c r="EE209" s="973"/>
      <c r="EF209" s="949" t="s">
        <v>1660</v>
      </c>
      <c r="EG209" s="1065"/>
      <c r="EH209" s="2033"/>
      <c r="EI209" s="1661"/>
      <c r="EJ209" s="1064"/>
      <c r="EK209" s="2215"/>
      <c r="EL209" s="1929"/>
      <c r="EM209" s="2216"/>
      <c r="EN209" s="1597"/>
      <c r="EO209" s="1597"/>
      <c r="EP209" s="1597">
        <f t="shared" si="240"/>
        <v>0</v>
      </c>
      <c r="EQ209" s="1162">
        <f t="shared" si="237"/>
        <v>0</v>
      </c>
      <c r="ER209" s="1785">
        <f t="shared" si="238"/>
        <v>0</v>
      </c>
      <c r="ES209" s="1785">
        <f t="shared" si="239"/>
        <v>0</v>
      </c>
      <c r="ET209" s="1070">
        <f t="shared" si="241"/>
        <v>0</v>
      </c>
    </row>
    <row r="210" spans="1:150" ht="26.4" x14ac:dyDescent="0.25">
      <c r="A210" s="973">
        <v>1</v>
      </c>
      <c r="B210" s="1040"/>
      <c r="C210" s="1043"/>
      <c r="D210" s="1039"/>
      <c r="E210" s="1930"/>
      <c r="F210" s="1931"/>
      <c r="G210" s="1072"/>
      <c r="H210" s="1994"/>
      <c r="I210" s="1072"/>
      <c r="J210" s="1994"/>
      <c r="K210" s="1072"/>
      <c r="L210" s="1975"/>
      <c r="M210" s="973">
        <v>1</v>
      </c>
      <c r="N210" s="1040"/>
      <c r="O210" s="1072"/>
      <c r="P210" s="2029"/>
      <c r="Q210" s="1043"/>
      <c r="R210" s="1039"/>
      <c r="S210" s="1930"/>
      <c r="T210" s="1931"/>
      <c r="U210" s="1043"/>
      <c r="V210" s="1039"/>
      <c r="W210" s="1930"/>
      <c r="X210" s="1931"/>
      <c r="Y210" s="1043"/>
      <c r="Z210" s="1039"/>
      <c r="AA210" s="2062"/>
      <c r="AB210" s="1929"/>
      <c r="AC210" s="975">
        <v>1</v>
      </c>
      <c r="AD210" s="1040"/>
      <c r="AE210" s="1043"/>
      <c r="AF210" s="1039"/>
      <c r="AG210" s="1930"/>
      <c r="AH210" s="1931"/>
      <c r="AI210" s="1043"/>
      <c r="AJ210" s="1039"/>
      <c r="AK210" s="1930"/>
      <c r="AL210" s="1931"/>
      <c r="AM210" s="1072"/>
      <c r="AN210" s="2029"/>
      <c r="AO210" s="1718"/>
      <c r="AP210" s="1075"/>
      <c r="AQ210" s="1076"/>
      <c r="AR210" s="2099"/>
      <c r="AS210" s="1444"/>
      <c r="AT210" s="2099"/>
      <c r="AU210" s="1043"/>
      <c r="AV210" s="1039"/>
      <c r="AW210" s="1928"/>
      <c r="AX210" s="1929"/>
      <c r="AY210" s="973">
        <v>1</v>
      </c>
      <c r="AZ210" s="1040"/>
      <c r="BA210" s="1043"/>
      <c r="BB210" s="1039"/>
      <c r="BC210" s="1928"/>
      <c r="BD210" s="1929"/>
      <c r="BE210" s="973">
        <v>1</v>
      </c>
      <c r="BF210" s="1040"/>
      <c r="BG210" s="1043"/>
      <c r="BH210" s="1039"/>
      <c r="BI210" s="1930"/>
      <c r="BJ210" s="1931"/>
      <c r="BK210" s="1043"/>
      <c r="BL210" s="1039"/>
      <c r="BM210" s="1930"/>
      <c r="BN210" s="1931"/>
      <c r="BO210" s="1072"/>
      <c r="BP210" s="1994"/>
      <c r="BQ210" s="1072"/>
      <c r="BR210" s="2029"/>
      <c r="BS210" s="1043"/>
      <c r="BT210" s="1039"/>
      <c r="BU210" s="1930"/>
      <c r="BV210" s="1931"/>
      <c r="BW210" s="1072"/>
      <c r="BX210" s="2029"/>
      <c r="BY210" s="1043"/>
      <c r="BZ210" s="1039"/>
      <c r="CA210" s="1930"/>
      <c r="CB210" s="1931"/>
      <c r="CC210" s="1749"/>
      <c r="CD210" s="2156"/>
      <c r="CE210" s="973">
        <v>1</v>
      </c>
      <c r="CF210" s="1040"/>
      <c r="CG210" s="1043"/>
      <c r="CH210" s="1039"/>
      <c r="CI210" s="1928"/>
      <c r="CJ210" s="1929"/>
      <c r="CK210" s="973">
        <v>1</v>
      </c>
      <c r="CL210" s="1037" t="s">
        <v>1661</v>
      </c>
      <c r="CM210" s="1043"/>
      <c r="CN210" s="1039"/>
      <c r="CO210" s="1930"/>
      <c r="CP210" s="1931"/>
      <c r="CQ210" s="1043"/>
      <c r="CR210" s="1039"/>
      <c r="CS210" s="1930"/>
      <c r="CT210" s="1931"/>
      <c r="CU210" s="1043"/>
      <c r="CV210" s="1039"/>
      <c r="CW210" s="1930"/>
      <c r="CX210" s="1931"/>
      <c r="CY210" s="1043"/>
      <c r="CZ210" s="1039"/>
      <c r="DA210" s="1930"/>
      <c r="DB210" s="1931"/>
      <c r="DC210" s="1072"/>
      <c r="DD210" s="2029"/>
      <c r="DE210" s="1043"/>
      <c r="DF210" s="1039"/>
      <c r="DG210" s="1928"/>
      <c r="DH210" s="1929"/>
      <c r="DI210" s="975">
        <v>1</v>
      </c>
      <c r="DJ210" s="1040"/>
      <c r="DK210" s="1072"/>
      <c r="DL210" s="1994"/>
      <c r="DM210" s="1072"/>
      <c r="DN210" s="1994"/>
      <c r="DO210" s="1072"/>
      <c r="DP210" s="1975"/>
      <c r="DQ210" s="973">
        <v>1</v>
      </c>
      <c r="DR210" s="1040"/>
      <c r="DS210" s="1043"/>
      <c r="DT210" s="1039"/>
      <c r="DU210" s="1928"/>
      <c r="DV210" s="1929"/>
      <c r="DW210" s="973">
        <v>1</v>
      </c>
      <c r="DX210" s="1040"/>
      <c r="DY210" s="1043"/>
      <c r="DZ210" s="1039"/>
      <c r="EA210" s="1930"/>
      <c r="EB210" s="1931"/>
      <c r="EC210" s="1072"/>
      <c r="ED210" s="1975"/>
      <c r="EE210" s="973">
        <v>1</v>
      </c>
      <c r="EF210" s="1040"/>
      <c r="EG210" s="1072"/>
      <c r="EH210" s="2029"/>
      <c r="EI210" s="1043"/>
      <c r="EJ210" s="1039"/>
      <c r="EK210" s="2217"/>
      <c r="EL210" s="1931"/>
      <c r="EM210" s="2202">
        <f t="shared" ref="EM210:EM214" si="269">E210+S210+W210+AA210+AG210+AK210+AN210+AR210+AW210+BC210+BI210+BM210+BR210+BU210+CA210+CD210+CI210+CO210+CS210+CW210+DA210+DG210+DU210+EA210+EK210</f>
        <v>0</v>
      </c>
      <c r="EN210" s="1585">
        <f t="shared" ref="EN210:EN214" si="270">F210+H210+J210+L210+P210+T210+X210+AB210+AH210+AL210+AS210+AX210+BD210+BJ210+BN210+BP210+BV210+BX210+CB210+CJ210+CP210+CT210+CX210+DB210+DD210+DH210+DN210+DP210+DV210+EB210+ED210+EH210+EL210+DL210</f>
        <v>0</v>
      </c>
      <c r="EO210" s="1585">
        <f t="shared" ref="EO210:EO214" si="271">AQ210</f>
        <v>0</v>
      </c>
      <c r="EP210" s="1597">
        <f t="shared" si="240"/>
        <v>0</v>
      </c>
      <c r="EQ210" s="1162">
        <f t="shared" si="237"/>
        <v>0</v>
      </c>
      <c r="ER210" s="1785">
        <f t="shared" si="238"/>
        <v>0</v>
      </c>
      <c r="ES210" s="1785">
        <f t="shared" si="239"/>
        <v>0</v>
      </c>
      <c r="ET210" s="1070">
        <f t="shared" si="241"/>
        <v>0</v>
      </c>
    </row>
    <row r="211" spans="1:150" x14ac:dyDescent="0.25">
      <c r="A211" s="973">
        <v>2</v>
      </c>
      <c r="B211" s="1040"/>
      <c r="C211" s="1043"/>
      <c r="D211" s="1039"/>
      <c r="E211" s="1930"/>
      <c r="F211" s="1931"/>
      <c r="G211" s="1072"/>
      <c r="H211" s="1994"/>
      <c r="I211" s="1072"/>
      <c r="J211" s="1994"/>
      <c r="K211" s="1072"/>
      <c r="L211" s="2010"/>
      <c r="M211" s="973">
        <v>2</v>
      </c>
      <c r="N211" s="1040"/>
      <c r="O211" s="1072"/>
      <c r="P211" s="2029"/>
      <c r="Q211" s="1043"/>
      <c r="R211" s="1039"/>
      <c r="S211" s="1930"/>
      <c r="T211" s="1931"/>
      <c r="U211" s="1043"/>
      <c r="V211" s="1039"/>
      <c r="W211" s="1930"/>
      <c r="X211" s="1931"/>
      <c r="Y211" s="1043"/>
      <c r="Z211" s="1039"/>
      <c r="AA211" s="2074"/>
      <c r="AB211" s="1959"/>
      <c r="AC211" s="975">
        <v>2</v>
      </c>
      <c r="AD211" s="1040"/>
      <c r="AE211" s="1043"/>
      <c r="AF211" s="1039"/>
      <c r="AG211" s="1930"/>
      <c r="AH211" s="1931"/>
      <c r="AI211" s="1043"/>
      <c r="AJ211" s="1039"/>
      <c r="AK211" s="1930"/>
      <c r="AL211" s="1931"/>
      <c r="AM211" s="1072"/>
      <c r="AN211" s="2029"/>
      <c r="AO211" s="1718"/>
      <c r="AP211" s="1075"/>
      <c r="AQ211" s="1076"/>
      <c r="AR211" s="2099"/>
      <c r="AS211" s="1444"/>
      <c r="AT211" s="2099"/>
      <c r="AU211" s="1043"/>
      <c r="AV211" s="1039"/>
      <c r="AW211" s="2040"/>
      <c r="AX211" s="1959"/>
      <c r="AY211" s="973">
        <v>2</v>
      </c>
      <c r="AZ211" s="1040"/>
      <c r="BA211" s="1043"/>
      <c r="BB211" s="1039"/>
      <c r="BC211" s="2040"/>
      <c r="BD211" s="1959"/>
      <c r="BE211" s="973">
        <v>2</v>
      </c>
      <c r="BF211" s="1040"/>
      <c r="BG211" s="1043"/>
      <c r="BH211" s="1039"/>
      <c r="BI211" s="1930"/>
      <c r="BJ211" s="1931"/>
      <c r="BK211" s="1043"/>
      <c r="BL211" s="1039"/>
      <c r="BM211" s="1930"/>
      <c r="BN211" s="1931"/>
      <c r="BO211" s="1072"/>
      <c r="BP211" s="1994"/>
      <c r="BQ211" s="1072"/>
      <c r="BR211" s="2029"/>
      <c r="BS211" s="1043"/>
      <c r="BT211" s="1039"/>
      <c r="BU211" s="1930"/>
      <c r="BV211" s="1931"/>
      <c r="BW211" s="1072"/>
      <c r="BX211" s="2029"/>
      <c r="BY211" s="1043"/>
      <c r="BZ211" s="1039"/>
      <c r="CA211" s="1930"/>
      <c r="CB211" s="1931"/>
      <c r="CC211" s="1860"/>
      <c r="CD211" s="2173"/>
      <c r="CE211" s="973">
        <v>2</v>
      </c>
      <c r="CF211" s="1040"/>
      <c r="CG211" s="1043"/>
      <c r="CH211" s="1039"/>
      <c r="CI211" s="2040"/>
      <c r="CJ211" s="1959"/>
      <c r="CK211" s="973">
        <v>2</v>
      </c>
      <c r="CL211" s="1040"/>
      <c r="CM211" s="1043"/>
      <c r="CN211" s="1039"/>
      <c r="CO211" s="1930"/>
      <c r="CP211" s="1931"/>
      <c r="CQ211" s="1043"/>
      <c r="CR211" s="1039"/>
      <c r="CS211" s="1930"/>
      <c r="CT211" s="1931"/>
      <c r="CU211" s="1043"/>
      <c r="CV211" s="1039"/>
      <c r="CW211" s="1930"/>
      <c r="CX211" s="1931"/>
      <c r="CY211" s="1043"/>
      <c r="CZ211" s="1039"/>
      <c r="DA211" s="1930"/>
      <c r="DB211" s="1931"/>
      <c r="DC211" s="1072"/>
      <c r="DD211" s="2029"/>
      <c r="DE211" s="1043"/>
      <c r="DF211" s="1039"/>
      <c r="DG211" s="2040"/>
      <c r="DH211" s="1959"/>
      <c r="DI211" s="975">
        <v>2</v>
      </c>
      <c r="DJ211" s="1040"/>
      <c r="DK211" s="1072"/>
      <c r="DL211" s="1994"/>
      <c r="DM211" s="1072"/>
      <c r="DN211" s="1994"/>
      <c r="DO211" s="1072"/>
      <c r="DP211" s="2010"/>
      <c r="DQ211" s="973">
        <v>2</v>
      </c>
      <c r="DR211" s="1040"/>
      <c r="DS211" s="1043"/>
      <c r="DT211" s="1039"/>
      <c r="DU211" s="2040"/>
      <c r="DV211" s="1959"/>
      <c r="DW211" s="973">
        <v>2</v>
      </c>
      <c r="DX211" s="1040"/>
      <c r="DY211" s="1043"/>
      <c r="DZ211" s="1039"/>
      <c r="EA211" s="1930"/>
      <c r="EB211" s="1931"/>
      <c r="EC211" s="1072"/>
      <c r="ED211" s="2010"/>
      <c r="EE211" s="973">
        <v>2</v>
      </c>
      <c r="EF211" s="1040"/>
      <c r="EG211" s="1072"/>
      <c r="EH211" s="2029"/>
      <c r="EI211" s="1043"/>
      <c r="EJ211" s="1039"/>
      <c r="EK211" s="2217"/>
      <c r="EL211" s="1931"/>
      <c r="EM211" s="2202">
        <f t="shared" si="269"/>
        <v>0</v>
      </c>
      <c r="EN211" s="1585">
        <f t="shared" si="270"/>
        <v>0</v>
      </c>
      <c r="EO211" s="1585">
        <f t="shared" si="271"/>
        <v>0</v>
      </c>
      <c r="EP211" s="1597">
        <f t="shared" si="240"/>
        <v>0</v>
      </c>
      <c r="EQ211" s="1162">
        <f t="shared" si="237"/>
        <v>0</v>
      </c>
      <c r="ER211" s="1785">
        <f t="shared" si="238"/>
        <v>0</v>
      </c>
      <c r="ES211" s="1785">
        <f t="shared" si="239"/>
        <v>0</v>
      </c>
      <c r="ET211" s="1070">
        <f t="shared" si="241"/>
        <v>0</v>
      </c>
    </row>
    <row r="212" spans="1:150" x14ac:dyDescent="0.25">
      <c r="A212" s="973">
        <v>3</v>
      </c>
      <c r="B212" s="1040"/>
      <c r="C212" s="1043"/>
      <c r="D212" s="1039"/>
      <c r="E212" s="1930"/>
      <c r="F212" s="1931"/>
      <c r="G212" s="1072"/>
      <c r="H212" s="1994"/>
      <c r="I212" s="1072"/>
      <c r="J212" s="1994"/>
      <c r="K212" s="1072"/>
      <c r="L212" s="2010"/>
      <c r="M212" s="973">
        <v>3</v>
      </c>
      <c r="N212" s="1040"/>
      <c r="O212" s="1072"/>
      <c r="P212" s="2029"/>
      <c r="Q212" s="1043"/>
      <c r="R212" s="1039"/>
      <c r="S212" s="1930"/>
      <c r="T212" s="1931"/>
      <c r="U212" s="1043"/>
      <c r="V212" s="1039"/>
      <c r="W212" s="1930"/>
      <c r="X212" s="1931"/>
      <c r="Y212" s="1043"/>
      <c r="Z212" s="1039"/>
      <c r="AA212" s="2074"/>
      <c r="AB212" s="1959"/>
      <c r="AC212" s="975">
        <v>3</v>
      </c>
      <c r="AD212" s="1040"/>
      <c r="AE212" s="1043"/>
      <c r="AF212" s="1039"/>
      <c r="AG212" s="1930"/>
      <c r="AH212" s="1931"/>
      <c r="AI212" s="1043"/>
      <c r="AJ212" s="1039"/>
      <c r="AK212" s="1930"/>
      <c r="AL212" s="1931"/>
      <c r="AM212" s="1072"/>
      <c r="AN212" s="2029"/>
      <c r="AO212" s="1718"/>
      <c r="AP212" s="1075"/>
      <c r="AQ212" s="1076"/>
      <c r="AR212" s="2099"/>
      <c r="AS212" s="1444"/>
      <c r="AT212" s="2099"/>
      <c r="AU212" s="1043"/>
      <c r="AV212" s="1039"/>
      <c r="AW212" s="2040"/>
      <c r="AX212" s="1959"/>
      <c r="AY212" s="973">
        <v>3</v>
      </c>
      <c r="AZ212" s="1040"/>
      <c r="BA212" s="1043"/>
      <c r="BB212" s="1039"/>
      <c r="BC212" s="2040"/>
      <c r="BD212" s="1959"/>
      <c r="BE212" s="973"/>
      <c r="BF212" s="1040"/>
      <c r="BG212" s="1043"/>
      <c r="BH212" s="1039"/>
      <c r="BI212" s="1930"/>
      <c r="BJ212" s="1931"/>
      <c r="BK212" s="1043"/>
      <c r="BL212" s="1039"/>
      <c r="BM212" s="1930"/>
      <c r="BN212" s="1931"/>
      <c r="BO212" s="1072"/>
      <c r="BP212" s="1994"/>
      <c r="BQ212" s="1072"/>
      <c r="BR212" s="2029"/>
      <c r="BS212" s="1043"/>
      <c r="BT212" s="1039"/>
      <c r="BU212" s="1930"/>
      <c r="BV212" s="1931"/>
      <c r="BW212" s="1072"/>
      <c r="BX212" s="2029"/>
      <c r="BY212" s="1043"/>
      <c r="BZ212" s="1039"/>
      <c r="CA212" s="1930"/>
      <c r="CB212" s="1931"/>
      <c r="CC212" s="1860"/>
      <c r="CD212" s="2173"/>
      <c r="CE212" s="973">
        <v>3</v>
      </c>
      <c r="CF212" s="1040"/>
      <c r="CG212" s="1043"/>
      <c r="CH212" s="1039"/>
      <c r="CI212" s="2040"/>
      <c r="CJ212" s="1959"/>
      <c r="CK212" s="973">
        <v>3</v>
      </c>
      <c r="CL212" s="1040"/>
      <c r="CM212" s="1043"/>
      <c r="CN212" s="1039"/>
      <c r="CO212" s="1930"/>
      <c r="CP212" s="1931"/>
      <c r="CQ212" s="1043"/>
      <c r="CR212" s="1039"/>
      <c r="CS212" s="1930"/>
      <c r="CT212" s="1931"/>
      <c r="CU212" s="1043"/>
      <c r="CV212" s="1039"/>
      <c r="CW212" s="1930"/>
      <c r="CX212" s="1931"/>
      <c r="CY212" s="1043"/>
      <c r="CZ212" s="1039"/>
      <c r="DA212" s="1930"/>
      <c r="DB212" s="1931"/>
      <c r="DC212" s="1072"/>
      <c r="DD212" s="2029"/>
      <c r="DE212" s="1043"/>
      <c r="DF212" s="1039"/>
      <c r="DG212" s="2040"/>
      <c r="DH212" s="1959"/>
      <c r="DI212" s="975">
        <v>3</v>
      </c>
      <c r="DJ212" s="1040"/>
      <c r="DK212" s="1072"/>
      <c r="DL212" s="1994"/>
      <c r="DM212" s="1072"/>
      <c r="DN212" s="1994"/>
      <c r="DO212" s="1072"/>
      <c r="DP212" s="2010"/>
      <c r="DQ212" s="973"/>
      <c r="DR212" s="1040"/>
      <c r="DS212" s="1043"/>
      <c r="DT212" s="1039"/>
      <c r="DU212" s="2040"/>
      <c r="DV212" s="1959"/>
      <c r="DW212" s="973"/>
      <c r="DX212" s="1040"/>
      <c r="DY212" s="1043"/>
      <c r="DZ212" s="1039"/>
      <c r="EA212" s="1930"/>
      <c r="EB212" s="1931"/>
      <c r="EC212" s="1072"/>
      <c r="ED212" s="2010"/>
      <c r="EE212" s="973">
        <v>3</v>
      </c>
      <c r="EF212" s="1040"/>
      <c r="EG212" s="1072"/>
      <c r="EH212" s="2029"/>
      <c r="EI212" s="1043"/>
      <c r="EJ212" s="1039"/>
      <c r="EK212" s="2217"/>
      <c r="EL212" s="1931"/>
      <c r="EM212" s="2202">
        <f t="shared" si="269"/>
        <v>0</v>
      </c>
      <c r="EN212" s="1585">
        <f t="shared" si="270"/>
        <v>0</v>
      </c>
      <c r="EO212" s="1585">
        <f t="shared" si="271"/>
        <v>0</v>
      </c>
      <c r="EP212" s="1597">
        <f t="shared" si="240"/>
        <v>0</v>
      </c>
      <c r="EQ212" s="1162">
        <f t="shared" si="237"/>
        <v>0</v>
      </c>
      <c r="ER212" s="1785">
        <f t="shared" si="238"/>
        <v>0</v>
      </c>
      <c r="ES212" s="1785">
        <f t="shared" si="239"/>
        <v>0</v>
      </c>
      <c r="ET212" s="1070">
        <f t="shared" si="241"/>
        <v>0</v>
      </c>
    </row>
    <row r="213" spans="1:150" x14ac:dyDescent="0.25">
      <c r="A213" s="973">
        <v>4</v>
      </c>
      <c r="B213" s="1040"/>
      <c r="C213" s="1043"/>
      <c r="D213" s="1039"/>
      <c r="E213" s="1930"/>
      <c r="F213" s="1931"/>
      <c r="G213" s="1072"/>
      <c r="H213" s="1994"/>
      <c r="I213" s="1072"/>
      <c r="J213" s="1994"/>
      <c r="K213" s="1072"/>
      <c r="L213" s="2010"/>
      <c r="M213" s="973">
        <v>4</v>
      </c>
      <c r="N213" s="1040"/>
      <c r="O213" s="1072"/>
      <c r="P213" s="2029"/>
      <c r="Q213" s="1043"/>
      <c r="R213" s="1039"/>
      <c r="S213" s="1930"/>
      <c r="T213" s="1931"/>
      <c r="U213" s="1043"/>
      <c r="V213" s="1039"/>
      <c r="W213" s="1930"/>
      <c r="X213" s="1931"/>
      <c r="Y213" s="1043"/>
      <c r="Z213" s="1039"/>
      <c r="AA213" s="2074"/>
      <c r="AB213" s="1959"/>
      <c r="AC213" s="975">
        <v>4</v>
      </c>
      <c r="AD213" s="1040"/>
      <c r="AE213" s="1043"/>
      <c r="AF213" s="1039"/>
      <c r="AG213" s="1930"/>
      <c r="AH213" s="1931"/>
      <c r="AI213" s="1043"/>
      <c r="AJ213" s="1039"/>
      <c r="AK213" s="1930"/>
      <c r="AL213" s="1931"/>
      <c r="AM213" s="1072"/>
      <c r="AN213" s="2029"/>
      <c r="AO213" s="1718"/>
      <c r="AP213" s="1075"/>
      <c r="AQ213" s="1076"/>
      <c r="AR213" s="2099"/>
      <c r="AS213" s="1444"/>
      <c r="AT213" s="2099"/>
      <c r="AU213" s="1043"/>
      <c r="AV213" s="1039"/>
      <c r="AW213" s="2040"/>
      <c r="AX213" s="1959"/>
      <c r="AY213" s="973">
        <v>4</v>
      </c>
      <c r="AZ213" s="1040"/>
      <c r="BA213" s="1043"/>
      <c r="BB213" s="1039"/>
      <c r="BC213" s="2040"/>
      <c r="BD213" s="1959"/>
      <c r="BE213" s="973"/>
      <c r="BF213" s="1040"/>
      <c r="BG213" s="1043"/>
      <c r="BH213" s="1039"/>
      <c r="BI213" s="1930"/>
      <c r="BJ213" s="1931"/>
      <c r="BK213" s="1043"/>
      <c r="BL213" s="1039"/>
      <c r="BM213" s="1930"/>
      <c r="BN213" s="1931"/>
      <c r="BO213" s="1072"/>
      <c r="BP213" s="1994"/>
      <c r="BQ213" s="1072"/>
      <c r="BR213" s="2029"/>
      <c r="BS213" s="1043"/>
      <c r="BT213" s="1039"/>
      <c r="BU213" s="1930"/>
      <c r="BV213" s="1931"/>
      <c r="BW213" s="1072"/>
      <c r="BX213" s="2029"/>
      <c r="BY213" s="1043"/>
      <c r="BZ213" s="1039"/>
      <c r="CA213" s="1930"/>
      <c r="CB213" s="1931"/>
      <c r="CC213" s="1860"/>
      <c r="CD213" s="2173"/>
      <c r="CE213" s="973">
        <v>4</v>
      </c>
      <c r="CF213" s="1040"/>
      <c r="CG213" s="1043"/>
      <c r="CH213" s="1039"/>
      <c r="CI213" s="2040"/>
      <c r="CJ213" s="1959"/>
      <c r="CK213" s="1031"/>
      <c r="CL213" s="1040"/>
      <c r="CM213" s="1043"/>
      <c r="CN213" s="1039"/>
      <c r="CO213" s="1930"/>
      <c r="CP213" s="1931"/>
      <c r="CQ213" s="1043"/>
      <c r="CR213" s="1039"/>
      <c r="CS213" s="1930"/>
      <c r="CT213" s="1931"/>
      <c r="CU213" s="1043"/>
      <c r="CV213" s="1039"/>
      <c r="CW213" s="1930"/>
      <c r="CX213" s="1931"/>
      <c r="CY213" s="1043"/>
      <c r="CZ213" s="1039"/>
      <c r="DA213" s="1930"/>
      <c r="DB213" s="1931"/>
      <c r="DC213" s="1072"/>
      <c r="DD213" s="2029"/>
      <c r="DE213" s="1043"/>
      <c r="DF213" s="1039"/>
      <c r="DG213" s="2040"/>
      <c r="DH213" s="1959"/>
      <c r="DI213" s="975">
        <v>4</v>
      </c>
      <c r="DJ213" s="1040"/>
      <c r="DK213" s="1072"/>
      <c r="DL213" s="1994"/>
      <c r="DM213" s="1072"/>
      <c r="DN213" s="1994"/>
      <c r="DO213" s="1072"/>
      <c r="DP213" s="2010"/>
      <c r="DQ213" s="973"/>
      <c r="DR213" s="1040"/>
      <c r="DS213" s="1043"/>
      <c r="DT213" s="1039"/>
      <c r="DU213" s="2040"/>
      <c r="DV213" s="1959"/>
      <c r="DW213" s="973"/>
      <c r="DX213" s="1040"/>
      <c r="DY213" s="1043"/>
      <c r="DZ213" s="1039"/>
      <c r="EA213" s="1930"/>
      <c r="EB213" s="1931"/>
      <c r="EC213" s="1072"/>
      <c r="ED213" s="2010"/>
      <c r="EE213" s="973">
        <v>4</v>
      </c>
      <c r="EF213" s="1040"/>
      <c r="EG213" s="1072"/>
      <c r="EH213" s="2029"/>
      <c r="EI213" s="1043"/>
      <c r="EJ213" s="1039"/>
      <c r="EK213" s="2217"/>
      <c r="EL213" s="1931"/>
      <c r="EM213" s="2202">
        <f t="shared" si="269"/>
        <v>0</v>
      </c>
      <c r="EN213" s="1585">
        <f t="shared" si="270"/>
        <v>0</v>
      </c>
      <c r="EO213" s="1585">
        <f t="shared" si="271"/>
        <v>0</v>
      </c>
      <c r="EP213" s="1597">
        <f t="shared" si="240"/>
        <v>0</v>
      </c>
      <c r="EQ213" s="1162">
        <f t="shared" si="237"/>
        <v>0</v>
      </c>
      <c r="ER213" s="1785">
        <f t="shared" si="238"/>
        <v>0</v>
      </c>
      <c r="ES213" s="1785">
        <f t="shared" si="239"/>
        <v>0</v>
      </c>
      <c r="ET213" s="1070">
        <f t="shared" si="241"/>
        <v>0</v>
      </c>
    </row>
    <row r="214" spans="1:150" x14ac:dyDescent="0.25">
      <c r="A214" s="973">
        <v>5</v>
      </c>
      <c r="B214" s="1040"/>
      <c r="C214" s="1043"/>
      <c r="D214" s="1039"/>
      <c r="E214" s="1930"/>
      <c r="F214" s="1931"/>
      <c r="G214" s="1072"/>
      <c r="H214" s="1994"/>
      <c r="I214" s="1072"/>
      <c r="J214" s="1994"/>
      <c r="K214" s="1072"/>
      <c r="L214" s="1975"/>
      <c r="M214" s="973">
        <v>5</v>
      </c>
      <c r="N214" s="1040"/>
      <c r="O214" s="1072"/>
      <c r="P214" s="2029"/>
      <c r="Q214" s="1043"/>
      <c r="R214" s="1039"/>
      <c r="S214" s="1930"/>
      <c r="T214" s="1931"/>
      <c r="U214" s="1043"/>
      <c r="V214" s="1039"/>
      <c r="W214" s="1930"/>
      <c r="X214" s="1931"/>
      <c r="Y214" s="1043"/>
      <c r="Z214" s="1039"/>
      <c r="AA214" s="2062"/>
      <c r="AB214" s="1929"/>
      <c r="AC214" s="975">
        <v>5</v>
      </c>
      <c r="AD214" s="1040"/>
      <c r="AE214" s="1043"/>
      <c r="AF214" s="1039"/>
      <c r="AG214" s="1930"/>
      <c r="AH214" s="1931"/>
      <c r="AI214" s="1043"/>
      <c r="AJ214" s="1039"/>
      <c r="AK214" s="1930"/>
      <c r="AL214" s="1931"/>
      <c r="AM214" s="1072"/>
      <c r="AN214" s="2029"/>
      <c r="AO214" s="1718"/>
      <c r="AP214" s="1075"/>
      <c r="AQ214" s="1076"/>
      <c r="AR214" s="2099"/>
      <c r="AS214" s="1444"/>
      <c r="AT214" s="2099"/>
      <c r="AU214" s="1043"/>
      <c r="AV214" s="1039"/>
      <c r="AW214" s="1928"/>
      <c r="AX214" s="1929"/>
      <c r="AY214" s="973">
        <v>5</v>
      </c>
      <c r="AZ214" s="1040"/>
      <c r="BA214" s="1043"/>
      <c r="BB214" s="1039"/>
      <c r="BC214" s="1928"/>
      <c r="BD214" s="1929"/>
      <c r="BE214" s="973"/>
      <c r="BF214" s="1040"/>
      <c r="BG214" s="1043"/>
      <c r="BH214" s="1039"/>
      <c r="BI214" s="1930"/>
      <c r="BJ214" s="1931"/>
      <c r="BK214" s="1043"/>
      <c r="BL214" s="1039"/>
      <c r="BM214" s="1930"/>
      <c r="BN214" s="1931"/>
      <c r="BO214" s="1072"/>
      <c r="BP214" s="1994"/>
      <c r="BQ214" s="1072"/>
      <c r="BR214" s="2029"/>
      <c r="BS214" s="1043"/>
      <c r="BT214" s="1039"/>
      <c r="BU214" s="1930"/>
      <c r="BV214" s="1931"/>
      <c r="BW214" s="1072"/>
      <c r="BX214" s="2029"/>
      <c r="BY214" s="1043"/>
      <c r="BZ214" s="1039"/>
      <c r="CA214" s="1930"/>
      <c r="CB214" s="1931"/>
      <c r="CC214" s="1749"/>
      <c r="CD214" s="2156"/>
      <c r="CE214" s="1031"/>
      <c r="CF214" s="1040"/>
      <c r="CG214" s="1043"/>
      <c r="CH214" s="1039"/>
      <c r="CI214" s="1928"/>
      <c r="CJ214" s="1929"/>
      <c r="CK214" s="1031"/>
      <c r="CL214" s="1040"/>
      <c r="CM214" s="1043"/>
      <c r="CN214" s="1039"/>
      <c r="CO214" s="1930">
        <f>'kiadás 11601'!F10</f>
        <v>0</v>
      </c>
      <c r="CP214" s="1931">
        <f>'kiadás 11601'!F30</f>
        <v>0</v>
      </c>
      <c r="CQ214" s="1043"/>
      <c r="CR214" s="1039"/>
      <c r="CS214" s="1930"/>
      <c r="CT214" s="1931"/>
      <c r="CU214" s="1043"/>
      <c r="CV214" s="1039"/>
      <c r="CW214" s="1930"/>
      <c r="CX214" s="1931"/>
      <c r="CY214" s="1654"/>
      <c r="CZ214" s="977"/>
      <c r="DA214" s="2026">
        <f>kiadás11602!G24</f>
        <v>15300</v>
      </c>
      <c r="DB214" s="1919">
        <f>kiadás11602!G39</f>
        <v>0</v>
      </c>
      <c r="DC214" s="1072"/>
      <c r="DD214" s="2029"/>
      <c r="DE214" s="1043"/>
      <c r="DF214" s="1039"/>
      <c r="DG214" s="1928"/>
      <c r="DH214" s="1929"/>
      <c r="DI214" s="975">
        <v>5</v>
      </c>
      <c r="DJ214" s="1040"/>
      <c r="DK214" s="1072"/>
      <c r="DL214" s="1994">
        <f>'kiadás 11603'!F13</f>
        <v>0</v>
      </c>
      <c r="DM214" s="1072"/>
      <c r="DN214" s="1994">
        <f>'kiadás 11604 '!I68</f>
        <v>0</v>
      </c>
      <c r="DO214" s="1072"/>
      <c r="DP214" s="1975"/>
      <c r="DQ214" s="973"/>
      <c r="DR214" s="1040"/>
      <c r="DS214" s="1043"/>
      <c r="DT214" s="1039"/>
      <c r="DU214" s="1928"/>
      <c r="DV214" s="1929"/>
      <c r="DW214" s="973"/>
      <c r="DX214" s="1040"/>
      <c r="DY214" s="1043"/>
      <c r="DZ214" s="1039"/>
      <c r="EA214" s="1930"/>
      <c r="EB214" s="1931"/>
      <c r="EC214" s="1072"/>
      <c r="ED214" s="1975"/>
      <c r="EE214" s="973">
        <v>5</v>
      </c>
      <c r="EF214" s="1040"/>
      <c r="EG214" s="1072"/>
      <c r="EH214" s="2029"/>
      <c r="EI214" s="1043"/>
      <c r="EJ214" s="1039"/>
      <c r="EK214" s="2217"/>
      <c r="EL214" s="1931"/>
      <c r="EM214" s="2202">
        <f t="shared" si="269"/>
        <v>15300</v>
      </c>
      <c r="EN214" s="1585">
        <f t="shared" si="270"/>
        <v>0</v>
      </c>
      <c r="EO214" s="1585">
        <f t="shared" si="271"/>
        <v>0</v>
      </c>
      <c r="EP214" s="1597">
        <f t="shared" si="240"/>
        <v>15300</v>
      </c>
      <c r="EQ214" s="1162">
        <f t="shared" si="237"/>
        <v>0</v>
      </c>
      <c r="ER214" s="1785">
        <f t="shared" si="238"/>
        <v>0</v>
      </c>
      <c r="ES214" s="1785">
        <f t="shared" si="239"/>
        <v>0</v>
      </c>
      <c r="ET214" s="1070">
        <f t="shared" si="241"/>
        <v>0</v>
      </c>
    </row>
    <row r="215" spans="1:150" ht="30" customHeight="1" thickBot="1" x14ac:dyDescent="0.3">
      <c r="A215" s="968"/>
      <c r="B215" s="969" t="s">
        <v>1662</v>
      </c>
      <c r="C215" s="1656">
        <f t="shared" ref="C215:L215" si="272">SUM(C209:C214)</f>
        <v>0</v>
      </c>
      <c r="D215" s="1642">
        <f t="shared" si="272"/>
        <v>0</v>
      </c>
      <c r="E215" s="1926">
        <f t="shared" si="272"/>
        <v>0</v>
      </c>
      <c r="F215" s="1927">
        <f t="shared" si="272"/>
        <v>0</v>
      </c>
      <c r="G215" s="1058">
        <f t="shared" si="272"/>
        <v>0</v>
      </c>
      <c r="H215" s="1992">
        <f t="shared" si="272"/>
        <v>0</v>
      </c>
      <c r="I215" s="1058">
        <f t="shared" si="272"/>
        <v>0</v>
      </c>
      <c r="J215" s="1992">
        <f t="shared" si="272"/>
        <v>0</v>
      </c>
      <c r="K215" s="1058">
        <f t="shared" si="272"/>
        <v>0</v>
      </c>
      <c r="L215" s="1992">
        <f t="shared" si="272"/>
        <v>0</v>
      </c>
      <c r="M215" s="968"/>
      <c r="N215" s="969" t="s">
        <v>1662</v>
      </c>
      <c r="O215" s="1058">
        <f t="shared" ref="O215:AB215" si="273">SUM(O209:O214)</f>
        <v>0</v>
      </c>
      <c r="P215" s="1992">
        <f t="shared" si="273"/>
        <v>0</v>
      </c>
      <c r="Q215" s="1656">
        <f t="shared" si="273"/>
        <v>0</v>
      </c>
      <c r="R215" s="1642">
        <f t="shared" si="273"/>
        <v>0</v>
      </c>
      <c r="S215" s="1926">
        <f t="shared" si="273"/>
        <v>0</v>
      </c>
      <c r="T215" s="1927">
        <f t="shared" si="273"/>
        <v>0</v>
      </c>
      <c r="U215" s="1656">
        <f t="shared" si="273"/>
        <v>0</v>
      </c>
      <c r="V215" s="1642">
        <f t="shared" si="273"/>
        <v>0</v>
      </c>
      <c r="W215" s="1926">
        <f t="shared" si="273"/>
        <v>0</v>
      </c>
      <c r="X215" s="1927">
        <f t="shared" si="273"/>
        <v>0</v>
      </c>
      <c r="Y215" s="1656">
        <f t="shared" si="273"/>
        <v>0</v>
      </c>
      <c r="Z215" s="1642">
        <f t="shared" si="273"/>
        <v>0</v>
      </c>
      <c r="AA215" s="1926">
        <f t="shared" si="273"/>
        <v>0</v>
      </c>
      <c r="AB215" s="1927">
        <f t="shared" si="273"/>
        <v>0</v>
      </c>
      <c r="AC215" s="970"/>
      <c r="AD215" s="969" t="s">
        <v>1662</v>
      </c>
      <c r="AE215" s="1656">
        <f t="shared" ref="AE215:AX215" si="274">SUM(AE209:AE214)</f>
        <v>0</v>
      </c>
      <c r="AF215" s="1642">
        <f t="shared" si="274"/>
        <v>0</v>
      </c>
      <c r="AG215" s="1926">
        <f t="shared" si="274"/>
        <v>0</v>
      </c>
      <c r="AH215" s="1927">
        <f t="shared" si="274"/>
        <v>0</v>
      </c>
      <c r="AI215" s="1656">
        <f t="shared" si="274"/>
        <v>0</v>
      </c>
      <c r="AJ215" s="1642">
        <f t="shared" si="274"/>
        <v>0</v>
      </c>
      <c r="AK215" s="1926">
        <f t="shared" si="274"/>
        <v>0</v>
      </c>
      <c r="AL215" s="1927">
        <f t="shared" si="274"/>
        <v>0</v>
      </c>
      <c r="AM215" s="1058">
        <f t="shared" si="274"/>
        <v>0</v>
      </c>
      <c r="AN215" s="1992">
        <f t="shared" si="274"/>
        <v>0</v>
      </c>
      <c r="AO215" s="1656">
        <f t="shared" si="274"/>
        <v>0</v>
      </c>
      <c r="AP215" s="1854">
        <f t="shared" si="274"/>
        <v>0</v>
      </c>
      <c r="AQ215" s="1030">
        <f t="shared" si="274"/>
        <v>0</v>
      </c>
      <c r="AR215" s="1926">
        <f t="shared" si="274"/>
        <v>0</v>
      </c>
      <c r="AS215" s="2096">
        <f t="shared" si="274"/>
        <v>0</v>
      </c>
      <c r="AT215" s="2097">
        <f t="shared" si="274"/>
        <v>0</v>
      </c>
      <c r="AU215" s="1656">
        <f t="shared" si="274"/>
        <v>0</v>
      </c>
      <c r="AV215" s="1642">
        <f t="shared" si="274"/>
        <v>0</v>
      </c>
      <c r="AW215" s="1926">
        <f t="shared" si="274"/>
        <v>0</v>
      </c>
      <c r="AX215" s="1927">
        <f t="shared" si="274"/>
        <v>0</v>
      </c>
      <c r="AY215" s="968"/>
      <c r="AZ215" s="969" t="s">
        <v>1662</v>
      </c>
      <c r="BA215" s="1656">
        <f t="shared" ref="BA215:BD215" si="275">SUM(BA209:BA214)</f>
        <v>0</v>
      </c>
      <c r="BB215" s="1642">
        <f t="shared" si="275"/>
        <v>0</v>
      </c>
      <c r="BC215" s="1926">
        <f t="shared" si="275"/>
        <v>0</v>
      </c>
      <c r="BD215" s="1927">
        <f t="shared" si="275"/>
        <v>0</v>
      </c>
      <c r="BE215" s="968"/>
      <c r="BF215" s="969" t="s">
        <v>1662</v>
      </c>
      <c r="BG215" s="1656">
        <f t="shared" ref="BG215:BV215" si="276">SUM(BG209:BG214)</f>
        <v>0</v>
      </c>
      <c r="BH215" s="1642">
        <f t="shared" si="276"/>
        <v>0</v>
      </c>
      <c r="BI215" s="1926">
        <f t="shared" si="276"/>
        <v>0</v>
      </c>
      <c r="BJ215" s="1927">
        <f t="shared" si="276"/>
        <v>0</v>
      </c>
      <c r="BK215" s="1656">
        <f t="shared" si="276"/>
        <v>0</v>
      </c>
      <c r="BL215" s="1642">
        <f t="shared" si="276"/>
        <v>0</v>
      </c>
      <c r="BM215" s="1926">
        <f t="shared" si="276"/>
        <v>0</v>
      </c>
      <c r="BN215" s="1927">
        <f t="shared" si="276"/>
        <v>0</v>
      </c>
      <c r="BO215" s="1058">
        <f t="shared" si="276"/>
        <v>0</v>
      </c>
      <c r="BP215" s="1992">
        <f t="shared" si="276"/>
        <v>0</v>
      </c>
      <c r="BQ215" s="1058">
        <f t="shared" si="276"/>
        <v>0</v>
      </c>
      <c r="BR215" s="1992">
        <f t="shared" si="276"/>
        <v>0</v>
      </c>
      <c r="BS215" s="1656">
        <f t="shared" si="276"/>
        <v>0</v>
      </c>
      <c r="BT215" s="1642">
        <f t="shared" si="276"/>
        <v>0</v>
      </c>
      <c r="BU215" s="1926">
        <f t="shared" si="276"/>
        <v>0</v>
      </c>
      <c r="BV215" s="1927">
        <f t="shared" si="276"/>
        <v>0</v>
      </c>
      <c r="BW215" s="1058">
        <f>SUM(BW209:BW214)</f>
        <v>0</v>
      </c>
      <c r="BX215" s="1992">
        <f>SUM(BX209:BX214)</f>
        <v>0</v>
      </c>
      <c r="BY215" s="1656">
        <f t="shared" ref="BY215:CD215" si="277">SUM(BY209:BY214)</f>
        <v>0</v>
      </c>
      <c r="BZ215" s="1642">
        <f t="shared" si="277"/>
        <v>0</v>
      </c>
      <c r="CA215" s="1926">
        <f t="shared" si="277"/>
        <v>0</v>
      </c>
      <c r="CB215" s="1927">
        <f t="shared" si="277"/>
        <v>0</v>
      </c>
      <c r="CC215" s="1705">
        <f t="shared" si="277"/>
        <v>0</v>
      </c>
      <c r="CD215" s="2159">
        <f t="shared" si="277"/>
        <v>0</v>
      </c>
      <c r="CE215" s="968"/>
      <c r="CF215" s="969" t="s">
        <v>1662</v>
      </c>
      <c r="CG215" s="1656">
        <f t="shared" ref="CG215:CJ215" si="278">SUM(CG209:CG214)</f>
        <v>0</v>
      </c>
      <c r="CH215" s="1642">
        <f t="shared" si="278"/>
        <v>0</v>
      </c>
      <c r="CI215" s="1926">
        <f t="shared" si="278"/>
        <v>0</v>
      </c>
      <c r="CJ215" s="1927">
        <f t="shared" si="278"/>
        <v>0</v>
      </c>
      <c r="CK215" s="968"/>
      <c r="CL215" s="969" t="s">
        <v>1662</v>
      </c>
      <c r="CM215" s="1656">
        <f t="shared" ref="CM215:DH215" si="279">SUM(CM209:CM214)</f>
        <v>0</v>
      </c>
      <c r="CN215" s="1642">
        <f t="shared" si="279"/>
        <v>0</v>
      </c>
      <c r="CO215" s="1926">
        <f t="shared" si="279"/>
        <v>0</v>
      </c>
      <c r="CP215" s="1927">
        <f t="shared" si="279"/>
        <v>0</v>
      </c>
      <c r="CQ215" s="1656">
        <f t="shared" si="279"/>
        <v>0</v>
      </c>
      <c r="CR215" s="1642">
        <f t="shared" si="279"/>
        <v>0</v>
      </c>
      <c r="CS215" s="1926">
        <f t="shared" si="279"/>
        <v>0</v>
      </c>
      <c r="CT215" s="1927">
        <f t="shared" si="279"/>
        <v>0</v>
      </c>
      <c r="CU215" s="1656">
        <f t="shared" si="279"/>
        <v>0</v>
      </c>
      <c r="CV215" s="1642">
        <f t="shared" si="279"/>
        <v>0</v>
      </c>
      <c r="CW215" s="1926">
        <f t="shared" si="279"/>
        <v>0</v>
      </c>
      <c r="CX215" s="1927">
        <f t="shared" si="279"/>
        <v>0</v>
      </c>
      <c r="CY215" s="1656">
        <f t="shared" si="279"/>
        <v>0</v>
      </c>
      <c r="CZ215" s="1642">
        <f t="shared" si="279"/>
        <v>0</v>
      </c>
      <c r="DA215" s="1926">
        <f t="shared" si="279"/>
        <v>15300</v>
      </c>
      <c r="DB215" s="1927">
        <f t="shared" si="279"/>
        <v>0</v>
      </c>
      <c r="DC215" s="1058">
        <f t="shared" si="279"/>
        <v>0</v>
      </c>
      <c r="DD215" s="1992">
        <f t="shared" si="279"/>
        <v>0</v>
      </c>
      <c r="DE215" s="1656">
        <f t="shared" si="279"/>
        <v>0</v>
      </c>
      <c r="DF215" s="1642">
        <f t="shared" si="279"/>
        <v>0</v>
      </c>
      <c r="DG215" s="1926">
        <f t="shared" si="279"/>
        <v>0</v>
      </c>
      <c r="DH215" s="1927">
        <f t="shared" si="279"/>
        <v>0</v>
      </c>
      <c r="DI215" s="970"/>
      <c r="DJ215" s="969" t="s">
        <v>1662</v>
      </c>
      <c r="DK215" s="1058">
        <f t="shared" ref="DK215:DL215" si="280">SUM(DK209:DK214)</f>
        <v>0</v>
      </c>
      <c r="DL215" s="1992">
        <f t="shared" si="280"/>
        <v>0</v>
      </c>
      <c r="DM215" s="1058">
        <f t="shared" ref="DM215:DP215" si="281">SUM(DM209:DM214)</f>
        <v>0</v>
      </c>
      <c r="DN215" s="1992">
        <f t="shared" si="281"/>
        <v>0</v>
      </c>
      <c r="DO215" s="1058">
        <f t="shared" si="281"/>
        <v>0</v>
      </c>
      <c r="DP215" s="1992">
        <f t="shared" si="281"/>
        <v>0</v>
      </c>
      <c r="DQ215" s="968"/>
      <c r="DR215" s="969" t="s">
        <v>1662</v>
      </c>
      <c r="DS215" s="1656">
        <f t="shared" ref="DS215:DV215" si="282">SUM(DS209:DS214)</f>
        <v>0</v>
      </c>
      <c r="DT215" s="1642">
        <f t="shared" si="282"/>
        <v>0</v>
      </c>
      <c r="DU215" s="1926">
        <f t="shared" si="282"/>
        <v>0</v>
      </c>
      <c r="DV215" s="1927">
        <f t="shared" si="282"/>
        <v>0</v>
      </c>
      <c r="DW215" s="968"/>
      <c r="DX215" s="969" t="s">
        <v>1662</v>
      </c>
      <c r="DY215" s="1656">
        <f t="shared" ref="DY215:ED215" si="283">SUM(DY209:DY214)</f>
        <v>0</v>
      </c>
      <c r="DZ215" s="1642">
        <f t="shared" si="283"/>
        <v>0</v>
      </c>
      <c r="EA215" s="1926">
        <f t="shared" si="283"/>
        <v>0</v>
      </c>
      <c r="EB215" s="1927">
        <f t="shared" si="283"/>
        <v>0</v>
      </c>
      <c r="EC215" s="1058">
        <f t="shared" si="283"/>
        <v>0</v>
      </c>
      <c r="ED215" s="1992">
        <f t="shared" si="283"/>
        <v>0</v>
      </c>
      <c r="EE215" s="968"/>
      <c r="EF215" s="969" t="s">
        <v>1662</v>
      </c>
      <c r="EG215" s="1058">
        <f t="shared" ref="EG215:EO215" si="284">SUM(EG209:EG214)</f>
        <v>0</v>
      </c>
      <c r="EH215" s="1992">
        <f t="shared" si="284"/>
        <v>0</v>
      </c>
      <c r="EI215" s="1656">
        <f t="shared" si="284"/>
        <v>0</v>
      </c>
      <c r="EJ215" s="1642">
        <f t="shared" si="284"/>
        <v>0</v>
      </c>
      <c r="EK215" s="1926">
        <f t="shared" si="284"/>
        <v>0</v>
      </c>
      <c r="EL215" s="1927">
        <f t="shared" si="284"/>
        <v>0</v>
      </c>
      <c r="EM215" s="1927">
        <f t="shared" si="284"/>
        <v>15300</v>
      </c>
      <c r="EN215" s="1927">
        <f t="shared" si="284"/>
        <v>0</v>
      </c>
      <c r="EO215" s="1927">
        <f t="shared" si="284"/>
        <v>0</v>
      </c>
      <c r="EP215" s="1962">
        <f t="shared" si="240"/>
        <v>15300</v>
      </c>
      <c r="EQ215" s="1707">
        <f t="shared" si="237"/>
        <v>0</v>
      </c>
      <c r="ER215" s="1786">
        <f>SUM(D215+I215+K215+O215+R215+V215+Z215+AF215+AJ215+AP215+AV215+BB215+BH215+BL215+BO215+BT215+BW215+CH215+CN215+CR215+CV215+CZ215+DC215+DF215+DM215+DO215+DT215+DZ215+EC215+EG215+EJ215+G215)</f>
        <v>0</v>
      </c>
      <c r="ES215" s="1786">
        <f t="shared" si="239"/>
        <v>0</v>
      </c>
      <c r="ET215" s="1061">
        <f t="shared" si="241"/>
        <v>0</v>
      </c>
    </row>
    <row r="216" spans="1:150" ht="30" customHeight="1" x14ac:dyDescent="0.25">
      <c r="A216" s="1031"/>
      <c r="B216" s="1140" t="s">
        <v>1663</v>
      </c>
      <c r="C216" s="1657"/>
      <c r="D216" s="1034"/>
      <c r="E216" s="1928"/>
      <c r="F216" s="1929"/>
      <c r="G216" s="1152"/>
      <c r="H216" s="1993"/>
      <c r="I216" s="1152"/>
      <c r="J216" s="1993"/>
      <c r="K216" s="1152"/>
      <c r="L216" s="1975"/>
      <c r="M216" s="1031"/>
      <c r="N216" s="1140" t="s">
        <v>1663</v>
      </c>
      <c r="O216" s="1152"/>
      <c r="P216" s="1975"/>
      <c r="Q216" s="1657"/>
      <c r="R216" s="1034"/>
      <c r="S216" s="1928"/>
      <c r="T216" s="1929"/>
      <c r="U216" s="1657"/>
      <c r="V216" s="1034"/>
      <c r="W216" s="1928"/>
      <c r="X216" s="1929"/>
      <c r="Y216" s="1657"/>
      <c r="Z216" s="1034"/>
      <c r="AA216" s="2062"/>
      <c r="AB216" s="1929"/>
      <c r="AC216" s="1033"/>
      <c r="AD216" s="1140" t="s">
        <v>1663</v>
      </c>
      <c r="AE216" s="1657"/>
      <c r="AF216" s="1034"/>
      <c r="AG216" s="1928"/>
      <c r="AH216" s="1929"/>
      <c r="AI216" s="1657"/>
      <c r="AJ216" s="1034"/>
      <c r="AK216" s="1928"/>
      <c r="AL216" s="1929"/>
      <c r="AM216" s="1152"/>
      <c r="AN216" s="1975"/>
      <c r="AO216" s="1702"/>
      <c r="AP216" s="1154"/>
      <c r="AQ216" s="1155"/>
      <c r="AR216" s="2098"/>
      <c r="AS216" s="1421"/>
      <c r="AT216" s="2098"/>
      <c r="AU216" s="1657"/>
      <c r="AV216" s="1034"/>
      <c r="AW216" s="1928"/>
      <c r="AX216" s="1929"/>
      <c r="AY216" s="1031"/>
      <c r="AZ216" s="1140" t="s">
        <v>1663</v>
      </c>
      <c r="BA216" s="1657"/>
      <c r="BB216" s="1034"/>
      <c r="BC216" s="1928"/>
      <c r="BD216" s="1929"/>
      <c r="BE216" s="1031"/>
      <c r="BF216" s="1140" t="s">
        <v>1663</v>
      </c>
      <c r="BG216" s="1657"/>
      <c r="BH216" s="1034"/>
      <c r="BI216" s="1928"/>
      <c r="BJ216" s="1929"/>
      <c r="BK216" s="1657"/>
      <c r="BL216" s="1034"/>
      <c r="BM216" s="1928"/>
      <c r="BN216" s="1929"/>
      <c r="BO216" s="1152"/>
      <c r="BP216" s="1993"/>
      <c r="BQ216" s="1152"/>
      <c r="BR216" s="1975"/>
      <c r="BS216" s="1657"/>
      <c r="BT216" s="1034"/>
      <c r="BU216" s="1928"/>
      <c r="BV216" s="1929"/>
      <c r="BW216" s="1152"/>
      <c r="BX216" s="1975"/>
      <c r="BY216" s="1657"/>
      <c r="BZ216" s="1034"/>
      <c r="CA216" s="1928"/>
      <c r="CB216" s="1929"/>
      <c r="CC216" s="1749"/>
      <c r="CD216" s="2156"/>
      <c r="CE216" s="1031"/>
      <c r="CF216" s="1140" t="s">
        <v>1663</v>
      </c>
      <c r="CG216" s="1657"/>
      <c r="CH216" s="1034"/>
      <c r="CI216" s="1928"/>
      <c r="CJ216" s="1929"/>
      <c r="CK216" s="1031"/>
      <c r="CL216" s="1140" t="s">
        <v>1663</v>
      </c>
      <c r="CM216" s="1657"/>
      <c r="CN216" s="1034"/>
      <c r="CO216" s="1928"/>
      <c r="CP216" s="1929"/>
      <c r="CQ216" s="1657"/>
      <c r="CR216" s="1034"/>
      <c r="CS216" s="1928"/>
      <c r="CT216" s="1929"/>
      <c r="CU216" s="1657"/>
      <c r="CV216" s="1034"/>
      <c r="CW216" s="1928"/>
      <c r="CX216" s="1929"/>
      <c r="CY216" s="1657"/>
      <c r="CZ216" s="1034"/>
      <c r="DA216" s="1928"/>
      <c r="DB216" s="1929"/>
      <c r="DC216" s="1152"/>
      <c r="DD216" s="1975"/>
      <c r="DE216" s="1657"/>
      <c r="DF216" s="1034"/>
      <c r="DG216" s="1928"/>
      <c r="DH216" s="1929"/>
      <c r="DI216" s="1033"/>
      <c r="DJ216" s="1140" t="s">
        <v>1663</v>
      </c>
      <c r="DK216" s="1152"/>
      <c r="DL216" s="1993"/>
      <c r="DM216" s="1152"/>
      <c r="DN216" s="1993"/>
      <c r="DO216" s="1152"/>
      <c r="DP216" s="1975"/>
      <c r="DQ216" s="1031"/>
      <c r="DR216" s="1140" t="s">
        <v>1663</v>
      </c>
      <c r="DS216" s="1657"/>
      <c r="DT216" s="1034"/>
      <c r="DU216" s="1928"/>
      <c r="DV216" s="1929"/>
      <c r="DW216" s="1031"/>
      <c r="DX216" s="1140" t="s">
        <v>1663</v>
      </c>
      <c r="DY216" s="1657"/>
      <c r="DZ216" s="1034"/>
      <c r="EA216" s="1928"/>
      <c r="EB216" s="1929"/>
      <c r="EC216" s="1152"/>
      <c r="ED216" s="1975"/>
      <c r="EE216" s="1031"/>
      <c r="EF216" s="1140" t="s">
        <v>1663</v>
      </c>
      <c r="EG216" s="1152"/>
      <c r="EH216" s="1975"/>
      <c r="EI216" s="1657"/>
      <c r="EJ216" s="1034"/>
      <c r="EK216" s="2215"/>
      <c r="EL216" s="1929"/>
      <c r="EM216" s="2216"/>
      <c r="EN216" s="1597"/>
      <c r="EO216" s="1597"/>
      <c r="EP216" s="1597">
        <f t="shared" si="240"/>
        <v>0</v>
      </c>
      <c r="EQ216" s="1162">
        <f t="shared" si="237"/>
        <v>0</v>
      </c>
      <c r="ER216" s="1785">
        <f t="shared" si="238"/>
        <v>0</v>
      </c>
      <c r="ES216" s="1785">
        <f t="shared" si="239"/>
        <v>0</v>
      </c>
      <c r="ET216" s="1070">
        <f t="shared" si="241"/>
        <v>0</v>
      </c>
    </row>
    <row r="217" spans="1:150" s="1840" customFormat="1" ht="26.4" x14ac:dyDescent="0.25">
      <c r="A217" s="952">
        <v>1</v>
      </c>
      <c r="B217" s="1149"/>
      <c r="C217" s="1672"/>
      <c r="D217" s="1634"/>
      <c r="E217" s="1958"/>
      <c r="F217" s="1959"/>
      <c r="G217" s="1696"/>
      <c r="H217" s="2010"/>
      <c r="I217" s="1696"/>
      <c r="J217" s="2010"/>
      <c r="K217" s="1696"/>
      <c r="L217" s="2040"/>
      <c r="M217" s="952">
        <v>1</v>
      </c>
      <c r="N217" s="1135" t="s">
        <v>1664</v>
      </c>
      <c r="O217" s="1696">
        <v>3630</v>
      </c>
      <c r="P217" s="2040"/>
      <c r="Q217" s="1672"/>
      <c r="R217" s="1634"/>
      <c r="S217" s="1958"/>
      <c r="T217" s="1959"/>
      <c r="U217" s="1672"/>
      <c r="V217" s="1634"/>
      <c r="W217" s="1958"/>
      <c r="X217" s="1959"/>
      <c r="Y217" s="1672"/>
      <c r="Z217" s="1634"/>
      <c r="AA217" s="2074"/>
      <c r="AB217" s="1959"/>
      <c r="AC217" s="955">
        <v>1</v>
      </c>
      <c r="AD217" s="1149"/>
      <c r="AE217" s="1672"/>
      <c r="AF217" s="1634"/>
      <c r="AG217" s="1958"/>
      <c r="AH217" s="1959"/>
      <c r="AI217" s="1672"/>
      <c r="AJ217" s="1634"/>
      <c r="AK217" s="1958"/>
      <c r="AL217" s="1959"/>
      <c r="AM217" s="1696"/>
      <c r="AN217" s="2040"/>
      <c r="AO217" s="1879"/>
      <c r="AP217" s="1262"/>
      <c r="AQ217" s="1728"/>
      <c r="AR217" s="2122"/>
      <c r="AS217" s="1552"/>
      <c r="AT217" s="2122"/>
      <c r="AU217" s="1672"/>
      <c r="AV217" s="1634"/>
      <c r="AW217" s="1958"/>
      <c r="AX217" s="1959"/>
      <c r="AY217" s="952">
        <v>1</v>
      </c>
      <c r="AZ217" s="1149"/>
      <c r="BA217" s="1672"/>
      <c r="BB217" s="1634"/>
      <c r="BC217" s="1958"/>
      <c r="BD217" s="1959"/>
      <c r="BE217" s="952">
        <v>1</v>
      </c>
      <c r="BF217" s="1135" t="s">
        <v>1665</v>
      </c>
      <c r="BG217" s="1672"/>
      <c r="BH217" s="1634"/>
      <c r="BI217" s="1958"/>
      <c r="BJ217" s="1959"/>
      <c r="BK217" s="1672"/>
      <c r="BL217" s="1634">
        <v>1500</v>
      </c>
      <c r="BM217" s="1958"/>
      <c r="BN217" s="1959"/>
      <c r="BO217" s="1696"/>
      <c r="BP217" s="2010"/>
      <c r="BQ217" s="1696"/>
      <c r="BR217" s="2040"/>
      <c r="BS217" s="1672"/>
      <c r="BT217" s="1634"/>
      <c r="BU217" s="1958"/>
      <c r="BV217" s="1959"/>
      <c r="BW217" s="1696"/>
      <c r="BX217" s="2040"/>
      <c r="BY217" s="1672"/>
      <c r="BZ217" s="1634"/>
      <c r="CA217" s="1958"/>
      <c r="CB217" s="1959"/>
      <c r="CC217" s="1763"/>
      <c r="CD217" s="2174"/>
      <c r="CE217" s="952">
        <v>1</v>
      </c>
      <c r="CF217" s="1149"/>
      <c r="CG217" s="1672"/>
      <c r="CH217" s="1634"/>
      <c r="CI217" s="1958"/>
      <c r="CJ217" s="1959"/>
      <c r="CK217" s="952">
        <v>1</v>
      </c>
      <c r="CL217" s="1003" t="s">
        <v>2247</v>
      </c>
      <c r="CM217" s="1672"/>
      <c r="CN217" s="1634"/>
      <c r="CO217" s="1958"/>
      <c r="CP217" s="1959"/>
      <c r="CQ217" s="1672"/>
      <c r="CR217" s="1634"/>
      <c r="CS217" s="1958"/>
      <c r="CT217" s="1959"/>
      <c r="CU217" s="1672"/>
      <c r="CV217" s="1634"/>
      <c r="CW217" s="1958"/>
      <c r="CX217" s="1959">
        <v>4445</v>
      </c>
      <c r="CY217" s="1672"/>
      <c r="CZ217" s="1634"/>
      <c r="DA217" s="1958"/>
      <c r="DB217" s="1959"/>
      <c r="DC217" s="1696"/>
      <c r="DD217" s="2040"/>
      <c r="DE217" s="1672"/>
      <c r="DF217" s="1634"/>
      <c r="DG217" s="1958"/>
      <c r="DH217" s="1959"/>
      <c r="DI217" s="955">
        <v>1</v>
      </c>
      <c r="DJ217" s="1149"/>
      <c r="DK217" s="1696"/>
      <c r="DL217" s="2010"/>
      <c r="DM217" s="1696"/>
      <c r="DN217" s="2010"/>
      <c r="DO217" s="1696"/>
      <c r="DP217" s="2040"/>
      <c r="DQ217" s="952">
        <v>1</v>
      </c>
      <c r="DR217" s="1149"/>
      <c r="DS217" s="1672"/>
      <c r="DT217" s="1634"/>
      <c r="DU217" s="1958"/>
      <c r="DV217" s="1959"/>
      <c r="DW217" s="952">
        <v>1</v>
      </c>
      <c r="DX217" s="1149"/>
      <c r="DY217" s="1672"/>
      <c r="DZ217" s="1634"/>
      <c r="EA217" s="1958"/>
      <c r="EB217" s="1959"/>
      <c r="EC217" s="1696"/>
      <c r="ED217" s="2040"/>
      <c r="EE217" s="952">
        <v>1</v>
      </c>
      <c r="EF217" s="1135" t="s">
        <v>1666</v>
      </c>
      <c r="EG217" s="1696"/>
      <c r="EH217" s="2040"/>
      <c r="EI217" s="1672"/>
      <c r="EJ217" s="1842">
        <f>35000</f>
        <v>35000</v>
      </c>
      <c r="EK217" s="2232"/>
      <c r="EL217" s="1959"/>
      <c r="EM217" s="2202">
        <f t="shared" ref="EM217:EM225" si="285">E217+S217+W217+AA217+AG217+AK217+AN217+AR217+AW217+BC217+BI217+BM217+BR217+BU217+CA217+CD217+CI217+CO217+CS217+CW217+DA217+DG217+DU217+EA217+EK217</f>
        <v>0</v>
      </c>
      <c r="EN217" s="1585">
        <f t="shared" ref="EN217:EN225" si="286">F217+H217+J217+L217+P217+T217+X217+AB217+AH217+AL217+AS217+AX217+BD217+BJ217+BN217+BP217+BV217+BX217+CB217+CJ217+CP217+CT217+CX217+DB217+DD217+DH217+DN217+DP217+DV217+EB217+ED217+EH217+EL217+DL217</f>
        <v>4445</v>
      </c>
      <c r="EO217" s="1585">
        <f t="shared" ref="EO217:EO225" si="287">AQ217</f>
        <v>0</v>
      </c>
      <c r="EP217" s="1596">
        <f t="shared" si="240"/>
        <v>4445</v>
      </c>
      <c r="EQ217" s="1729">
        <f t="shared" si="237"/>
        <v>0</v>
      </c>
      <c r="ER217" s="1797">
        <f t="shared" si="238"/>
        <v>40130</v>
      </c>
      <c r="ES217" s="1797">
        <f t="shared" si="239"/>
        <v>0</v>
      </c>
      <c r="ET217" s="1798">
        <f t="shared" si="241"/>
        <v>40130</v>
      </c>
    </row>
    <row r="218" spans="1:150" s="1840" customFormat="1" ht="26.4" x14ac:dyDescent="0.25">
      <c r="A218" s="952">
        <v>2</v>
      </c>
      <c r="B218" s="1149"/>
      <c r="C218" s="1672"/>
      <c r="D218" s="1634"/>
      <c r="E218" s="1958"/>
      <c r="F218" s="1959"/>
      <c r="G218" s="1696"/>
      <c r="H218" s="2010"/>
      <c r="I218" s="1696"/>
      <c r="J218" s="2010"/>
      <c r="K218" s="1696"/>
      <c r="L218" s="2040"/>
      <c r="M218" s="952">
        <v>2</v>
      </c>
      <c r="N218" s="1135" t="s">
        <v>1667</v>
      </c>
      <c r="O218" s="1696">
        <f>6000-6000</f>
        <v>0</v>
      </c>
      <c r="P218" s="2040">
        <f>6000-6000+2000</f>
        <v>2000</v>
      </c>
      <c r="Q218" s="1672"/>
      <c r="R218" s="1634"/>
      <c r="S218" s="1958"/>
      <c r="T218" s="1959"/>
      <c r="U218" s="1672"/>
      <c r="V218" s="1634"/>
      <c r="W218" s="1958"/>
      <c r="X218" s="1959"/>
      <c r="Y218" s="1672"/>
      <c r="Z218" s="1634"/>
      <c r="AA218" s="2074"/>
      <c r="AB218" s="1959"/>
      <c r="AC218" s="955">
        <v>2</v>
      </c>
      <c r="AD218" s="1149"/>
      <c r="AE218" s="1672"/>
      <c r="AF218" s="1634"/>
      <c r="AG218" s="1958"/>
      <c r="AH218" s="1959"/>
      <c r="AI218" s="1672"/>
      <c r="AJ218" s="1634"/>
      <c r="AK218" s="1958"/>
      <c r="AL218" s="1959"/>
      <c r="AM218" s="1696"/>
      <c r="AN218" s="2040"/>
      <c r="AO218" s="1879"/>
      <c r="AP218" s="1262"/>
      <c r="AQ218" s="1728"/>
      <c r="AR218" s="2122"/>
      <c r="AS218" s="1552"/>
      <c r="AT218" s="2122"/>
      <c r="AU218" s="1672"/>
      <c r="AV218" s="1634"/>
      <c r="AW218" s="1958"/>
      <c r="AX218" s="1959"/>
      <c r="AY218" s="952">
        <v>2</v>
      </c>
      <c r="AZ218" s="1149"/>
      <c r="BA218" s="1672"/>
      <c r="BB218" s="1634"/>
      <c r="BC218" s="1958"/>
      <c r="BD218" s="1959"/>
      <c r="BE218" s="952">
        <v>2</v>
      </c>
      <c r="BF218" s="1149"/>
      <c r="BG218" s="1672"/>
      <c r="BH218" s="1634"/>
      <c r="BI218" s="1958"/>
      <c r="BJ218" s="1959"/>
      <c r="BK218" s="1672"/>
      <c r="BL218" s="1634"/>
      <c r="BM218" s="1958"/>
      <c r="BN218" s="1959"/>
      <c r="BO218" s="1696"/>
      <c r="BP218" s="2010"/>
      <c r="BQ218" s="1696"/>
      <c r="BR218" s="2040"/>
      <c r="BS218" s="1672"/>
      <c r="BT218" s="1634"/>
      <c r="BU218" s="1958"/>
      <c r="BV218" s="1959"/>
      <c r="BW218" s="1696"/>
      <c r="BX218" s="2040"/>
      <c r="BY218" s="1672"/>
      <c r="BZ218" s="1634"/>
      <c r="CA218" s="1958"/>
      <c r="CB218" s="1959"/>
      <c r="CC218" s="1763"/>
      <c r="CD218" s="2174"/>
      <c r="CE218" s="952">
        <v>2</v>
      </c>
      <c r="CF218" s="1149"/>
      <c r="CG218" s="1672"/>
      <c r="CH218" s="1634"/>
      <c r="CI218" s="1958"/>
      <c r="CJ218" s="1959"/>
      <c r="CK218" s="952">
        <v>2</v>
      </c>
      <c r="CL218" s="959" t="s">
        <v>2295</v>
      </c>
      <c r="CM218" s="1672"/>
      <c r="CN218" s="1634"/>
      <c r="CO218" s="1958"/>
      <c r="CP218" s="1959"/>
      <c r="CQ218" s="1672"/>
      <c r="CR218" s="1634"/>
      <c r="CS218" s="1958"/>
      <c r="CT218" s="1959"/>
      <c r="CU218" s="1672"/>
      <c r="CV218" s="1634"/>
      <c r="CW218" s="1958"/>
      <c r="CX218" s="1959">
        <v>6580</v>
      </c>
      <c r="CY218" s="1672"/>
      <c r="CZ218" s="1634"/>
      <c r="DA218" s="1958"/>
      <c r="DB218" s="1959"/>
      <c r="DC218" s="1696"/>
      <c r="DD218" s="2040"/>
      <c r="DE218" s="1672"/>
      <c r="DF218" s="1634"/>
      <c r="DG218" s="1958"/>
      <c r="DH218" s="1959"/>
      <c r="DI218" s="955">
        <v>2</v>
      </c>
      <c r="DJ218" s="1149"/>
      <c r="DK218" s="1696"/>
      <c r="DL218" s="2010"/>
      <c r="DM218" s="1696"/>
      <c r="DN218" s="2010"/>
      <c r="DO218" s="1696"/>
      <c r="DP218" s="2040"/>
      <c r="DQ218" s="952">
        <v>2</v>
      </c>
      <c r="DR218" s="1149"/>
      <c r="DS218" s="1672"/>
      <c r="DT218" s="1634"/>
      <c r="DU218" s="1958"/>
      <c r="DV218" s="1959"/>
      <c r="DW218" s="952">
        <v>2</v>
      </c>
      <c r="DX218" s="1149"/>
      <c r="DY218" s="1672"/>
      <c r="DZ218" s="1634"/>
      <c r="EA218" s="1958"/>
      <c r="EB218" s="1959"/>
      <c r="EC218" s="1696"/>
      <c r="ED218" s="2040"/>
      <c r="EE218" s="952">
        <v>2</v>
      </c>
      <c r="EF218" s="1135" t="s">
        <v>1668</v>
      </c>
      <c r="EG218" s="1696"/>
      <c r="EH218" s="2040"/>
      <c r="EI218" s="1672"/>
      <c r="EJ218" s="1634"/>
      <c r="EK218" s="2232"/>
      <c r="EL218" s="1959"/>
      <c r="EM218" s="2202">
        <f t="shared" si="285"/>
        <v>0</v>
      </c>
      <c r="EN218" s="1585">
        <f t="shared" si="286"/>
        <v>8580</v>
      </c>
      <c r="EO218" s="1585">
        <f t="shared" si="287"/>
        <v>0</v>
      </c>
      <c r="EP218" s="1596">
        <f t="shared" si="240"/>
        <v>8580</v>
      </c>
      <c r="EQ218" s="1729">
        <f t="shared" si="237"/>
        <v>0</v>
      </c>
      <c r="ER218" s="1797">
        <f t="shared" si="238"/>
        <v>0</v>
      </c>
      <c r="ES218" s="1797">
        <f t="shared" si="239"/>
        <v>0</v>
      </c>
      <c r="ET218" s="1798">
        <f t="shared" si="241"/>
        <v>0</v>
      </c>
    </row>
    <row r="219" spans="1:150" s="1840" customFormat="1" x14ac:dyDescent="0.25">
      <c r="A219" s="952">
        <v>3</v>
      </c>
      <c r="B219" s="1149"/>
      <c r="C219" s="1672"/>
      <c r="D219" s="1634"/>
      <c r="E219" s="1958"/>
      <c r="F219" s="1959"/>
      <c r="G219" s="1696"/>
      <c r="H219" s="2010"/>
      <c r="I219" s="1696"/>
      <c r="J219" s="2010"/>
      <c r="K219" s="1696"/>
      <c r="L219" s="2040"/>
      <c r="M219" s="952">
        <v>3</v>
      </c>
      <c r="N219" s="1149"/>
      <c r="O219" s="1696"/>
      <c r="P219" s="2040"/>
      <c r="Q219" s="1672"/>
      <c r="R219" s="1634"/>
      <c r="S219" s="1958"/>
      <c r="T219" s="1959"/>
      <c r="U219" s="1672"/>
      <c r="V219" s="1634"/>
      <c r="W219" s="1958"/>
      <c r="X219" s="1959"/>
      <c r="Y219" s="1672"/>
      <c r="Z219" s="1634"/>
      <c r="AA219" s="2074"/>
      <c r="AB219" s="1959"/>
      <c r="AC219" s="955">
        <v>3</v>
      </c>
      <c r="AD219" s="1149"/>
      <c r="AE219" s="1672"/>
      <c r="AF219" s="1634"/>
      <c r="AG219" s="1958"/>
      <c r="AH219" s="1959"/>
      <c r="AI219" s="1672"/>
      <c r="AJ219" s="1634"/>
      <c r="AK219" s="1958"/>
      <c r="AL219" s="1959"/>
      <c r="AM219" s="1696"/>
      <c r="AN219" s="2040"/>
      <c r="AO219" s="1879"/>
      <c r="AP219" s="1262"/>
      <c r="AQ219" s="1728"/>
      <c r="AR219" s="2122"/>
      <c r="AS219" s="1552"/>
      <c r="AT219" s="2122"/>
      <c r="AU219" s="1672"/>
      <c r="AV219" s="1634"/>
      <c r="AW219" s="1958"/>
      <c r="AX219" s="1959"/>
      <c r="AY219" s="952">
        <v>3</v>
      </c>
      <c r="AZ219" s="1149"/>
      <c r="BA219" s="1672"/>
      <c r="BB219" s="1634"/>
      <c r="BC219" s="1958"/>
      <c r="BD219" s="1959"/>
      <c r="BE219" s="952">
        <v>3</v>
      </c>
      <c r="BF219" s="1149"/>
      <c r="BG219" s="1672"/>
      <c r="BH219" s="1634"/>
      <c r="BI219" s="1958"/>
      <c r="BJ219" s="1959"/>
      <c r="BK219" s="1672"/>
      <c r="BL219" s="1634"/>
      <c r="BM219" s="1958"/>
      <c r="BN219" s="1959"/>
      <c r="BO219" s="1696"/>
      <c r="BP219" s="2010"/>
      <c r="BQ219" s="1696"/>
      <c r="BR219" s="2040"/>
      <c r="BS219" s="1672"/>
      <c r="BT219" s="1634"/>
      <c r="BU219" s="1958"/>
      <c r="BV219" s="1959"/>
      <c r="BW219" s="1696"/>
      <c r="BX219" s="2040"/>
      <c r="BY219" s="1672"/>
      <c r="BZ219" s="1634"/>
      <c r="CA219" s="1958"/>
      <c r="CB219" s="1959"/>
      <c r="CC219" s="1763"/>
      <c r="CD219" s="2174"/>
      <c r="CE219" s="952">
        <v>3</v>
      </c>
      <c r="CF219" s="1149"/>
      <c r="CG219" s="1672"/>
      <c r="CH219" s="1634"/>
      <c r="CI219" s="1958"/>
      <c r="CJ219" s="1959"/>
      <c r="CK219" s="952">
        <v>3</v>
      </c>
      <c r="CL219" s="1135" t="s">
        <v>1669</v>
      </c>
      <c r="CM219" s="1672"/>
      <c r="CN219" s="1634"/>
      <c r="CO219" s="1958"/>
      <c r="CP219" s="1959"/>
      <c r="CQ219" s="1672"/>
      <c r="CR219" s="1634"/>
      <c r="CS219" s="1958"/>
      <c r="CT219" s="1959"/>
      <c r="CU219" s="1672"/>
      <c r="CV219" s="1634"/>
      <c r="CW219" s="1958"/>
      <c r="CX219" s="1959"/>
      <c r="CY219" s="1672"/>
      <c r="CZ219" s="1634"/>
      <c r="DA219" s="1958"/>
      <c r="DB219" s="1959"/>
      <c r="DC219" s="1696"/>
      <c r="DD219" s="2040"/>
      <c r="DE219" s="1672"/>
      <c r="DF219" s="1634"/>
      <c r="DG219" s="1958"/>
      <c r="DH219" s="1959"/>
      <c r="DI219" s="955">
        <v>3</v>
      </c>
      <c r="DJ219" s="1149"/>
      <c r="DK219" s="1696"/>
      <c r="DL219" s="2010"/>
      <c r="DM219" s="1696"/>
      <c r="DN219" s="2010"/>
      <c r="DO219" s="1696"/>
      <c r="DP219" s="2040"/>
      <c r="DQ219" s="952">
        <v>3</v>
      </c>
      <c r="DR219" s="1149"/>
      <c r="DS219" s="1672"/>
      <c r="DT219" s="1634"/>
      <c r="DU219" s="1958"/>
      <c r="DV219" s="1959"/>
      <c r="DW219" s="952">
        <v>3</v>
      </c>
      <c r="DX219" s="1149"/>
      <c r="DY219" s="1672"/>
      <c r="DZ219" s="1634"/>
      <c r="EA219" s="1958"/>
      <c r="EB219" s="1959"/>
      <c r="EC219" s="1696"/>
      <c r="ED219" s="2040"/>
      <c r="EE219" s="952">
        <v>3</v>
      </c>
      <c r="EF219" s="1149"/>
      <c r="EG219" s="1696"/>
      <c r="EH219" s="2040"/>
      <c r="EI219" s="1672"/>
      <c r="EJ219" s="1634"/>
      <c r="EK219" s="2232"/>
      <c r="EL219" s="1959"/>
      <c r="EM219" s="2202">
        <f t="shared" si="285"/>
        <v>0</v>
      </c>
      <c r="EN219" s="1585">
        <f t="shared" si="286"/>
        <v>0</v>
      </c>
      <c r="EO219" s="1585">
        <f t="shared" si="287"/>
        <v>0</v>
      </c>
      <c r="EP219" s="1596">
        <f t="shared" si="240"/>
        <v>0</v>
      </c>
      <c r="EQ219" s="1729">
        <f t="shared" si="237"/>
        <v>0</v>
      </c>
      <c r="ER219" s="1797">
        <f t="shared" si="238"/>
        <v>0</v>
      </c>
      <c r="ES219" s="1797">
        <f t="shared" si="239"/>
        <v>0</v>
      </c>
      <c r="ET219" s="1798">
        <f t="shared" si="241"/>
        <v>0</v>
      </c>
    </row>
    <row r="220" spans="1:150" s="1840" customFormat="1" x14ac:dyDescent="0.25">
      <c r="A220" s="952">
        <v>4</v>
      </c>
      <c r="B220" s="1149"/>
      <c r="C220" s="1672"/>
      <c r="D220" s="1634"/>
      <c r="E220" s="1958"/>
      <c r="F220" s="1959"/>
      <c r="G220" s="1696"/>
      <c r="H220" s="2010"/>
      <c r="I220" s="1696"/>
      <c r="J220" s="2010"/>
      <c r="K220" s="1696"/>
      <c r="L220" s="2040"/>
      <c r="M220" s="952">
        <v>4</v>
      </c>
      <c r="N220" s="1149"/>
      <c r="O220" s="1696"/>
      <c r="P220" s="2040"/>
      <c r="Q220" s="1672"/>
      <c r="R220" s="1634"/>
      <c r="S220" s="1958"/>
      <c r="T220" s="1959"/>
      <c r="U220" s="1672"/>
      <c r="V220" s="1634"/>
      <c r="W220" s="1958"/>
      <c r="X220" s="1959"/>
      <c r="Y220" s="1672"/>
      <c r="Z220" s="1634"/>
      <c r="AA220" s="2074"/>
      <c r="AB220" s="1959"/>
      <c r="AC220" s="955">
        <v>4</v>
      </c>
      <c r="AD220" s="1149"/>
      <c r="AE220" s="1672"/>
      <c r="AF220" s="1634"/>
      <c r="AG220" s="1958"/>
      <c r="AH220" s="1959"/>
      <c r="AI220" s="1672"/>
      <c r="AJ220" s="1634"/>
      <c r="AK220" s="1958"/>
      <c r="AL220" s="1959"/>
      <c r="AM220" s="1696"/>
      <c r="AN220" s="2040"/>
      <c r="AO220" s="1879"/>
      <c r="AP220" s="1262"/>
      <c r="AQ220" s="1728"/>
      <c r="AR220" s="2122"/>
      <c r="AS220" s="1552"/>
      <c r="AT220" s="2122"/>
      <c r="AU220" s="1672"/>
      <c r="AV220" s="1634"/>
      <c r="AW220" s="1958"/>
      <c r="AX220" s="1959"/>
      <c r="AY220" s="952">
        <v>4</v>
      </c>
      <c r="AZ220" s="1149"/>
      <c r="BA220" s="1672"/>
      <c r="BB220" s="1634"/>
      <c r="BC220" s="1958"/>
      <c r="BD220" s="1959"/>
      <c r="BE220" s="952">
        <v>4</v>
      </c>
      <c r="BF220" s="1149"/>
      <c r="BG220" s="1672"/>
      <c r="BH220" s="1634"/>
      <c r="BI220" s="1958"/>
      <c r="BJ220" s="1959"/>
      <c r="BK220" s="1672"/>
      <c r="BL220" s="1634"/>
      <c r="BM220" s="1958"/>
      <c r="BN220" s="1959"/>
      <c r="BO220" s="1696"/>
      <c r="BP220" s="2010"/>
      <c r="BQ220" s="1696"/>
      <c r="BR220" s="2040"/>
      <c r="BS220" s="1672"/>
      <c r="BT220" s="1634"/>
      <c r="BU220" s="1958"/>
      <c r="BV220" s="1959"/>
      <c r="BW220" s="1696"/>
      <c r="BX220" s="2040"/>
      <c r="BY220" s="1672"/>
      <c r="BZ220" s="1634"/>
      <c r="CA220" s="1958"/>
      <c r="CB220" s="1959"/>
      <c r="CC220" s="1763"/>
      <c r="CD220" s="2174"/>
      <c r="CE220" s="952">
        <v>4</v>
      </c>
      <c r="CF220" s="1149"/>
      <c r="CG220" s="1672"/>
      <c r="CH220" s="1634"/>
      <c r="CI220" s="1958"/>
      <c r="CJ220" s="1959"/>
      <c r="CK220" s="952">
        <v>4</v>
      </c>
      <c r="CL220" s="1135" t="s">
        <v>1670</v>
      </c>
      <c r="CM220" s="1672"/>
      <c r="CN220" s="1634"/>
      <c r="CO220" s="1958"/>
      <c r="CP220" s="1959"/>
      <c r="CQ220" s="1672"/>
      <c r="CR220" s="1634"/>
      <c r="CS220" s="1958"/>
      <c r="CT220" s="1959"/>
      <c r="CU220" s="1672"/>
      <c r="CV220" s="1634"/>
      <c r="CW220" s="1958"/>
      <c r="CX220" s="1959"/>
      <c r="CY220" s="1672"/>
      <c r="CZ220" s="1634"/>
      <c r="DA220" s="1958"/>
      <c r="DB220" s="1959"/>
      <c r="DC220" s="1696"/>
      <c r="DD220" s="2040"/>
      <c r="DE220" s="1672"/>
      <c r="DF220" s="1634"/>
      <c r="DG220" s="1958"/>
      <c r="DH220" s="1959"/>
      <c r="DI220" s="955">
        <v>4</v>
      </c>
      <c r="DJ220" s="1149"/>
      <c r="DK220" s="1696"/>
      <c r="DL220" s="2010"/>
      <c r="DM220" s="1696"/>
      <c r="DN220" s="2010"/>
      <c r="DO220" s="1696"/>
      <c r="DP220" s="2040"/>
      <c r="DQ220" s="952">
        <v>4</v>
      </c>
      <c r="DR220" s="1149"/>
      <c r="DS220" s="1672"/>
      <c r="DT220" s="1634"/>
      <c r="DU220" s="1958"/>
      <c r="DV220" s="1959"/>
      <c r="DW220" s="952">
        <v>4</v>
      </c>
      <c r="DX220" s="1149"/>
      <c r="DY220" s="1672"/>
      <c r="DZ220" s="1634"/>
      <c r="EA220" s="1958"/>
      <c r="EB220" s="1959"/>
      <c r="EC220" s="1696"/>
      <c r="ED220" s="2040"/>
      <c r="EE220" s="952">
        <v>4</v>
      </c>
      <c r="EF220" s="1149"/>
      <c r="EG220" s="1696"/>
      <c r="EH220" s="2040"/>
      <c r="EI220" s="1672"/>
      <c r="EJ220" s="1634"/>
      <c r="EK220" s="2232"/>
      <c r="EL220" s="1959"/>
      <c r="EM220" s="2202">
        <f t="shared" si="285"/>
        <v>0</v>
      </c>
      <c r="EN220" s="1585">
        <f t="shared" si="286"/>
        <v>0</v>
      </c>
      <c r="EO220" s="1585">
        <f t="shared" si="287"/>
        <v>0</v>
      </c>
      <c r="EP220" s="1596">
        <f t="shared" si="240"/>
        <v>0</v>
      </c>
      <c r="EQ220" s="1729">
        <f t="shared" si="237"/>
        <v>0</v>
      </c>
      <c r="ER220" s="1797">
        <f t="shared" si="238"/>
        <v>0</v>
      </c>
      <c r="ES220" s="1797">
        <f t="shared" si="239"/>
        <v>0</v>
      </c>
      <c r="ET220" s="1798">
        <f t="shared" si="241"/>
        <v>0</v>
      </c>
    </row>
    <row r="221" spans="1:150" s="1840" customFormat="1" x14ac:dyDescent="0.25">
      <c r="A221" s="952">
        <v>5</v>
      </c>
      <c r="B221" s="1149"/>
      <c r="C221" s="1672"/>
      <c r="D221" s="1634"/>
      <c r="E221" s="1958"/>
      <c r="F221" s="1959"/>
      <c r="G221" s="1696"/>
      <c r="H221" s="2010"/>
      <c r="I221" s="1696"/>
      <c r="J221" s="2010"/>
      <c r="K221" s="1696"/>
      <c r="L221" s="2040"/>
      <c r="M221" s="952">
        <v>5</v>
      </c>
      <c r="N221" s="1149"/>
      <c r="O221" s="1696"/>
      <c r="P221" s="2040"/>
      <c r="Q221" s="1672"/>
      <c r="R221" s="1634"/>
      <c r="S221" s="1958"/>
      <c r="T221" s="1959"/>
      <c r="U221" s="1672"/>
      <c r="V221" s="1634"/>
      <c r="W221" s="1958"/>
      <c r="X221" s="1959"/>
      <c r="Y221" s="1672"/>
      <c r="Z221" s="1634"/>
      <c r="AA221" s="2074"/>
      <c r="AB221" s="1959"/>
      <c r="AC221" s="955">
        <v>5</v>
      </c>
      <c r="AD221" s="1149"/>
      <c r="AE221" s="1672"/>
      <c r="AF221" s="1634"/>
      <c r="AG221" s="1958"/>
      <c r="AH221" s="1959"/>
      <c r="AI221" s="1672"/>
      <c r="AJ221" s="1634"/>
      <c r="AK221" s="1958"/>
      <c r="AL221" s="1959"/>
      <c r="AM221" s="1696"/>
      <c r="AN221" s="2040"/>
      <c r="AO221" s="1879"/>
      <c r="AP221" s="1262"/>
      <c r="AQ221" s="1728"/>
      <c r="AR221" s="2122"/>
      <c r="AS221" s="1552"/>
      <c r="AT221" s="2122"/>
      <c r="AU221" s="1672"/>
      <c r="AV221" s="1634"/>
      <c r="AW221" s="1958"/>
      <c r="AX221" s="1959"/>
      <c r="AY221" s="952">
        <v>5</v>
      </c>
      <c r="AZ221" s="1149"/>
      <c r="BA221" s="1672"/>
      <c r="BB221" s="1634"/>
      <c r="BC221" s="1958"/>
      <c r="BD221" s="1959"/>
      <c r="BE221" s="952">
        <v>5</v>
      </c>
      <c r="BF221" s="1149"/>
      <c r="BG221" s="1672"/>
      <c r="BH221" s="1634"/>
      <c r="BI221" s="1958"/>
      <c r="BJ221" s="1959"/>
      <c r="BK221" s="1672"/>
      <c r="BL221" s="1634"/>
      <c r="BM221" s="1958"/>
      <c r="BN221" s="1959"/>
      <c r="BO221" s="1696"/>
      <c r="BP221" s="2010"/>
      <c r="BQ221" s="1696"/>
      <c r="BR221" s="2040"/>
      <c r="BS221" s="1672"/>
      <c r="BT221" s="1634"/>
      <c r="BU221" s="1958"/>
      <c r="BV221" s="1959"/>
      <c r="BW221" s="1696"/>
      <c r="BX221" s="2040"/>
      <c r="BY221" s="1672"/>
      <c r="BZ221" s="1634"/>
      <c r="CA221" s="1958"/>
      <c r="CB221" s="1959"/>
      <c r="CC221" s="1763"/>
      <c r="CD221" s="2174"/>
      <c r="CE221" s="952">
        <v>5</v>
      </c>
      <c r="CF221" s="1149"/>
      <c r="CG221" s="1672"/>
      <c r="CH221" s="1634"/>
      <c r="CI221" s="1958"/>
      <c r="CJ221" s="1959"/>
      <c r="CK221" s="952">
        <v>5</v>
      </c>
      <c r="CL221" s="1135" t="s">
        <v>1671</v>
      </c>
      <c r="CM221" s="1672"/>
      <c r="CN221" s="1634"/>
      <c r="CO221" s="1958"/>
      <c r="CP221" s="1959"/>
      <c r="CQ221" s="1672"/>
      <c r="CR221" s="1634"/>
      <c r="CS221" s="1958"/>
      <c r="CT221" s="1959"/>
      <c r="CU221" s="1672"/>
      <c r="CV221" s="1634"/>
      <c r="CW221" s="1958"/>
      <c r="CX221" s="1959"/>
      <c r="CY221" s="1672"/>
      <c r="CZ221" s="1634"/>
      <c r="DA221" s="1958"/>
      <c r="DB221" s="1959"/>
      <c r="DC221" s="1696">
        <f>487800-50000</f>
        <v>437800</v>
      </c>
      <c r="DD221" s="2040">
        <v>150000</v>
      </c>
      <c r="DE221" s="1672"/>
      <c r="DF221" s="1634"/>
      <c r="DG221" s="1958"/>
      <c r="DH221" s="1959"/>
      <c r="DI221" s="955">
        <v>5</v>
      </c>
      <c r="DJ221" s="1149"/>
      <c r="DK221" s="1696"/>
      <c r="DL221" s="2010"/>
      <c r="DM221" s="1696"/>
      <c r="DN221" s="2010"/>
      <c r="DO221" s="1696"/>
      <c r="DP221" s="2040"/>
      <c r="DQ221" s="952">
        <v>5</v>
      </c>
      <c r="DR221" s="1149"/>
      <c r="DS221" s="1672"/>
      <c r="DT221" s="1634"/>
      <c r="DU221" s="1958"/>
      <c r="DV221" s="1959"/>
      <c r="DW221" s="952">
        <v>5</v>
      </c>
      <c r="DX221" s="1149"/>
      <c r="DY221" s="1672"/>
      <c r="DZ221" s="1634"/>
      <c r="EA221" s="1958"/>
      <c r="EB221" s="1959"/>
      <c r="EC221" s="1696"/>
      <c r="ED221" s="2040"/>
      <c r="EE221" s="952">
        <v>5</v>
      </c>
      <c r="EF221" s="1149"/>
      <c r="EG221" s="1696"/>
      <c r="EH221" s="2040"/>
      <c r="EI221" s="1672"/>
      <c r="EJ221" s="1634"/>
      <c r="EK221" s="2232"/>
      <c r="EL221" s="1959"/>
      <c r="EM221" s="2202">
        <f t="shared" si="285"/>
        <v>0</v>
      </c>
      <c r="EN221" s="1585">
        <f t="shared" si="286"/>
        <v>150000</v>
      </c>
      <c r="EO221" s="1585">
        <f t="shared" si="287"/>
        <v>0</v>
      </c>
      <c r="EP221" s="1596">
        <f t="shared" si="240"/>
        <v>150000</v>
      </c>
      <c r="EQ221" s="1729">
        <f t="shared" si="237"/>
        <v>0</v>
      </c>
      <c r="ER221" s="1797">
        <f t="shared" si="238"/>
        <v>437800</v>
      </c>
      <c r="ES221" s="1797">
        <f t="shared" si="239"/>
        <v>0</v>
      </c>
      <c r="ET221" s="1798">
        <f t="shared" si="241"/>
        <v>437800</v>
      </c>
    </row>
    <row r="222" spans="1:150" s="1840" customFormat="1" ht="26.4" x14ac:dyDescent="0.25">
      <c r="A222" s="952"/>
      <c r="B222" s="1149"/>
      <c r="C222" s="1672"/>
      <c r="D222" s="1634"/>
      <c r="E222" s="1958"/>
      <c r="F222" s="1959"/>
      <c r="G222" s="1696"/>
      <c r="H222" s="2010"/>
      <c r="I222" s="1696"/>
      <c r="J222" s="2010"/>
      <c r="K222" s="1696"/>
      <c r="L222" s="2040"/>
      <c r="M222" s="952"/>
      <c r="N222" s="1149"/>
      <c r="O222" s="1696"/>
      <c r="P222" s="2040"/>
      <c r="Q222" s="1672"/>
      <c r="R222" s="1634"/>
      <c r="S222" s="1958"/>
      <c r="T222" s="1959"/>
      <c r="U222" s="1672"/>
      <c r="V222" s="1634"/>
      <c r="W222" s="1958"/>
      <c r="X222" s="1959"/>
      <c r="Y222" s="1672"/>
      <c r="Z222" s="1634"/>
      <c r="AA222" s="2074"/>
      <c r="AB222" s="1959"/>
      <c r="AC222" s="955"/>
      <c r="AD222" s="1149"/>
      <c r="AE222" s="1672"/>
      <c r="AF222" s="1634"/>
      <c r="AG222" s="1958"/>
      <c r="AH222" s="1959"/>
      <c r="AI222" s="1672"/>
      <c r="AJ222" s="1634"/>
      <c r="AK222" s="1958"/>
      <c r="AL222" s="1959"/>
      <c r="AM222" s="1696"/>
      <c r="AN222" s="2040"/>
      <c r="AO222" s="1879"/>
      <c r="AP222" s="1262"/>
      <c r="AQ222" s="1728"/>
      <c r="AR222" s="2122"/>
      <c r="AS222" s="1552"/>
      <c r="AT222" s="2122"/>
      <c r="AU222" s="1672"/>
      <c r="AV222" s="1634"/>
      <c r="AW222" s="1958"/>
      <c r="AX222" s="1959"/>
      <c r="AY222" s="952"/>
      <c r="AZ222" s="1149"/>
      <c r="BA222" s="1672"/>
      <c r="BB222" s="1634"/>
      <c r="BC222" s="1958"/>
      <c r="BD222" s="1959"/>
      <c r="BE222" s="952"/>
      <c r="BF222" s="1149"/>
      <c r="BG222" s="1672"/>
      <c r="BH222" s="1634"/>
      <c r="BI222" s="1958"/>
      <c r="BJ222" s="1959"/>
      <c r="BK222" s="1672"/>
      <c r="BL222" s="1634"/>
      <c r="BM222" s="1958"/>
      <c r="BN222" s="1959"/>
      <c r="BO222" s="1696"/>
      <c r="BP222" s="2010"/>
      <c r="BQ222" s="1696"/>
      <c r="BR222" s="2040"/>
      <c r="BS222" s="1672"/>
      <c r="BT222" s="1634"/>
      <c r="BU222" s="1958"/>
      <c r="BV222" s="1959"/>
      <c r="BW222" s="1696"/>
      <c r="BX222" s="2040"/>
      <c r="BY222" s="1672"/>
      <c r="BZ222" s="1634"/>
      <c r="CA222" s="1958"/>
      <c r="CB222" s="1959"/>
      <c r="CC222" s="1763"/>
      <c r="CD222" s="2174"/>
      <c r="CE222" s="952"/>
      <c r="CF222" s="1149"/>
      <c r="CG222" s="1672"/>
      <c r="CH222" s="1634"/>
      <c r="CI222" s="1958"/>
      <c r="CJ222" s="1959"/>
      <c r="CK222" s="952">
        <v>6</v>
      </c>
      <c r="CL222" s="1135" t="s">
        <v>1672</v>
      </c>
      <c r="CM222" s="1672"/>
      <c r="CN222" s="1634"/>
      <c r="CO222" s="1958"/>
      <c r="CP222" s="1959"/>
      <c r="CQ222" s="1672"/>
      <c r="CR222" s="1634"/>
      <c r="CS222" s="1958"/>
      <c r="CT222" s="1959"/>
      <c r="CU222" s="1672"/>
      <c r="CV222" s="1634"/>
      <c r="CW222" s="1958"/>
      <c r="CX222" s="1959"/>
      <c r="CY222" s="1672"/>
      <c r="CZ222" s="1634"/>
      <c r="DA222" s="1958"/>
      <c r="DB222" s="1959"/>
      <c r="DC222" s="1696">
        <v>12200</v>
      </c>
      <c r="DD222" s="2040"/>
      <c r="DE222" s="1672"/>
      <c r="DF222" s="1634"/>
      <c r="DG222" s="1958"/>
      <c r="DH222" s="1959"/>
      <c r="DI222" s="955"/>
      <c r="DJ222" s="1149"/>
      <c r="DK222" s="1696"/>
      <c r="DL222" s="2010"/>
      <c r="DM222" s="1696"/>
      <c r="DN222" s="2010"/>
      <c r="DO222" s="1696"/>
      <c r="DP222" s="2040"/>
      <c r="DQ222" s="952"/>
      <c r="DR222" s="1149"/>
      <c r="DS222" s="1672"/>
      <c r="DT222" s="1634"/>
      <c r="DU222" s="1958"/>
      <c r="DV222" s="1959"/>
      <c r="DW222" s="952"/>
      <c r="DX222" s="1149"/>
      <c r="DY222" s="1672"/>
      <c r="DZ222" s="1634"/>
      <c r="EA222" s="1958"/>
      <c r="EB222" s="1959"/>
      <c r="EC222" s="1696"/>
      <c r="ED222" s="2040"/>
      <c r="EE222" s="952"/>
      <c r="EF222" s="1149"/>
      <c r="EG222" s="1696"/>
      <c r="EH222" s="2040"/>
      <c r="EI222" s="1672"/>
      <c r="EJ222" s="1634"/>
      <c r="EK222" s="2232"/>
      <c r="EL222" s="1959"/>
      <c r="EM222" s="2202">
        <f t="shared" si="285"/>
        <v>0</v>
      </c>
      <c r="EN222" s="1585">
        <f t="shared" si="286"/>
        <v>0</v>
      </c>
      <c r="EO222" s="1585">
        <f t="shared" si="287"/>
        <v>0</v>
      </c>
      <c r="EP222" s="1596">
        <f t="shared" si="240"/>
        <v>0</v>
      </c>
      <c r="EQ222" s="1729">
        <f t="shared" si="237"/>
        <v>0</v>
      </c>
      <c r="ER222" s="1797">
        <f t="shared" si="238"/>
        <v>12200</v>
      </c>
      <c r="ES222" s="1797">
        <f t="shared" si="239"/>
        <v>0</v>
      </c>
      <c r="ET222" s="1798">
        <f t="shared" si="241"/>
        <v>12200</v>
      </c>
    </row>
    <row r="223" spans="1:150" s="1840" customFormat="1" x14ac:dyDescent="0.25">
      <c r="A223" s="952"/>
      <c r="B223" s="1149"/>
      <c r="C223" s="1672"/>
      <c r="D223" s="1634"/>
      <c r="E223" s="1958"/>
      <c r="F223" s="1959"/>
      <c r="G223" s="1696"/>
      <c r="H223" s="2010"/>
      <c r="I223" s="1696"/>
      <c r="J223" s="2010"/>
      <c r="K223" s="1696"/>
      <c r="L223" s="2040"/>
      <c r="M223" s="952"/>
      <c r="N223" s="1149"/>
      <c r="O223" s="1696"/>
      <c r="P223" s="2040"/>
      <c r="Q223" s="1672"/>
      <c r="R223" s="1634"/>
      <c r="S223" s="1958"/>
      <c r="T223" s="1959"/>
      <c r="U223" s="1672"/>
      <c r="V223" s="1634"/>
      <c r="W223" s="1958"/>
      <c r="X223" s="1959"/>
      <c r="Y223" s="1672"/>
      <c r="Z223" s="1634"/>
      <c r="AA223" s="2074"/>
      <c r="AB223" s="1959"/>
      <c r="AC223" s="955"/>
      <c r="AD223" s="1149"/>
      <c r="AE223" s="1672"/>
      <c r="AF223" s="1634"/>
      <c r="AG223" s="1958"/>
      <c r="AH223" s="1959"/>
      <c r="AI223" s="1672"/>
      <c r="AJ223" s="1634"/>
      <c r="AK223" s="1958"/>
      <c r="AL223" s="1959"/>
      <c r="AM223" s="1696"/>
      <c r="AN223" s="2040"/>
      <c r="AO223" s="1879"/>
      <c r="AP223" s="1262"/>
      <c r="AQ223" s="1728"/>
      <c r="AR223" s="2122"/>
      <c r="AS223" s="1552"/>
      <c r="AT223" s="2122"/>
      <c r="AU223" s="1672"/>
      <c r="AV223" s="1634"/>
      <c r="AW223" s="1958"/>
      <c r="AX223" s="1959"/>
      <c r="AY223" s="952"/>
      <c r="AZ223" s="1149"/>
      <c r="BA223" s="1672"/>
      <c r="BB223" s="1634"/>
      <c r="BC223" s="1958"/>
      <c r="BD223" s="1959"/>
      <c r="BE223" s="952"/>
      <c r="BF223" s="1149"/>
      <c r="BG223" s="1672"/>
      <c r="BH223" s="1634"/>
      <c r="BI223" s="1958"/>
      <c r="BJ223" s="1959"/>
      <c r="BK223" s="1672"/>
      <c r="BL223" s="1634"/>
      <c r="BM223" s="1958"/>
      <c r="BN223" s="1959"/>
      <c r="BO223" s="1696"/>
      <c r="BP223" s="2010"/>
      <c r="BQ223" s="1696"/>
      <c r="BR223" s="2040"/>
      <c r="BS223" s="1672"/>
      <c r="BT223" s="1634"/>
      <c r="BU223" s="1958"/>
      <c r="BV223" s="1959"/>
      <c r="BW223" s="1696"/>
      <c r="BX223" s="2040"/>
      <c r="BY223" s="1672"/>
      <c r="BZ223" s="1634"/>
      <c r="CA223" s="1958"/>
      <c r="CB223" s="1959"/>
      <c r="CC223" s="1763"/>
      <c r="CD223" s="2174"/>
      <c r="CE223" s="952"/>
      <c r="CF223" s="1149"/>
      <c r="CG223" s="1672"/>
      <c r="CH223" s="1634"/>
      <c r="CI223" s="1958"/>
      <c r="CJ223" s="1959"/>
      <c r="CK223" s="952">
        <v>7</v>
      </c>
      <c r="CL223" s="1135" t="s">
        <v>1673</v>
      </c>
      <c r="CM223" s="1672"/>
      <c r="CN223" s="1634"/>
      <c r="CO223" s="1958"/>
      <c r="CP223" s="1959"/>
      <c r="CQ223" s="1672"/>
      <c r="CR223" s="1634"/>
      <c r="CS223" s="1958"/>
      <c r="CT223" s="1959"/>
      <c r="CU223" s="1672"/>
      <c r="CV223" s="1634"/>
      <c r="CW223" s="1958"/>
      <c r="CX223" s="1959"/>
      <c r="CY223" s="1672"/>
      <c r="CZ223" s="1634"/>
      <c r="DA223" s="1958"/>
      <c r="DB223" s="1959"/>
      <c r="DC223" s="1696">
        <v>50000</v>
      </c>
      <c r="DD223" s="2040"/>
      <c r="DE223" s="1672"/>
      <c r="DF223" s="1634"/>
      <c r="DG223" s="1958"/>
      <c r="DH223" s="1959"/>
      <c r="DI223" s="955"/>
      <c r="DJ223" s="1149"/>
      <c r="DK223" s="1696"/>
      <c r="DL223" s="2010"/>
      <c r="DM223" s="1696"/>
      <c r="DN223" s="2010"/>
      <c r="DO223" s="1696"/>
      <c r="DP223" s="2040"/>
      <c r="DQ223" s="952"/>
      <c r="DR223" s="1149"/>
      <c r="DS223" s="1672"/>
      <c r="DT223" s="1634"/>
      <c r="DU223" s="1958"/>
      <c r="DV223" s="1959"/>
      <c r="DW223" s="952"/>
      <c r="DX223" s="1149"/>
      <c r="DY223" s="1672"/>
      <c r="DZ223" s="1634"/>
      <c r="EA223" s="1958"/>
      <c r="EB223" s="1959"/>
      <c r="EC223" s="1696"/>
      <c r="ED223" s="2040"/>
      <c r="EE223" s="952"/>
      <c r="EF223" s="1149"/>
      <c r="EG223" s="1696"/>
      <c r="EH223" s="2040"/>
      <c r="EI223" s="1672"/>
      <c r="EJ223" s="1634"/>
      <c r="EK223" s="2232"/>
      <c r="EL223" s="1959"/>
      <c r="EM223" s="2202">
        <f t="shared" si="285"/>
        <v>0</v>
      </c>
      <c r="EN223" s="1585">
        <f t="shared" si="286"/>
        <v>0</v>
      </c>
      <c r="EO223" s="1585">
        <f t="shared" si="287"/>
        <v>0</v>
      </c>
      <c r="EP223" s="1596">
        <f t="shared" si="240"/>
        <v>0</v>
      </c>
      <c r="EQ223" s="1729">
        <f t="shared" si="237"/>
        <v>0</v>
      </c>
      <c r="ER223" s="1797">
        <f t="shared" si="238"/>
        <v>50000</v>
      </c>
      <c r="ES223" s="1797">
        <f t="shared" si="239"/>
        <v>0</v>
      </c>
      <c r="ET223" s="1798">
        <f t="shared" si="241"/>
        <v>50000</v>
      </c>
    </row>
    <row r="224" spans="1:150" s="1840" customFormat="1" x14ac:dyDescent="0.25">
      <c r="A224" s="952"/>
      <c r="B224" s="1149"/>
      <c r="C224" s="1672"/>
      <c r="D224" s="1634"/>
      <c r="E224" s="1958"/>
      <c r="F224" s="1959"/>
      <c r="G224" s="1696"/>
      <c r="H224" s="2010"/>
      <c r="I224" s="1696"/>
      <c r="J224" s="2010"/>
      <c r="K224" s="1696"/>
      <c r="L224" s="2040"/>
      <c r="M224" s="952"/>
      <c r="N224" s="1149"/>
      <c r="O224" s="1696"/>
      <c r="P224" s="2040"/>
      <c r="Q224" s="1672"/>
      <c r="R224" s="1634"/>
      <c r="S224" s="1958"/>
      <c r="T224" s="1959"/>
      <c r="U224" s="1672"/>
      <c r="V224" s="1634"/>
      <c r="W224" s="1958"/>
      <c r="X224" s="1959"/>
      <c r="Y224" s="1672"/>
      <c r="Z224" s="1634"/>
      <c r="AA224" s="2074"/>
      <c r="AB224" s="1959"/>
      <c r="AC224" s="955"/>
      <c r="AD224" s="1149"/>
      <c r="AE224" s="1672"/>
      <c r="AF224" s="1634"/>
      <c r="AG224" s="1958"/>
      <c r="AH224" s="1959"/>
      <c r="AI224" s="1672"/>
      <c r="AJ224" s="1634"/>
      <c r="AK224" s="1958"/>
      <c r="AL224" s="1959"/>
      <c r="AM224" s="1696"/>
      <c r="AN224" s="2040"/>
      <c r="AO224" s="1879"/>
      <c r="AP224" s="1262"/>
      <c r="AQ224" s="1728"/>
      <c r="AR224" s="2122"/>
      <c r="AS224" s="1552"/>
      <c r="AT224" s="2122"/>
      <c r="AU224" s="1672"/>
      <c r="AV224" s="1634"/>
      <c r="AW224" s="1958"/>
      <c r="AX224" s="1959"/>
      <c r="AY224" s="952"/>
      <c r="AZ224" s="1149"/>
      <c r="BA224" s="1672"/>
      <c r="BB224" s="1634"/>
      <c r="BC224" s="1958"/>
      <c r="BD224" s="1959"/>
      <c r="BE224" s="952"/>
      <c r="BF224" s="1149"/>
      <c r="BG224" s="1672"/>
      <c r="BH224" s="1634"/>
      <c r="BI224" s="1958"/>
      <c r="BJ224" s="1959"/>
      <c r="BK224" s="1672"/>
      <c r="BL224" s="1634"/>
      <c r="BM224" s="1958"/>
      <c r="BN224" s="1959"/>
      <c r="BO224" s="1696"/>
      <c r="BP224" s="2010"/>
      <c r="BQ224" s="1696"/>
      <c r="BR224" s="2040"/>
      <c r="BS224" s="1672"/>
      <c r="BT224" s="1634"/>
      <c r="BU224" s="1958"/>
      <c r="BV224" s="1959"/>
      <c r="BW224" s="1696"/>
      <c r="BX224" s="2040"/>
      <c r="BY224" s="1672"/>
      <c r="BZ224" s="1634"/>
      <c r="CA224" s="1958"/>
      <c r="CB224" s="1959"/>
      <c r="CC224" s="1763"/>
      <c r="CD224" s="2174"/>
      <c r="CE224" s="952"/>
      <c r="CF224" s="1149"/>
      <c r="CG224" s="1672"/>
      <c r="CH224" s="1634"/>
      <c r="CI224" s="1958"/>
      <c r="CJ224" s="1959"/>
      <c r="CK224" s="952">
        <v>8</v>
      </c>
      <c r="CL224" s="1135" t="s">
        <v>1674</v>
      </c>
      <c r="CM224" s="1672"/>
      <c r="CN224" s="1634"/>
      <c r="CO224" s="1958"/>
      <c r="CP224" s="1959"/>
      <c r="CQ224" s="1672"/>
      <c r="CR224" s="1634"/>
      <c r="CS224" s="1958"/>
      <c r="CT224" s="1959"/>
      <c r="CU224" s="1672"/>
      <c r="CV224" s="1634"/>
      <c r="CW224" s="1958"/>
      <c r="CX224" s="1959"/>
      <c r="CY224" s="1672"/>
      <c r="CZ224" s="1634"/>
      <c r="DA224" s="1958"/>
      <c r="DB224" s="1959"/>
      <c r="DC224" s="1696">
        <f>100000-100000</f>
        <v>0</v>
      </c>
      <c r="DD224" s="2040"/>
      <c r="DE224" s="1672"/>
      <c r="DF224" s="1634"/>
      <c r="DG224" s="1958"/>
      <c r="DH224" s="1959"/>
      <c r="DI224" s="955"/>
      <c r="DJ224" s="1149"/>
      <c r="DK224" s="1696"/>
      <c r="DL224" s="2010"/>
      <c r="DM224" s="1696"/>
      <c r="DN224" s="2010"/>
      <c r="DO224" s="1696"/>
      <c r="DP224" s="2040"/>
      <c r="DQ224" s="952"/>
      <c r="DR224" s="1149"/>
      <c r="DS224" s="1672"/>
      <c r="DT224" s="1634"/>
      <c r="DU224" s="1958"/>
      <c r="DV224" s="1959"/>
      <c r="DW224" s="952"/>
      <c r="DX224" s="1149"/>
      <c r="DY224" s="1672"/>
      <c r="DZ224" s="1634"/>
      <c r="EA224" s="1958"/>
      <c r="EB224" s="1959"/>
      <c r="EC224" s="1696"/>
      <c r="ED224" s="2040"/>
      <c r="EE224" s="952"/>
      <c r="EF224" s="1149"/>
      <c r="EG224" s="1696"/>
      <c r="EH224" s="2040"/>
      <c r="EI224" s="1672"/>
      <c r="EJ224" s="1634"/>
      <c r="EK224" s="2232"/>
      <c r="EL224" s="1959"/>
      <c r="EM224" s="2202">
        <f t="shared" si="285"/>
        <v>0</v>
      </c>
      <c r="EN224" s="1585">
        <f t="shared" si="286"/>
        <v>0</v>
      </c>
      <c r="EO224" s="1585">
        <f t="shared" si="287"/>
        <v>0</v>
      </c>
      <c r="EP224" s="1596">
        <f t="shared" si="240"/>
        <v>0</v>
      </c>
      <c r="EQ224" s="1729">
        <f t="shared" si="237"/>
        <v>0</v>
      </c>
      <c r="ER224" s="1797">
        <f t="shared" si="238"/>
        <v>0</v>
      </c>
      <c r="ES224" s="1797">
        <f t="shared" si="239"/>
        <v>0</v>
      </c>
      <c r="ET224" s="1798">
        <f t="shared" si="241"/>
        <v>0</v>
      </c>
    </row>
    <row r="225" spans="1:150" s="1840" customFormat="1" ht="26.4" x14ac:dyDescent="0.25">
      <c r="A225" s="952"/>
      <c r="B225" s="1149"/>
      <c r="C225" s="1672"/>
      <c r="D225" s="1634"/>
      <c r="E225" s="1958"/>
      <c r="F225" s="1959"/>
      <c r="G225" s="1696"/>
      <c r="H225" s="2010"/>
      <c r="I225" s="1696"/>
      <c r="J225" s="2010"/>
      <c r="K225" s="1696"/>
      <c r="L225" s="2040"/>
      <c r="M225" s="952"/>
      <c r="N225" s="1149"/>
      <c r="O225" s="1696"/>
      <c r="P225" s="2040"/>
      <c r="Q225" s="1672"/>
      <c r="R225" s="1634"/>
      <c r="S225" s="1958"/>
      <c r="T225" s="1959"/>
      <c r="U225" s="1672"/>
      <c r="V225" s="1634"/>
      <c r="W225" s="1958"/>
      <c r="X225" s="1959"/>
      <c r="Y225" s="1672"/>
      <c r="Z225" s="1634"/>
      <c r="AA225" s="2074"/>
      <c r="AB225" s="1959"/>
      <c r="AC225" s="955"/>
      <c r="AD225" s="1149"/>
      <c r="AE225" s="1672"/>
      <c r="AF225" s="1634"/>
      <c r="AG225" s="1958"/>
      <c r="AH225" s="1959"/>
      <c r="AI225" s="1672"/>
      <c r="AJ225" s="1634"/>
      <c r="AK225" s="1958"/>
      <c r="AL225" s="1959"/>
      <c r="AM225" s="1696"/>
      <c r="AN225" s="2040"/>
      <c r="AO225" s="1879"/>
      <c r="AP225" s="1262"/>
      <c r="AQ225" s="1728"/>
      <c r="AR225" s="2122"/>
      <c r="AS225" s="1552"/>
      <c r="AT225" s="2122"/>
      <c r="AU225" s="1672"/>
      <c r="AV225" s="1634"/>
      <c r="AW225" s="1958"/>
      <c r="AX225" s="1959"/>
      <c r="AY225" s="952"/>
      <c r="AZ225" s="1149"/>
      <c r="BA225" s="1672"/>
      <c r="BB225" s="1634"/>
      <c r="BC225" s="1958"/>
      <c r="BD225" s="1959"/>
      <c r="BE225" s="952"/>
      <c r="BF225" s="1149"/>
      <c r="BG225" s="1672"/>
      <c r="BH225" s="1634"/>
      <c r="BI225" s="1958"/>
      <c r="BJ225" s="1959"/>
      <c r="BK225" s="1672"/>
      <c r="BL225" s="1634"/>
      <c r="BM225" s="1958"/>
      <c r="BN225" s="1959"/>
      <c r="BO225" s="1696"/>
      <c r="BP225" s="2010"/>
      <c r="BQ225" s="1696"/>
      <c r="BR225" s="2040"/>
      <c r="BS225" s="1672"/>
      <c r="BT225" s="1634"/>
      <c r="BU225" s="1958"/>
      <c r="BV225" s="1959"/>
      <c r="BW225" s="1696"/>
      <c r="BX225" s="2040"/>
      <c r="BY225" s="1672"/>
      <c r="BZ225" s="1634"/>
      <c r="CA225" s="1958"/>
      <c r="CB225" s="1959"/>
      <c r="CC225" s="1763"/>
      <c r="CD225" s="2174"/>
      <c r="CE225" s="952"/>
      <c r="CF225" s="1149"/>
      <c r="CG225" s="1672"/>
      <c r="CH225" s="1634"/>
      <c r="CI225" s="1958"/>
      <c r="CJ225" s="1959"/>
      <c r="CK225" s="952">
        <v>9</v>
      </c>
      <c r="CL225" s="1135" t="s">
        <v>1675</v>
      </c>
      <c r="CM225" s="1672"/>
      <c r="CN225" s="1634"/>
      <c r="CO225" s="1958">
        <f>'kiadás 11601'!G10</f>
        <v>0</v>
      </c>
      <c r="CP225" s="1959">
        <f>'kiadás 11601'!G30</f>
        <v>0</v>
      </c>
      <c r="CQ225" s="1672"/>
      <c r="CR225" s="1634"/>
      <c r="CS225" s="1958"/>
      <c r="CT225" s="1959"/>
      <c r="CU225" s="1672"/>
      <c r="CV225" s="1634"/>
      <c r="CW225" s="1958"/>
      <c r="CX225" s="1959"/>
      <c r="CY225" s="1654"/>
      <c r="CZ225" s="977"/>
      <c r="DA225" s="2026">
        <f>kiadás11602!H24</f>
        <v>130000</v>
      </c>
      <c r="DB225" s="1919">
        <f>kiadás11602!H39</f>
        <v>233005</v>
      </c>
      <c r="DC225" s="1696"/>
      <c r="DD225" s="2040"/>
      <c r="DE225" s="1672"/>
      <c r="DF225" s="1634"/>
      <c r="DG225" s="1958"/>
      <c r="DH225" s="1959"/>
      <c r="DI225" s="955"/>
      <c r="DJ225" s="1149"/>
      <c r="DK225" s="1696"/>
      <c r="DL225" s="2010">
        <f>'kiadás 11603'!G13</f>
        <v>0</v>
      </c>
      <c r="DM225" s="1696"/>
      <c r="DN225" s="2010">
        <f>'kiadás 11604 '!J68</f>
        <v>0</v>
      </c>
      <c r="DO225" s="1696"/>
      <c r="DP225" s="2040">
        <f>kiadás11605projektek!I61</f>
        <v>353724</v>
      </c>
      <c r="DQ225" s="952"/>
      <c r="DR225" s="1149"/>
      <c r="DS225" s="1672"/>
      <c r="DT225" s="1634"/>
      <c r="DU225" s="1958"/>
      <c r="DV225" s="1959"/>
      <c r="DW225" s="952"/>
      <c r="DX225" s="1149"/>
      <c r="DY225" s="1672"/>
      <c r="DZ225" s="1634"/>
      <c r="EA225" s="1958"/>
      <c r="EB225" s="1959"/>
      <c r="EC225" s="1696"/>
      <c r="ED225" s="2040"/>
      <c r="EE225" s="952"/>
      <c r="EF225" s="1149"/>
      <c r="EG225" s="1696"/>
      <c r="EH225" s="2040"/>
      <c r="EI225" s="1672"/>
      <c r="EJ225" s="1634"/>
      <c r="EK225" s="2232"/>
      <c r="EL225" s="1959"/>
      <c r="EM225" s="2202">
        <f t="shared" si="285"/>
        <v>130000</v>
      </c>
      <c r="EN225" s="1585">
        <f t="shared" si="286"/>
        <v>586729</v>
      </c>
      <c r="EO225" s="1585">
        <f t="shared" si="287"/>
        <v>0</v>
      </c>
      <c r="EP225" s="1596">
        <f t="shared" si="240"/>
        <v>716729</v>
      </c>
      <c r="EQ225" s="1729">
        <f t="shared" si="237"/>
        <v>0</v>
      </c>
      <c r="ER225" s="1797">
        <f t="shared" si="238"/>
        <v>0</v>
      </c>
      <c r="ES225" s="1797">
        <f t="shared" si="239"/>
        <v>0</v>
      </c>
      <c r="ET225" s="1798">
        <f t="shared" si="241"/>
        <v>0</v>
      </c>
    </row>
    <row r="226" spans="1:150" ht="30" customHeight="1" thickBot="1" x14ac:dyDescent="0.3">
      <c r="A226" s="1089"/>
      <c r="B226" s="1837" t="s">
        <v>1676</v>
      </c>
      <c r="C226" s="1838">
        <f t="shared" ref="C226:L226" si="288">SUM(C216:C225)</f>
        <v>0</v>
      </c>
      <c r="D226" s="1414">
        <f t="shared" si="288"/>
        <v>0</v>
      </c>
      <c r="E226" s="1960">
        <f t="shared" si="288"/>
        <v>0</v>
      </c>
      <c r="F226" s="1617">
        <f t="shared" si="288"/>
        <v>0</v>
      </c>
      <c r="G226" s="1839">
        <f t="shared" si="288"/>
        <v>0</v>
      </c>
      <c r="H226" s="2011">
        <f t="shared" si="288"/>
        <v>0</v>
      </c>
      <c r="I226" s="1839">
        <f t="shared" si="288"/>
        <v>0</v>
      </c>
      <c r="J226" s="2011">
        <f t="shared" si="288"/>
        <v>0</v>
      </c>
      <c r="K226" s="1839">
        <f t="shared" si="288"/>
        <v>0</v>
      </c>
      <c r="L226" s="2011">
        <f t="shared" si="288"/>
        <v>0</v>
      </c>
      <c r="M226" s="1089"/>
      <c r="N226" s="1837" t="s">
        <v>1676</v>
      </c>
      <c r="O226" s="1839">
        <f t="shared" ref="O226:AB226" si="289">SUM(O216:O225)</f>
        <v>3630</v>
      </c>
      <c r="P226" s="2011">
        <f t="shared" si="289"/>
        <v>2000</v>
      </c>
      <c r="Q226" s="1838">
        <f t="shared" si="289"/>
        <v>0</v>
      </c>
      <c r="R226" s="1414">
        <f t="shared" si="289"/>
        <v>0</v>
      </c>
      <c r="S226" s="1960">
        <f t="shared" si="289"/>
        <v>0</v>
      </c>
      <c r="T226" s="1617">
        <f t="shared" si="289"/>
        <v>0</v>
      </c>
      <c r="U226" s="1838">
        <f t="shared" si="289"/>
        <v>0</v>
      </c>
      <c r="V226" s="1414">
        <f t="shared" si="289"/>
        <v>0</v>
      </c>
      <c r="W226" s="1960">
        <f t="shared" si="289"/>
        <v>0</v>
      </c>
      <c r="X226" s="1617">
        <f t="shared" si="289"/>
        <v>0</v>
      </c>
      <c r="Y226" s="1838">
        <f t="shared" si="289"/>
        <v>0</v>
      </c>
      <c r="Z226" s="1414">
        <f t="shared" si="289"/>
        <v>0</v>
      </c>
      <c r="AA226" s="1960">
        <f t="shared" si="289"/>
        <v>0</v>
      </c>
      <c r="AB226" s="1617">
        <f t="shared" si="289"/>
        <v>0</v>
      </c>
      <c r="AC226" s="1091"/>
      <c r="AD226" s="1837" t="s">
        <v>1676</v>
      </c>
      <c r="AE226" s="1838">
        <f t="shared" ref="AE226:AX226" si="290">SUM(AE216:AE225)</f>
        <v>0</v>
      </c>
      <c r="AF226" s="1414">
        <f t="shared" si="290"/>
        <v>0</v>
      </c>
      <c r="AG226" s="1960">
        <f t="shared" si="290"/>
        <v>0</v>
      </c>
      <c r="AH226" s="1617">
        <f t="shared" si="290"/>
        <v>0</v>
      </c>
      <c r="AI226" s="1838">
        <f t="shared" si="290"/>
        <v>0</v>
      </c>
      <c r="AJ226" s="1414">
        <f t="shared" si="290"/>
        <v>0</v>
      </c>
      <c r="AK226" s="1960">
        <f t="shared" si="290"/>
        <v>0</v>
      </c>
      <c r="AL226" s="1617">
        <f t="shared" si="290"/>
        <v>0</v>
      </c>
      <c r="AM226" s="1839">
        <f t="shared" si="290"/>
        <v>0</v>
      </c>
      <c r="AN226" s="2011">
        <f t="shared" si="290"/>
        <v>0</v>
      </c>
      <c r="AO226" s="1838">
        <f t="shared" si="290"/>
        <v>0</v>
      </c>
      <c r="AP226" s="1325">
        <f t="shared" si="290"/>
        <v>0</v>
      </c>
      <c r="AQ226" s="1773">
        <f t="shared" si="290"/>
        <v>0</v>
      </c>
      <c r="AR226" s="1960">
        <f t="shared" si="290"/>
        <v>0</v>
      </c>
      <c r="AS226" s="1446">
        <f t="shared" si="290"/>
        <v>0</v>
      </c>
      <c r="AT226" s="2123">
        <f t="shared" si="290"/>
        <v>0</v>
      </c>
      <c r="AU226" s="1838">
        <f t="shared" si="290"/>
        <v>0</v>
      </c>
      <c r="AV226" s="1414">
        <f t="shared" si="290"/>
        <v>0</v>
      </c>
      <c r="AW226" s="1960">
        <f t="shared" si="290"/>
        <v>0</v>
      </c>
      <c r="AX226" s="1617">
        <f t="shared" si="290"/>
        <v>0</v>
      </c>
      <c r="AY226" s="1089"/>
      <c r="AZ226" s="1837" t="s">
        <v>1676</v>
      </c>
      <c r="BA226" s="1838">
        <f t="shared" ref="BA226:BD226" si="291">SUM(BA216:BA225)</f>
        <v>0</v>
      </c>
      <c r="BB226" s="1414">
        <f t="shared" si="291"/>
        <v>0</v>
      </c>
      <c r="BC226" s="1960">
        <f t="shared" si="291"/>
        <v>0</v>
      </c>
      <c r="BD226" s="1617">
        <f t="shared" si="291"/>
        <v>0</v>
      </c>
      <c r="BE226" s="1089"/>
      <c r="BF226" s="1837" t="s">
        <v>1676</v>
      </c>
      <c r="BG226" s="1838">
        <f t="shared" ref="BG226:CD226" si="292">SUM(BG216:BG225)</f>
        <v>0</v>
      </c>
      <c r="BH226" s="1414">
        <f t="shared" si="292"/>
        <v>0</v>
      </c>
      <c r="BI226" s="1960">
        <f t="shared" si="292"/>
        <v>0</v>
      </c>
      <c r="BJ226" s="1617">
        <f t="shared" si="292"/>
        <v>0</v>
      </c>
      <c r="BK226" s="1838">
        <f t="shared" si="292"/>
        <v>0</v>
      </c>
      <c r="BL226" s="1414">
        <f t="shared" si="292"/>
        <v>1500</v>
      </c>
      <c r="BM226" s="1960">
        <f t="shared" si="292"/>
        <v>0</v>
      </c>
      <c r="BN226" s="1617">
        <f t="shared" si="292"/>
        <v>0</v>
      </c>
      <c r="BO226" s="1839">
        <f t="shared" si="292"/>
        <v>0</v>
      </c>
      <c r="BP226" s="2011">
        <f t="shared" si="292"/>
        <v>0</v>
      </c>
      <c r="BQ226" s="1839">
        <f t="shared" si="292"/>
        <v>0</v>
      </c>
      <c r="BR226" s="2011">
        <f t="shared" si="292"/>
        <v>0</v>
      </c>
      <c r="BS226" s="1838">
        <f t="shared" si="292"/>
        <v>0</v>
      </c>
      <c r="BT226" s="1414">
        <f t="shared" si="292"/>
        <v>0</v>
      </c>
      <c r="BU226" s="1960">
        <f t="shared" si="292"/>
        <v>0</v>
      </c>
      <c r="BV226" s="1617">
        <f t="shared" si="292"/>
        <v>0</v>
      </c>
      <c r="BW226" s="1839">
        <f t="shared" si="292"/>
        <v>0</v>
      </c>
      <c r="BX226" s="2011">
        <f t="shared" si="292"/>
        <v>0</v>
      </c>
      <c r="BY226" s="1838">
        <f t="shared" si="292"/>
        <v>0</v>
      </c>
      <c r="BZ226" s="1414">
        <f t="shared" si="292"/>
        <v>0</v>
      </c>
      <c r="CA226" s="1960">
        <f t="shared" si="292"/>
        <v>0</v>
      </c>
      <c r="CB226" s="1617">
        <f t="shared" si="292"/>
        <v>0</v>
      </c>
      <c r="CC226" s="1413">
        <f t="shared" si="292"/>
        <v>0</v>
      </c>
      <c r="CD226" s="2175">
        <f t="shared" si="292"/>
        <v>0</v>
      </c>
      <c r="CE226" s="1089"/>
      <c r="CF226" s="1837" t="s">
        <v>1676</v>
      </c>
      <c r="CG226" s="1838">
        <f t="shared" ref="CG226:CJ226" si="293">SUM(CG216:CG225)</f>
        <v>0</v>
      </c>
      <c r="CH226" s="1414">
        <f t="shared" si="293"/>
        <v>0</v>
      </c>
      <c r="CI226" s="1960">
        <f t="shared" si="293"/>
        <v>0</v>
      </c>
      <c r="CJ226" s="1617">
        <f t="shared" si="293"/>
        <v>0</v>
      </c>
      <c r="CK226" s="1089"/>
      <c r="CL226" s="1837" t="s">
        <v>1676</v>
      </c>
      <c r="CM226" s="1838">
        <f t="shared" ref="CM226:DH226" si="294">SUM(CM216:CM225)</f>
        <v>0</v>
      </c>
      <c r="CN226" s="1414">
        <f t="shared" si="294"/>
        <v>0</v>
      </c>
      <c r="CO226" s="1960">
        <f t="shared" si="294"/>
        <v>0</v>
      </c>
      <c r="CP226" s="1617">
        <f t="shared" si="294"/>
        <v>0</v>
      </c>
      <c r="CQ226" s="1838">
        <f t="shared" si="294"/>
        <v>0</v>
      </c>
      <c r="CR226" s="1414">
        <f t="shared" si="294"/>
        <v>0</v>
      </c>
      <c r="CS226" s="1960">
        <f t="shared" si="294"/>
        <v>0</v>
      </c>
      <c r="CT226" s="1617">
        <f t="shared" si="294"/>
        <v>0</v>
      </c>
      <c r="CU226" s="1838">
        <f t="shared" si="294"/>
        <v>0</v>
      </c>
      <c r="CV226" s="1414">
        <f t="shared" si="294"/>
        <v>0</v>
      </c>
      <c r="CW226" s="1960">
        <f t="shared" si="294"/>
        <v>0</v>
      </c>
      <c r="CX226" s="1617">
        <f t="shared" si="294"/>
        <v>11025</v>
      </c>
      <c r="CY226" s="1838">
        <f t="shared" si="294"/>
        <v>0</v>
      </c>
      <c r="CZ226" s="1414">
        <f t="shared" si="294"/>
        <v>0</v>
      </c>
      <c r="DA226" s="1960">
        <f t="shared" si="294"/>
        <v>130000</v>
      </c>
      <c r="DB226" s="1617">
        <f t="shared" si="294"/>
        <v>233005</v>
      </c>
      <c r="DC226" s="1839">
        <f t="shared" si="294"/>
        <v>500000</v>
      </c>
      <c r="DD226" s="2011">
        <f t="shared" si="294"/>
        <v>150000</v>
      </c>
      <c r="DE226" s="1838">
        <f t="shared" si="294"/>
        <v>0</v>
      </c>
      <c r="DF226" s="1414">
        <f t="shared" si="294"/>
        <v>0</v>
      </c>
      <c r="DG226" s="1960">
        <f t="shared" si="294"/>
        <v>0</v>
      </c>
      <c r="DH226" s="1617">
        <f t="shared" si="294"/>
        <v>0</v>
      </c>
      <c r="DI226" s="1091"/>
      <c r="DJ226" s="1837" t="s">
        <v>1676</v>
      </c>
      <c r="DK226" s="1839">
        <f t="shared" ref="DK226:DL226" si="295">SUM(DK216:DK225)</f>
        <v>0</v>
      </c>
      <c r="DL226" s="2011">
        <f t="shared" si="295"/>
        <v>0</v>
      </c>
      <c r="DM226" s="1839">
        <f t="shared" ref="DM226:DP226" si="296">SUM(DM216:DM225)</f>
        <v>0</v>
      </c>
      <c r="DN226" s="2011">
        <f t="shared" si="296"/>
        <v>0</v>
      </c>
      <c r="DO226" s="1839">
        <f t="shared" si="296"/>
        <v>0</v>
      </c>
      <c r="DP226" s="2011">
        <f t="shared" si="296"/>
        <v>353724</v>
      </c>
      <c r="DQ226" s="1089"/>
      <c r="DR226" s="1837" t="s">
        <v>1676</v>
      </c>
      <c r="DS226" s="1838">
        <f t="shared" ref="DS226:DV226" si="297">SUM(DS216:DS225)</f>
        <v>0</v>
      </c>
      <c r="DT226" s="1414">
        <f t="shared" si="297"/>
        <v>0</v>
      </c>
      <c r="DU226" s="1960">
        <f t="shared" si="297"/>
        <v>0</v>
      </c>
      <c r="DV226" s="1617">
        <f t="shared" si="297"/>
        <v>0</v>
      </c>
      <c r="DW226" s="1089"/>
      <c r="DX226" s="1837" t="s">
        <v>1676</v>
      </c>
      <c r="DY226" s="1838">
        <f t="shared" ref="DY226:ED226" si="298">SUM(DY216:DY225)</f>
        <v>0</v>
      </c>
      <c r="DZ226" s="1414">
        <f t="shared" si="298"/>
        <v>0</v>
      </c>
      <c r="EA226" s="1960">
        <f t="shared" si="298"/>
        <v>0</v>
      </c>
      <c r="EB226" s="1617">
        <f t="shared" si="298"/>
        <v>0</v>
      </c>
      <c r="EC226" s="1839">
        <f t="shared" si="298"/>
        <v>0</v>
      </c>
      <c r="ED226" s="2011">
        <f t="shared" si="298"/>
        <v>0</v>
      </c>
      <c r="EE226" s="1089"/>
      <c r="EF226" s="1837" t="s">
        <v>1676</v>
      </c>
      <c r="EG226" s="1839">
        <f t="shared" ref="EG226:EO226" si="299">SUM(EG216:EG225)</f>
        <v>0</v>
      </c>
      <c r="EH226" s="2011">
        <f t="shared" si="299"/>
        <v>0</v>
      </c>
      <c r="EI226" s="1838">
        <f t="shared" si="299"/>
        <v>0</v>
      </c>
      <c r="EJ226" s="1414">
        <f t="shared" si="299"/>
        <v>35000</v>
      </c>
      <c r="EK226" s="1960">
        <f t="shared" si="299"/>
        <v>0</v>
      </c>
      <c r="EL226" s="1617">
        <f t="shared" si="299"/>
        <v>0</v>
      </c>
      <c r="EM226" s="1617">
        <f t="shared" si="299"/>
        <v>130000</v>
      </c>
      <c r="EN226" s="1617">
        <f t="shared" si="299"/>
        <v>749754</v>
      </c>
      <c r="EO226" s="1617">
        <f t="shared" si="299"/>
        <v>0</v>
      </c>
      <c r="EP226" s="1617">
        <f t="shared" si="240"/>
        <v>879754</v>
      </c>
      <c r="EQ226" s="1413">
        <f t="shared" si="237"/>
        <v>0</v>
      </c>
      <c r="ER226" s="1828">
        <f t="shared" si="238"/>
        <v>540130</v>
      </c>
      <c r="ES226" s="1828">
        <f t="shared" si="239"/>
        <v>0</v>
      </c>
      <c r="ET226" s="1414">
        <f t="shared" si="241"/>
        <v>540130</v>
      </c>
    </row>
    <row r="227" spans="1:150" ht="19.95" customHeight="1" x14ac:dyDescent="0.25">
      <c r="A227" s="948"/>
      <c r="B227" s="949" t="s">
        <v>1677</v>
      </c>
      <c r="C227" s="1670"/>
      <c r="D227" s="1633"/>
      <c r="E227" s="1956"/>
      <c r="F227" s="1957"/>
      <c r="G227" s="1694"/>
      <c r="H227" s="2009"/>
      <c r="I227" s="1694"/>
      <c r="J227" s="2009"/>
      <c r="K227" s="1694"/>
      <c r="L227" s="2039"/>
      <c r="M227" s="948"/>
      <c r="N227" s="949" t="s">
        <v>1677</v>
      </c>
      <c r="O227" s="1694"/>
      <c r="P227" s="2039"/>
      <c r="Q227" s="1670"/>
      <c r="R227" s="1633"/>
      <c r="S227" s="1956"/>
      <c r="T227" s="1957"/>
      <c r="U227" s="1670"/>
      <c r="V227" s="1633"/>
      <c r="W227" s="1956"/>
      <c r="X227" s="1957"/>
      <c r="Y227" s="1670"/>
      <c r="Z227" s="1633"/>
      <c r="AA227" s="2073"/>
      <c r="AB227" s="1957"/>
      <c r="AC227" s="950"/>
      <c r="AD227" s="949" t="s">
        <v>1677</v>
      </c>
      <c r="AE227" s="1670"/>
      <c r="AF227" s="1633"/>
      <c r="AG227" s="1956"/>
      <c r="AH227" s="1957"/>
      <c r="AI227" s="1670"/>
      <c r="AJ227" s="1633"/>
      <c r="AK227" s="1956"/>
      <c r="AL227" s="1957"/>
      <c r="AM227" s="1694"/>
      <c r="AN227" s="2039"/>
      <c r="AO227" s="1878"/>
      <c r="AP227" s="1726"/>
      <c r="AQ227" s="1727"/>
      <c r="AR227" s="2120"/>
      <c r="AS227" s="2121"/>
      <c r="AT227" s="2120"/>
      <c r="AU227" s="1670"/>
      <c r="AV227" s="1633"/>
      <c r="AW227" s="1956"/>
      <c r="AX227" s="1957"/>
      <c r="AY227" s="948"/>
      <c r="AZ227" s="949" t="s">
        <v>1677</v>
      </c>
      <c r="BA227" s="1670"/>
      <c r="BB227" s="1633"/>
      <c r="BC227" s="1956"/>
      <c r="BD227" s="1957"/>
      <c r="BE227" s="948"/>
      <c r="BF227" s="949" t="s">
        <v>1677</v>
      </c>
      <c r="BG227" s="1670"/>
      <c r="BH227" s="1633"/>
      <c r="BI227" s="1956"/>
      <c r="BJ227" s="1957"/>
      <c r="BK227" s="1670"/>
      <c r="BL227" s="1633"/>
      <c r="BM227" s="1956"/>
      <c r="BN227" s="1957"/>
      <c r="BO227" s="1694"/>
      <c r="BP227" s="2009"/>
      <c r="BQ227" s="1694"/>
      <c r="BR227" s="2039"/>
      <c r="BS227" s="1670"/>
      <c r="BT227" s="1633"/>
      <c r="BU227" s="1956"/>
      <c r="BV227" s="1957"/>
      <c r="BW227" s="1694"/>
      <c r="BX227" s="2039"/>
      <c r="BY227" s="1670"/>
      <c r="BZ227" s="1633"/>
      <c r="CA227" s="1956"/>
      <c r="CB227" s="1957"/>
      <c r="CC227" s="1762"/>
      <c r="CD227" s="2172"/>
      <c r="CE227" s="948"/>
      <c r="CF227" s="949" t="s">
        <v>1677</v>
      </c>
      <c r="CG227" s="1670"/>
      <c r="CH227" s="1633"/>
      <c r="CI227" s="1956"/>
      <c r="CJ227" s="1957"/>
      <c r="CK227" s="948"/>
      <c r="CL227" s="949" t="s">
        <v>1677</v>
      </c>
      <c r="CM227" s="1670"/>
      <c r="CN227" s="1633"/>
      <c r="CO227" s="1956"/>
      <c r="CP227" s="1957"/>
      <c r="CQ227" s="1670"/>
      <c r="CR227" s="1633"/>
      <c r="CS227" s="1956"/>
      <c r="CT227" s="1957"/>
      <c r="CU227" s="1670"/>
      <c r="CV227" s="1633"/>
      <c r="CW227" s="1956"/>
      <c r="CX227" s="1957"/>
      <c r="CY227" s="1670"/>
      <c r="CZ227" s="1633"/>
      <c r="DA227" s="1956"/>
      <c r="DB227" s="1957"/>
      <c r="DC227" s="1694"/>
      <c r="DD227" s="2039"/>
      <c r="DE227" s="1670"/>
      <c r="DF227" s="1633"/>
      <c r="DG227" s="1956"/>
      <c r="DH227" s="1957"/>
      <c r="DI227" s="950"/>
      <c r="DJ227" s="949" t="s">
        <v>1677</v>
      </c>
      <c r="DK227" s="1694"/>
      <c r="DL227" s="2009"/>
      <c r="DM227" s="1694"/>
      <c r="DN227" s="2009"/>
      <c r="DO227" s="1694"/>
      <c r="DP227" s="2039"/>
      <c r="DQ227" s="948"/>
      <c r="DR227" s="951" t="s">
        <v>1677</v>
      </c>
      <c r="DS227" s="1670"/>
      <c r="DT227" s="1633"/>
      <c r="DU227" s="1956"/>
      <c r="DV227" s="1957"/>
      <c r="DW227" s="948"/>
      <c r="DX227" s="949" t="s">
        <v>1677</v>
      </c>
      <c r="DY227" s="1670"/>
      <c r="DZ227" s="1633"/>
      <c r="EA227" s="1956"/>
      <c r="EB227" s="1957"/>
      <c r="EC227" s="1694"/>
      <c r="ED227" s="2039"/>
      <c r="EE227" s="948"/>
      <c r="EF227" s="949" t="s">
        <v>1677</v>
      </c>
      <c r="EG227" s="1694"/>
      <c r="EH227" s="2039"/>
      <c r="EI227" s="1670"/>
      <c r="EJ227" s="1633"/>
      <c r="EK227" s="2215"/>
      <c r="EL227" s="1929"/>
      <c r="EM227" s="2216"/>
      <c r="EN227" s="1597"/>
      <c r="EO227" s="1597"/>
      <c r="EP227" s="1597">
        <f t="shared" ref="EP227" si="300">SUM(EM227:EO227)</f>
        <v>0</v>
      </c>
      <c r="EQ227" s="1162">
        <f t="shared" si="237"/>
        <v>0</v>
      </c>
      <c r="ER227" s="1785">
        <f t="shared" si="238"/>
        <v>0</v>
      </c>
      <c r="ES227" s="1785">
        <f t="shared" si="239"/>
        <v>0</v>
      </c>
      <c r="ET227" s="1070">
        <f t="shared" si="241"/>
        <v>0</v>
      </c>
    </row>
    <row r="228" spans="1:150" x14ac:dyDescent="0.25">
      <c r="A228" s="973">
        <v>1</v>
      </c>
      <c r="B228" s="1040"/>
      <c r="C228" s="1043"/>
      <c r="D228" s="1039"/>
      <c r="E228" s="1930"/>
      <c r="F228" s="1931"/>
      <c r="G228" s="1072"/>
      <c r="H228" s="1994"/>
      <c r="I228" s="1072"/>
      <c r="J228" s="1994"/>
      <c r="K228" s="1072"/>
      <c r="L228" s="1975"/>
      <c r="M228" s="973">
        <v>1</v>
      </c>
      <c r="N228" s="1040"/>
      <c r="O228" s="1072"/>
      <c r="P228" s="2029"/>
      <c r="Q228" s="1043"/>
      <c r="R228" s="1039"/>
      <c r="S228" s="1930"/>
      <c r="T228" s="1931"/>
      <c r="U228" s="1043"/>
      <c r="V228" s="1039"/>
      <c r="W228" s="1930"/>
      <c r="X228" s="1931"/>
      <c r="Y228" s="1043"/>
      <c r="Z228" s="1039"/>
      <c r="AA228" s="2062"/>
      <c r="AB228" s="1929"/>
      <c r="AC228" s="975">
        <v>1</v>
      </c>
      <c r="AD228" s="954" t="s">
        <v>1678</v>
      </c>
      <c r="AE228" s="1043"/>
      <c r="AF228" s="1039"/>
      <c r="AG228" s="1930"/>
      <c r="AH228" s="1931"/>
      <c r="AI228" s="1043"/>
      <c r="AJ228" s="1039"/>
      <c r="AK228" s="1930"/>
      <c r="AL228" s="1931"/>
      <c r="AM228" s="1072"/>
      <c r="AN228" s="2029"/>
      <c r="AO228" s="1718"/>
      <c r="AP228" s="1075"/>
      <c r="AQ228" s="1076"/>
      <c r="AR228" s="2099"/>
      <c r="AS228" s="1444"/>
      <c r="AT228" s="2099"/>
      <c r="AU228" s="1043"/>
      <c r="AV228" s="1039"/>
      <c r="AW228" s="1928"/>
      <c r="AX228" s="1929"/>
      <c r="AY228" s="973">
        <v>1</v>
      </c>
      <c r="AZ228" s="1040"/>
      <c r="BA228" s="1043"/>
      <c r="BB228" s="1039"/>
      <c r="BC228" s="1928"/>
      <c r="BD228" s="1929"/>
      <c r="BE228" s="973">
        <v>1</v>
      </c>
      <c r="BF228" s="1040"/>
      <c r="BG228" s="1043"/>
      <c r="BH228" s="1039"/>
      <c r="BI228" s="1930"/>
      <c r="BJ228" s="1931"/>
      <c r="BK228" s="1043"/>
      <c r="BL228" s="1039"/>
      <c r="BM228" s="1930"/>
      <c r="BN228" s="1931"/>
      <c r="BO228" s="1072"/>
      <c r="BP228" s="1994"/>
      <c r="BQ228" s="1072"/>
      <c r="BR228" s="2029"/>
      <c r="BS228" s="1043"/>
      <c r="BT228" s="1039"/>
      <c r="BU228" s="1930"/>
      <c r="BV228" s="1931"/>
      <c r="BW228" s="1072"/>
      <c r="BX228" s="2029"/>
      <c r="BY228" s="1043"/>
      <c r="BZ228" s="1039"/>
      <c r="CA228" s="1930"/>
      <c r="CB228" s="1931"/>
      <c r="CC228" s="1749"/>
      <c r="CD228" s="2156"/>
      <c r="CE228" s="973">
        <v>1</v>
      </c>
      <c r="CF228" s="1040"/>
      <c r="CG228" s="1043"/>
      <c r="CH228" s="1039"/>
      <c r="CI228" s="1928"/>
      <c r="CJ228" s="1929"/>
      <c r="CK228" s="973">
        <v>1</v>
      </c>
      <c r="CL228" s="1040"/>
      <c r="CM228" s="1043"/>
      <c r="CN228" s="1039"/>
      <c r="CO228" s="1930"/>
      <c r="CP228" s="1931"/>
      <c r="CQ228" s="1043"/>
      <c r="CR228" s="1039"/>
      <c r="CS228" s="1930"/>
      <c r="CT228" s="1931"/>
      <c r="CU228" s="1043"/>
      <c r="CV228" s="1039"/>
      <c r="CW228" s="1930"/>
      <c r="CX228" s="1931"/>
      <c r="CY228" s="1043"/>
      <c r="CZ228" s="1039"/>
      <c r="DA228" s="1930"/>
      <c r="DB228" s="1931"/>
      <c r="DC228" s="1072"/>
      <c r="DD228" s="2029"/>
      <c r="DE228" s="1043"/>
      <c r="DF228" s="1039"/>
      <c r="DG228" s="1928"/>
      <c r="DH228" s="1929"/>
      <c r="DI228" s="975">
        <v>1</v>
      </c>
      <c r="DJ228" s="1040"/>
      <c r="DK228" s="1072"/>
      <c r="DL228" s="1994"/>
      <c r="DM228" s="1072"/>
      <c r="DN228" s="1994"/>
      <c r="DO228" s="1072"/>
      <c r="DP228" s="1975"/>
      <c r="DQ228" s="973">
        <v>1</v>
      </c>
      <c r="DR228" s="1042"/>
      <c r="DS228" s="1043"/>
      <c r="DT228" s="1039"/>
      <c r="DU228" s="1928"/>
      <c r="DV228" s="1929"/>
      <c r="DW228" s="973">
        <v>1</v>
      </c>
      <c r="DX228" s="1040"/>
      <c r="DY228" s="1043"/>
      <c r="DZ228" s="1039"/>
      <c r="EA228" s="1930"/>
      <c r="EB228" s="1931"/>
      <c r="EC228" s="1072"/>
      <c r="ED228" s="1975"/>
      <c r="EE228" s="973">
        <v>1</v>
      </c>
      <c r="EF228" s="1040"/>
      <c r="EG228" s="1072"/>
      <c r="EH228" s="2029"/>
      <c r="EI228" s="1043"/>
      <c r="EJ228" s="1039"/>
      <c r="EK228" s="2217"/>
      <c r="EL228" s="1931"/>
      <c r="EM228" s="2202">
        <f t="shared" ref="EM228:EM230" si="301">E228+S228+W228+AA228+AG228+AK228+AN228+AR228+AW228+BC228+BI228+BM228+BR228+BU228+CA228+CD228+CI228+CO228+CS228+CW228+DA228+DG228+DU228+EA228+EK228</f>
        <v>0</v>
      </c>
      <c r="EN228" s="1585">
        <f t="shared" ref="EN228:EN230" si="302">F228+H228+J228+L228+P228+T228+X228+AB228+AH228+AL228+AS228+AX228+BD228+BJ228+BN228+BP228+BV228+BX228+CB228+CJ228+CP228+CT228+CX228+DB228+DD228+DH228+DN228+DP228+DV228+EB228+ED228+EH228+EL228+DL228</f>
        <v>0</v>
      </c>
      <c r="EO228" s="1585">
        <f t="shared" ref="EO228:EO230" si="303">AQ228</f>
        <v>0</v>
      </c>
      <c r="EP228" s="1597">
        <f t="shared" si="240"/>
        <v>0</v>
      </c>
      <c r="EQ228" s="1162">
        <f t="shared" si="237"/>
        <v>0</v>
      </c>
      <c r="ER228" s="1785">
        <f t="shared" si="238"/>
        <v>0</v>
      </c>
      <c r="ES228" s="1785">
        <f t="shared" si="239"/>
        <v>0</v>
      </c>
      <c r="ET228" s="1070">
        <f t="shared" si="241"/>
        <v>0</v>
      </c>
    </row>
    <row r="229" spans="1:150" x14ac:dyDescent="0.25">
      <c r="A229" s="973">
        <v>2</v>
      </c>
      <c r="B229" s="1040"/>
      <c r="C229" s="1043"/>
      <c r="D229" s="1039"/>
      <c r="E229" s="1930"/>
      <c r="F229" s="1931"/>
      <c r="G229" s="1072"/>
      <c r="H229" s="1994"/>
      <c r="I229" s="1072"/>
      <c r="J229" s="1994"/>
      <c r="K229" s="1072"/>
      <c r="L229" s="2010"/>
      <c r="M229" s="973">
        <v>2</v>
      </c>
      <c r="N229" s="1040"/>
      <c r="O229" s="1072"/>
      <c r="P229" s="2029"/>
      <c r="Q229" s="1043"/>
      <c r="R229" s="1039"/>
      <c r="S229" s="1930"/>
      <c r="T229" s="1931"/>
      <c r="U229" s="1043"/>
      <c r="V229" s="1039"/>
      <c r="W229" s="1930"/>
      <c r="X229" s="1931"/>
      <c r="Y229" s="1043"/>
      <c r="Z229" s="1039"/>
      <c r="AA229" s="2074"/>
      <c r="AB229" s="1959"/>
      <c r="AC229" s="975">
        <v>2</v>
      </c>
      <c r="AD229" s="954"/>
      <c r="AE229" s="1043"/>
      <c r="AF229" s="1039"/>
      <c r="AG229" s="1930"/>
      <c r="AH229" s="1931"/>
      <c r="AI229" s="1043"/>
      <c r="AJ229" s="1039"/>
      <c r="AK229" s="1930"/>
      <c r="AL229" s="1931"/>
      <c r="AM229" s="1072"/>
      <c r="AN229" s="2029"/>
      <c r="AO229" s="1718"/>
      <c r="AP229" s="1075"/>
      <c r="AQ229" s="1076"/>
      <c r="AR229" s="2099"/>
      <c r="AS229" s="1444"/>
      <c r="AT229" s="2099"/>
      <c r="AU229" s="1043"/>
      <c r="AV229" s="1039"/>
      <c r="AW229" s="2040"/>
      <c r="AX229" s="1959"/>
      <c r="AY229" s="973">
        <v>2</v>
      </c>
      <c r="AZ229" s="1040"/>
      <c r="BA229" s="1043"/>
      <c r="BB229" s="1039"/>
      <c r="BC229" s="2040"/>
      <c r="BD229" s="1959"/>
      <c r="BE229" s="973">
        <v>2</v>
      </c>
      <c r="BF229" s="1040"/>
      <c r="BG229" s="1043"/>
      <c r="BH229" s="1039"/>
      <c r="BI229" s="1930"/>
      <c r="BJ229" s="1931"/>
      <c r="BK229" s="1043"/>
      <c r="BL229" s="1039"/>
      <c r="BM229" s="1930"/>
      <c r="BN229" s="1931"/>
      <c r="BO229" s="1072"/>
      <c r="BP229" s="1994"/>
      <c r="BQ229" s="1072"/>
      <c r="BR229" s="2029"/>
      <c r="BS229" s="1043"/>
      <c r="BT229" s="1039"/>
      <c r="BU229" s="1930"/>
      <c r="BV229" s="1931"/>
      <c r="BW229" s="1072"/>
      <c r="BX229" s="2029"/>
      <c r="BY229" s="1043"/>
      <c r="BZ229" s="1039"/>
      <c r="CA229" s="1930"/>
      <c r="CB229" s="1931"/>
      <c r="CC229" s="1860"/>
      <c r="CD229" s="2173"/>
      <c r="CE229" s="973">
        <v>2</v>
      </c>
      <c r="CF229" s="1040"/>
      <c r="CG229" s="1043"/>
      <c r="CH229" s="1039"/>
      <c r="CI229" s="1928"/>
      <c r="CJ229" s="1929"/>
      <c r="CK229" s="973">
        <v>2</v>
      </c>
      <c r="CL229" s="1040"/>
      <c r="CM229" s="1043"/>
      <c r="CN229" s="1039"/>
      <c r="CO229" s="1930"/>
      <c r="CP229" s="1931"/>
      <c r="CQ229" s="1043"/>
      <c r="CR229" s="1039"/>
      <c r="CS229" s="1930"/>
      <c r="CT229" s="1931"/>
      <c r="CU229" s="1043"/>
      <c r="CV229" s="1039"/>
      <c r="CW229" s="1930"/>
      <c r="CX229" s="1931"/>
      <c r="CY229" s="1043"/>
      <c r="CZ229" s="1039"/>
      <c r="DA229" s="1930"/>
      <c r="DB229" s="1931"/>
      <c r="DC229" s="1072"/>
      <c r="DD229" s="2029"/>
      <c r="DE229" s="1043"/>
      <c r="DF229" s="1039"/>
      <c r="DG229" s="2040"/>
      <c r="DH229" s="1959"/>
      <c r="DI229" s="975">
        <v>2</v>
      </c>
      <c r="DJ229" s="1040"/>
      <c r="DK229" s="1072"/>
      <c r="DL229" s="1994"/>
      <c r="DM229" s="1072"/>
      <c r="DN229" s="1994"/>
      <c r="DO229" s="1072"/>
      <c r="DP229" s="2010"/>
      <c r="DQ229" s="973">
        <v>2</v>
      </c>
      <c r="DR229" s="1042"/>
      <c r="DS229" s="1043"/>
      <c r="DT229" s="1039"/>
      <c r="DU229" s="1928"/>
      <c r="DV229" s="1929"/>
      <c r="DW229" s="973">
        <v>2</v>
      </c>
      <c r="DX229" s="1040"/>
      <c r="DY229" s="1043"/>
      <c r="DZ229" s="1039"/>
      <c r="EA229" s="1930"/>
      <c r="EB229" s="1931"/>
      <c r="EC229" s="1072"/>
      <c r="ED229" s="2010"/>
      <c r="EE229" s="973">
        <v>2</v>
      </c>
      <c r="EF229" s="1040"/>
      <c r="EG229" s="1072"/>
      <c r="EH229" s="2029"/>
      <c r="EI229" s="1043"/>
      <c r="EJ229" s="1039"/>
      <c r="EK229" s="2217"/>
      <c r="EL229" s="1931"/>
      <c r="EM229" s="2202">
        <f t="shared" si="301"/>
        <v>0</v>
      </c>
      <c r="EN229" s="1585">
        <f t="shared" si="302"/>
        <v>0</v>
      </c>
      <c r="EO229" s="1585">
        <f t="shared" si="303"/>
        <v>0</v>
      </c>
      <c r="EP229" s="1597">
        <f t="shared" si="240"/>
        <v>0</v>
      </c>
      <c r="EQ229" s="1162">
        <f t="shared" si="237"/>
        <v>0</v>
      </c>
      <c r="ER229" s="1785">
        <f t="shared" si="238"/>
        <v>0</v>
      </c>
      <c r="ES229" s="1785">
        <f t="shared" si="239"/>
        <v>0</v>
      </c>
      <c r="ET229" s="1070">
        <f t="shared" si="241"/>
        <v>0</v>
      </c>
    </row>
    <row r="230" spans="1:150" x14ac:dyDescent="0.25">
      <c r="A230" s="973">
        <v>3</v>
      </c>
      <c r="B230" s="1040"/>
      <c r="C230" s="1043"/>
      <c r="D230" s="1039"/>
      <c r="E230" s="1930"/>
      <c r="F230" s="1931"/>
      <c r="G230" s="1072"/>
      <c r="H230" s="1994"/>
      <c r="I230" s="1072"/>
      <c r="J230" s="1994"/>
      <c r="K230" s="1072"/>
      <c r="L230" s="2010"/>
      <c r="M230" s="973">
        <v>3</v>
      </c>
      <c r="N230" s="1040"/>
      <c r="O230" s="1072"/>
      <c r="P230" s="2029"/>
      <c r="Q230" s="1043"/>
      <c r="R230" s="1039"/>
      <c r="S230" s="1930"/>
      <c r="T230" s="1931"/>
      <c r="U230" s="1043"/>
      <c r="V230" s="1039"/>
      <c r="W230" s="1930"/>
      <c r="X230" s="1931"/>
      <c r="Y230" s="1043"/>
      <c r="Z230" s="1039"/>
      <c r="AA230" s="2062"/>
      <c r="AB230" s="1929"/>
      <c r="AC230" s="975">
        <v>3</v>
      </c>
      <c r="AD230" s="1040"/>
      <c r="AE230" s="1043"/>
      <c r="AF230" s="1039"/>
      <c r="AG230" s="1930"/>
      <c r="AH230" s="1931"/>
      <c r="AI230" s="1675">
        <v>1232768</v>
      </c>
      <c r="AJ230" s="1039"/>
      <c r="AK230" s="1930"/>
      <c r="AL230" s="1968">
        <f>tartalékok!C25</f>
        <v>761036</v>
      </c>
      <c r="AM230" s="1072"/>
      <c r="AN230" s="2029"/>
      <c r="AO230" s="1718"/>
      <c r="AP230" s="1075"/>
      <c r="AQ230" s="1076"/>
      <c r="AR230" s="2099"/>
      <c r="AS230" s="1444"/>
      <c r="AT230" s="2099"/>
      <c r="AU230" s="1043"/>
      <c r="AV230" s="1039"/>
      <c r="AW230" s="1928"/>
      <c r="AX230" s="1929"/>
      <c r="AY230" s="973">
        <v>3</v>
      </c>
      <c r="AZ230" s="1040"/>
      <c r="BA230" s="1043"/>
      <c r="BB230" s="1039"/>
      <c r="BC230" s="1928"/>
      <c r="BD230" s="1929"/>
      <c r="BE230" s="973">
        <v>3</v>
      </c>
      <c r="BF230" s="1040"/>
      <c r="BG230" s="1043"/>
      <c r="BH230" s="1039"/>
      <c r="BI230" s="1930"/>
      <c r="BJ230" s="1931"/>
      <c r="BK230" s="1043"/>
      <c r="BL230" s="1039"/>
      <c r="BM230" s="1930"/>
      <c r="BN230" s="1931"/>
      <c r="BO230" s="1072"/>
      <c r="BP230" s="1994"/>
      <c r="BQ230" s="1072"/>
      <c r="BR230" s="2029"/>
      <c r="BS230" s="1043"/>
      <c r="BT230" s="1039"/>
      <c r="BU230" s="1930"/>
      <c r="BV230" s="1931"/>
      <c r="BW230" s="1072"/>
      <c r="BX230" s="2029"/>
      <c r="BY230" s="1043"/>
      <c r="BZ230" s="1039"/>
      <c r="CA230" s="1930"/>
      <c r="CB230" s="1931"/>
      <c r="CC230" s="1749"/>
      <c r="CD230" s="2156"/>
      <c r="CE230" s="973">
        <v>3</v>
      </c>
      <c r="CF230" s="1040"/>
      <c r="CG230" s="1043"/>
      <c r="CH230" s="1039"/>
      <c r="CI230" s="1928"/>
      <c r="CJ230" s="1929"/>
      <c r="CK230" s="973">
        <v>3</v>
      </c>
      <c r="CL230" s="1040"/>
      <c r="CM230" s="1043"/>
      <c r="CN230" s="1039"/>
      <c r="CO230" s="1930"/>
      <c r="CP230" s="1931"/>
      <c r="CQ230" s="1043"/>
      <c r="CR230" s="1039"/>
      <c r="CS230" s="1930"/>
      <c r="CT230" s="1931"/>
      <c r="CU230" s="1043"/>
      <c r="CV230" s="1039"/>
      <c r="CW230" s="1930"/>
      <c r="CX230" s="1931"/>
      <c r="CY230" s="1043"/>
      <c r="CZ230" s="1039"/>
      <c r="DA230" s="1930"/>
      <c r="DB230" s="1931"/>
      <c r="DC230" s="1072"/>
      <c r="DD230" s="2029"/>
      <c r="DE230" s="1043"/>
      <c r="DF230" s="1039"/>
      <c r="DG230" s="1928"/>
      <c r="DH230" s="1929"/>
      <c r="DI230" s="975">
        <v>3</v>
      </c>
      <c r="DJ230" s="1040"/>
      <c r="DK230" s="1072"/>
      <c r="DL230" s="1994"/>
      <c r="DM230" s="1072"/>
      <c r="DN230" s="1994"/>
      <c r="DO230" s="1072"/>
      <c r="DP230" s="1975"/>
      <c r="DQ230" s="973">
        <v>3</v>
      </c>
      <c r="DR230" s="1042"/>
      <c r="DS230" s="1043"/>
      <c r="DT230" s="1039"/>
      <c r="DU230" s="1928"/>
      <c r="DV230" s="1929"/>
      <c r="DW230" s="973">
        <v>3</v>
      </c>
      <c r="DX230" s="1040"/>
      <c r="DY230" s="1043"/>
      <c r="DZ230" s="1039"/>
      <c r="EA230" s="1930"/>
      <c r="EB230" s="1931"/>
      <c r="EC230" s="1072"/>
      <c r="ED230" s="1975"/>
      <c r="EE230" s="973">
        <v>3</v>
      </c>
      <c r="EF230" s="1040"/>
      <c r="EG230" s="1072"/>
      <c r="EH230" s="2029"/>
      <c r="EI230" s="1043"/>
      <c r="EJ230" s="1039"/>
      <c r="EK230" s="2217"/>
      <c r="EL230" s="1931"/>
      <c r="EM230" s="2202">
        <f t="shared" si="301"/>
        <v>0</v>
      </c>
      <c r="EN230" s="1585">
        <f t="shared" si="302"/>
        <v>761036</v>
      </c>
      <c r="EO230" s="1585">
        <f t="shared" si="303"/>
        <v>0</v>
      </c>
      <c r="EP230" s="1597">
        <f t="shared" si="240"/>
        <v>761036</v>
      </c>
      <c r="EQ230" s="1162">
        <f t="shared" si="237"/>
        <v>1232768</v>
      </c>
      <c r="ER230" s="1785">
        <f t="shared" si="238"/>
        <v>0</v>
      </c>
      <c r="ES230" s="1785">
        <f t="shared" si="239"/>
        <v>0</v>
      </c>
      <c r="ET230" s="1070">
        <f t="shared" si="241"/>
        <v>1232768</v>
      </c>
    </row>
    <row r="231" spans="1:150" ht="19.95" customHeight="1" thickBot="1" x14ac:dyDescent="0.3">
      <c r="A231" s="968"/>
      <c r="B231" s="1081" t="s">
        <v>1679</v>
      </c>
      <c r="C231" s="1656">
        <f t="shared" ref="C231:L231" si="304">SUM(C227:C230)</f>
        <v>0</v>
      </c>
      <c r="D231" s="1642">
        <f t="shared" si="304"/>
        <v>0</v>
      </c>
      <c r="E231" s="1926">
        <f t="shared" si="304"/>
        <v>0</v>
      </c>
      <c r="F231" s="1927">
        <f t="shared" si="304"/>
        <v>0</v>
      </c>
      <c r="G231" s="1058">
        <f t="shared" si="304"/>
        <v>0</v>
      </c>
      <c r="H231" s="1992">
        <f t="shared" si="304"/>
        <v>0</v>
      </c>
      <c r="I231" s="1058">
        <f t="shared" si="304"/>
        <v>0</v>
      </c>
      <c r="J231" s="1992">
        <f t="shared" si="304"/>
        <v>0</v>
      </c>
      <c r="K231" s="1058">
        <f t="shared" si="304"/>
        <v>0</v>
      </c>
      <c r="L231" s="1992">
        <f t="shared" si="304"/>
        <v>0</v>
      </c>
      <c r="M231" s="968"/>
      <c r="N231" s="1081" t="s">
        <v>1679</v>
      </c>
      <c r="O231" s="1058">
        <f t="shared" ref="O231:AB231" si="305">SUM(O227:O230)</f>
        <v>0</v>
      </c>
      <c r="P231" s="1992">
        <f t="shared" si="305"/>
        <v>0</v>
      </c>
      <c r="Q231" s="1656">
        <f t="shared" si="305"/>
        <v>0</v>
      </c>
      <c r="R231" s="1642">
        <f t="shared" si="305"/>
        <v>0</v>
      </c>
      <c r="S231" s="1926">
        <f t="shared" si="305"/>
        <v>0</v>
      </c>
      <c r="T231" s="1927">
        <f t="shared" si="305"/>
        <v>0</v>
      </c>
      <c r="U231" s="1656">
        <f t="shared" si="305"/>
        <v>0</v>
      </c>
      <c r="V231" s="1642">
        <f t="shared" si="305"/>
        <v>0</v>
      </c>
      <c r="W231" s="1926">
        <f t="shared" si="305"/>
        <v>0</v>
      </c>
      <c r="X231" s="1927">
        <f t="shared" si="305"/>
        <v>0</v>
      </c>
      <c r="Y231" s="1656">
        <f t="shared" si="305"/>
        <v>0</v>
      </c>
      <c r="Z231" s="1642">
        <f t="shared" si="305"/>
        <v>0</v>
      </c>
      <c r="AA231" s="1926">
        <f t="shared" si="305"/>
        <v>0</v>
      </c>
      <c r="AB231" s="1927">
        <f t="shared" si="305"/>
        <v>0</v>
      </c>
      <c r="AC231" s="970"/>
      <c r="AD231" s="1081" t="s">
        <v>1679</v>
      </c>
      <c r="AE231" s="1656">
        <f t="shared" ref="AE231:AX231" si="306">SUM(AE227:AE230)</f>
        <v>0</v>
      </c>
      <c r="AF231" s="1642">
        <f t="shared" si="306"/>
        <v>0</v>
      </c>
      <c r="AG231" s="1926">
        <f t="shared" si="306"/>
        <v>0</v>
      </c>
      <c r="AH231" s="1927">
        <f t="shared" si="306"/>
        <v>0</v>
      </c>
      <c r="AI231" s="1656">
        <f t="shared" si="306"/>
        <v>1232768</v>
      </c>
      <c r="AJ231" s="1642">
        <f t="shared" si="306"/>
        <v>0</v>
      </c>
      <c r="AK231" s="1926">
        <f t="shared" si="306"/>
        <v>0</v>
      </c>
      <c r="AL231" s="1927">
        <f t="shared" si="306"/>
        <v>761036</v>
      </c>
      <c r="AM231" s="1058">
        <f t="shared" si="306"/>
        <v>0</v>
      </c>
      <c r="AN231" s="1992">
        <f t="shared" si="306"/>
        <v>0</v>
      </c>
      <c r="AO231" s="1043">
        <f t="shared" si="306"/>
        <v>0</v>
      </c>
      <c r="AP231" s="1858">
        <f t="shared" si="306"/>
        <v>0</v>
      </c>
      <c r="AQ231" s="1041">
        <f t="shared" si="306"/>
        <v>0</v>
      </c>
      <c r="AR231" s="2029">
        <f t="shared" si="306"/>
        <v>0</v>
      </c>
      <c r="AS231" s="2124">
        <f t="shared" si="306"/>
        <v>0</v>
      </c>
      <c r="AT231" s="2125">
        <f t="shared" si="306"/>
        <v>0</v>
      </c>
      <c r="AU231" s="1656">
        <f t="shared" si="306"/>
        <v>0</v>
      </c>
      <c r="AV231" s="1642">
        <f t="shared" si="306"/>
        <v>0</v>
      </c>
      <c r="AW231" s="1926">
        <f t="shared" si="306"/>
        <v>0</v>
      </c>
      <c r="AX231" s="1927">
        <f t="shared" si="306"/>
        <v>0</v>
      </c>
      <c r="AY231" s="968"/>
      <c r="AZ231" s="1081" t="s">
        <v>1679</v>
      </c>
      <c r="BA231" s="1656">
        <f t="shared" ref="BA231:BD231" si="307">SUM(BA227:BA230)</f>
        <v>0</v>
      </c>
      <c r="BB231" s="1642">
        <f t="shared" si="307"/>
        <v>0</v>
      </c>
      <c r="BC231" s="1926">
        <f t="shared" si="307"/>
        <v>0</v>
      </c>
      <c r="BD231" s="1927">
        <f t="shared" si="307"/>
        <v>0</v>
      </c>
      <c r="BE231" s="968"/>
      <c r="BF231" s="1081" t="s">
        <v>1679</v>
      </c>
      <c r="BG231" s="1656">
        <f t="shared" ref="BG231:CD231" si="308">SUM(BG227:BG230)</f>
        <v>0</v>
      </c>
      <c r="BH231" s="1642">
        <f t="shared" si="308"/>
        <v>0</v>
      </c>
      <c r="BI231" s="1926">
        <f t="shared" si="308"/>
        <v>0</v>
      </c>
      <c r="BJ231" s="1927">
        <f t="shared" si="308"/>
        <v>0</v>
      </c>
      <c r="BK231" s="1656">
        <f t="shared" si="308"/>
        <v>0</v>
      </c>
      <c r="BL231" s="1642">
        <f t="shared" si="308"/>
        <v>0</v>
      </c>
      <c r="BM231" s="1926">
        <f t="shared" si="308"/>
        <v>0</v>
      </c>
      <c r="BN231" s="1927">
        <f t="shared" si="308"/>
        <v>0</v>
      </c>
      <c r="BO231" s="1058">
        <f t="shared" si="308"/>
        <v>0</v>
      </c>
      <c r="BP231" s="1992">
        <f t="shared" si="308"/>
        <v>0</v>
      </c>
      <c r="BQ231" s="1058">
        <f t="shared" si="308"/>
        <v>0</v>
      </c>
      <c r="BR231" s="1992">
        <f t="shared" si="308"/>
        <v>0</v>
      </c>
      <c r="BS231" s="1656">
        <f t="shared" si="308"/>
        <v>0</v>
      </c>
      <c r="BT231" s="1642">
        <f t="shared" si="308"/>
        <v>0</v>
      </c>
      <c r="BU231" s="1926">
        <f t="shared" si="308"/>
        <v>0</v>
      </c>
      <c r="BV231" s="1927">
        <f t="shared" si="308"/>
        <v>0</v>
      </c>
      <c r="BW231" s="1058">
        <f t="shared" si="308"/>
        <v>0</v>
      </c>
      <c r="BX231" s="1992">
        <f t="shared" si="308"/>
        <v>0</v>
      </c>
      <c r="BY231" s="1656">
        <f t="shared" si="308"/>
        <v>0</v>
      </c>
      <c r="BZ231" s="1642">
        <f t="shared" si="308"/>
        <v>0</v>
      </c>
      <c r="CA231" s="1926">
        <f t="shared" si="308"/>
        <v>0</v>
      </c>
      <c r="CB231" s="1927">
        <f t="shared" si="308"/>
        <v>0</v>
      </c>
      <c r="CC231" s="1705">
        <f t="shared" si="308"/>
        <v>0</v>
      </c>
      <c r="CD231" s="2159">
        <f t="shared" si="308"/>
        <v>0</v>
      </c>
      <c r="CE231" s="968"/>
      <c r="CF231" s="1081" t="s">
        <v>1679</v>
      </c>
      <c r="CG231" s="1656">
        <f t="shared" ref="CG231:CJ231" si="309">SUM(CG227:CG230)</f>
        <v>0</v>
      </c>
      <c r="CH231" s="1642">
        <f t="shared" si="309"/>
        <v>0</v>
      </c>
      <c r="CI231" s="1926">
        <f t="shared" si="309"/>
        <v>0</v>
      </c>
      <c r="CJ231" s="1927">
        <f t="shared" si="309"/>
        <v>0</v>
      </c>
      <c r="CK231" s="968"/>
      <c r="CL231" s="1081" t="s">
        <v>1679</v>
      </c>
      <c r="CM231" s="1656">
        <f t="shared" ref="CM231:DH231" si="310">SUM(CM227:CM230)</f>
        <v>0</v>
      </c>
      <c r="CN231" s="1642">
        <f t="shared" si="310"/>
        <v>0</v>
      </c>
      <c r="CO231" s="1926">
        <f t="shared" si="310"/>
        <v>0</v>
      </c>
      <c r="CP231" s="1927">
        <f t="shared" si="310"/>
        <v>0</v>
      </c>
      <c r="CQ231" s="1656">
        <f t="shared" si="310"/>
        <v>0</v>
      </c>
      <c r="CR231" s="1642">
        <f t="shared" si="310"/>
        <v>0</v>
      </c>
      <c r="CS231" s="1926">
        <f t="shared" si="310"/>
        <v>0</v>
      </c>
      <c r="CT231" s="1927">
        <f t="shared" si="310"/>
        <v>0</v>
      </c>
      <c r="CU231" s="1656">
        <f t="shared" si="310"/>
        <v>0</v>
      </c>
      <c r="CV231" s="1642">
        <f t="shared" si="310"/>
        <v>0</v>
      </c>
      <c r="CW231" s="1926">
        <f t="shared" si="310"/>
        <v>0</v>
      </c>
      <c r="CX231" s="1927">
        <f t="shared" si="310"/>
        <v>0</v>
      </c>
      <c r="CY231" s="1656">
        <f t="shared" si="310"/>
        <v>0</v>
      </c>
      <c r="CZ231" s="1642">
        <f t="shared" si="310"/>
        <v>0</v>
      </c>
      <c r="DA231" s="1926">
        <f t="shared" si="310"/>
        <v>0</v>
      </c>
      <c r="DB231" s="1927">
        <f t="shared" si="310"/>
        <v>0</v>
      </c>
      <c r="DC231" s="1058">
        <f t="shared" si="310"/>
        <v>0</v>
      </c>
      <c r="DD231" s="1992">
        <f t="shared" si="310"/>
        <v>0</v>
      </c>
      <c r="DE231" s="1656">
        <f t="shared" si="310"/>
        <v>0</v>
      </c>
      <c r="DF231" s="1642">
        <f t="shared" si="310"/>
        <v>0</v>
      </c>
      <c r="DG231" s="1926">
        <f t="shared" si="310"/>
        <v>0</v>
      </c>
      <c r="DH231" s="1927">
        <f t="shared" si="310"/>
        <v>0</v>
      </c>
      <c r="DI231" s="970"/>
      <c r="DJ231" s="1081" t="s">
        <v>1679</v>
      </c>
      <c r="DK231" s="1058">
        <f t="shared" ref="DK231:DL231" si="311">SUM(DK227:DK230)</f>
        <v>0</v>
      </c>
      <c r="DL231" s="1992">
        <f t="shared" si="311"/>
        <v>0</v>
      </c>
      <c r="DM231" s="1058">
        <f t="shared" ref="DM231:DP231" si="312">SUM(DM227:DM230)</f>
        <v>0</v>
      </c>
      <c r="DN231" s="1992">
        <f t="shared" si="312"/>
        <v>0</v>
      </c>
      <c r="DO231" s="1058">
        <f t="shared" si="312"/>
        <v>0</v>
      </c>
      <c r="DP231" s="1992">
        <f t="shared" si="312"/>
        <v>0</v>
      </c>
      <c r="DQ231" s="968"/>
      <c r="DR231" s="1082" t="s">
        <v>1679</v>
      </c>
      <c r="DS231" s="1656">
        <f t="shared" ref="DS231:DV231" si="313">SUM(DS227:DS230)</f>
        <v>0</v>
      </c>
      <c r="DT231" s="1642">
        <f t="shared" si="313"/>
        <v>0</v>
      </c>
      <c r="DU231" s="1926">
        <f t="shared" si="313"/>
        <v>0</v>
      </c>
      <c r="DV231" s="1927">
        <f t="shared" si="313"/>
        <v>0</v>
      </c>
      <c r="DW231" s="968"/>
      <c r="DX231" s="1081" t="s">
        <v>1679</v>
      </c>
      <c r="DY231" s="1656">
        <f t="shared" ref="DY231:ED231" si="314">SUM(DY227:DY230)</f>
        <v>0</v>
      </c>
      <c r="DZ231" s="1642">
        <f t="shared" si="314"/>
        <v>0</v>
      </c>
      <c r="EA231" s="1926">
        <f t="shared" si="314"/>
        <v>0</v>
      </c>
      <c r="EB231" s="1927">
        <f t="shared" si="314"/>
        <v>0</v>
      </c>
      <c r="EC231" s="1058">
        <f t="shared" si="314"/>
        <v>0</v>
      </c>
      <c r="ED231" s="1992">
        <f t="shared" si="314"/>
        <v>0</v>
      </c>
      <c r="EE231" s="968"/>
      <c r="EF231" s="1081" t="s">
        <v>1679</v>
      </c>
      <c r="EG231" s="1058">
        <f t="shared" ref="EG231:EO231" si="315">SUM(EG227:EG230)</f>
        <v>0</v>
      </c>
      <c r="EH231" s="1992">
        <f t="shared" si="315"/>
        <v>0</v>
      </c>
      <c r="EI231" s="1656">
        <f t="shared" si="315"/>
        <v>0</v>
      </c>
      <c r="EJ231" s="1642">
        <f t="shared" si="315"/>
        <v>0</v>
      </c>
      <c r="EK231" s="1926">
        <f t="shared" si="315"/>
        <v>0</v>
      </c>
      <c r="EL231" s="1927">
        <f t="shared" si="315"/>
        <v>0</v>
      </c>
      <c r="EM231" s="1927">
        <f t="shared" si="315"/>
        <v>0</v>
      </c>
      <c r="EN231" s="1927">
        <f t="shared" si="315"/>
        <v>761036</v>
      </c>
      <c r="EO231" s="1927">
        <f t="shared" si="315"/>
        <v>0</v>
      </c>
      <c r="EP231" s="1962">
        <f t="shared" si="240"/>
        <v>761036</v>
      </c>
      <c r="EQ231" s="1707">
        <f t="shared" si="237"/>
        <v>1232768</v>
      </c>
      <c r="ER231" s="1786">
        <f t="shared" si="238"/>
        <v>0</v>
      </c>
      <c r="ES231" s="1786">
        <f t="shared" si="239"/>
        <v>0</v>
      </c>
      <c r="ET231" s="1061">
        <f t="shared" si="241"/>
        <v>1232768</v>
      </c>
    </row>
    <row r="232" spans="1:150" ht="28.5" customHeight="1" thickBot="1" x14ac:dyDescent="0.3">
      <c r="A232" s="2545" t="s">
        <v>1680</v>
      </c>
      <c r="B232" s="2546"/>
      <c r="C232" s="1640">
        <f t="shared" ref="C232:L232" si="316">SUM(C208+C202+C183+C231+C215+C226)</f>
        <v>0</v>
      </c>
      <c r="D232" s="1389">
        <f t="shared" si="316"/>
        <v>0</v>
      </c>
      <c r="E232" s="1953">
        <f t="shared" si="316"/>
        <v>0</v>
      </c>
      <c r="F232" s="1594">
        <f t="shared" si="316"/>
        <v>0</v>
      </c>
      <c r="G232" s="1100">
        <f t="shared" si="316"/>
        <v>0</v>
      </c>
      <c r="H232" s="2007">
        <f t="shared" si="316"/>
        <v>0</v>
      </c>
      <c r="I232" s="1100">
        <f t="shared" si="316"/>
        <v>0</v>
      </c>
      <c r="J232" s="2007">
        <f t="shared" si="316"/>
        <v>0</v>
      </c>
      <c r="K232" s="1100">
        <f t="shared" si="316"/>
        <v>0</v>
      </c>
      <c r="L232" s="2007">
        <f t="shared" si="316"/>
        <v>0</v>
      </c>
      <c r="M232" s="2545" t="s">
        <v>1680</v>
      </c>
      <c r="N232" s="2546"/>
      <c r="O232" s="1100">
        <f t="shared" ref="O232:AB232" si="317">SUM(O208+O202+O183+O231+O215+O226)</f>
        <v>3630</v>
      </c>
      <c r="P232" s="2007">
        <f t="shared" si="317"/>
        <v>2000</v>
      </c>
      <c r="Q232" s="1640">
        <f t="shared" si="317"/>
        <v>0</v>
      </c>
      <c r="R232" s="1389">
        <f t="shared" si="317"/>
        <v>0</v>
      </c>
      <c r="S232" s="1953">
        <f t="shared" si="317"/>
        <v>0</v>
      </c>
      <c r="T232" s="1594">
        <f t="shared" si="317"/>
        <v>0</v>
      </c>
      <c r="U232" s="1640">
        <f t="shared" si="317"/>
        <v>0</v>
      </c>
      <c r="V232" s="1389">
        <f t="shared" si="317"/>
        <v>0</v>
      </c>
      <c r="W232" s="1953">
        <f t="shared" si="317"/>
        <v>0</v>
      </c>
      <c r="X232" s="1594">
        <f t="shared" si="317"/>
        <v>0</v>
      </c>
      <c r="Y232" s="1640">
        <f t="shared" si="317"/>
        <v>0</v>
      </c>
      <c r="Z232" s="1389">
        <f t="shared" si="317"/>
        <v>0</v>
      </c>
      <c r="AA232" s="1953">
        <f t="shared" si="317"/>
        <v>0</v>
      </c>
      <c r="AB232" s="1594">
        <f t="shared" si="317"/>
        <v>0</v>
      </c>
      <c r="AC232" s="2547" t="s">
        <v>1680</v>
      </c>
      <c r="AD232" s="2546"/>
      <c r="AE232" s="1640">
        <f t="shared" ref="AE232:AX232" si="318">SUM(AE208+AE202+AE183+AE231+AE215+AE226)</f>
        <v>0</v>
      </c>
      <c r="AF232" s="1389">
        <f t="shared" si="318"/>
        <v>0</v>
      </c>
      <c r="AG232" s="1953">
        <f t="shared" si="318"/>
        <v>0</v>
      </c>
      <c r="AH232" s="1594">
        <f t="shared" si="318"/>
        <v>0</v>
      </c>
      <c r="AI232" s="1640">
        <f t="shared" si="318"/>
        <v>1232768</v>
      </c>
      <c r="AJ232" s="1389">
        <f t="shared" si="318"/>
        <v>0</v>
      </c>
      <c r="AK232" s="1953">
        <f t="shared" si="318"/>
        <v>0</v>
      </c>
      <c r="AL232" s="1594">
        <f t="shared" si="318"/>
        <v>761036</v>
      </c>
      <c r="AM232" s="1100">
        <f t="shared" si="318"/>
        <v>0</v>
      </c>
      <c r="AN232" s="2007">
        <f t="shared" si="318"/>
        <v>0</v>
      </c>
      <c r="AO232" s="1640">
        <f t="shared" si="318"/>
        <v>0</v>
      </c>
      <c r="AP232" s="1375">
        <f t="shared" si="318"/>
        <v>0</v>
      </c>
      <c r="AQ232" s="1623">
        <f t="shared" si="318"/>
        <v>0</v>
      </c>
      <c r="AR232" s="1953">
        <f t="shared" si="318"/>
        <v>0</v>
      </c>
      <c r="AS232" s="1429">
        <f t="shared" si="318"/>
        <v>0</v>
      </c>
      <c r="AT232" s="2117">
        <f t="shared" si="318"/>
        <v>0</v>
      </c>
      <c r="AU232" s="1640">
        <f t="shared" si="318"/>
        <v>0</v>
      </c>
      <c r="AV232" s="1389">
        <f t="shared" si="318"/>
        <v>0</v>
      </c>
      <c r="AW232" s="1953">
        <f t="shared" si="318"/>
        <v>0</v>
      </c>
      <c r="AX232" s="1594">
        <f t="shared" si="318"/>
        <v>0</v>
      </c>
      <c r="AY232" s="2545" t="s">
        <v>1680</v>
      </c>
      <c r="AZ232" s="2546"/>
      <c r="BA232" s="1640">
        <f t="shared" ref="BA232:BD232" si="319">SUM(BA208+BA202+BA183+BA231+BA215+BA226)</f>
        <v>0</v>
      </c>
      <c r="BB232" s="1389">
        <f t="shared" si="319"/>
        <v>0</v>
      </c>
      <c r="BC232" s="1953">
        <f t="shared" si="319"/>
        <v>0</v>
      </c>
      <c r="BD232" s="1594">
        <f t="shared" si="319"/>
        <v>0</v>
      </c>
      <c r="BE232" s="2545" t="s">
        <v>1680</v>
      </c>
      <c r="BF232" s="2546"/>
      <c r="BG232" s="1640">
        <f t="shared" ref="BG232:BV232" si="320">SUM(BG208+BG202+BG183+BG231+BG215+BG226)</f>
        <v>15240</v>
      </c>
      <c r="BH232" s="1389">
        <f t="shared" si="320"/>
        <v>0</v>
      </c>
      <c r="BI232" s="1953">
        <f t="shared" si="320"/>
        <v>0</v>
      </c>
      <c r="BJ232" s="1594">
        <f t="shared" si="320"/>
        <v>0</v>
      </c>
      <c r="BK232" s="1640">
        <f t="shared" si="320"/>
        <v>0</v>
      </c>
      <c r="BL232" s="1389">
        <f t="shared" si="320"/>
        <v>1500</v>
      </c>
      <c r="BM232" s="1953">
        <f t="shared" si="320"/>
        <v>0</v>
      </c>
      <c r="BN232" s="1594">
        <f t="shared" si="320"/>
        <v>0</v>
      </c>
      <c r="BO232" s="1100">
        <f t="shared" si="320"/>
        <v>0</v>
      </c>
      <c r="BP232" s="2007">
        <f t="shared" si="320"/>
        <v>0</v>
      </c>
      <c r="BQ232" s="1100">
        <f t="shared" si="320"/>
        <v>0</v>
      </c>
      <c r="BR232" s="2007">
        <f t="shared" si="320"/>
        <v>0</v>
      </c>
      <c r="BS232" s="1640">
        <f t="shared" si="320"/>
        <v>0</v>
      </c>
      <c r="BT232" s="1389">
        <f t="shared" si="320"/>
        <v>0</v>
      </c>
      <c r="BU232" s="1953">
        <f t="shared" si="320"/>
        <v>0</v>
      </c>
      <c r="BV232" s="1594">
        <f t="shared" si="320"/>
        <v>0</v>
      </c>
      <c r="BW232" s="1100">
        <f>SUM(BW208+BW202+BW183+BW231+BW215+BW226)</f>
        <v>0</v>
      </c>
      <c r="BX232" s="2007">
        <f>SUM(BX208+BX202+BX183+BX231+BX215+BX226)</f>
        <v>1800</v>
      </c>
      <c r="BY232" s="1640">
        <f t="shared" ref="BY232:CD232" si="321">SUM(BY208+BY202+BY183+BY231+BY215+BY226)</f>
        <v>0</v>
      </c>
      <c r="BZ232" s="1389">
        <f t="shared" si="321"/>
        <v>0</v>
      </c>
      <c r="CA232" s="1953">
        <f t="shared" si="321"/>
        <v>0</v>
      </c>
      <c r="CB232" s="1594">
        <f t="shared" si="321"/>
        <v>0</v>
      </c>
      <c r="CC232" s="1397">
        <f t="shared" si="321"/>
        <v>16000</v>
      </c>
      <c r="CD232" s="2176">
        <f t="shared" si="321"/>
        <v>0</v>
      </c>
      <c r="CE232" s="2545" t="s">
        <v>1680</v>
      </c>
      <c r="CF232" s="2546"/>
      <c r="CG232" s="1640">
        <f t="shared" ref="CG232:CJ232" si="322">SUM(CG208+CG202+CG183+CG231+CG215+CG226)</f>
        <v>0</v>
      </c>
      <c r="CH232" s="1389">
        <f t="shared" si="322"/>
        <v>35000</v>
      </c>
      <c r="CI232" s="1953">
        <f t="shared" si="322"/>
        <v>18500</v>
      </c>
      <c r="CJ232" s="1594">
        <f t="shared" si="322"/>
        <v>0</v>
      </c>
      <c r="CK232" s="2545" t="s">
        <v>1680</v>
      </c>
      <c r="CL232" s="2546"/>
      <c r="CM232" s="1640">
        <f t="shared" ref="CM232:DH232" si="323">SUM(CM208+CM202+CM183+CM231+CM215+CM226)</f>
        <v>0</v>
      </c>
      <c r="CN232" s="1389">
        <f t="shared" si="323"/>
        <v>0</v>
      </c>
      <c r="CO232" s="1953">
        <f t="shared" si="323"/>
        <v>0</v>
      </c>
      <c r="CP232" s="1594">
        <f t="shared" si="323"/>
        <v>2413473</v>
      </c>
      <c r="CQ232" s="1640">
        <f t="shared" si="323"/>
        <v>0</v>
      </c>
      <c r="CR232" s="1389">
        <f t="shared" si="323"/>
        <v>0</v>
      </c>
      <c r="CS232" s="1953">
        <f t="shared" si="323"/>
        <v>0</v>
      </c>
      <c r="CT232" s="1594">
        <f t="shared" si="323"/>
        <v>0</v>
      </c>
      <c r="CU232" s="1640">
        <f t="shared" si="323"/>
        <v>0</v>
      </c>
      <c r="CV232" s="1389">
        <f t="shared" si="323"/>
        <v>0</v>
      </c>
      <c r="CW232" s="1953">
        <f t="shared" si="323"/>
        <v>0</v>
      </c>
      <c r="CX232" s="1594">
        <f t="shared" si="323"/>
        <v>57025</v>
      </c>
      <c r="CY232" s="1640">
        <f t="shared" si="323"/>
        <v>0</v>
      </c>
      <c r="CZ232" s="1389">
        <f t="shared" si="323"/>
        <v>0</v>
      </c>
      <c r="DA232" s="1953">
        <f t="shared" si="323"/>
        <v>145300</v>
      </c>
      <c r="DB232" s="1594">
        <f t="shared" si="323"/>
        <v>633005</v>
      </c>
      <c r="DC232" s="1100">
        <f t="shared" si="323"/>
        <v>1000000</v>
      </c>
      <c r="DD232" s="2007">
        <f t="shared" si="323"/>
        <v>300000</v>
      </c>
      <c r="DE232" s="1640">
        <f t="shared" si="323"/>
        <v>0</v>
      </c>
      <c r="DF232" s="1389">
        <f t="shared" si="323"/>
        <v>0</v>
      </c>
      <c r="DG232" s="1953">
        <f t="shared" si="323"/>
        <v>0</v>
      </c>
      <c r="DH232" s="1594">
        <f t="shared" si="323"/>
        <v>0</v>
      </c>
      <c r="DI232" s="2547" t="s">
        <v>1680</v>
      </c>
      <c r="DJ232" s="2546"/>
      <c r="DK232" s="1100">
        <f t="shared" ref="DK232:DL232" si="324">SUM(DK208+DK202+DK183+DK231+DK215+DK226)</f>
        <v>0</v>
      </c>
      <c r="DL232" s="2007">
        <f t="shared" si="324"/>
        <v>1296740</v>
      </c>
      <c r="DM232" s="1100">
        <f t="shared" ref="DM232:DP232" si="325">SUM(DM208+DM202+DM183+DM231+DM215+DM226)</f>
        <v>0</v>
      </c>
      <c r="DN232" s="2007">
        <f t="shared" si="325"/>
        <v>48241</v>
      </c>
      <c r="DO232" s="1100">
        <f t="shared" si="325"/>
        <v>0</v>
      </c>
      <c r="DP232" s="2007">
        <f t="shared" si="325"/>
        <v>508963</v>
      </c>
      <c r="DQ232" s="2545" t="s">
        <v>1680</v>
      </c>
      <c r="DR232" s="2547"/>
      <c r="DS232" s="1640">
        <f t="shared" ref="DS232:DV232" si="326">SUM(DS208+DS202+DS183+DS231+DS215+DS226)</f>
        <v>0</v>
      </c>
      <c r="DT232" s="1389">
        <f t="shared" si="326"/>
        <v>1800</v>
      </c>
      <c r="DU232" s="1953">
        <f t="shared" si="326"/>
        <v>0</v>
      </c>
      <c r="DV232" s="1594">
        <f t="shared" si="326"/>
        <v>2200</v>
      </c>
      <c r="DW232" s="2545" t="s">
        <v>1680</v>
      </c>
      <c r="DX232" s="2546"/>
      <c r="DY232" s="1640">
        <f t="shared" ref="DY232:ED232" si="327">SUM(DY208+DY202+DY183+DY231+DY215+DY226)</f>
        <v>0</v>
      </c>
      <c r="DZ232" s="1389">
        <f t="shared" si="327"/>
        <v>0</v>
      </c>
      <c r="EA232" s="1953">
        <f t="shared" si="327"/>
        <v>0</v>
      </c>
      <c r="EB232" s="1594">
        <f t="shared" si="327"/>
        <v>0</v>
      </c>
      <c r="EC232" s="1100">
        <f t="shared" si="327"/>
        <v>0</v>
      </c>
      <c r="ED232" s="2007">
        <f t="shared" si="327"/>
        <v>0</v>
      </c>
      <c r="EE232" s="2545" t="s">
        <v>1680</v>
      </c>
      <c r="EF232" s="2546"/>
      <c r="EG232" s="1100">
        <f t="shared" ref="EG232:EO232" si="328">SUM(EG208+EG202+EG183+EG231+EG215+EG226)</f>
        <v>0</v>
      </c>
      <c r="EH232" s="2007">
        <f t="shared" si="328"/>
        <v>0</v>
      </c>
      <c r="EI232" s="1640">
        <f t="shared" si="328"/>
        <v>0</v>
      </c>
      <c r="EJ232" s="1389">
        <f t="shared" si="328"/>
        <v>35000</v>
      </c>
      <c r="EK232" s="1953">
        <f t="shared" si="328"/>
        <v>0</v>
      </c>
      <c r="EL232" s="1594">
        <f t="shared" si="328"/>
        <v>0</v>
      </c>
      <c r="EM232" s="1594">
        <f t="shared" si="328"/>
        <v>163800</v>
      </c>
      <c r="EN232" s="1594">
        <f t="shared" si="328"/>
        <v>6024483</v>
      </c>
      <c r="EO232" s="1594">
        <f t="shared" si="328"/>
        <v>0</v>
      </c>
      <c r="EP232" s="2223">
        <f t="shared" si="240"/>
        <v>6188283</v>
      </c>
      <c r="EQ232" s="1791">
        <f t="shared" si="237"/>
        <v>1264008</v>
      </c>
      <c r="ER232" s="1770">
        <f t="shared" si="238"/>
        <v>1076930</v>
      </c>
      <c r="ES232" s="1770">
        <f t="shared" si="239"/>
        <v>0</v>
      </c>
      <c r="ET232" s="1417">
        <f t="shared" si="241"/>
        <v>2340938</v>
      </c>
    </row>
    <row r="233" spans="1:150" ht="30" customHeight="1" x14ac:dyDescent="0.25">
      <c r="A233" s="1044"/>
      <c r="B233" s="1117" t="s">
        <v>1681</v>
      </c>
      <c r="C233" s="1661"/>
      <c r="D233" s="1064"/>
      <c r="E233" s="1938"/>
      <c r="F233" s="1939"/>
      <c r="G233" s="1065"/>
      <c r="H233" s="1998"/>
      <c r="I233" s="1065"/>
      <c r="J233" s="1998"/>
      <c r="K233" s="1065"/>
      <c r="L233" s="2033"/>
      <c r="M233" s="1044"/>
      <c r="N233" s="1117" t="s">
        <v>1681</v>
      </c>
      <c r="O233" s="1065"/>
      <c r="P233" s="2033"/>
      <c r="Q233" s="1661"/>
      <c r="R233" s="1064"/>
      <c r="S233" s="1938"/>
      <c r="T233" s="1939"/>
      <c r="U233" s="1661"/>
      <c r="V233" s="1064"/>
      <c r="W233" s="1938"/>
      <c r="X233" s="1939"/>
      <c r="Y233" s="1661"/>
      <c r="Z233" s="1064"/>
      <c r="AA233" s="2067"/>
      <c r="AB233" s="1939"/>
      <c r="AC233" s="1118"/>
      <c r="AD233" s="1117" t="s">
        <v>1681</v>
      </c>
      <c r="AE233" s="1661"/>
      <c r="AF233" s="1064"/>
      <c r="AG233" s="1938"/>
      <c r="AH233" s="1939"/>
      <c r="AI233" s="1661"/>
      <c r="AJ233" s="1064"/>
      <c r="AK233" s="1938"/>
      <c r="AL233" s="1939"/>
      <c r="AM233" s="1065"/>
      <c r="AN233" s="2033"/>
      <c r="AO233" s="1873"/>
      <c r="AP233" s="1067"/>
      <c r="AQ233" s="1068"/>
      <c r="AR233" s="2103"/>
      <c r="AS233" s="1493"/>
      <c r="AT233" s="2103"/>
      <c r="AU233" s="1661"/>
      <c r="AV233" s="1064"/>
      <c r="AW233" s="1938"/>
      <c r="AX233" s="1939"/>
      <c r="AY233" s="1044"/>
      <c r="AZ233" s="1117" t="s">
        <v>1681</v>
      </c>
      <c r="BA233" s="1661"/>
      <c r="BB233" s="1064"/>
      <c r="BC233" s="1938"/>
      <c r="BD233" s="1939"/>
      <c r="BE233" s="1044"/>
      <c r="BF233" s="1117" t="s">
        <v>1681</v>
      </c>
      <c r="BG233" s="1661"/>
      <c r="BH233" s="1064"/>
      <c r="BI233" s="1938"/>
      <c r="BJ233" s="1939"/>
      <c r="BK233" s="1661"/>
      <c r="BL233" s="1064"/>
      <c r="BM233" s="1938"/>
      <c r="BN233" s="1939"/>
      <c r="BO233" s="1065"/>
      <c r="BP233" s="1998"/>
      <c r="BQ233" s="1065"/>
      <c r="BR233" s="2033"/>
      <c r="BS233" s="1661"/>
      <c r="BT233" s="1064"/>
      <c r="BU233" s="1938"/>
      <c r="BV233" s="1939"/>
      <c r="BW233" s="1065"/>
      <c r="BX233" s="2033"/>
      <c r="BY233" s="1661"/>
      <c r="BZ233" s="1064"/>
      <c r="CA233" s="1938"/>
      <c r="CB233" s="1939"/>
      <c r="CC233" s="1755"/>
      <c r="CD233" s="2163"/>
      <c r="CE233" s="1044"/>
      <c r="CF233" s="1117" t="s">
        <v>1681</v>
      </c>
      <c r="CG233" s="1661"/>
      <c r="CH233" s="1064"/>
      <c r="CI233" s="1938"/>
      <c r="CJ233" s="1939"/>
      <c r="CK233" s="1044"/>
      <c r="CL233" s="1117" t="s">
        <v>1681</v>
      </c>
      <c r="CM233" s="1661"/>
      <c r="CN233" s="1064"/>
      <c r="CO233" s="1938"/>
      <c r="CP233" s="1939"/>
      <c r="CQ233" s="1661"/>
      <c r="CR233" s="1064"/>
      <c r="CS233" s="1938"/>
      <c r="CT233" s="1939"/>
      <c r="CU233" s="1661"/>
      <c r="CV233" s="1064"/>
      <c r="CW233" s="1938"/>
      <c r="CX233" s="1939"/>
      <c r="CY233" s="1661"/>
      <c r="CZ233" s="1064"/>
      <c r="DA233" s="1938"/>
      <c r="DB233" s="1939"/>
      <c r="DC233" s="1065"/>
      <c r="DD233" s="2033"/>
      <c r="DE233" s="1661"/>
      <c r="DF233" s="1064"/>
      <c r="DG233" s="1938"/>
      <c r="DH233" s="1939"/>
      <c r="DI233" s="1118"/>
      <c r="DJ233" s="1117" t="s">
        <v>1681</v>
      </c>
      <c r="DK233" s="1065"/>
      <c r="DL233" s="1998"/>
      <c r="DM233" s="1065"/>
      <c r="DN233" s="1998"/>
      <c r="DO233" s="1065"/>
      <c r="DP233" s="2033"/>
      <c r="DQ233" s="1044"/>
      <c r="DR233" s="1119" t="s">
        <v>1681</v>
      </c>
      <c r="DS233" s="1661"/>
      <c r="DT233" s="1064"/>
      <c r="DU233" s="1938"/>
      <c r="DV233" s="1939"/>
      <c r="DW233" s="1044"/>
      <c r="DX233" s="1117" t="s">
        <v>1681</v>
      </c>
      <c r="DY233" s="1661"/>
      <c r="DZ233" s="1064"/>
      <c r="EA233" s="1938"/>
      <c r="EB233" s="1939"/>
      <c r="EC233" s="1065"/>
      <c r="ED233" s="2033"/>
      <c r="EE233" s="1044"/>
      <c r="EF233" s="1117" t="s">
        <v>1681</v>
      </c>
      <c r="EG233" s="1065"/>
      <c r="EH233" s="2033"/>
      <c r="EI233" s="1661"/>
      <c r="EJ233" s="1064"/>
      <c r="EK233" s="2233"/>
      <c r="EL233" s="1939"/>
      <c r="EM233" s="2234"/>
      <c r="EN233" s="1596"/>
      <c r="EO233" s="1596"/>
      <c r="EP233" s="1596">
        <f t="shared" ref="EP233" si="329">SUM(EM233:EO233)</f>
        <v>0</v>
      </c>
      <c r="EQ233" s="1729">
        <f t="shared" si="237"/>
        <v>0</v>
      </c>
      <c r="ER233" s="1797">
        <f t="shared" si="238"/>
        <v>0</v>
      </c>
      <c r="ES233" s="1797">
        <f t="shared" si="239"/>
        <v>0</v>
      </c>
      <c r="ET233" s="1798">
        <f t="shared" si="241"/>
        <v>0</v>
      </c>
    </row>
    <row r="234" spans="1:150" x14ac:dyDescent="0.25">
      <c r="A234" s="1120">
        <v>1</v>
      </c>
      <c r="B234" s="1121"/>
      <c r="C234" s="1672"/>
      <c r="D234" s="1634"/>
      <c r="E234" s="1958"/>
      <c r="F234" s="1959"/>
      <c r="G234" s="1696"/>
      <c r="H234" s="2010"/>
      <c r="I234" s="1696"/>
      <c r="J234" s="2010"/>
      <c r="K234" s="1696"/>
      <c r="L234" s="2040"/>
      <c r="M234" s="1120">
        <v>1</v>
      </c>
      <c r="N234" s="1121"/>
      <c r="O234" s="1696"/>
      <c r="P234" s="2040"/>
      <c r="Q234" s="1672"/>
      <c r="R234" s="1634"/>
      <c r="S234" s="1958"/>
      <c r="T234" s="1959"/>
      <c r="U234" s="1672"/>
      <c r="V234" s="1634"/>
      <c r="W234" s="1958"/>
      <c r="X234" s="1959"/>
      <c r="Y234" s="1672"/>
      <c r="Z234" s="1634"/>
      <c r="AA234" s="2074"/>
      <c r="AB234" s="1959"/>
      <c r="AC234" s="1121">
        <v>1</v>
      </c>
      <c r="AD234" s="1095" t="s">
        <v>1585</v>
      </c>
      <c r="AE234" s="1672"/>
      <c r="AF234" s="1634"/>
      <c r="AG234" s="1958"/>
      <c r="AH234" s="1959"/>
      <c r="AI234" s="1672"/>
      <c r="AJ234" s="1634"/>
      <c r="AK234" s="1958"/>
      <c r="AL234" s="1959"/>
      <c r="AM234" s="1696"/>
      <c r="AN234" s="2040"/>
      <c r="AO234" s="1879"/>
      <c r="AP234" s="1262"/>
      <c r="AQ234" s="1728"/>
      <c r="AR234" s="2122"/>
      <c r="AS234" s="1552"/>
      <c r="AT234" s="2122"/>
      <c r="AU234" s="1672"/>
      <c r="AV234" s="1634"/>
      <c r="AW234" s="1958"/>
      <c r="AX234" s="1959"/>
      <c r="AY234" s="1120">
        <v>1</v>
      </c>
      <c r="AZ234" s="1121"/>
      <c r="BA234" s="1672"/>
      <c r="BB234" s="1634"/>
      <c r="BC234" s="1958"/>
      <c r="BD234" s="1959"/>
      <c r="BE234" s="1120">
        <v>1</v>
      </c>
      <c r="BF234" s="1121"/>
      <c r="BG234" s="1672"/>
      <c r="BH234" s="1634"/>
      <c r="BI234" s="1958"/>
      <c r="BJ234" s="1959"/>
      <c r="BK234" s="1672"/>
      <c r="BL234" s="1634"/>
      <c r="BM234" s="1958"/>
      <c r="BN234" s="1959"/>
      <c r="BO234" s="1696"/>
      <c r="BP234" s="2010"/>
      <c r="BQ234" s="1696"/>
      <c r="BR234" s="2040"/>
      <c r="BS234" s="1672"/>
      <c r="BT234" s="1634"/>
      <c r="BU234" s="1958"/>
      <c r="BV234" s="1959"/>
      <c r="BW234" s="1696"/>
      <c r="BX234" s="2040"/>
      <c r="BY234" s="1672"/>
      <c r="BZ234" s="1634"/>
      <c r="CA234" s="1958"/>
      <c r="CB234" s="1959"/>
      <c r="CC234" s="1763"/>
      <c r="CD234" s="2174"/>
      <c r="CE234" s="1120">
        <v>1</v>
      </c>
      <c r="CF234" s="1121"/>
      <c r="CG234" s="1672"/>
      <c r="CH234" s="1634"/>
      <c r="CI234" s="1958"/>
      <c r="CJ234" s="1959"/>
      <c r="CK234" s="1120">
        <v>1</v>
      </c>
      <c r="CL234" s="1121"/>
      <c r="CM234" s="1672"/>
      <c r="CN234" s="1634"/>
      <c r="CO234" s="1958"/>
      <c r="CP234" s="1959"/>
      <c r="CQ234" s="1672"/>
      <c r="CR234" s="1634"/>
      <c r="CS234" s="1958"/>
      <c r="CT234" s="1959"/>
      <c r="CU234" s="1672"/>
      <c r="CV234" s="1634"/>
      <c r="CW234" s="1958"/>
      <c r="CX234" s="1959"/>
      <c r="CY234" s="1672"/>
      <c r="CZ234" s="1634"/>
      <c r="DA234" s="1958"/>
      <c r="DB234" s="1959"/>
      <c r="DC234" s="1696"/>
      <c r="DD234" s="2040"/>
      <c r="DE234" s="1672"/>
      <c r="DF234" s="1634"/>
      <c r="DG234" s="1958"/>
      <c r="DH234" s="1959"/>
      <c r="DI234" s="1121">
        <v>1</v>
      </c>
      <c r="DJ234" s="1121"/>
      <c r="DK234" s="1696"/>
      <c r="DL234" s="2010"/>
      <c r="DM234" s="1696"/>
      <c r="DN234" s="2010"/>
      <c r="DO234" s="1696"/>
      <c r="DP234" s="2040"/>
      <c r="DQ234" s="1120">
        <v>1</v>
      </c>
      <c r="DR234" s="1123"/>
      <c r="DS234" s="1672"/>
      <c r="DT234" s="1634"/>
      <c r="DU234" s="1958"/>
      <c r="DV234" s="1959"/>
      <c r="DW234" s="1120">
        <v>1</v>
      </c>
      <c r="DX234" s="1121"/>
      <c r="DY234" s="1672"/>
      <c r="DZ234" s="1634"/>
      <c r="EA234" s="1958"/>
      <c r="EB234" s="1959"/>
      <c r="EC234" s="1696"/>
      <c r="ED234" s="2040"/>
      <c r="EE234" s="1120">
        <v>1</v>
      </c>
      <c r="EF234" s="1121"/>
      <c r="EG234" s="1696"/>
      <c r="EH234" s="2040"/>
      <c r="EI234" s="1672"/>
      <c r="EJ234" s="1634"/>
      <c r="EK234" s="2232"/>
      <c r="EL234" s="1959"/>
      <c r="EM234" s="2202">
        <f t="shared" ref="EM234:EM236" si="330">E234+S234+W234+AA234+AG234+AK234+AN234+AR234+AW234+BC234+BI234+BM234+BR234+BU234+CA234+CD234+CI234+CO234+CS234+CW234+DA234+DG234+DU234+EA234+EK234</f>
        <v>0</v>
      </c>
      <c r="EN234" s="1585">
        <f t="shared" ref="EN234:EN236" si="331">F234+H234+J234+L234+P234+T234+X234+AB234+AH234+AL234+AS234+AX234+BD234+BJ234+BN234+BP234+BV234+BX234+CB234+CJ234+CP234+CT234+CX234+DB234+DD234+DH234+DN234+DP234+DV234+EB234+ED234+EH234+EL234+DL234</f>
        <v>0</v>
      </c>
      <c r="EO234" s="1585">
        <f t="shared" ref="EO234:EO236" si="332">AQ234</f>
        <v>0</v>
      </c>
      <c r="EP234" s="1596">
        <f t="shared" si="240"/>
        <v>0</v>
      </c>
      <c r="EQ234" s="1729">
        <f t="shared" si="237"/>
        <v>0</v>
      </c>
      <c r="ER234" s="1797">
        <f t="shared" si="238"/>
        <v>0</v>
      </c>
      <c r="ES234" s="1797">
        <f t="shared" si="239"/>
        <v>0</v>
      </c>
      <c r="ET234" s="1798">
        <f t="shared" si="241"/>
        <v>0</v>
      </c>
    </row>
    <row r="235" spans="1:150" x14ac:dyDescent="0.25">
      <c r="A235" s="1120">
        <v>2</v>
      </c>
      <c r="B235" s="1121"/>
      <c r="C235" s="1672"/>
      <c r="D235" s="1634"/>
      <c r="E235" s="1958"/>
      <c r="F235" s="1959"/>
      <c r="G235" s="1696"/>
      <c r="H235" s="2010"/>
      <c r="I235" s="1696"/>
      <c r="J235" s="2010"/>
      <c r="K235" s="1696"/>
      <c r="L235" s="2040"/>
      <c r="M235" s="1120">
        <v>2</v>
      </c>
      <c r="N235" s="1121"/>
      <c r="O235" s="1696"/>
      <c r="P235" s="2040"/>
      <c r="Q235" s="1672"/>
      <c r="R235" s="1634"/>
      <c r="S235" s="1958"/>
      <c r="T235" s="1959"/>
      <c r="U235" s="1672"/>
      <c r="V235" s="1634"/>
      <c r="W235" s="1958"/>
      <c r="X235" s="1959"/>
      <c r="Y235" s="1672"/>
      <c r="Z235" s="1634"/>
      <c r="AA235" s="2074"/>
      <c r="AB235" s="1959"/>
      <c r="AC235" s="1121">
        <v>2</v>
      </c>
      <c r="AD235" s="1097" t="s">
        <v>1682</v>
      </c>
      <c r="AE235" s="1672"/>
      <c r="AF235" s="1634"/>
      <c r="AG235" s="1958"/>
      <c r="AH235" s="1959"/>
      <c r="AI235" s="1672"/>
      <c r="AJ235" s="1634"/>
      <c r="AK235" s="1958"/>
      <c r="AL235" s="1959"/>
      <c r="AM235" s="1696"/>
      <c r="AN235" s="2040"/>
      <c r="AO235" s="1880"/>
      <c r="AP235" s="1302"/>
      <c r="AQ235" s="1730"/>
      <c r="AR235" s="2126"/>
      <c r="AS235" s="1550"/>
      <c r="AT235" s="2126"/>
      <c r="AU235" s="1672"/>
      <c r="AV235" s="1634"/>
      <c r="AW235" s="1958"/>
      <c r="AX235" s="1959"/>
      <c r="AY235" s="1120">
        <v>2</v>
      </c>
      <c r="AZ235" s="1121"/>
      <c r="BA235" s="1672"/>
      <c r="BB235" s="1634"/>
      <c r="BC235" s="1958"/>
      <c r="BD235" s="1959"/>
      <c r="BE235" s="1120">
        <v>2</v>
      </c>
      <c r="BF235" s="1121"/>
      <c r="BG235" s="1672"/>
      <c r="BH235" s="1634"/>
      <c r="BI235" s="1958"/>
      <c r="BJ235" s="1959"/>
      <c r="BK235" s="1672"/>
      <c r="BL235" s="1634"/>
      <c r="BM235" s="1958"/>
      <c r="BN235" s="1959"/>
      <c r="BO235" s="1696"/>
      <c r="BP235" s="2010"/>
      <c r="BQ235" s="1696"/>
      <c r="BR235" s="2040"/>
      <c r="BS235" s="1672"/>
      <c r="BT235" s="1634"/>
      <c r="BU235" s="1958"/>
      <c r="BV235" s="1959"/>
      <c r="BW235" s="1696"/>
      <c r="BX235" s="2040"/>
      <c r="BY235" s="1672"/>
      <c r="BZ235" s="1634"/>
      <c r="CA235" s="1958"/>
      <c r="CB235" s="1959"/>
      <c r="CC235" s="1763"/>
      <c r="CD235" s="2174"/>
      <c r="CE235" s="1120">
        <v>2</v>
      </c>
      <c r="CF235" s="1121"/>
      <c r="CG235" s="1672"/>
      <c r="CH235" s="1634"/>
      <c r="CI235" s="1958"/>
      <c r="CJ235" s="1959"/>
      <c r="CK235" s="1120">
        <v>2</v>
      </c>
      <c r="CL235" s="1121"/>
      <c r="CM235" s="1672"/>
      <c r="CN235" s="1634"/>
      <c r="CO235" s="1958"/>
      <c r="CP235" s="1959"/>
      <c r="CQ235" s="1672"/>
      <c r="CR235" s="1634"/>
      <c r="CS235" s="1958"/>
      <c r="CT235" s="1959"/>
      <c r="CU235" s="1672"/>
      <c r="CV235" s="1634"/>
      <c r="CW235" s="1958"/>
      <c r="CX235" s="1959"/>
      <c r="CY235" s="1672"/>
      <c r="CZ235" s="1634"/>
      <c r="DA235" s="1958"/>
      <c r="DB235" s="1959"/>
      <c r="DC235" s="1696"/>
      <c r="DD235" s="2040"/>
      <c r="DE235" s="1672"/>
      <c r="DF235" s="1634"/>
      <c r="DG235" s="1958"/>
      <c r="DH235" s="1959"/>
      <c r="DI235" s="1121">
        <v>2</v>
      </c>
      <c r="DJ235" s="1121"/>
      <c r="DK235" s="1696"/>
      <c r="DL235" s="2010"/>
      <c r="DM235" s="1696"/>
      <c r="DN235" s="2010"/>
      <c r="DO235" s="1696"/>
      <c r="DP235" s="2040"/>
      <c r="DQ235" s="1120">
        <v>2</v>
      </c>
      <c r="DR235" s="1123"/>
      <c r="DS235" s="1672"/>
      <c r="DT235" s="1634"/>
      <c r="DU235" s="1958"/>
      <c r="DV235" s="1959"/>
      <c r="DW235" s="1120">
        <v>2</v>
      </c>
      <c r="DX235" s="1121"/>
      <c r="DY235" s="1672"/>
      <c r="DZ235" s="1634"/>
      <c r="EA235" s="1958"/>
      <c r="EB235" s="1959"/>
      <c r="EC235" s="1696"/>
      <c r="ED235" s="2040"/>
      <c r="EE235" s="1120">
        <v>2</v>
      </c>
      <c r="EF235" s="1121"/>
      <c r="EG235" s="1696"/>
      <c r="EH235" s="2040"/>
      <c r="EI235" s="1672"/>
      <c r="EJ235" s="1634"/>
      <c r="EK235" s="2232"/>
      <c r="EL235" s="1959"/>
      <c r="EM235" s="2202">
        <f t="shared" si="330"/>
        <v>0</v>
      </c>
      <c r="EN235" s="1585">
        <f t="shared" si="331"/>
        <v>0</v>
      </c>
      <c r="EO235" s="1585">
        <f t="shared" si="332"/>
        <v>0</v>
      </c>
      <c r="EP235" s="1596">
        <f t="shared" si="240"/>
        <v>0</v>
      </c>
      <c r="EQ235" s="1729">
        <f t="shared" si="237"/>
        <v>0</v>
      </c>
      <c r="ER235" s="1797">
        <f t="shared" si="238"/>
        <v>0</v>
      </c>
      <c r="ES235" s="1797">
        <f t="shared" si="239"/>
        <v>0</v>
      </c>
      <c r="ET235" s="1798">
        <f t="shared" si="241"/>
        <v>0</v>
      </c>
    </row>
    <row r="236" spans="1:150" x14ac:dyDescent="0.25">
      <c r="A236" s="1120">
        <v>3</v>
      </c>
      <c r="B236" s="1121"/>
      <c r="C236" s="1672"/>
      <c r="D236" s="1634"/>
      <c r="E236" s="1958"/>
      <c r="F236" s="1959"/>
      <c r="G236" s="1696"/>
      <c r="H236" s="2010"/>
      <c r="I236" s="1696"/>
      <c r="J236" s="2010"/>
      <c r="K236" s="1696"/>
      <c r="L236" s="2040"/>
      <c r="M236" s="1120">
        <v>3</v>
      </c>
      <c r="N236" s="1121"/>
      <c r="O236" s="1696"/>
      <c r="P236" s="2040"/>
      <c r="Q236" s="1672"/>
      <c r="R236" s="1634"/>
      <c r="S236" s="1958"/>
      <c r="T236" s="1959"/>
      <c r="U236" s="1672"/>
      <c r="V236" s="1634"/>
      <c r="W236" s="1958"/>
      <c r="X236" s="1959"/>
      <c r="Y236" s="1672"/>
      <c r="Z236" s="1634"/>
      <c r="AA236" s="2074"/>
      <c r="AB236" s="1959"/>
      <c r="AC236" s="1121">
        <v>3</v>
      </c>
      <c r="AD236" s="1121"/>
      <c r="AE236" s="1672"/>
      <c r="AF236" s="1634"/>
      <c r="AG236" s="1958"/>
      <c r="AH236" s="1959"/>
      <c r="AI236" s="1672"/>
      <c r="AJ236" s="1634"/>
      <c r="AK236" s="1958"/>
      <c r="AL236" s="1959"/>
      <c r="AM236" s="1696"/>
      <c r="AN236" s="2040"/>
      <c r="AO236" s="1879"/>
      <c r="AP236" s="1262"/>
      <c r="AQ236" s="1728"/>
      <c r="AR236" s="2126">
        <f>'címrend kötelező'!J59</f>
        <v>67047</v>
      </c>
      <c r="AS236" s="1550">
        <f>'címrend önként'!J59</f>
        <v>1874</v>
      </c>
      <c r="AT236" s="2126">
        <f>'címrend államig'!J59</f>
        <v>0</v>
      </c>
      <c r="AU236" s="1672"/>
      <c r="AV236" s="1634"/>
      <c r="AW236" s="1958"/>
      <c r="AX236" s="1959"/>
      <c r="AY236" s="1120">
        <v>3</v>
      </c>
      <c r="AZ236" s="1121"/>
      <c r="BA236" s="1672"/>
      <c r="BB236" s="1634"/>
      <c r="BC236" s="1958"/>
      <c r="BD236" s="1959"/>
      <c r="BE236" s="1120">
        <v>3</v>
      </c>
      <c r="BF236" s="1121"/>
      <c r="BG236" s="1672"/>
      <c r="BH236" s="1634"/>
      <c r="BI236" s="1958"/>
      <c r="BJ236" s="1959"/>
      <c r="BK236" s="1672"/>
      <c r="BL236" s="1634"/>
      <c r="BM236" s="1958"/>
      <c r="BN236" s="1959"/>
      <c r="BO236" s="1696"/>
      <c r="BP236" s="2010"/>
      <c r="BQ236" s="1696"/>
      <c r="BR236" s="2040"/>
      <c r="BS236" s="1672"/>
      <c r="BT236" s="1634"/>
      <c r="BU236" s="1958"/>
      <c r="BV236" s="1959"/>
      <c r="BW236" s="1696"/>
      <c r="BX236" s="2040"/>
      <c r="BY236" s="1672"/>
      <c r="BZ236" s="1634"/>
      <c r="CA236" s="1958"/>
      <c r="CB236" s="1959"/>
      <c r="CC236" s="1763"/>
      <c r="CD236" s="2174"/>
      <c r="CE236" s="1120">
        <v>3</v>
      </c>
      <c r="CF236" s="1121"/>
      <c r="CG236" s="1672"/>
      <c r="CH236" s="1634"/>
      <c r="CI236" s="1958"/>
      <c r="CJ236" s="1959"/>
      <c r="CK236" s="1120">
        <v>3</v>
      </c>
      <c r="CL236" s="1121"/>
      <c r="CM236" s="1672"/>
      <c r="CN236" s="1634"/>
      <c r="CO236" s="1958"/>
      <c r="CP236" s="1959"/>
      <c r="CQ236" s="1672"/>
      <c r="CR236" s="1634"/>
      <c r="CS236" s="1958"/>
      <c r="CT236" s="1959"/>
      <c r="CU236" s="1672"/>
      <c r="CV236" s="1634"/>
      <c r="CW236" s="1958"/>
      <c r="CX236" s="1959"/>
      <c r="CY236" s="1672"/>
      <c r="CZ236" s="1634"/>
      <c r="DA236" s="1958"/>
      <c r="DB236" s="1959"/>
      <c r="DC236" s="1696"/>
      <c r="DD236" s="2040"/>
      <c r="DE236" s="1672"/>
      <c r="DF236" s="1634"/>
      <c r="DG236" s="1958"/>
      <c r="DH236" s="1959"/>
      <c r="DI236" s="1121">
        <v>3</v>
      </c>
      <c r="DJ236" s="1121"/>
      <c r="DK236" s="1696"/>
      <c r="DL236" s="2010"/>
      <c r="DM236" s="1696"/>
      <c r="DN236" s="2010"/>
      <c r="DO236" s="1696"/>
      <c r="DP236" s="2040"/>
      <c r="DQ236" s="1120">
        <v>3</v>
      </c>
      <c r="DR236" s="1123"/>
      <c r="DS236" s="1672"/>
      <c r="DT236" s="1634"/>
      <c r="DU236" s="1958"/>
      <c r="DV236" s="1959"/>
      <c r="DW236" s="1120">
        <v>3</v>
      </c>
      <c r="DX236" s="1121"/>
      <c r="DY236" s="1672"/>
      <c r="DZ236" s="1634"/>
      <c r="EA236" s="1958"/>
      <c r="EB236" s="1959"/>
      <c r="EC236" s="1696"/>
      <c r="ED236" s="2040"/>
      <c r="EE236" s="1120">
        <v>3</v>
      </c>
      <c r="EF236" s="1121"/>
      <c r="EG236" s="1696"/>
      <c r="EH236" s="2040"/>
      <c r="EI236" s="1672"/>
      <c r="EJ236" s="1634"/>
      <c r="EK236" s="2232"/>
      <c r="EL236" s="1959"/>
      <c r="EM236" s="2202">
        <f t="shared" si="330"/>
        <v>67047</v>
      </c>
      <c r="EN236" s="1585">
        <f t="shared" si="331"/>
        <v>1874</v>
      </c>
      <c r="EO236" s="1585">
        <f t="shared" si="332"/>
        <v>0</v>
      </c>
      <c r="EP236" s="1596">
        <f t="shared" si="240"/>
        <v>68921</v>
      </c>
      <c r="EQ236" s="1729">
        <f t="shared" si="237"/>
        <v>0</v>
      </c>
      <c r="ER236" s="1797">
        <f t="shared" si="238"/>
        <v>0</v>
      </c>
      <c r="ES236" s="1797">
        <f t="shared" si="239"/>
        <v>0</v>
      </c>
      <c r="ET236" s="1798">
        <f t="shared" si="241"/>
        <v>0</v>
      </c>
    </row>
    <row r="237" spans="1:150" ht="19.95" customHeight="1" thickBot="1" x14ac:dyDescent="0.3">
      <c r="A237" s="1124"/>
      <c r="B237" s="1125" t="s">
        <v>1587</v>
      </c>
      <c r="C237" s="1656">
        <f t="shared" ref="C237:L237" si="333">SUM(C233:C236)</f>
        <v>0</v>
      </c>
      <c r="D237" s="1642">
        <f t="shared" si="333"/>
        <v>0</v>
      </c>
      <c r="E237" s="1926">
        <f t="shared" si="333"/>
        <v>0</v>
      </c>
      <c r="F237" s="1927">
        <f t="shared" si="333"/>
        <v>0</v>
      </c>
      <c r="G237" s="1058">
        <f t="shared" si="333"/>
        <v>0</v>
      </c>
      <c r="H237" s="1992">
        <f t="shared" si="333"/>
        <v>0</v>
      </c>
      <c r="I237" s="1058">
        <f t="shared" si="333"/>
        <v>0</v>
      </c>
      <c r="J237" s="1992">
        <f t="shared" si="333"/>
        <v>0</v>
      </c>
      <c r="K237" s="1058">
        <f t="shared" si="333"/>
        <v>0</v>
      </c>
      <c r="L237" s="1992">
        <f t="shared" si="333"/>
        <v>0</v>
      </c>
      <c r="M237" s="1124"/>
      <c r="N237" s="1125" t="s">
        <v>1587</v>
      </c>
      <c r="O237" s="1058">
        <f t="shared" ref="O237:AB237" si="334">SUM(O233:O236)</f>
        <v>0</v>
      </c>
      <c r="P237" s="1992">
        <f t="shared" si="334"/>
        <v>0</v>
      </c>
      <c r="Q237" s="1656">
        <f t="shared" si="334"/>
        <v>0</v>
      </c>
      <c r="R237" s="1642">
        <f t="shared" si="334"/>
        <v>0</v>
      </c>
      <c r="S237" s="1926">
        <f t="shared" si="334"/>
        <v>0</v>
      </c>
      <c r="T237" s="1927">
        <f t="shared" si="334"/>
        <v>0</v>
      </c>
      <c r="U237" s="1656">
        <f t="shared" si="334"/>
        <v>0</v>
      </c>
      <c r="V237" s="1642">
        <f t="shared" si="334"/>
        <v>0</v>
      </c>
      <c r="W237" s="1926">
        <f t="shared" si="334"/>
        <v>0</v>
      </c>
      <c r="X237" s="1927">
        <f t="shared" si="334"/>
        <v>0</v>
      </c>
      <c r="Y237" s="1656">
        <f t="shared" si="334"/>
        <v>0</v>
      </c>
      <c r="Z237" s="1642">
        <f t="shared" si="334"/>
        <v>0</v>
      </c>
      <c r="AA237" s="1926">
        <f t="shared" si="334"/>
        <v>0</v>
      </c>
      <c r="AB237" s="1927">
        <f t="shared" si="334"/>
        <v>0</v>
      </c>
      <c r="AC237" s="1126"/>
      <c r="AD237" s="1125" t="s">
        <v>1587</v>
      </c>
      <c r="AE237" s="1656">
        <f t="shared" ref="AE237:AX237" si="335">SUM(AE233:AE236)</f>
        <v>0</v>
      </c>
      <c r="AF237" s="1642">
        <f t="shared" si="335"/>
        <v>0</v>
      </c>
      <c r="AG237" s="1926">
        <f t="shared" si="335"/>
        <v>0</v>
      </c>
      <c r="AH237" s="1927">
        <f t="shared" si="335"/>
        <v>0</v>
      </c>
      <c r="AI237" s="1656">
        <f t="shared" si="335"/>
        <v>0</v>
      </c>
      <c r="AJ237" s="1642">
        <f t="shared" si="335"/>
        <v>0</v>
      </c>
      <c r="AK237" s="1926">
        <f t="shared" si="335"/>
        <v>0</v>
      </c>
      <c r="AL237" s="1927">
        <f t="shared" si="335"/>
        <v>0</v>
      </c>
      <c r="AM237" s="1058">
        <f t="shared" si="335"/>
        <v>0</v>
      </c>
      <c r="AN237" s="1992">
        <f t="shared" si="335"/>
        <v>0</v>
      </c>
      <c r="AO237" s="1656">
        <f t="shared" si="335"/>
        <v>0</v>
      </c>
      <c r="AP237" s="1854">
        <f t="shared" si="335"/>
        <v>0</v>
      </c>
      <c r="AQ237" s="1030">
        <f t="shared" si="335"/>
        <v>0</v>
      </c>
      <c r="AR237" s="1926">
        <f t="shared" si="335"/>
        <v>67047</v>
      </c>
      <c r="AS237" s="2096">
        <f t="shared" si="335"/>
        <v>1874</v>
      </c>
      <c r="AT237" s="2097">
        <f t="shared" si="335"/>
        <v>0</v>
      </c>
      <c r="AU237" s="1656">
        <f t="shared" si="335"/>
        <v>0</v>
      </c>
      <c r="AV237" s="1642">
        <f t="shared" si="335"/>
        <v>0</v>
      </c>
      <c r="AW237" s="1926">
        <f t="shared" si="335"/>
        <v>0</v>
      </c>
      <c r="AX237" s="1927">
        <f t="shared" si="335"/>
        <v>0</v>
      </c>
      <c r="AY237" s="1124"/>
      <c r="AZ237" s="1125" t="s">
        <v>1587</v>
      </c>
      <c r="BA237" s="1656">
        <f t="shared" ref="BA237:BD237" si="336">SUM(BA233:BA236)</f>
        <v>0</v>
      </c>
      <c r="BB237" s="1642">
        <f t="shared" si="336"/>
        <v>0</v>
      </c>
      <c r="BC237" s="1926">
        <f t="shared" si="336"/>
        <v>0</v>
      </c>
      <c r="BD237" s="1927">
        <f t="shared" si="336"/>
        <v>0</v>
      </c>
      <c r="BE237" s="1124"/>
      <c r="BF237" s="1125" t="s">
        <v>1587</v>
      </c>
      <c r="BG237" s="1656">
        <f t="shared" ref="BG237:CD237" si="337">SUM(BG233:BG236)</f>
        <v>0</v>
      </c>
      <c r="BH237" s="1642">
        <f t="shared" si="337"/>
        <v>0</v>
      </c>
      <c r="BI237" s="1926">
        <f t="shared" si="337"/>
        <v>0</v>
      </c>
      <c r="BJ237" s="1927">
        <f t="shared" si="337"/>
        <v>0</v>
      </c>
      <c r="BK237" s="1656">
        <f t="shared" si="337"/>
        <v>0</v>
      </c>
      <c r="BL237" s="1642">
        <f t="shared" si="337"/>
        <v>0</v>
      </c>
      <c r="BM237" s="1926">
        <f t="shared" si="337"/>
        <v>0</v>
      </c>
      <c r="BN237" s="1927">
        <f t="shared" si="337"/>
        <v>0</v>
      </c>
      <c r="BO237" s="1058">
        <f t="shared" si="337"/>
        <v>0</v>
      </c>
      <c r="BP237" s="1992">
        <f t="shared" si="337"/>
        <v>0</v>
      </c>
      <c r="BQ237" s="1058">
        <f t="shared" si="337"/>
        <v>0</v>
      </c>
      <c r="BR237" s="1992">
        <f t="shared" si="337"/>
        <v>0</v>
      </c>
      <c r="BS237" s="1656">
        <f t="shared" si="337"/>
        <v>0</v>
      </c>
      <c r="BT237" s="1642">
        <f t="shared" si="337"/>
        <v>0</v>
      </c>
      <c r="BU237" s="1926">
        <f t="shared" si="337"/>
        <v>0</v>
      </c>
      <c r="BV237" s="1927">
        <f t="shared" si="337"/>
        <v>0</v>
      </c>
      <c r="BW237" s="1058">
        <f t="shared" si="337"/>
        <v>0</v>
      </c>
      <c r="BX237" s="1992">
        <f t="shared" si="337"/>
        <v>0</v>
      </c>
      <c r="BY237" s="1656">
        <f t="shared" si="337"/>
        <v>0</v>
      </c>
      <c r="BZ237" s="1642">
        <f t="shared" si="337"/>
        <v>0</v>
      </c>
      <c r="CA237" s="1926">
        <f t="shared" si="337"/>
        <v>0</v>
      </c>
      <c r="CB237" s="1927">
        <f t="shared" si="337"/>
        <v>0</v>
      </c>
      <c r="CC237" s="1705">
        <f t="shared" si="337"/>
        <v>0</v>
      </c>
      <c r="CD237" s="2159">
        <f t="shared" si="337"/>
        <v>0</v>
      </c>
      <c r="CE237" s="1124"/>
      <c r="CF237" s="1125" t="s">
        <v>1587</v>
      </c>
      <c r="CG237" s="1656">
        <f t="shared" ref="CG237:CJ237" si="338">SUM(CG233:CG236)</f>
        <v>0</v>
      </c>
      <c r="CH237" s="1642">
        <f t="shared" si="338"/>
        <v>0</v>
      </c>
      <c r="CI237" s="1926">
        <f t="shared" si="338"/>
        <v>0</v>
      </c>
      <c r="CJ237" s="1927">
        <f t="shared" si="338"/>
        <v>0</v>
      </c>
      <c r="CK237" s="1124"/>
      <c r="CL237" s="1125" t="s">
        <v>1587</v>
      </c>
      <c r="CM237" s="1656">
        <f t="shared" ref="CM237:DH237" si="339">SUM(CM233:CM236)</f>
        <v>0</v>
      </c>
      <c r="CN237" s="1642">
        <f t="shared" si="339"/>
        <v>0</v>
      </c>
      <c r="CO237" s="1926">
        <f t="shared" si="339"/>
        <v>0</v>
      </c>
      <c r="CP237" s="1927">
        <f t="shared" si="339"/>
        <v>0</v>
      </c>
      <c r="CQ237" s="1656">
        <f t="shared" si="339"/>
        <v>0</v>
      </c>
      <c r="CR237" s="1642">
        <f t="shared" si="339"/>
        <v>0</v>
      </c>
      <c r="CS237" s="1926">
        <f t="shared" si="339"/>
        <v>0</v>
      </c>
      <c r="CT237" s="1927">
        <f t="shared" si="339"/>
        <v>0</v>
      </c>
      <c r="CU237" s="1656">
        <f t="shared" si="339"/>
        <v>0</v>
      </c>
      <c r="CV237" s="1642">
        <f t="shared" si="339"/>
        <v>0</v>
      </c>
      <c r="CW237" s="1926">
        <f t="shared" si="339"/>
        <v>0</v>
      </c>
      <c r="CX237" s="1927">
        <f t="shared" si="339"/>
        <v>0</v>
      </c>
      <c r="CY237" s="1656">
        <f t="shared" si="339"/>
        <v>0</v>
      </c>
      <c r="CZ237" s="1642">
        <f t="shared" si="339"/>
        <v>0</v>
      </c>
      <c r="DA237" s="1926">
        <f t="shared" si="339"/>
        <v>0</v>
      </c>
      <c r="DB237" s="1927">
        <f t="shared" si="339"/>
        <v>0</v>
      </c>
      <c r="DC237" s="1058">
        <f t="shared" si="339"/>
        <v>0</v>
      </c>
      <c r="DD237" s="1992">
        <f t="shared" si="339"/>
        <v>0</v>
      </c>
      <c r="DE237" s="1656">
        <f t="shared" si="339"/>
        <v>0</v>
      </c>
      <c r="DF237" s="1642">
        <f t="shared" si="339"/>
        <v>0</v>
      </c>
      <c r="DG237" s="1926">
        <f t="shared" si="339"/>
        <v>0</v>
      </c>
      <c r="DH237" s="1927">
        <f t="shared" si="339"/>
        <v>0</v>
      </c>
      <c r="DI237" s="1126"/>
      <c r="DJ237" s="1125" t="s">
        <v>1587</v>
      </c>
      <c r="DK237" s="1058">
        <f t="shared" ref="DK237:DL237" si="340">SUM(DK233:DK236)</f>
        <v>0</v>
      </c>
      <c r="DL237" s="1992">
        <f t="shared" si="340"/>
        <v>0</v>
      </c>
      <c r="DM237" s="1058">
        <f t="shared" ref="DM237:DP237" si="341">SUM(DM233:DM236)</f>
        <v>0</v>
      </c>
      <c r="DN237" s="1992">
        <f t="shared" si="341"/>
        <v>0</v>
      </c>
      <c r="DO237" s="1058">
        <f t="shared" si="341"/>
        <v>0</v>
      </c>
      <c r="DP237" s="1992">
        <f t="shared" si="341"/>
        <v>0</v>
      </c>
      <c r="DQ237" s="1124"/>
      <c r="DR237" s="1127" t="s">
        <v>1587</v>
      </c>
      <c r="DS237" s="1656">
        <f t="shared" ref="DS237:DV237" si="342">SUM(DS233:DS236)</f>
        <v>0</v>
      </c>
      <c r="DT237" s="1642">
        <f t="shared" si="342"/>
        <v>0</v>
      </c>
      <c r="DU237" s="1926">
        <f t="shared" si="342"/>
        <v>0</v>
      </c>
      <c r="DV237" s="1927">
        <f t="shared" si="342"/>
        <v>0</v>
      </c>
      <c r="DW237" s="1124"/>
      <c r="DX237" s="1125" t="s">
        <v>1587</v>
      </c>
      <c r="DY237" s="1656">
        <f t="shared" ref="DY237:ED237" si="343">SUM(DY233:DY236)</f>
        <v>0</v>
      </c>
      <c r="DZ237" s="1642">
        <f t="shared" si="343"/>
        <v>0</v>
      </c>
      <c r="EA237" s="1926">
        <f t="shared" si="343"/>
        <v>0</v>
      </c>
      <c r="EB237" s="1927">
        <f t="shared" si="343"/>
        <v>0</v>
      </c>
      <c r="EC237" s="1058">
        <f t="shared" si="343"/>
        <v>0</v>
      </c>
      <c r="ED237" s="1992">
        <f t="shared" si="343"/>
        <v>0</v>
      </c>
      <c r="EE237" s="1124"/>
      <c r="EF237" s="1125" t="s">
        <v>1587</v>
      </c>
      <c r="EG237" s="1058">
        <f t="shared" ref="EG237:EO237" si="344">SUM(EG233:EG236)</f>
        <v>0</v>
      </c>
      <c r="EH237" s="1992">
        <f t="shared" si="344"/>
        <v>0</v>
      </c>
      <c r="EI237" s="1656">
        <f t="shared" si="344"/>
        <v>0</v>
      </c>
      <c r="EJ237" s="1642">
        <f t="shared" si="344"/>
        <v>0</v>
      </c>
      <c r="EK237" s="1926">
        <f t="shared" si="344"/>
        <v>0</v>
      </c>
      <c r="EL237" s="1927">
        <f t="shared" si="344"/>
        <v>0</v>
      </c>
      <c r="EM237" s="1927">
        <f t="shared" si="344"/>
        <v>67047</v>
      </c>
      <c r="EN237" s="1927">
        <f t="shared" si="344"/>
        <v>1874</v>
      </c>
      <c r="EO237" s="1927">
        <f t="shared" si="344"/>
        <v>0</v>
      </c>
      <c r="EP237" s="1962">
        <f t="shared" si="240"/>
        <v>68921</v>
      </c>
      <c r="EQ237" s="1707">
        <f t="shared" si="237"/>
        <v>0</v>
      </c>
      <c r="ER237" s="1786">
        <f t="shared" si="238"/>
        <v>0</v>
      </c>
      <c r="ES237" s="1786">
        <f t="shared" si="239"/>
        <v>0</v>
      </c>
      <c r="ET237" s="1061">
        <f t="shared" si="241"/>
        <v>0</v>
      </c>
    </row>
    <row r="238" spans="1:150" ht="19.95" customHeight="1" x14ac:dyDescent="0.25">
      <c r="A238" s="1044"/>
      <c r="B238" s="1117" t="s">
        <v>1683</v>
      </c>
      <c r="C238" s="1661"/>
      <c r="D238" s="1064"/>
      <c r="E238" s="1938"/>
      <c r="F238" s="1939"/>
      <c r="G238" s="1065"/>
      <c r="H238" s="1998"/>
      <c r="I238" s="1065"/>
      <c r="J238" s="1998"/>
      <c r="K238" s="1065"/>
      <c r="L238" s="2033"/>
      <c r="M238" s="1044"/>
      <c r="N238" s="1117" t="s">
        <v>1683</v>
      </c>
      <c r="O238" s="1065"/>
      <c r="P238" s="2033"/>
      <c r="Q238" s="1661"/>
      <c r="R238" s="1064"/>
      <c r="S238" s="1938"/>
      <c r="T238" s="1939"/>
      <c r="U238" s="1661"/>
      <c r="V238" s="1064"/>
      <c r="W238" s="1938"/>
      <c r="X238" s="1939"/>
      <c r="Y238" s="1661"/>
      <c r="Z238" s="1064"/>
      <c r="AA238" s="2067"/>
      <c r="AB238" s="1939"/>
      <c r="AC238" s="1118"/>
      <c r="AD238" s="1117" t="s">
        <v>1683</v>
      </c>
      <c r="AE238" s="1661"/>
      <c r="AF238" s="1064"/>
      <c r="AG238" s="1938"/>
      <c r="AH238" s="1939"/>
      <c r="AI238" s="1661"/>
      <c r="AJ238" s="1064"/>
      <c r="AK238" s="1938"/>
      <c r="AL238" s="1939"/>
      <c r="AM238" s="1065"/>
      <c r="AN238" s="2033"/>
      <c r="AO238" s="1873"/>
      <c r="AP238" s="1067"/>
      <c r="AQ238" s="1068"/>
      <c r="AR238" s="2103"/>
      <c r="AS238" s="1493"/>
      <c r="AT238" s="2103"/>
      <c r="AU238" s="1661"/>
      <c r="AV238" s="1064"/>
      <c r="AW238" s="1938"/>
      <c r="AX238" s="1939"/>
      <c r="AY238" s="1044"/>
      <c r="AZ238" s="1117" t="s">
        <v>1683</v>
      </c>
      <c r="BA238" s="1661"/>
      <c r="BB238" s="1064"/>
      <c r="BC238" s="1938"/>
      <c r="BD238" s="1939"/>
      <c r="BE238" s="1044"/>
      <c r="BF238" s="1117" t="s">
        <v>1683</v>
      </c>
      <c r="BG238" s="1661"/>
      <c r="BH238" s="1064"/>
      <c r="BI238" s="1938"/>
      <c r="BJ238" s="1939"/>
      <c r="BK238" s="1661"/>
      <c r="BL238" s="1064"/>
      <c r="BM238" s="1938"/>
      <c r="BN238" s="1939"/>
      <c r="BO238" s="1065"/>
      <c r="BP238" s="1998"/>
      <c r="BQ238" s="1065"/>
      <c r="BR238" s="2033"/>
      <c r="BS238" s="1661"/>
      <c r="BT238" s="1064"/>
      <c r="BU238" s="1938"/>
      <c r="BV238" s="1939"/>
      <c r="BW238" s="1065"/>
      <c r="BX238" s="2033"/>
      <c r="BY238" s="1661"/>
      <c r="BZ238" s="1064"/>
      <c r="CA238" s="1938"/>
      <c r="CB238" s="1939"/>
      <c r="CC238" s="1755"/>
      <c r="CD238" s="2163"/>
      <c r="CE238" s="1044"/>
      <c r="CF238" s="1117" t="s">
        <v>1683</v>
      </c>
      <c r="CG238" s="1661"/>
      <c r="CH238" s="1064"/>
      <c r="CI238" s="1938"/>
      <c r="CJ238" s="1939"/>
      <c r="CK238" s="1044"/>
      <c r="CL238" s="1117" t="s">
        <v>1683</v>
      </c>
      <c r="CM238" s="1661"/>
      <c r="CN238" s="1064"/>
      <c r="CO238" s="1938"/>
      <c r="CP238" s="1939"/>
      <c r="CQ238" s="1661"/>
      <c r="CR238" s="1064"/>
      <c r="CS238" s="1938"/>
      <c r="CT238" s="1939"/>
      <c r="CU238" s="1661"/>
      <c r="CV238" s="1064"/>
      <c r="CW238" s="1938"/>
      <c r="CX238" s="1939"/>
      <c r="CY238" s="1661"/>
      <c r="CZ238" s="1064"/>
      <c r="DA238" s="1938"/>
      <c r="DB238" s="1939"/>
      <c r="DC238" s="1065"/>
      <c r="DD238" s="2033"/>
      <c r="DE238" s="1661"/>
      <c r="DF238" s="1064"/>
      <c r="DG238" s="1938"/>
      <c r="DH238" s="1939"/>
      <c r="DI238" s="1118"/>
      <c r="DJ238" s="1117" t="s">
        <v>1683</v>
      </c>
      <c r="DK238" s="1065"/>
      <c r="DL238" s="1998"/>
      <c r="DM238" s="1065"/>
      <c r="DN238" s="1998"/>
      <c r="DO238" s="1065"/>
      <c r="DP238" s="2033"/>
      <c r="DQ238" s="1044"/>
      <c r="DR238" s="1119" t="s">
        <v>1683</v>
      </c>
      <c r="DS238" s="1661"/>
      <c r="DT238" s="1064"/>
      <c r="DU238" s="1938"/>
      <c r="DV238" s="1939"/>
      <c r="DW238" s="1044"/>
      <c r="DX238" s="1117" t="s">
        <v>1683</v>
      </c>
      <c r="DY238" s="1661"/>
      <c r="DZ238" s="1064"/>
      <c r="EA238" s="1938"/>
      <c r="EB238" s="1939"/>
      <c r="EC238" s="1065"/>
      <c r="ED238" s="2033"/>
      <c r="EE238" s="1044"/>
      <c r="EF238" s="1117" t="s">
        <v>1683</v>
      </c>
      <c r="EG238" s="1065"/>
      <c r="EH238" s="2033"/>
      <c r="EI238" s="1661"/>
      <c r="EJ238" s="1064"/>
      <c r="EK238" s="2233"/>
      <c r="EL238" s="1939"/>
      <c r="EM238" s="2234"/>
      <c r="EN238" s="1596"/>
      <c r="EO238" s="1596"/>
      <c r="EP238" s="1596">
        <f t="shared" si="240"/>
        <v>0</v>
      </c>
      <c r="EQ238" s="1729">
        <f t="shared" si="237"/>
        <v>0</v>
      </c>
      <c r="ER238" s="1797">
        <f t="shared" si="238"/>
        <v>0</v>
      </c>
      <c r="ES238" s="1797">
        <f t="shared" si="239"/>
        <v>0</v>
      </c>
      <c r="ET238" s="1798">
        <f t="shared" si="241"/>
        <v>0</v>
      </c>
    </row>
    <row r="239" spans="1:150" x14ac:dyDescent="0.25">
      <c r="A239" s="1120">
        <v>1</v>
      </c>
      <c r="B239" s="1121"/>
      <c r="C239" s="1672"/>
      <c r="D239" s="1634"/>
      <c r="E239" s="1958"/>
      <c r="F239" s="1959"/>
      <c r="G239" s="1696"/>
      <c r="H239" s="2010"/>
      <c r="I239" s="1696"/>
      <c r="J239" s="2010"/>
      <c r="K239" s="1696"/>
      <c r="L239" s="2040"/>
      <c r="M239" s="1120">
        <v>1</v>
      </c>
      <c r="N239" s="1121"/>
      <c r="O239" s="1696"/>
      <c r="P239" s="2040"/>
      <c r="Q239" s="1672"/>
      <c r="R239" s="1634"/>
      <c r="S239" s="1958"/>
      <c r="T239" s="1959"/>
      <c r="U239" s="1672"/>
      <c r="V239" s="1634"/>
      <c r="W239" s="1958"/>
      <c r="X239" s="1959"/>
      <c r="Y239" s="1672"/>
      <c r="Z239" s="1634"/>
      <c r="AA239" s="2074"/>
      <c r="AB239" s="1959"/>
      <c r="AC239" s="1121">
        <v>1</v>
      </c>
      <c r="AD239" s="1095"/>
      <c r="AE239" s="1672"/>
      <c r="AF239" s="1634"/>
      <c r="AG239" s="1958"/>
      <c r="AH239" s="1959"/>
      <c r="AI239" s="1672"/>
      <c r="AJ239" s="1634"/>
      <c r="AK239" s="1958"/>
      <c r="AL239" s="1959"/>
      <c r="AM239" s="1696"/>
      <c r="AN239" s="2040"/>
      <c r="AO239" s="1879"/>
      <c r="AP239" s="1262"/>
      <c r="AQ239" s="1728"/>
      <c r="AR239" s="2122"/>
      <c r="AS239" s="1552"/>
      <c r="AT239" s="2122"/>
      <c r="AU239" s="1672"/>
      <c r="AV239" s="1634"/>
      <c r="AW239" s="1958"/>
      <c r="AX239" s="1959"/>
      <c r="AY239" s="1120">
        <v>1</v>
      </c>
      <c r="AZ239" s="1121"/>
      <c r="BA239" s="1672"/>
      <c r="BB239" s="1634"/>
      <c r="BC239" s="1958"/>
      <c r="BD239" s="1959"/>
      <c r="BE239" s="1120">
        <v>1</v>
      </c>
      <c r="BF239" s="1121"/>
      <c r="BG239" s="1672"/>
      <c r="BH239" s="1634"/>
      <c r="BI239" s="1958"/>
      <c r="BJ239" s="1959"/>
      <c r="BK239" s="1672"/>
      <c r="BL239" s="1634"/>
      <c r="BM239" s="1958"/>
      <c r="BN239" s="1959"/>
      <c r="BO239" s="1696"/>
      <c r="BP239" s="2010"/>
      <c r="BQ239" s="1696"/>
      <c r="BR239" s="2040"/>
      <c r="BS239" s="1672"/>
      <c r="BT239" s="1634"/>
      <c r="BU239" s="1958"/>
      <c r="BV239" s="1959"/>
      <c r="BW239" s="1696"/>
      <c r="BX239" s="2040"/>
      <c r="BY239" s="1672"/>
      <c r="BZ239" s="1634"/>
      <c r="CA239" s="1958"/>
      <c r="CB239" s="1959"/>
      <c r="CC239" s="1763"/>
      <c r="CD239" s="2174"/>
      <c r="CE239" s="1120">
        <v>1</v>
      </c>
      <c r="CF239" s="1121"/>
      <c r="CG239" s="1672"/>
      <c r="CH239" s="1634"/>
      <c r="CI239" s="1958"/>
      <c r="CJ239" s="1959"/>
      <c r="CK239" s="1120">
        <v>1</v>
      </c>
      <c r="CL239" s="1121"/>
      <c r="CM239" s="1672"/>
      <c r="CN239" s="1634"/>
      <c r="CO239" s="1958"/>
      <c r="CP239" s="1959"/>
      <c r="CQ239" s="1672"/>
      <c r="CR239" s="1634"/>
      <c r="CS239" s="1958"/>
      <c r="CT239" s="1959"/>
      <c r="CU239" s="1672"/>
      <c r="CV239" s="1634"/>
      <c r="CW239" s="1958"/>
      <c r="CX239" s="1959"/>
      <c r="CY239" s="1672"/>
      <c r="CZ239" s="1634"/>
      <c r="DA239" s="1958"/>
      <c r="DB239" s="1959"/>
      <c r="DC239" s="1696"/>
      <c r="DD239" s="2040"/>
      <c r="DE239" s="1672"/>
      <c r="DF239" s="1634"/>
      <c r="DG239" s="1958"/>
      <c r="DH239" s="1959"/>
      <c r="DI239" s="1121">
        <v>1</v>
      </c>
      <c r="DJ239" s="1121"/>
      <c r="DK239" s="1696"/>
      <c r="DL239" s="2010"/>
      <c r="DM239" s="1696"/>
      <c r="DN239" s="2010"/>
      <c r="DO239" s="1696"/>
      <c r="DP239" s="2040"/>
      <c r="DQ239" s="1120">
        <v>1</v>
      </c>
      <c r="DR239" s="1123"/>
      <c r="DS239" s="1672"/>
      <c r="DT239" s="1634"/>
      <c r="DU239" s="1958"/>
      <c r="DV239" s="1959"/>
      <c r="DW239" s="1120">
        <v>1</v>
      </c>
      <c r="DX239" s="1121"/>
      <c r="DY239" s="1672"/>
      <c r="DZ239" s="1634"/>
      <c r="EA239" s="1958"/>
      <c r="EB239" s="1959"/>
      <c r="EC239" s="1696"/>
      <c r="ED239" s="2040"/>
      <c r="EE239" s="1120">
        <v>1</v>
      </c>
      <c r="EF239" s="1121"/>
      <c r="EG239" s="1696"/>
      <c r="EH239" s="2040"/>
      <c r="EI239" s="1672"/>
      <c r="EJ239" s="1634"/>
      <c r="EK239" s="2232"/>
      <c r="EL239" s="1959"/>
      <c r="EM239" s="2202">
        <f t="shared" ref="EM239:EM240" si="345">E239+S239+W239+AA239+AG239+AK239+AN239+AR239+AW239+BC239+BI239+BM239+BR239+BU239+CA239+CD239+CI239+CO239+CS239+CW239+DA239+DG239+DU239+EA239+EK239</f>
        <v>0</v>
      </c>
      <c r="EN239" s="1585">
        <f t="shared" ref="EN239:EN240" si="346">F239+H239+J239+L239+P239+T239+X239+AB239+AH239+AL239+AS239+AX239+BD239+BJ239+BN239+BP239+BV239+BX239+CB239+CJ239+CP239+CT239+CX239+DB239+DD239+DH239+DN239+DP239+DV239+EB239+ED239+EH239+EL239</f>
        <v>0</v>
      </c>
      <c r="EO239" s="1585">
        <f t="shared" ref="EO239:EO240" si="347">AQ239</f>
        <v>0</v>
      </c>
      <c r="EP239" s="1596">
        <f t="shared" si="240"/>
        <v>0</v>
      </c>
      <c r="EQ239" s="1729">
        <f t="shared" si="237"/>
        <v>0</v>
      </c>
      <c r="ER239" s="1797">
        <f t="shared" si="238"/>
        <v>0</v>
      </c>
      <c r="ES239" s="1797">
        <f t="shared" si="239"/>
        <v>0</v>
      </c>
      <c r="ET239" s="1798">
        <f t="shared" si="241"/>
        <v>0</v>
      </c>
    </row>
    <row r="240" spans="1:150" x14ac:dyDescent="0.25">
      <c r="A240" s="1120">
        <v>2</v>
      </c>
      <c r="B240" s="1121"/>
      <c r="C240" s="1672"/>
      <c r="D240" s="1634"/>
      <c r="E240" s="1958"/>
      <c r="F240" s="1959"/>
      <c r="G240" s="1696"/>
      <c r="H240" s="2010"/>
      <c r="I240" s="1696"/>
      <c r="J240" s="2010"/>
      <c r="K240" s="1696"/>
      <c r="L240" s="2040"/>
      <c r="M240" s="1120">
        <v>2</v>
      </c>
      <c r="N240" s="1121"/>
      <c r="O240" s="1696"/>
      <c r="P240" s="2040"/>
      <c r="Q240" s="1672"/>
      <c r="R240" s="1634"/>
      <c r="S240" s="1958"/>
      <c r="T240" s="1959"/>
      <c r="U240" s="1672"/>
      <c r="V240" s="1634"/>
      <c r="W240" s="1958"/>
      <c r="X240" s="1959"/>
      <c r="Y240" s="1672"/>
      <c r="Z240" s="1634"/>
      <c r="AA240" s="2074"/>
      <c r="AB240" s="1959"/>
      <c r="AC240" s="1121"/>
      <c r="AD240" s="1128"/>
      <c r="AE240" s="1672"/>
      <c r="AF240" s="1634"/>
      <c r="AG240" s="1958"/>
      <c r="AH240" s="1959"/>
      <c r="AI240" s="1672"/>
      <c r="AJ240" s="1634"/>
      <c r="AK240" s="1958"/>
      <c r="AL240" s="1959"/>
      <c r="AM240" s="1696"/>
      <c r="AN240" s="2040"/>
      <c r="AO240" s="1879"/>
      <c r="AP240" s="1262"/>
      <c r="AQ240" s="1728"/>
      <c r="AR240" s="2122"/>
      <c r="AS240" s="1552"/>
      <c r="AT240" s="2122"/>
      <c r="AU240" s="1672"/>
      <c r="AV240" s="1634"/>
      <c r="AW240" s="1958"/>
      <c r="AX240" s="1959"/>
      <c r="AY240" s="1120">
        <v>2</v>
      </c>
      <c r="AZ240" s="1121"/>
      <c r="BA240" s="1672"/>
      <c r="BB240" s="1634"/>
      <c r="BC240" s="1958"/>
      <c r="BD240" s="1959"/>
      <c r="BE240" s="1120">
        <v>2</v>
      </c>
      <c r="BF240" s="1121"/>
      <c r="BG240" s="1672"/>
      <c r="BH240" s="1634"/>
      <c r="BI240" s="1958"/>
      <c r="BJ240" s="1959"/>
      <c r="BK240" s="1672"/>
      <c r="BL240" s="1634"/>
      <c r="BM240" s="1958"/>
      <c r="BN240" s="1959"/>
      <c r="BO240" s="1696"/>
      <c r="BP240" s="2010"/>
      <c r="BQ240" s="1696"/>
      <c r="BR240" s="2040"/>
      <c r="BS240" s="1672"/>
      <c r="BT240" s="1634"/>
      <c r="BU240" s="1958"/>
      <c r="BV240" s="1959"/>
      <c r="BW240" s="1696"/>
      <c r="BX240" s="2040"/>
      <c r="BY240" s="1672"/>
      <c r="BZ240" s="1634"/>
      <c r="CA240" s="1958"/>
      <c r="CB240" s="1959"/>
      <c r="CC240" s="1763"/>
      <c r="CD240" s="2174"/>
      <c r="CE240" s="1120">
        <v>2</v>
      </c>
      <c r="CF240" s="1121"/>
      <c r="CG240" s="1672"/>
      <c r="CH240" s="1634"/>
      <c r="CI240" s="1958"/>
      <c r="CJ240" s="1959"/>
      <c r="CK240" s="1120">
        <v>2</v>
      </c>
      <c r="CL240" s="1121"/>
      <c r="CM240" s="1672"/>
      <c r="CN240" s="1634"/>
      <c r="CO240" s="1958"/>
      <c r="CP240" s="1959"/>
      <c r="CQ240" s="1672"/>
      <c r="CR240" s="1634"/>
      <c r="CS240" s="1958"/>
      <c r="CT240" s="1959"/>
      <c r="CU240" s="1672"/>
      <c r="CV240" s="1634"/>
      <c r="CW240" s="1958"/>
      <c r="CX240" s="1959"/>
      <c r="CY240" s="1672"/>
      <c r="CZ240" s="1634"/>
      <c r="DA240" s="1958"/>
      <c r="DB240" s="1959"/>
      <c r="DC240" s="1696"/>
      <c r="DD240" s="2040"/>
      <c r="DE240" s="1672"/>
      <c r="DF240" s="1634"/>
      <c r="DG240" s="1958"/>
      <c r="DH240" s="1959"/>
      <c r="DI240" s="1121">
        <v>2</v>
      </c>
      <c r="DJ240" s="1121"/>
      <c r="DK240" s="1696"/>
      <c r="DL240" s="2010"/>
      <c r="DM240" s="1696"/>
      <c r="DN240" s="2010"/>
      <c r="DO240" s="1696"/>
      <c r="DP240" s="2040"/>
      <c r="DQ240" s="1120">
        <v>2</v>
      </c>
      <c r="DR240" s="1123"/>
      <c r="DS240" s="1672"/>
      <c r="DT240" s="1634"/>
      <c r="DU240" s="1958"/>
      <c r="DV240" s="1959"/>
      <c r="DW240" s="1120">
        <v>2</v>
      </c>
      <c r="DX240" s="1121"/>
      <c r="DY240" s="1672"/>
      <c r="DZ240" s="1634"/>
      <c r="EA240" s="1958"/>
      <c r="EB240" s="1959"/>
      <c r="EC240" s="1696"/>
      <c r="ED240" s="2040"/>
      <c r="EE240" s="1120">
        <v>2</v>
      </c>
      <c r="EF240" s="1121"/>
      <c r="EG240" s="1696"/>
      <c r="EH240" s="2040"/>
      <c r="EI240" s="1672"/>
      <c r="EJ240" s="1634"/>
      <c r="EK240" s="2232"/>
      <c r="EL240" s="1959"/>
      <c r="EM240" s="2202">
        <f t="shared" si="345"/>
        <v>0</v>
      </c>
      <c r="EN240" s="1585">
        <f t="shared" si="346"/>
        <v>0</v>
      </c>
      <c r="EO240" s="1585">
        <f t="shared" si="347"/>
        <v>0</v>
      </c>
      <c r="EP240" s="1596">
        <f t="shared" si="240"/>
        <v>0</v>
      </c>
      <c r="EQ240" s="1729">
        <f t="shared" si="237"/>
        <v>0</v>
      </c>
      <c r="ER240" s="1797">
        <f t="shared" si="238"/>
        <v>0</v>
      </c>
      <c r="ES240" s="1797">
        <f t="shared" si="239"/>
        <v>0</v>
      </c>
      <c r="ET240" s="1798">
        <f t="shared" si="241"/>
        <v>0</v>
      </c>
    </row>
    <row r="241" spans="1:150" ht="19.95" customHeight="1" thickBot="1" x14ac:dyDescent="0.3">
      <c r="A241" s="1129"/>
      <c r="B241" s="1130" t="s">
        <v>1684</v>
      </c>
      <c r="C241" s="1656">
        <f t="shared" ref="C241:L241" si="348">SUM(C238:C240)</f>
        <v>0</v>
      </c>
      <c r="D241" s="1039">
        <f t="shared" si="348"/>
        <v>0</v>
      </c>
      <c r="E241" s="1926">
        <f t="shared" si="348"/>
        <v>0</v>
      </c>
      <c r="F241" s="1931">
        <f t="shared" si="348"/>
        <v>0</v>
      </c>
      <c r="G241" s="1072">
        <f t="shared" si="348"/>
        <v>0</v>
      </c>
      <c r="H241" s="1994">
        <f t="shared" si="348"/>
        <v>0</v>
      </c>
      <c r="I241" s="1072">
        <f t="shared" si="348"/>
        <v>0</v>
      </c>
      <c r="J241" s="1994">
        <f t="shared" si="348"/>
        <v>0</v>
      </c>
      <c r="K241" s="1072">
        <f t="shared" si="348"/>
        <v>0</v>
      </c>
      <c r="L241" s="1994">
        <f t="shared" si="348"/>
        <v>0</v>
      </c>
      <c r="M241" s="1129"/>
      <c r="N241" s="1130" t="s">
        <v>1684</v>
      </c>
      <c r="O241" s="1072">
        <f t="shared" ref="O241:AB241" si="349">SUM(O238:O240)</f>
        <v>0</v>
      </c>
      <c r="P241" s="1994">
        <f t="shared" si="349"/>
        <v>0</v>
      </c>
      <c r="Q241" s="1656">
        <f t="shared" si="349"/>
        <v>0</v>
      </c>
      <c r="R241" s="1039">
        <f t="shared" si="349"/>
        <v>0</v>
      </c>
      <c r="S241" s="1926">
        <f t="shared" si="349"/>
        <v>0</v>
      </c>
      <c r="T241" s="1931">
        <f t="shared" si="349"/>
        <v>0</v>
      </c>
      <c r="U241" s="1656">
        <f t="shared" si="349"/>
        <v>0</v>
      </c>
      <c r="V241" s="1039">
        <f t="shared" si="349"/>
        <v>0</v>
      </c>
      <c r="W241" s="1926">
        <f t="shared" si="349"/>
        <v>0</v>
      </c>
      <c r="X241" s="1931">
        <f t="shared" si="349"/>
        <v>0</v>
      </c>
      <c r="Y241" s="1656">
        <f t="shared" si="349"/>
        <v>0</v>
      </c>
      <c r="Z241" s="1039">
        <f t="shared" si="349"/>
        <v>0</v>
      </c>
      <c r="AA241" s="1926">
        <f t="shared" si="349"/>
        <v>0</v>
      </c>
      <c r="AB241" s="1931">
        <f t="shared" si="349"/>
        <v>0</v>
      </c>
      <c r="AC241" s="1131"/>
      <c r="AD241" s="1130" t="s">
        <v>1684</v>
      </c>
      <c r="AE241" s="1656">
        <f t="shared" ref="AE241:AX241" si="350">SUM(AE238:AE240)</f>
        <v>0</v>
      </c>
      <c r="AF241" s="1039">
        <f t="shared" si="350"/>
        <v>0</v>
      </c>
      <c r="AG241" s="1926">
        <f t="shared" si="350"/>
        <v>0</v>
      </c>
      <c r="AH241" s="1931">
        <f t="shared" si="350"/>
        <v>0</v>
      </c>
      <c r="AI241" s="1656">
        <f t="shared" si="350"/>
        <v>0</v>
      </c>
      <c r="AJ241" s="1039">
        <f t="shared" si="350"/>
        <v>0</v>
      </c>
      <c r="AK241" s="1926">
        <f t="shared" si="350"/>
        <v>0</v>
      </c>
      <c r="AL241" s="1931">
        <f t="shared" si="350"/>
        <v>0</v>
      </c>
      <c r="AM241" s="1072">
        <f t="shared" si="350"/>
        <v>0</v>
      </c>
      <c r="AN241" s="1994">
        <f t="shared" si="350"/>
        <v>0</v>
      </c>
      <c r="AO241" s="1656">
        <f t="shared" si="350"/>
        <v>0</v>
      </c>
      <c r="AP241" s="1854">
        <f t="shared" si="350"/>
        <v>0</v>
      </c>
      <c r="AQ241" s="1041">
        <f t="shared" si="350"/>
        <v>0</v>
      </c>
      <c r="AR241" s="1926">
        <f t="shared" si="350"/>
        <v>0</v>
      </c>
      <c r="AS241" s="2096">
        <f t="shared" si="350"/>
        <v>0</v>
      </c>
      <c r="AT241" s="2125">
        <f t="shared" si="350"/>
        <v>0</v>
      </c>
      <c r="AU241" s="1656">
        <f t="shared" si="350"/>
        <v>0</v>
      </c>
      <c r="AV241" s="1039">
        <f t="shared" si="350"/>
        <v>0</v>
      </c>
      <c r="AW241" s="1926">
        <f t="shared" si="350"/>
        <v>0</v>
      </c>
      <c r="AX241" s="1931">
        <f t="shared" si="350"/>
        <v>0</v>
      </c>
      <c r="AY241" s="1129"/>
      <c r="AZ241" s="1130" t="s">
        <v>1684</v>
      </c>
      <c r="BA241" s="1656">
        <f t="shared" ref="BA241:BD241" si="351">SUM(BA238:BA240)</f>
        <v>0</v>
      </c>
      <c r="BB241" s="1039">
        <f t="shared" si="351"/>
        <v>0</v>
      </c>
      <c r="BC241" s="1926">
        <f t="shared" si="351"/>
        <v>0</v>
      </c>
      <c r="BD241" s="1931">
        <f t="shared" si="351"/>
        <v>0</v>
      </c>
      <c r="BE241" s="1129"/>
      <c r="BF241" s="1130" t="s">
        <v>1684</v>
      </c>
      <c r="BG241" s="1656">
        <f t="shared" ref="BG241:CD241" si="352">SUM(BG238:BG240)</f>
        <v>0</v>
      </c>
      <c r="BH241" s="1039">
        <f t="shared" si="352"/>
        <v>0</v>
      </c>
      <c r="BI241" s="1926">
        <f t="shared" si="352"/>
        <v>0</v>
      </c>
      <c r="BJ241" s="1931">
        <f t="shared" si="352"/>
        <v>0</v>
      </c>
      <c r="BK241" s="1656">
        <f t="shared" si="352"/>
        <v>0</v>
      </c>
      <c r="BL241" s="1039">
        <f t="shared" si="352"/>
        <v>0</v>
      </c>
      <c r="BM241" s="1926">
        <f t="shared" si="352"/>
        <v>0</v>
      </c>
      <c r="BN241" s="1931">
        <f t="shared" si="352"/>
        <v>0</v>
      </c>
      <c r="BO241" s="1072">
        <f t="shared" si="352"/>
        <v>0</v>
      </c>
      <c r="BP241" s="1994">
        <f t="shared" si="352"/>
        <v>0</v>
      </c>
      <c r="BQ241" s="1072">
        <f t="shared" si="352"/>
        <v>0</v>
      </c>
      <c r="BR241" s="1994">
        <f t="shared" si="352"/>
        <v>0</v>
      </c>
      <c r="BS241" s="1656">
        <f t="shared" si="352"/>
        <v>0</v>
      </c>
      <c r="BT241" s="1039">
        <f t="shared" si="352"/>
        <v>0</v>
      </c>
      <c r="BU241" s="1926">
        <f t="shared" si="352"/>
        <v>0</v>
      </c>
      <c r="BV241" s="1931">
        <f t="shared" si="352"/>
        <v>0</v>
      </c>
      <c r="BW241" s="1072">
        <f t="shared" si="352"/>
        <v>0</v>
      </c>
      <c r="BX241" s="1994">
        <f t="shared" si="352"/>
        <v>0</v>
      </c>
      <c r="BY241" s="1656">
        <f t="shared" si="352"/>
        <v>0</v>
      </c>
      <c r="BZ241" s="1039">
        <f t="shared" si="352"/>
        <v>0</v>
      </c>
      <c r="CA241" s="1926">
        <f t="shared" si="352"/>
        <v>0</v>
      </c>
      <c r="CB241" s="1931">
        <f t="shared" si="352"/>
        <v>0</v>
      </c>
      <c r="CC241" s="1038">
        <f t="shared" si="352"/>
        <v>0</v>
      </c>
      <c r="CD241" s="2063">
        <f t="shared" si="352"/>
        <v>0</v>
      </c>
      <c r="CE241" s="1129"/>
      <c r="CF241" s="1130" t="s">
        <v>1684</v>
      </c>
      <c r="CG241" s="1656">
        <f t="shared" ref="CG241:CJ241" si="353">SUM(CG238:CG240)</f>
        <v>0</v>
      </c>
      <c r="CH241" s="1039">
        <f t="shared" si="353"/>
        <v>0</v>
      </c>
      <c r="CI241" s="1926">
        <f t="shared" si="353"/>
        <v>0</v>
      </c>
      <c r="CJ241" s="1931">
        <f t="shared" si="353"/>
        <v>0</v>
      </c>
      <c r="CK241" s="1129"/>
      <c r="CL241" s="1130" t="s">
        <v>1684</v>
      </c>
      <c r="CM241" s="1656">
        <f t="shared" ref="CM241:DH241" si="354">SUM(CM238:CM240)</f>
        <v>0</v>
      </c>
      <c r="CN241" s="1039">
        <f t="shared" si="354"/>
        <v>0</v>
      </c>
      <c r="CO241" s="1926">
        <f t="shared" si="354"/>
        <v>0</v>
      </c>
      <c r="CP241" s="1931">
        <f t="shared" si="354"/>
        <v>0</v>
      </c>
      <c r="CQ241" s="1656">
        <f t="shared" si="354"/>
        <v>0</v>
      </c>
      <c r="CR241" s="1039">
        <f t="shared" si="354"/>
        <v>0</v>
      </c>
      <c r="CS241" s="1926">
        <f t="shared" si="354"/>
        <v>0</v>
      </c>
      <c r="CT241" s="1931">
        <f t="shared" si="354"/>
        <v>0</v>
      </c>
      <c r="CU241" s="1656">
        <f t="shared" si="354"/>
        <v>0</v>
      </c>
      <c r="CV241" s="1039">
        <f t="shared" si="354"/>
        <v>0</v>
      </c>
      <c r="CW241" s="1926">
        <f t="shared" si="354"/>
        <v>0</v>
      </c>
      <c r="CX241" s="1931">
        <f t="shared" si="354"/>
        <v>0</v>
      </c>
      <c r="CY241" s="1656">
        <f t="shared" si="354"/>
        <v>0</v>
      </c>
      <c r="CZ241" s="1039">
        <f t="shared" si="354"/>
        <v>0</v>
      </c>
      <c r="DA241" s="1926">
        <f t="shared" si="354"/>
        <v>0</v>
      </c>
      <c r="DB241" s="1931">
        <f t="shared" si="354"/>
        <v>0</v>
      </c>
      <c r="DC241" s="1072">
        <f t="shared" si="354"/>
        <v>0</v>
      </c>
      <c r="DD241" s="1994">
        <f t="shared" si="354"/>
        <v>0</v>
      </c>
      <c r="DE241" s="1656">
        <f t="shared" si="354"/>
        <v>0</v>
      </c>
      <c r="DF241" s="1039">
        <f t="shared" si="354"/>
        <v>0</v>
      </c>
      <c r="DG241" s="1926">
        <f t="shared" si="354"/>
        <v>0</v>
      </c>
      <c r="DH241" s="1931">
        <f t="shared" si="354"/>
        <v>0</v>
      </c>
      <c r="DI241" s="1131"/>
      <c r="DJ241" s="1130" t="s">
        <v>1684</v>
      </c>
      <c r="DK241" s="1072">
        <f t="shared" ref="DK241:DL241" si="355">SUM(DK238:DK240)</f>
        <v>0</v>
      </c>
      <c r="DL241" s="1994">
        <f t="shared" si="355"/>
        <v>0</v>
      </c>
      <c r="DM241" s="1072">
        <f t="shared" ref="DM241:DP241" si="356">SUM(DM238:DM240)</f>
        <v>0</v>
      </c>
      <c r="DN241" s="1994">
        <f t="shared" si="356"/>
        <v>0</v>
      </c>
      <c r="DO241" s="1072">
        <f t="shared" si="356"/>
        <v>0</v>
      </c>
      <c r="DP241" s="1994">
        <f t="shared" si="356"/>
        <v>0</v>
      </c>
      <c r="DQ241" s="1129"/>
      <c r="DR241" s="1132" t="s">
        <v>1684</v>
      </c>
      <c r="DS241" s="1656">
        <f t="shared" ref="DS241:DV241" si="357">SUM(DS238:DS240)</f>
        <v>0</v>
      </c>
      <c r="DT241" s="1039">
        <f t="shared" si="357"/>
        <v>0</v>
      </c>
      <c r="DU241" s="1926">
        <f t="shared" si="357"/>
        <v>0</v>
      </c>
      <c r="DV241" s="1931">
        <f t="shared" si="357"/>
        <v>0</v>
      </c>
      <c r="DW241" s="1129"/>
      <c r="DX241" s="1130" t="s">
        <v>1684</v>
      </c>
      <c r="DY241" s="1656">
        <f t="shared" ref="DY241:ED241" si="358">SUM(DY238:DY240)</f>
        <v>0</v>
      </c>
      <c r="DZ241" s="1039">
        <f t="shared" si="358"/>
        <v>0</v>
      </c>
      <c r="EA241" s="1926">
        <f t="shared" si="358"/>
        <v>0</v>
      </c>
      <c r="EB241" s="1931">
        <f t="shared" si="358"/>
        <v>0</v>
      </c>
      <c r="EC241" s="1072">
        <f t="shared" si="358"/>
        <v>0</v>
      </c>
      <c r="ED241" s="1994">
        <f t="shared" si="358"/>
        <v>0</v>
      </c>
      <c r="EE241" s="1129"/>
      <c r="EF241" s="1130" t="s">
        <v>1684</v>
      </c>
      <c r="EG241" s="1072">
        <f t="shared" ref="EG241:EO241" si="359">SUM(EG238:EG240)</f>
        <v>0</v>
      </c>
      <c r="EH241" s="1994">
        <f t="shared" si="359"/>
        <v>0</v>
      </c>
      <c r="EI241" s="1656">
        <f t="shared" si="359"/>
        <v>0</v>
      </c>
      <c r="EJ241" s="1039">
        <f t="shared" si="359"/>
        <v>0</v>
      </c>
      <c r="EK241" s="1926">
        <f t="shared" si="359"/>
        <v>0</v>
      </c>
      <c r="EL241" s="1931">
        <f t="shared" si="359"/>
        <v>0</v>
      </c>
      <c r="EM241" s="1931">
        <f t="shared" si="359"/>
        <v>0</v>
      </c>
      <c r="EN241" s="1931">
        <f t="shared" si="359"/>
        <v>0</v>
      </c>
      <c r="EO241" s="1931">
        <f t="shared" si="359"/>
        <v>0</v>
      </c>
      <c r="EP241" s="1600">
        <f t="shared" si="240"/>
        <v>0</v>
      </c>
      <c r="EQ241" s="1074">
        <f t="shared" si="237"/>
        <v>0</v>
      </c>
      <c r="ER241" s="1787">
        <f t="shared" si="238"/>
        <v>0</v>
      </c>
      <c r="ES241" s="1787">
        <f t="shared" si="239"/>
        <v>0</v>
      </c>
      <c r="ET241" s="1410">
        <f t="shared" si="241"/>
        <v>0</v>
      </c>
    </row>
    <row r="242" spans="1:150" ht="19.95" customHeight="1" thickBot="1" x14ac:dyDescent="0.3">
      <c r="A242" s="2545" t="s">
        <v>1685</v>
      </c>
      <c r="B242" s="2546"/>
      <c r="C242" s="1640">
        <f t="shared" ref="C242:L242" si="360">C237+C241</f>
        <v>0</v>
      </c>
      <c r="D242" s="1389">
        <f t="shared" si="360"/>
        <v>0</v>
      </c>
      <c r="E242" s="1953">
        <f t="shared" si="360"/>
        <v>0</v>
      </c>
      <c r="F242" s="1594">
        <f t="shared" si="360"/>
        <v>0</v>
      </c>
      <c r="G242" s="1100">
        <f t="shared" si="360"/>
        <v>0</v>
      </c>
      <c r="H242" s="2007">
        <f t="shared" si="360"/>
        <v>0</v>
      </c>
      <c r="I242" s="1100">
        <f t="shared" si="360"/>
        <v>0</v>
      </c>
      <c r="J242" s="2007">
        <f t="shared" si="360"/>
        <v>0</v>
      </c>
      <c r="K242" s="1100">
        <f t="shared" si="360"/>
        <v>0</v>
      </c>
      <c r="L242" s="2007">
        <f t="shared" si="360"/>
        <v>0</v>
      </c>
      <c r="M242" s="2545" t="s">
        <v>1685</v>
      </c>
      <c r="N242" s="2546"/>
      <c r="O242" s="1100">
        <f t="shared" ref="O242:AB242" si="361">O237+O241</f>
        <v>0</v>
      </c>
      <c r="P242" s="2007">
        <f t="shared" si="361"/>
        <v>0</v>
      </c>
      <c r="Q242" s="1640">
        <f t="shared" si="361"/>
        <v>0</v>
      </c>
      <c r="R242" s="1389">
        <f t="shared" si="361"/>
        <v>0</v>
      </c>
      <c r="S242" s="1953">
        <f t="shared" si="361"/>
        <v>0</v>
      </c>
      <c r="T242" s="1594">
        <f t="shared" si="361"/>
        <v>0</v>
      </c>
      <c r="U242" s="1640">
        <f t="shared" si="361"/>
        <v>0</v>
      </c>
      <c r="V242" s="1389">
        <f t="shared" si="361"/>
        <v>0</v>
      </c>
      <c r="W242" s="1953">
        <f t="shared" si="361"/>
        <v>0</v>
      </c>
      <c r="X242" s="1594">
        <f t="shared" si="361"/>
        <v>0</v>
      </c>
      <c r="Y242" s="1640">
        <f t="shared" si="361"/>
        <v>0</v>
      </c>
      <c r="Z242" s="1389">
        <f t="shared" si="361"/>
        <v>0</v>
      </c>
      <c r="AA242" s="1953">
        <f t="shared" si="361"/>
        <v>0</v>
      </c>
      <c r="AB242" s="1594">
        <f t="shared" si="361"/>
        <v>0</v>
      </c>
      <c r="AC242" s="2547" t="s">
        <v>1685</v>
      </c>
      <c r="AD242" s="2546"/>
      <c r="AE242" s="1640">
        <f t="shared" ref="AE242:AX242" si="362">AE237+AE241</f>
        <v>0</v>
      </c>
      <c r="AF242" s="1389">
        <f t="shared" si="362"/>
        <v>0</v>
      </c>
      <c r="AG242" s="1953">
        <f t="shared" si="362"/>
        <v>0</v>
      </c>
      <c r="AH242" s="1594">
        <f t="shared" si="362"/>
        <v>0</v>
      </c>
      <c r="AI242" s="1640">
        <f t="shared" si="362"/>
        <v>0</v>
      </c>
      <c r="AJ242" s="1389">
        <f t="shared" si="362"/>
        <v>0</v>
      </c>
      <c r="AK242" s="1953">
        <f t="shared" si="362"/>
        <v>0</v>
      </c>
      <c r="AL242" s="1594">
        <f t="shared" si="362"/>
        <v>0</v>
      </c>
      <c r="AM242" s="1100">
        <f t="shared" si="362"/>
        <v>0</v>
      </c>
      <c r="AN242" s="2007">
        <f t="shared" si="362"/>
        <v>0</v>
      </c>
      <c r="AO242" s="1640">
        <f t="shared" si="362"/>
        <v>0</v>
      </c>
      <c r="AP242" s="1375">
        <f t="shared" si="362"/>
        <v>0</v>
      </c>
      <c r="AQ242" s="1623">
        <f t="shared" si="362"/>
        <v>0</v>
      </c>
      <c r="AR242" s="1953">
        <f t="shared" si="362"/>
        <v>67047</v>
      </c>
      <c r="AS242" s="1429">
        <f t="shared" si="362"/>
        <v>1874</v>
      </c>
      <c r="AT242" s="2117">
        <f t="shared" si="362"/>
        <v>0</v>
      </c>
      <c r="AU242" s="1640">
        <f t="shared" si="362"/>
        <v>0</v>
      </c>
      <c r="AV242" s="1389">
        <f t="shared" si="362"/>
        <v>0</v>
      </c>
      <c r="AW242" s="1953">
        <f t="shared" si="362"/>
        <v>0</v>
      </c>
      <c r="AX242" s="1594">
        <f t="shared" si="362"/>
        <v>0</v>
      </c>
      <c r="AY242" s="2545" t="s">
        <v>1685</v>
      </c>
      <c r="AZ242" s="2546"/>
      <c r="BA242" s="1640">
        <f t="shared" ref="BA242:BD242" si="363">BA237+BA241</f>
        <v>0</v>
      </c>
      <c r="BB242" s="1389">
        <f t="shared" si="363"/>
        <v>0</v>
      </c>
      <c r="BC242" s="1953">
        <f t="shared" si="363"/>
        <v>0</v>
      </c>
      <c r="BD242" s="1594">
        <f t="shared" si="363"/>
        <v>0</v>
      </c>
      <c r="BE242" s="2545" t="s">
        <v>1685</v>
      </c>
      <c r="BF242" s="2546"/>
      <c r="BG242" s="1640">
        <f t="shared" ref="BG242:CD242" si="364">BG237+BG241</f>
        <v>0</v>
      </c>
      <c r="BH242" s="1389">
        <f t="shared" si="364"/>
        <v>0</v>
      </c>
      <c r="BI242" s="1953">
        <f t="shared" si="364"/>
        <v>0</v>
      </c>
      <c r="BJ242" s="1594">
        <f t="shared" si="364"/>
        <v>0</v>
      </c>
      <c r="BK242" s="1640">
        <f t="shared" si="364"/>
        <v>0</v>
      </c>
      <c r="BL242" s="1389">
        <f t="shared" si="364"/>
        <v>0</v>
      </c>
      <c r="BM242" s="1953">
        <f t="shared" si="364"/>
        <v>0</v>
      </c>
      <c r="BN242" s="1594">
        <f t="shared" si="364"/>
        <v>0</v>
      </c>
      <c r="BO242" s="1100">
        <f t="shared" si="364"/>
        <v>0</v>
      </c>
      <c r="BP242" s="2007">
        <f t="shared" si="364"/>
        <v>0</v>
      </c>
      <c r="BQ242" s="1100">
        <f t="shared" si="364"/>
        <v>0</v>
      </c>
      <c r="BR242" s="2007">
        <f t="shared" si="364"/>
        <v>0</v>
      </c>
      <c r="BS242" s="1640">
        <f t="shared" si="364"/>
        <v>0</v>
      </c>
      <c r="BT242" s="1389">
        <f t="shared" si="364"/>
        <v>0</v>
      </c>
      <c r="BU242" s="1953">
        <f t="shared" si="364"/>
        <v>0</v>
      </c>
      <c r="BV242" s="1594">
        <f t="shared" si="364"/>
        <v>0</v>
      </c>
      <c r="BW242" s="1100">
        <f t="shared" si="364"/>
        <v>0</v>
      </c>
      <c r="BX242" s="2007">
        <f t="shared" si="364"/>
        <v>0</v>
      </c>
      <c r="BY242" s="1640">
        <f t="shared" si="364"/>
        <v>0</v>
      </c>
      <c r="BZ242" s="1389">
        <f t="shared" si="364"/>
        <v>0</v>
      </c>
      <c r="CA242" s="1953">
        <f t="shared" si="364"/>
        <v>0</v>
      </c>
      <c r="CB242" s="1594">
        <f t="shared" si="364"/>
        <v>0</v>
      </c>
      <c r="CC242" s="1397">
        <f t="shared" si="364"/>
        <v>0</v>
      </c>
      <c r="CD242" s="2176">
        <f t="shared" si="364"/>
        <v>0</v>
      </c>
      <c r="CE242" s="2545" t="s">
        <v>1685</v>
      </c>
      <c r="CF242" s="2546"/>
      <c r="CG242" s="1640">
        <f t="shared" ref="CG242:CJ242" si="365">CG237+CG241</f>
        <v>0</v>
      </c>
      <c r="CH242" s="1389">
        <f t="shared" si="365"/>
        <v>0</v>
      </c>
      <c r="CI242" s="1953">
        <f t="shared" si="365"/>
        <v>0</v>
      </c>
      <c r="CJ242" s="1594">
        <f t="shared" si="365"/>
        <v>0</v>
      </c>
      <c r="CK242" s="2545" t="s">
        <v>1685</v>
      </c>
      <c r="CL242" s="2546"/>
      <c r="CM242" s="1640">
        <f t="shared" ref="CM242:DH242" si="366">CM237+CM241</f>
        <v>0</v>
      </c>
      <c r="CN242" s="1389">
        <f t="shared" si="366"/>
        <v>0</v>
      </c>
      <c r="CO242" s="1953">
        <f t="shared" si="366"/>
        <v>0</v>
      </c>
      <c r="CP242" s="1594">
        <f t="shared" si="366"/>
        <v>0</v>
      </c>
      <c r="CQ242" s="1640">
        <f t="shared" si="366"/>
        <v>0</v>
      </c>
      <c r="CR242" s="1389">
        <f t="shared" si="366"/>
        <v>0</v>
      </c>
      <c r="CS242" s="1953">
        <f t="shared" si="366"/>
        <v>0</v>
      </c>
      <c r="CT242" s="1594">
        <f t="shared" si="366"/>
        <v>0</v>
      </c>
      <c r="CU242" s="1640">
        <f t="shared" si="366"/>
        <v>0</v>
      </c>
      <c r="CV242" s="1389">
        <f t="shared" si="366"/>
        <v>0</v>
      </c>
      <c r="CW242" s="1953">
        <f t="shared" si="366"/>
        <v>0</v>
      </c>
      <c r="CX242" s="1594">
        <f t="shared" si="366"/>
        <v>0</v>
      </c>
      <c r="CY242" s="1640">
        <f t="shared" si="366"/>
        <v>0</v>
      </c>
      <c r="CZ242" s="1389">
        <f t="shared" si="366"/>
        <v>0</v>
      </c>
      <c r="DA242" s="1953">
        <f t="shared" si="366"/>
        <v>0</v>
      </c>
      <c r="DB242" s="1594">
        <f t="shared" si="366"/>
        <v>0</v>
      </c>
      <c r="DC242" s="1100">
        <f t="shared" si="366"/>
        <v>0</v>
      </c>
      <c r="DD242" s="2007">
        <f t="shared" si="366"/>
        <v>0</v>
      </c>
      <c r="DE242" s="1640">
        <f t="shared" si="366"/>
        <v>0</v>
      </c>
      <c r="DF242" s="1389">
        <f t="shared" si="366"/>
        <v>0</v>
      </c>
      <c r="DG242" s="1953">
        <f t="shared" si="366"/>
        <v>0</v>
      </c>
      <c r="DH242" s="1594">
        <f t="shared" si="366"/>
        <v>0</v>
      </c>
      <c r="DI242" s="2547" t="s">
        <v>1685</v>
      </c>
      <c r="DJ242" s="2546"/>
      <c r="DK242" s="1100">
        <f t="shared" ref="DK242:DL242" si="367">DK237+DK241</f>
        <v>0</v>
      </c>
      <c r="DL242" s="2007">
        <f t="shared" si="367"/>
        <v>0</v>
      </c>
      <c r="DM242" s="1100">
        <f t="shared" ref="DM242:DP242" si="368">DM237+DM241</f>
        <v>0</v>
      </c>
      <c r="DN242" s="2007">
        <f t="shared" si="368"/>
        <v>0</v>
      </c>
      <c r="DO242" s="1100">
        <f t="shared" si="368"/>
        <v>0</v>
      </c>
      <c r="DP242" s="2007">
        <f t="shared" si="368"/>
        <v>0</v>
      </c>
      <c r="DQ242" s="2545" t="s">
        <v>1685</v>
      </c>
      <c r="DR242" s="2547"/>
      <c r="DS242" s="1640">
        <f t="shared" ref="DS242:DV242" si="369">DS237+DS241</f>
        <v>0</v>
      </c>
      <c r="DT242" s="1389">
        <f t="shared" si="369"/>
        <v>0</v>
      </c>
      <c r="DU242" s="1953">
        <f t="shared" si="369"/>
        <v>0</v>
      </c>
      <c r="DV242" s="1594">
        <f t="shared" si="369"/>
        <v>0</v>
      </c>
      <c r="DW242" s="2545" t="s">
        <v>1685</v>
      </c>
      <c r="DX242" s="2546"/>
      <c r="DY242" s="1640">
        <f t="shared" ref="DY242:ED242" si="370">DY237+DY241</f>
        <v>0</v>
      </c>
      <c r="DZ242" s="1389">
        <f t="shared" si="370"/>
        <v>0</v>
      </c>
      <c r="EA242" s="1953">
        <f t="shared" si="370"/>
        <v>0</v>
      </c>
      <c r="EB242" s="1594">
        <f t="shared" si="370"/>
        <v>0</v>
      </c>
      <c r="EC242" s="1100">
        <f t="shared" si="370"/>
        <v>0</v>
      </c>
      <c r="ED242" s="2007">
        <f t="shared" si="370"/>
        <v>0</v>
      </c>
      <c r="EE242" s="2545" t="s">
        <v>1685</v>
      </c>
      <c r="EF242" s="2546"/>
      <c r="EG242" s="1100">
        <f t="shared" ref="EG242:EO242" si="371">EG237+EG241</f>
        <v>0</v>
      </c>
      <c r="EH242" s="2007">
        <f t="shared" si="371"/>
        <v>0</v>
      </c>
      <c r="EI242" s="1640">
        <f t="shared" si="371"/>
        <v>0</v>
      </c>
      <c r="EJ242" s="1389">
        <f t="shared" si="371"/>
        <v>0</v>
      </c>
      <c r="EK242" s="1953">
        <f t="shared" si="371"/>
        <v>0</v>
      </c>
      <c r="EL242" s="1594">
        <f t="shared" si="371"/>
        <v>0</v>
      </c>
      <c r="EM242" s="1594">
        <f t="shared" si="371"/>
        <v>67047</v>
      </c>
      <c r="EN242" s="1594">
        <f t="shared" si="371"/>
        <v>1874</v>
      </c>
      <c r="EO242" s="1594">
        <f t="shared" si="371"/>
        <v>0</v>
      </c>
      <c r="EP242" s="1601">
        <f t="shared" si="240"/>
        <v>68921</v>
      </c>
      <c r="EQ242" s="1398">
        <f t="shared" si="237"/>
        <v>0</v>
      </c>
      <c r="ER242" s="1796">
        <f t="shared" si="238"/>
        <v>0</v>
      </c>
      <c r="ES242" s="1796">
        <f t="shared" si="239"/>
        <v>0</v>
      </c>
      <c r="ET242" s="1400">
        <f t="shared" si="241"/>
        <v>0</v>
      </c>
    </row>
    <row r="243" spans="1:150" ht="19.95" customHeight="1" thickBot="1" x14ac:dyDescent="0.3">
      <c r="A243" s="2545" t="s">
        <v>1686</v>
      </c>
      <c r="B243" s="2546"/>
      <c r="C243" s="1640">
        <f t="shared" ref="C243:L243" si="372">SUM(C151+C140+C232+C242)</f>
        <v>63908</v>
      </c>
      <c r="D243" s="1389">
        <f t="shared" si="372"/>
        <v>103107</v>
      </c>
      <c r="E243" s="1953">
        <f t="shared" si="372"/>
        <v>62256</v>
      </c>
      <c r="F243" s="1594">
        <f t="shared" si="372"/>
        <v>144607</v>
      </c>
      <c r="G243" s="1100">
        <f t="shared" si="372"/>
        <v>0</v>
      </c>
      <c r="H243" s="2007">
        <f t="shared" si="372"/>
        <v>0</v>
      </c>
      <c r="I243" s="1100">
        <f t="shared" si="372"/>
        <v>3353</v>
      </c>
      <c r="J243" s="2007">
        <f t="shared" si="372"/>
        <v>3353</v>
      </c>
      <c r="K243" s="1100">
        <f t="shared" si="372"/>
        <v>6832</v>
      </c>
      <c r="L243" s="2007">
        <f t="shared" si="372"/>
        <v>22185.599999999999</v>
      </c>
      <c r="M243" s="2545" t="s">
        <v>1686</v>
      </c>
      <c r="N243" s="2546"/>
      <c r="O243" s="1100">
        <f t="shared" ref="O243:AB243" si="373">SUM(O151+O140+O232+O242)</f>
        <v>160628</v>
      </c>
      <c r="P243" s="2007">
        <f t="shared" si="373"/>
        <v>29715</v>
      </c>
      <c r="Q243" s="1640">
        <f t="shared" si="373"/>
        <v>1200</v>
      </c>
      <c r="R243" s="1389">
        <f t="shared" si="373"/>
        <v>3850</v>
      </c>
      <c r="S243" s="1953">
        <f t="shared" si="373"/>
        <v>600</v>
      </c>
      <c r="T243" s="1594">
        <f t="shared" si="373"/>
        <v>14250</v>
      </c>
      <c r="U243" s="1640">
        <f t="shared" si="373"/>
        <v>12710</v>
      </c>
      <c r="V243" s="1389">
        <f t="shared" si="373"/>
        <v>500</v>
      </c>
      <c r="W243" s="1953">
        <f t="shared" si="373"/>
        <v>13300</v>
      </c>
      <c r="X243" s="1594">
        <f t="shared" si="373"/>
        <v>16890</v>
      </c>
      <c r="Y243" s="1640">
        <f t="shared" si="373"/>
        <v>22680</v>
      </c>
      <c r="Z243" s="1389">
        <f t="shared" si="373"/>
        <v>53062</v>
      </c>
      <c r="AA243" s="1953">
        <f t="shared" si="373"/>
        <v>22680</v>
      </c>
      <c r="AB243" s="1594">
        <f t="shared" si="373"/>
        <v>63416</v>
      </c>
      <c r="AC243" s="2547" t="s">
        <v>1686</v>
      </c>
      <c r="AD243" s="2546"/>
      <c r="AE243" s="1640">
        <f t="shared" ref="AE243:AX243" si="374">SUM(AE151+AE140+AE232+AE242)</f>
        <v>0</v>
      </c>
      <c r="AF243" s="1389">
        <f t="shared" si="374"/>
        <v>0</v>
      </c>
      <c r="AG243" s="1953">
        <f t="shared" si="374"/>
        <v>196759</v>
      </c>
      <c r="AH243" s="1594">
        <f t="shared" si="374"/>
        <v>87707</v>
      </c>
      <c r="AI243" s="1640">
        <f t="shared" si="374"/>
        <v>1232768</v>
      </c>
      <c r="AJ243" s="1389">
        <f t="shared" si="374"/>
        <v>0</v>
      </c>
      <c r="AK243" s="1953">
        <f t="shared" si="374"/>
        <v>0</v>
      </c>
      <c r="AL243" s="1594">
        <f t="shared" si="374"/>
        <v>761036</v>
      </c>
      <c r="AM243" s="1100">
        <f t="shared" si="374"/>
        <v>7000</v>
      </c>
      <c r="AN243" s="2007">
        <f t="shared" si="374"/>
        <v>5504</v>
      </c>
      <c r="AO243" s="1640">
        <f t="shared" si="374"/>
        <v>0</v>
      </c>
      <c r="AP243" s="1375">
        <f t="shared" si="374"/>
        <v>0</v>
      </c>
      <c r="AQ243" s="1623">
        <f t="shared" si="374"/>
        <v>0</v>
      </c>
      <c r="AR243" s="1953">
        <f t="shared" si="374"/>
        <v>5968432</v>
      </c>
      <c r="AS243" s="1429">
        <f t="shared" si="374"/>
        <v>712623</v>
      </c>
      <c r="AT243" s="2117">
        <f t="shared" si="374"/>
        <v>266242</v>
      </c>
      <c r="AU243" s="1640">
        <f t="shared" si="374"/>
        <v>0</v>
      </c>
      <c r="AV243" s="1389">
        <f t="shared" si="374"/>
        <v>0</v>
      </c>
      <c r="AW243" s="1953">
        <f t="shared" si="374"/>
        <v>0</v>
      </c>
      <c r="AX243" s="1594">
        <f t="shared" si="374"/>
        <v>0</v>
      </c>
      <c r="AY243" s="2545" t="s">
        <v>1686</v>
      </c>
      <c r="AZ243" s="2546"/>
      <c r="BA243" s="1640">
        <f t="shared" ref="BA243:BD243" si="375">SUM(BA151+BA140+BA232+BA242)</f>
        <v>68500</v>
      </c>
      <c r="BB243" s="1389">
        <f t="shared" si="375"/>
        <v>75401</v>
      </c>
      <c r="BC243" s="1953">
        <f t="shared" si="375"/>
        <v>67000</v>
      </c>
      <c r="BD243" s="1594">
        <f t="shared" si="375"/>
        <v>57200</v>
      </c>
      <c r="BE243" s="2545" t="s">
        <v>1686</v>
      </c>
      <c r="BF243" s="2546"/>
      <c r="BG243" s="1640">
        <f t="shared" ref="BG243:CD243" si="376">SUM(BG151+BG140+BG232+BG242)</f>
        <v>1121188</v>
      </c>
      <c r="BH243" s="1389">
        <f t="shared" si="376"/>
        <v>0</v>
      </c>
      <c r="BI243" s="1953">
        <f t="shared" si="376"/>
        <v>752333</v>
      </c>
      <c r="BJ243" s="1594">
        <f t="shared" si="376"/>
        <v>355767</v>
      </c>
      <c r="BK243" s="1640">
        <f t="shared" si="376"/>
        <v>58189</v>
      </c>
      <c r="BL243" s="1389">
        <f t="shared" si="376"/>
        <v>1500</v>
      </c>
      <c r="BM243" s="1953">
        <f t="shared" si="376"/>
        <v>114780</v>
      </c>
      <c r="BN243" s="1594">
        <f t="shared" si="376"/>
        <v>2500</v>
      </c>
      <c r="BO243" s="1100">
        <f t="shared" si="376"/>
        <v>0</v>
      </c>
      <c r="BP243" s="2007">
        <f t="shared" si="376"/>
        <v>20000</v>
      </c>
      <c r="BQ243" s="1100">
        <f t="shared" si="376"/>
        <v>300</v>
      </c>
      <c r="BR243" s="2007">
        <f t="shared" si="376"/>
        <v>300</v>
      </c>
      <c r="BS243" s="1640">
        <f t="shared" si="376"/>
        <v>144246</v>
      </c>
      <c r="BT243" s="1389">
        <f t="shared" si="376"/>
        <v>2642</v>
      </c>
      <c r="BU243" s="1953">
        <f t="shared" si="376"/>
        <v>167734</v>
      </c>
      <c r="BV243" s="1594">
        <f t="shared" si="376"/>
        <v>2642</v>
      </c>
      <c r="BW243" s="1100">
        <f t="shared" si="376"/>
        <v>15000</v>
      </c>
      <c r="BX243" s="2007">
        <f t="shared" si="376"/>
        <v>10000</v>
      </c>
      <c r="BY243" s="1640">
        <f t="shared" si="376"/>
        <v>0</v>
      </c>
      <c r="BZ243" s="1389">
        <f t="shared" si="376"/>
        <v>0</v>
      </c>
      <c r="CA243" s="1953">
        <f t="shared" si="376"/>
        <v>0</v>
      </c>
      <c r="CB243" s="1594">
        <f t="shared" si="376"/>
        <v>0</v>
      </c>
      <c r="CC243" s="1397">
        <f t="shared" si="376"/>
        <v>19500</v>
      </c>
      <c r="CD243" s="2176">
        <f t="shared" si="376"/>
        <v>3800</v>
      </c>
      <c r="CE243" s="2545" t="s">
        <v>1686</v>
      </c>
      <c r="CF243" s="2546"/>
      <c r="CG243" s="1640">
        <f t="shared" ref="CG243:CJ243" si="377">SUM(CG151+CG140+CG232+CG242)</f>
        <v>135907</v>
      </c>
      <c r="CH243" s="1389">
        <f t="shared" si="377"/>
        <v>36200</v>
      </c>
      <c r="CI243" s="1953">
        <f t="shared" si="377"/>
        <v>185650</v>
      </c>
      <c r="CJ243" s="1594">
        <f t="shared" si="377"/>
        <v>1200</v>
      </c>
      <c r="CK243" s="2545" t="s">
        <v>1686</v>
      </c>
      <c r="CL243" s="2546"/>
      <c r="CM243" s="1640">
        <f t="shared" ref="CM243:DH243" si="378">SUM(CM151+CM140+CM232+CM242)</f>
        <v>0</v>
      </c>
      <c r="CN243" s="1389">
        <f t="shared" si="378"/>
        <v>0</v>
      </c>
      <c r="CO243" s="1953">
        <f t="shared" si="378"/>
        <v>33900</v>
      </c>
      <c r="CP243" s="1594">
        <f t="shared" si="378"/>
        <v>2490597</v>
      </c>
      <c r="CQ243" s="1640">
        <f t="shared" si="378"/>
        <v>0</v>
      </c>
      <c r="CR243" s="1389">
        <f t="shared" si="378"/>
        <v>137489</v>
      </c>
      <c r="CS243" s="1953">
        <f t="shared" si="378"/>
        <v>122060</v>
      </c>
      <c r="CT243" s="1594">
        <f t="shared" si="378"/>
        <v>6144</v>
      </c>
      <c r="CU243" s="1640">
        <f t="shared" si="378"/>
        <v>700570</v>
      </c>
      <c r="CV243" s="1389">
        <f t="shared" si="378"/>
        <v>242997</v>
      </c>
      <c r="CW243" s="1953">
        <f t="shared" si="378"/>
        <v>777184</v>
      </c>
      <c r="CX243" s="1594">
        <f t="shared" si="378"/>
        <v>404551</v>
      </c>
      <c r="CY243" s="1640">
        <f t="shared" si="378"/>
        <v>0</v>
      </c>
      <c r="CZ243" s="1389">
        <f t="shared" si="378"/>
        <v>0</v>
      </c>
      <c r="DA243" s="1953">
        <f t="shared" si="378"/>
        <v>3075091</v>
      </c>
      <c r="DB243" s="1594">
        <f t="shared" si="378"/>
        <v>958654</v>
      </c>
      <c r="DC243" s="1100">
        <f t="shared" si="378"/>
        <v>1000000</v>
      </c>
      <c r="DD243" s="2007">
        <f t="shared" si="378"/>
        <v>300000</v>
      </c>
      <c r="DE243" s="1640">
        <f t="shared" si="378"/>
        <v>42600</v>
      </c>
      <c r="DF243" s="1389">
        <f t="shared" si="378"/>
        <v>221182</v>
      </c>
      <c r="DG243" s="1953">
        <f t="shared" si="378"/>
        <v>33090</v>
      </c>
      <c r="DH243" s="1594">
        <f t="shared" si="378"/>
        <v>227375</v>
      </c>
      <c r="DI243" s="2547" t="s">
        <v>1686</v>
      </c>
      <c r="DJ243" s="2546"/>
      <c r="DK243" s="1100">
        <f t="shared" ref="DK243:DL243" si="379">SUM(DK151+DK140+DK232+DK242)</f>
        <v>0</v>
      </c>
      <c r="DL243" s="2007">
        <f t="shared" si="379"/>
        <v>1298195</v>
      </c>
      <c r="DM243" s="1100">
        <f t="shared" ref="DM243:DP243" si="380">SUM(DM151+DM140+DM232+DM242)</f>
        <v>0</v>
      </c>
      <c r="DN243" s="2007">
        <f t="shared" si="380"/>
        <v>193677</v>
      </c>
      <c r="DO243" s="1100">
        <f t="shared" si="380"/>
        <v>0</v>
      </c>
      <c r="DP243" s="2007">
        <f t="shared" si="380"/>
        <v>530493</v>
      </c>
      <c r="DQ243" s="2545" t="s">
        <v>1686</v>
      </c>
      <c r="DR243" s="2547"/>
      <c r="DS243" s="1640">
        <f t="shared" ref="DS243:DV243" si="381">SUM(DS151+DS140+DS232+DS242)</f>
        <v>6000</v>
      </c>
      <c r="DT243" s="1389">
        <f t="shared" si="381"/>
        <v>2500</v>
      </c>
      <c r="DU243" s="1953">
        <f t="shared" si="381"/>
        <v>0</v>
      </c>
      <c r="DV243" s="1594">
        <f t="shared" si="381"/>
        <v>12200</v>
      </c>
      <c r="DW243" s="2545" t="s">
        <v>1686</v>
      </c>
      <c r="DX243" s="2546"/>
      <c r="DY243" s="1640">
        <f t="shared" ref="DY243:ED243" si="382">SUM(DY151+DY140+DY232+DY242)</f>
        <v>73930</v>
      </c>
      <c r="DZ243" s="1389">
        <f t="shared" si="382"/>
        <v>28638</v>
      </c>
      <c r="EA243" s="1953">
        <f t="shared" si="382"/>
        <v>59930</v>
      </c>
      <c r="EB243" s="1594">
        <f t="shared" si="382"/>
        <v>64200</v>
      </c>
      <c r="EC243" s="1100">
        <f t="shared" si="382"/>
        <v>1000</v>
      </c>
      <c r="ED243" s="2007">
        <f t="shared" si="382"/>
        <v>1000</v>
      </c>
      <c r="EE243" s="2545" t="s">
        <v>1686</v>
      </c>
      <c r="EF243" s="2546"/>
      <c r="EG243" s="1100">
        <f t="shared" ref="EG243:EO243" si="383">SUM(EG151+EG140+EG232+EG242)</f>
        <v>143716</v>
      </c>
      <c r="EH243" s="2007">
        <f t="shared" si="383"/>
        <v>132644</v>
      </c>
      <c r="EI243" s="1640">
        <f t="shared" si="383"/>
        <v>167997</v>
      </c>
      <c r="EJ243" s="1389">
        <f t="shared" si="383"/>
        <v>800961</v>
      </c>
      <c r="EK243" s="1953">
        <f t="shared" si="383"/>
        <v>161687</v>
      </c>
      <c r="EL243" s="1594">
        <f t="shared" si="383"/>
        <v>677082</v>
      </c>
      <c r="EM243" s="2334">
        <f t="shared" si="383"/>
        <v>11868970</v>
      </c>
      <c r="EN243" s="2334">
        <f t="shared" si="383"/>
        <v>9557003.5999999996</v>
      </c>
      <c r="EO243" s="2334">
        <f t="shared" si="383"/>
        <v>266242</v>
      </c>
      <c r="EP243" s="2335">
        <f>SUM(EM243:EO243)</f>
        <v>21692215.600000001</v>
      </c>
      <c r="EQ243" s="1791">
        <f t="shared" si="237"/>
        <v>3879193</v>
      </c>
      <c r="ER243" s="1770">
        <f t="shared" si="238"/>
        <v>3040558</v>
      </c>
      <c r="ES243" s="1770">
        <f t="shared" si="239"/>
        <v>0</v>
      </c>
      <c r="ET243" s="1417">
        <f t="shared" si="241"/>
        <v>6919751</v>
      </c>
    </row>
    <row r="244" spans="1:150" ht="19.95" customHeight="1" thickBot="1" x14ac:dyDescent="0.3">
      <c r="A244" s="2549" t="s">
        <v>1687</v>
      </c>
      <c r="B244" s="2550"/>
      <c r="C244" s="1640">
        <f t="shared" ref="C244:G244" si="384">SUM(C243-C3)</f>
        <v>0</v>
      </c>
      <c r="D244" s="1389">
        <f t="shared" si="384"/>
        <v>0</v>
      </c>
      <c r="E244" s="1953">
        <f t="shared" ref="E244:F244" si="385">SUM(E243-E3)</f>
        <v>0</v>
      </c>
      <c r="F244" s="1594">
        <f t="shared" si="385"/>
        <v>0</v>
      </c>
      <c r="G244" s="1100">
        <f t="shared" si="384"/>
        <v>0</v>
      </c>
      <c r="H244" s="2007">
        <f t="shared" ref="H244:L244" si="386">SUM(H243-H3)</f>
        <v>0</v>
      </c>
      <c r="I244" s="1100">
        <f t="shared" si="386"/>
        <v>0</v>
      </c>
      <c r="J244" s="2007">
        <f t="shared" si="386"/>
        <v>0</v>
      </c>
      <c r="K244" s="1100">
        <f t="shared" si="386"/>
        <v>0</v>
      </c>
      <c r="L244" s="2007">
        <f t="shared" si="386"/>
        <v>0</v>
      </c>
      <c r="M244" s="2549" t="s">
        <v>1687</v>
      </c>
      <c r="N244" s="2550"/>
      <c r="O244" s="1100">
        <f t="shared" ref="O244:AB244" si="387">SUM(O243-O3)</f>
        <v>0</v>
      </c>
      <c r="P244" s="2007">
        <f t="shared" si="387"/>
        <v>0</v>
      </c>
      <c r="Q244" s="1640">
        <f t="shared" si="387"/>
        <v>0</v>
      </c>
      <c r="R244" s="1389">
        <f t="shared" si="387"/>
        <v>0</v>
      </c>
      <c r="S244" s="1953">
        <f t="shared" si="387"/>
        <v>0</v>
      </c>
      <c r="T244" s="1594">
        <f t="shared" si="387"/>
        <v>0</v>
      </c>
      <c r="U244" s="1640">
        <f t="shared" si="387"/>
        <v>0</v>
      </c>
      <c r="V244" s="1389">
        <f t="shared" si="387"/>
        <v>0</v>
      </c>
      <c r="W244" s="1953">
        <f t="shared" si="387"/>
        <v>0</v>
      </c>
      <c r="X244" s="1594">
        <f t="shared" si="387"/>
        <v>0</v>
      </c>
      <c r="Y244" s="1640">
        <f t="shared" si="387"/>
        <v>0</v>
      </c>
      <c r="Z244" s="1389">
        <f t="shared" si="387"/>
        <v>0</v>
      </c>
      <c r="AA244" s="1953">
        <f t="shared" si="387"/>
        <v>0</v>
      </c>
      <c r="AB244" s="1594">
        <f t="shared" si="387"/>
        <v>0</v>
      </c>
      <c r="AC244" s="2551" t="s">
        <v>1687</v>
      </c>
      <c r="AD244" s="2550"/>
      <c r="AE244" s="1640">
        <f t="shared" ref="AE244:AX244" si="388">SUM(AE243-AE3)</f>
        <v>0</v>
      </c>
      <c r="AF244" s="1389">
        <f t="shared" si="388"/>
        <v>0</v>
      </c>
      <c r="AG244" s="1953">
        <f t="shared" si="388"/>
        <v>0</v>
      </c>
      <c r="AH244" s="1594">
        <f t="shared" si="388"/>
        <v>0</v>
      </c>
      <c r="AI244" s="1640">
        <f t="shared" si="388"/>
        <v>0</v>
      </c>
      <c r="AJ244" s="1389">
        <f t="shared" si="388"/>
        <v>0</v>
      </c>
      <c r="AK244" s="1953">
        <f t="shared" si="388"/>
        <v>0</v>
      </c>
      <c r="AL244" s="1594">
        <f t="shared" si="388"/>
        <v>0</v>
      </c>
      <c r="AM244" s="1100">
        <f t="shared" si="388"/>
        <v>0</v>
      </c>
      <c r="AN244" s="2007">
        <f t="shared" si="388"/>
        <v>0</v>
      </c>
      <c r="AO244" s="1640">
        <f t="shared" si="388"/>
        <v>0</v>
      </c>
      <c r="AP244" s="1375">
        <f t="shared" si="388"/>
        <v>0</v>
      </c>
      <c r="AQ244" s="1623">
        <f t="shared" si="388"/>
        <v>0</v>
      </c>
      <c r="AR244" s="1953">
        <f t="shared" si="388"/>
        <v>0</v>
      </c>
      <c r="AS244" s="1429">
        <f t="shared" si="388"/>
        <v>0</v>
      </c>
      <c r="AT244" s="2117">
        <f t="shared" si="388"/>
        <v>0</v>
      </c>
      <c r="AU244" s="1640">
        <f t="shared" si="388"/>
        <v>0</v>
      </c>
      <c r="AV244" s="1389">
        <f t="shared" si="388"/>
        <v>0</v>
      </c>
      <c r="AW244" s="1953">
        <f t="shared" si="388"/>
        <v>0</v>
      </c>
      <c r="AX244" s="1594">
        <f t="shared" si="388"/>
        <v>0</v>
      </c>
      <c r="AY244" s="2549" t="s">
        <v>1687</v>
      </c>
      <c r="AZ244" s="2550"/>
      <c r="BA244" s="1640">
        <f t="shared" ref="BA244:BD244" si="389">SUM(BA243-BA3)</f>
        <v>0</v>
      </c>
      <c r="BB244" s="1389">
        <f t="shared" si="389"/>
        <v>0</v>
      </c>
      <c r="BC244" s="1953">
        <f t="shared" si="389"/>
        <v>0</v>
      </c>
      <c r="BD244" s="1594">
        <f t="shared" si="389"/>
        <v>0</v>
      </c>
      <c r="BE244" s="2549" t="s">
        <v>1687</v>
      </c>
      <c r="BF244" s="2550"/>
      <c r="BG244" s="1640">
        <f t="shared" ref="BG244:CD244" si="390">SUM(BG243-BG3)</f>
        <v>0</v>
      </c>
      <c r="BH244" s="1389">
        <f t="shared" si="390"/>
        <v>0</v>
      </c>
      <c r="BI244" s="1953">
        <f t="shared" si="390"/>
        <v>0</v>
      </c>
      <c r="BJ244" s="1594">
        <f t="shared" si="390"/>
        <v>0</v>
      </c>
      <c r="BK244" s="1640">
        <f t="shared" si="390"/>
        <v>0</v>
      </c>
      <c r="BL244" s="1389">
        <f t="shared" si="390"/>
        <v>0</v>
      </c>
      <c r="BM244" s="1953">
        <f t="shared" si="390"/>
        <v>0</v>
      </c>
      <c r="BN244" s="1594">
        <f t="shared" si="390"/>
        <v>0</v>
      </c>
      <c r="BO244" s="1100">
        <f t="shared" si="390"/>
        <v>0</v>
      </c>
      <c r="BP244" s="2007">
        <f t="shared" si="390"/>
        <v>0</v>
      </c>
      <c r="BQ244" s="1100">
        <f t="shared" si="390"/>
        <v>0</v>
      </c>
      <c r="BR244" s="2007">
        <f t="shared" si="390"/>
        <v>0</v>
      </c>
      <c r="BS244" s="1640">
        <f t="shared" si="390"/>
        <v>0</v>
      </c>
      <c r="BT244" s="1389">
        <f t="shared" si="390"/>
        <v>0</v>
      </c>
      <c r="BU244" s="1953">
        <f t="shared" si="390"/>
        <v>0</v>
      </c>
      <c r="BV244" s="1594">
        <f t="shared" si="390"/>
        <v>0</v>
      </c>
      <c r="BW244" s="1100">
        <f t="shared" si="390"/>
        <v>0</v>
      </c>
      <c r="BX244" s="2007">
        <f t="shared" si="390"/>
        <v>0</v>
      </c>
      <c r="BY244" s="1640">
        <f t="shared" si="390"/>
        <v>0</v>
      </c>
      <c r="BZ244" s="1389">
        <f t="shared" si="390"/>
        <v>0</v>
      </c>
      <c r="CA244" s="1953">
        <f t="shared" si="390"/>
        <v>0</v>
      </c>
      <c r="CB244" s="1594">
        <f t="shared" si="390"/>
        <v>0</v>
      </c>
      <c r="CC244" s="1397">
        <f t="shared" si="390"/>
        <v>0</v>
      </c>
      <c r="CD244" s="2176">
        <f t="shared" si="390"/>
        <v>0</v>
      </c>
      <c r="CE244" s="2549" t="s">
        <v>1687</v>
      </c>
      <c r="CF244" s="2550"/>
      <c r="CG244" s="1640">
        <f t="shared" ref="CG244:CJ244" si="391">SUM(CG243-CG3)</f>
        <v>0</v>
      </c>
      <c r="CH244" s="1389">
        <f t="shared" si="391"/>
        <v>0</v>
      </c>
      <c r="CI244" s="1953">
        <f t="shared" si="391"/>
        <v>0</v>
      </c>
      <c r="CJ244" s="1594">
        <f t="shared" si="391"/>
        <v>0</v>
      </c>
      <c r="CK244" s="2549" t="s">
        <v>1687</v>
      </c>
      <c r="CL244" s="2550"/>
      <c r="CM244" s="1640">
        <f t="shared" ref="CM244:DH244" si="392">SUM(CM243-CM3)</f>
        <v>0</v>
      </c>
      <c r="CN244" s="1389">
        <f t="shared" si="392"/>
        <v>0</v>
      </c>
      <c r="CO244" s="1953">
        <f t="shared" si="392"/>
        <v>0</v>
      </c>
      <c r="CP244" s="1594">
        <f t="shared" si="392"/>
        <v>0</v>
      </c>
      <c r="CQ244" s="1640">
        <f t="shared" si="392"/>
        <v>0</v>
      </c>
      <c r="CR244" s="1389">
        <f t="shared" si="392"/>
        <v>0</v>
      </c>
      <c r="CS244" s="1953">
        <f t="shared" si="392"/>
        <v>0</v>
      </c>
      <c r="CT244" s="1594">
        <f t="shared" si="392"/>
        <v>0</v>
      </c>
      <c r="CU244" s="1640">
        <f t="shared" si="392"/>
        <v>0</v>
      </c>
      <c r="CV244" s="1389">
        <f t="shared" si="392"/>
        <v>0</v>
      </c>
      <c r="CW244" s="1953">
        <f t="shared" si="392"/>
        <v>0</v>
      </c>
      <c r="CX244" s="1594">
        <f t="shared" si="392"/>
        <v>0</v>
      </c>
      <c r="CY244" s="1640">
        <f t="shared" si="392"/>
        <v>0</v>
      </c>
      <c r="CZ244" s="1389">
        <f t="shared" si="392"/>
        <v>0</v>
      </c>
      <c r="DA244" s="1953">
        <f t="shared" si="392"/>
        <v>0</v>
      </c>
      <c r="DB244" s="1594">
        <f t="shared" si="392"/>
        <v>0</v>
      </c>
      <c r="DC244" s="1100">
        <f t="shared" si="392"/>
        <v>0</v>
      </c>
      <c r="DD244" s="2007">
        <f t="shared" si="392"/>
        <v>0</v>
      </c>
      <c r="DE244" s="1640">
        <f t="shared" si="392"/>
        <v>0</v>
      </c>
      <c r="DF244" s="1389">
        <f t="shared" si="392"/>
        <v>0</v>
      </c>
      <c r="DG244" s="1953">
        <f t="shared" si="392"/>
        <v>0</v>
      </c>
      <c r="DH244" s="1594">
        <f t="shared" si="392"/>
        <v>0</v>
      </c>
      <c r="DI244" s="2551" t="s">
        <v>1687</v>
      </c>
      <c r="DJ244" s="2550"/>
      <c r="DK244" s="1100">
        <f t="shared" ref="DK244:DL244" si="393">SUM(DK243-DK3)</f>
        <v>0</v>
      </c>
      <c r="DL244" s="2007">
        <f t="shared" si="393"/>
        <v>0</v>
      </c>
      <c r="DM244" s="1100">
        <f t="shared" ref="DM244:DP244" si="394">SUM(DM243-DM3)</f>
        <v>0</v>
      </c>
      <c r="DN244" s="2007">
        <f t="shared" si="394"/>
        <v>0</v>
      </c>
      <c r="DO244" s="1100">
        <f t="shared" si="394"/>
        <v>0</v>
      </c>
      <c r="DP244" s="2007">
        <f t="shared" si="394"/>
        <v>0</v>
      </c>
      <c r="DQ244" s="2549" t="s">
        <v>1687</v>
      </c>
      <c r="DR244" s="2551"/>
      <c r="DS244" s="1640">
        <f t="shared" ref="DS244:DV244" si="395">SUM(DS243-DS3)</f>
        <v>0</v>
      </c>
      <c r="DT244" s="1389">
        <f t="shared" si="395"/>
        <v>0</v>
      </c>
      <c r="DU244" s="1953">
        <f t="shared" si="395"/>
        <v>0</v>
      </c>
      <c r="DV244" s="1594">
        <f t="shared" si="395"/>
        <v>0</v>
      </c>
      <c r="DW244" s="2549" t="s">
        <v>1687</v>
      </c>
      <c r="DX244" s="2550"/>
      <c r="DY244" s="1640">
        <f t="shared" ref="DY244:ED244" si="396">SUM(DY243-DY3)</f>
        <v>0</v>
      </c>
      <c r="DZ244" s="1389">
        <f t="shared" si="396"/>
        <v>0</v>
      </c>
      <c r="EA244" s="1953">
        <f t="shared" si="396"/>
        <v>0</v>
      </c>
      <c r="EB244" s="1594">
        <f t="shared" si="396"/>
        <v>0</v>
      </c>
      <c r="EC244" s="1100">
        <f t="shared" si="396"/>
        <v>0</v>
      </c>
      <c r="ED244" s="2007">
        <f t="shared" si="396"/>
        <v>0</v>
      </c>
      <c r="EE244" s="2549" t="s">
        <v>1687</v>
      </c>
      <c r="EF244" s="2550"/>
      <c r="EG244" s="1100">
        <f t="shared" ref="EG244:EO244" si="397">SUM(EG243-EG3)</f>
        <v>0</v>
      </c>
      <c r="EH244" s="2007">
        <f t="shared" si="397"/>
        <v>0</v>
      </c>
      <c r="EI244" s="1640">
        <f t="shared" si="397"/>
        <v>0</v>
      </c>
      <c r="EJ244" s="1389">
        <f t="shared" si="397"/>
        <v>0</v>
      </c>
      <c r="EK244" s="1953">
        <f t="shared" si="397"/>
        <v>0</v>
      </c>
      <c r="EL244" s="1594">
        <f t="shared" si="397"/>
        <v>0</v>
      </c>
      <c r="EM244" s="1594">
        <f t="shared" si="397"/>
        <v>0</v>
      </c>
      <c r="EN244" s="1594">
        <f t="shared" si="397"/>
        <v>0</v>
      </c>
      <c r="EO244" s="1594">
        <f t="shared" si="397"/>
        <v>0</v>
      </c>
      <c r="EP244" s="2223">
        <f t="shared" si="240"/>
        <v>0</v>
      </c>
      <c r="EQ244" s="1791">
        <f t="shared" si="237"/>
        <v>0</v>
      </c>
      <c r="ER244" s="1770">
        <f t="shared" si="238"/>
        <v>0</v>
      </c>
      <c r="ES244" s="1770">
        <f t="shared" si="239"/>
        <v>0</v>
      </c>
      <c r="ET244" s="1417">
        <f t="shared" si="241"/>
        <v>0</v>
      </c>
    </row>
    <row r="245" spans="1:150" ht="19.95" customHeight="1" thickBot="1" x14ac:dyDescent="0.3">
      <c r="A245" s="2545" t="s">
        <v>1688</v>
      </c>
      <c r="B245" s="2546"/>
      <c r="C245" s="1640">
        <f t="shared" ref="C245:L245" si="398">C404</f>
        <v>0</v>
      </c>
      <c r="D245" s="1389">
        <f t="shared" si="398"/>
        <v>0</v>
      </c>
      <c r="E245" s="1953">
        <f t="shared" si="398"/>
        <v>0</v>
      </c>
      <c r="F245" s="1594">
        <f t="shared" si="398"/>
        <v>0</v>
      </c>
      <c r="G245" s="1100">
        <f t="shared" si="398"/>
        <v>0</v>
      </c>
      <c r="H245" s="2007">
        <f t="shared" si="398"/>
        <v>0</v>
      </c>
      <c r="I245" s="1100">
        <f t="shared" si="398"/>
        <v>0</v>
      </c>
      <c r="J245" s="2007">
        <f t="shared" si="398"/>
        <v>0</v>
      </c>
      <c r="K245" s="1100">
        <f t="shared" si="398"/>
        <v>500</v>
      </c>
      <c r="L245" s="2007">
        <f t="shared" si="398"/>
        <v>300</v>
      </c>
      <c r="M245" s="2545" t="s">
        <v>1688</v>
      </c>
      <c r="N245" s="2546"/>
      <c r="O245" s="1100">
        <f t="shared" ref="O245:Y245" si="399">O404</f>
        <v>0</v>
      </c>
      <c r="P245" s="2007">
        <f t="shared" si="399"/>
        <v>0</v>
      </c>
      <c r="Q245" s="1640">
        <f t="shared" si="399"/>
        <v>0</v>
      </c>
      <c r="R245" s="1389">
        <f t="shared" si="399"/>
        <v>0</v>
      </c>
      <c r="S245" s="1953">
        <f t="shared" si="399"/>
        <v>0</v>
      </c>
      <c r="T245" s="1594">
        <f t="shared" si="399"/>
        <v>0</v>
      </c>
      <c r="U245" s="1640">
        <f t="shared" si="399"/>
        <v>5603</v>
      </c>
      <c r="V245" s="1389">
        <f t="shared" si="399"/>
        <v>0</v>
      </c>
      <c r="W245" s="1953">
        <f t="shared" si="399"/>
        <v>5698</v>
      </c>
      <c r="X245" s="1594">
        <f t="shared" si="399"/>
        <v>0</v>
      </c>
      <c r="Y245" s="1640">
        <f t="shared" si="399"/>
        <v>0</v>
      </c>
      <c r="Z245" s="1389">
        <f>Z404</f>
        <v>0</v>
      </c>
      <c r="AA245" s="1953">
        <f t="shared" ref="AA245" si="400">AA404</f>
        <v>0</v>
      </c>
      <c r="AB245" s="1594">
        <f>AB404</f>
        <v>0</v>
      </c>
      <c r="AC245" s="2547" t="s">
        <v>1688</v>
      </c>
      <c r="AD245" s="2546"/>
      <c r="AE245" s="1640">
        <f t="shared" ref="AE245:AX245" si="401">AE404</f>
        <v>0</v>
      </c>
      <c r="AF245" s="1389">
        <f t="shared" si="401"/>
        <v>0</v>
      </c>
      <c r="AG245" s="1953">
        <f t="shared" si="401"/>
        <v>0</v>
      </c>
      <c r="AH245" s="1594">
        <f t="shared" si="401"/>
        <v>0</v>
      </c>
      <c r="AI245" s="1640">
        <f t="shared" si="401"/>
        <v>0</v>
      </c>
      <c r="AJ245" s="1389">
        <f t="shared" si="401"/>
        <v>0</v>
      </c>
      <c r="AK245" s="1953">
        <f t="shared" si="401"/>
        <v>0</v>
      </c>
      <c r="AL245" s="1594">
        <f t="shared" si="401"/>
        <v>0</v>
      </c>
      <c r="AM245" s="1100">
        <f t="shared" si="401"/>
        <v>7807000</v>
      </c>
      <c r="AN245" s="2007">
        <f t="shared" si="401"/>
        <v>8835936</v>
      </c>
      <c r="AO245" s="1640">
        <f t="shared" si="401"/>
        <v>0</v>
      </c>
      <c r="AP245" s="1375">
        <f t="shared" si="401"/>
        <v>8467</v>
      </c>
      <c r="AQ245" s="1623">
        <f t="shared" si="401"/>
        <v>0</v>
      </c>
      <c r="AR245" s="1953">
        <f t="shared" si="401"/>
        <v>2020372.764</v>
      </c>
      <c r="AS245" s="1429">
        <f t="shared" si="401"/>
        <v>9879</v>
      </c>
      <c r="AT245" s="2117">
        <f t="shared" si="401"/>
        <v>0</v>
      </c>
      <c r="AU245" s="1640">
        <f t="shared" si="401"/>
        <v>0</v>
      </c>
      <c r="AV245" s="1389">
        <f t="shared" si="401"/>
        <v>0</v>
      </c>
      <c r="AW245" s="1953">
        <f t="shared" si="401"/>
        <v>621074</v>
      </c>
      <c r="AX245" s="1594">
        <f t="shared" si="401"/>
        <v>4566684</v>
      </c>
      <c r="AY245" s="2545" t="s">
        <v>1688</v>
      </c>
      <c r="AZ245" s="2546"/>
      <c r="BA245" s="1640">
        <f t="shared" ref="BA245:BD245" si="402">BA404</f>
        <v>4000</v>
      </c>
      <c r="BB245" s="1389">
        <f t="shared" si="402"/>
        <v>0</v>
      </c>
      <c r="BC245" s="1953">
        <f t="shared" si="402"/>
        <v>4000</v>
      </c>
      <c r="BD245" s="1594">
        <f t="shared" si="402"/>
        <v>0</v>
      </c>
      <c r="BE245" s="2545" t="s">
        <v>1688</v>
      </c>
      <c r="BF245" s="2546"/>
      <c r="BG245" s="1640">
        <f t="shared" ref="BG245:CD245" si="403">BG404</f>
        <v>1529011</v>
      </c>
      <c r="BH245" s="1389">
        <f t="shared" si="403"/>
        <v>0</v>
      </c>
      <c r="BI245" s="1953">
        <f t="shared" si="403"/>
        <v>1315610</v>
      </c>
      <c r="BJ245" s="1594">
        <f t="shared" si="403"/>
        <v>334000</v>
      </c>
      <c r="BK245" s="1640">
        <f t="shared" si="403"/>
        <v>269000</v>
      </c>
      <c r="BL245" s="1389">
        <f t="shared" si="403"/>
        <v>0</v>
      </c>
      <c r="BM245" s="1953">
        <f t="shared" si="403"/>
        <v>300000</v>
      </c>
      <c r="BN245" s="1594">
        <f t="shared" si="403"/>
        <v>0</v>
      </c>
      <c r="BO245" s="1100">
        <f t="shared" si="403"/>
        <v>0</v>
      </c>
      <c r="BP245" s="2007">
        <f t="shared" si="403"/>
        <v>0</v>
      </c>
      <c r="BQ245" s="1100">
        <f t="shared" si="403"/>
        <v>0</v>
      </c>
      <c r="BR245" s="2007">
        <f t="shared" si="403"/>
        <v>0</v>
      </c>
      <c r="BS245" s="1640">
        <f t="shared" si="403"/>
        <v>58944</v>
      </c>
      <c r="BT245" s="1389">
        <f t="shared" si="403"/>
        <v>0</v>
      </c>
      <c r="BU245" s="1953">
        <f t="shared" si="403"/>
        <v>71954</v>
      </c>
      <c r="BV245" s="1594">
        <f t="shared" si="403"/>
        <v>0</v>
      </c>
      <c r="BW245" s="1100">
        <f t="shared" si="403"/>
        <v>0</v>
      </c>
      <c r="BX245" s="2007">
        <f t="shared" si="403"/>
        <v>0</v>
      </c>
      <c r="BY245" s="1640">
        <f t="shared" si="403"/>
        <v>0</v>
      </c>
      <c r="BZ245" s="1389">
        <f t="shared" si="403"/>
        <v>0</v>
      </c>
      <c r="CA245" s="1953">
        <f t="shared" si="403"/>
        <v>0</v>
      </c>
      <c r="CB245" s="1594">
        <f t="shared" si="403"/>
        <v>0</v>
      </c>
      <c r="CC245" s="1397">
        <f t="shared" si="403"/>
        <v>0</v>
      </c>
      <c r="CD245" s="2176">
        <f t="shared" si="403"/>
        <v>0</v>
      </c>
      <c r="CE245" s="2545" t="s">
        <v>1688</v>
      </c>
      <c r="CF245" s="2546"/>
      <c r="CG245" s="1640">
        <f t="shared" ref="CG245:CJ245" si="404">CG404</f>
        <v>1300</v>
      </c>
      <c r="CH245" s="1389">
        <f t="shared" si="404"/>
        <v>0</v>
      </c>
      <c r="CI245" s="1953">
        <f t="shared" si="404"/>
        <v>0</v>
      </c>
      <c r="CJ245" s="1594">
        <f t="shared" si="404"/>
        <v>0</v>
      </c>
      <c r="CK245" s="2545" t="s">
        <v>1688</v>
      </c>
      <c r="CL245" s="2546"/>
      <c r="CM245" s="1640">
        <f t="shared" ref="CM245:DH245" si="405">CM404</f>
        <v>0</v>
      </c>
      <c r="CN245" s="1389">
        <f t="shared" si="405"/>
        <v>0</v>
      </c>
      <c r="CO245" s="1953">
        <f t="shared" si="405"/>
        <v>86583</v>
      </c>
      <c r="CP245" s="1594">
        <f t="shared" si="405"/>
        <v>59379</v>
      </c>
      <c r="CQ245" s="1640">
        <f t="shared" si="405"/>
        <v>0</v>
      </c>
      <c r="CR245" s="1389">
        <f t="shared" si="405"/>
        <v>20000</v>
      </c>
      <c r="CS245" s="1953">
        <f t="shared" si="405"/>
        <v>25000</v>
      </c>
      <c r="CT245" s="1594">
        <f t="shared" si="405"/>
        <v>0</v>
      </c>
      <c r="CU245" s="1640">
        <f t="shared" si="405"/>
        <v>100000</v>
      </c>
      <c r="CV245" s="1389">
        <f t="shared" si="405"/>
        <v>0</v>
      </c>
      <c r="CW245" s="1953">
        <f t="shared" si="405"/>
        <v>110000</v>
      </c>
      <c r="CX245" s="1594">
        <f t="shared" si="405"/>
        <v>0</v>
      </c>
      <c r="CY245" s="1640">
        <f t="shared" si="405"/>
        <v>0</v>
      </c>
      <c r="CZ245" s="1389">
        <f t="shared" si="405"/>
        <v>0</v>
      </c>
      <c r="DA245" s="1953">
        <f t="shared" si="405"/>
        <v>1940600</v>
      </c>
      <c r="DB245" s="1594">
        <f t="shared" si="405"/>
        <v>858700</v>
      </c>
      <c r="DC245" s="1100">
        <f t="shared" si="405"/>
        <v>240000</v>
      </c>
      <c r="DD245" s="2007">
        <f t="shared" si="405"/>
        <v>350000</v>
      </c>
      <c r="DE245" s="1640">
        <f t="shared" si="405"/>
        <v>0</v>
      </c>
      <c r="DF245" s="1389">
        <f t="shared" si="405"/>
        <v>0</v>
      </c>
      <c r="DG245" s="1953">
        <f t="shared" si="405"/>
        <v>0</v>
      </c>
      <c r="DH245" s="1594">
        <f t="shared" si="405"/>
        <v>0</v>
      </c>
      <c r="DI245" s="2547" t="s">
        <v>1688</v>
      </c>
      <c r="DJ245" s="2546"/>
      <c r="DK245" s="1100">
        <f t="shared" ref="DK245:DL245" si="406">DK404</f>
        <v>0</v>
      </c>
      <c r="DL245" s="2007">
        <f t="shared" si="406"/>
        <v>0</v>
      </c>
      <c r="DM245" s="1100">
        <f t="shared" ref="DM245:DP245" si="407">DM404</f>
        <v>0</v>
      </c>
      <c r="DN245" s="2007">
        <f t="shared" si="407"/>
        <v>0</v>
      </c>
      <c r="DO245" s="1100">
        <f t="shared" si="407"/>
        <v>0</v>
      </c>
      <c r="DP245" s="2007">
        <f t="shared" si="407"/>
        <v>0</v>
      </c>
      <c r="DQ245" s="2545" t="s">
        <v>1688</v>
      </c>
      <c r="DR245" s="2547"/>
      <c r="DS245" s="1640">
        <f t="shared" ref="DS245:DV245" si="408">DS404</f>
        <v>0</v>
      </c>
      <c r="DT245" s="1389">
        <f t="shared" si="408"/>
        <v>0</v>
      </c>
      <c r="DU245" s="1953">
        <f t="shared" si="408"/>
        <v>0</v>
      </c>
      <c r="DV245" s="1594">
        <f t="shared" si="408"/>
        <v>0</v>
      </c>
      <c r="DW245" s="2545" t="s">
        <v>1688</v>
      </c>
      <c r="DX245" s="2546"/>
      <c r="DY245" s="1640">
        <f t="shared" ref="DY245:ED245" si="409">DY404</f>
        <v>15000</v>
      </c>
      <c r="DZ245" s="1389">
        <f t="shared" si="409"/>
        <v>0</v>
      </c>
      <c r="EA245" s="1953">
        <f t="shared" si="409"/>
        <v>76446</v>
      </c>
      <c r="EB245" s="1594">
        <f t="shared" si="409"/>
        <v>0</v>
      </c>
      <c r="EC245" s="1100">
        <f t="shared" si="409"/>
        <v>0</v>
      </c>
      <c r="ED245" s="2007">
        <f t="shared" si="409"/>
        <v>0</v>
      </c>
      <c r="EE245" s="2545" t="s">
        <v>1688</v>
      </c>
      <c r="EF245" s="2546"/>
      <c r="EG245" s="1100">
        <f t="shared" ref="EG245:EO245" si="410">EG404</f>
        <v>0</v>
      </c>
      <c r="EH245" s="2007">
        <f t="shared" si="410"/>
        <v>0</v>
      </c>
      <c r="EI245" s="1640">
        <f t="shared" si="410"/>
        <v>0</v>
      </c>
      <c r="EJ245" s="1389">
        <f t="shared" si="410"/>
        <v>35000</v>
      </c>
      <c r="EK245" s="1953">
        <f t="shared" si="410"/>
        <v>0</v>
      </c>
      <c r="EL245" s="1594">
        <f t="shared" si="410"/>
        <v>100000</v>
      </c>
      <c r="EM245" s="2334">
        <f t="shared" si="410"/>
        <v>15413273.764</v>
      </c>
      <c r="EN245" s="2334">
        <f t="shared" si="410"/>
        <v>6278942</v>
      </c>
      <c r="EO245" s="2334">
        <f t="shared" si="410"/>
        <v>0</v>
      </c>
      <c r="EP245" s="2335">
        <f t="shared" si="240"/>
        <v>21692215.763999999</v>
      </c>
      <c r="EQ245" s="1791">
        <f t="shared" si="237"/>
        <v>9789858</v>
      </c>
      <c r="ER245" s="1770">
        <f t="shared" si="238"/>
        <v>303967</v>
      </c>
      <c r="ES245" s="1770">
        <f t="shared" si="239"/>
        <v>0</v>
      </c>
      <c r="ET245" s="1417">
        <f t="shared" si="241"/>
        <v>10093825</v>
      </c>
    </row>
    <row r="246" spans="1:150" ht="45" customHeight="1" x14ac:dyDescent="0.25">
      <c r="A246" s="948"/>
      <c r="B246" s="1107" t="s">
        <v>1689</v>
      </c>
      <c r="C246" s="1669"/>
      <c r="D246" s="1632"/>
      <c r="E246" s="1954"/>
      <c r="F246" s="1955"/>
      <c r="G246" s="1693"/>
      <c r="H246" s="2008"/>
      <c r="I246" s="1693"/>
      <c r="J246" s="2008"/>
      <c r="K246" s="1693"/>
      <c r="L246" s="2038"/>
      <c r="M246" s="948"/>
      <c r="N246" s="1107" t="s">
        <v>1689</v>
      </c>
      <c r="O246" s="1693"/>
      <c r="P246" s="2038"/>
      <c r="Q246" s="1669"/>
      <c r="R246" s="1632"/>
      <c r="S246" s="1954"/>
      <c r="T246" s="1955"/>
      <c r="U246" s="1669"/>
      <c r="V246" s="1632"/>
      <c r="W246" s="1954"/>
      <c r="X246" s="1955"/>
      <c r="Y246" s="1669"/>
      <c r="Z246" s="1632"/>
      <c r="AA246" s="2072"/>
      <c r="AB246" s="1955"/>
      <c r="AC246" s="950"/>
      <c r="AD246" s="1133" t="s">
        <v>1689</v>
      </c>
      <c r="AE246" s="1669"/>
      <c r="AF246" s="1632"/>
      <c r="AG246" s="1954"/>
      <c r="AH246" s="1955"/>
      <c r="AI246" s="1669"/>
      <c r="AJ246" s="1632"/>
      <c r="AK246" s="1954"/>
      <c r="AL246" s="1955"/>
      <c r="AM246" s="1693"/>
      <c r="AN246" s="2038"/>
      <c r="AO246" s="1877"/>
      <c r="AP246" s="1724"/>
      <c r="AQ246" s="1725"/>
      <c r="AR246" s="2118"/>
      <c r="AS246" s="2119"/>
      <c r="AT246" s="2118"/>
      <c r="AU246" s="1669"/>
      <c r="AV246" s="1632"/>
      <c r="AW246" s="1954"/>
      <c r="AX246" s="1955"/>
      <c r="AY246" s="948"/>
      <c r="AZ246" s="1107" t="s">
        <v>1689</v>
      </c>
      <c r="BA246" s="1669"/>
      <c r="BB246" s="1632"/>
      <c r="BC246" s="1954"/>
      <c r="BD246" s="1955"/>
      <c r="BE246" s="948"/>
      <c r="BF246" s="1107" t="s">
        <v>1689</v>
      </c>
      <c r="BG246" s="1669"/>
      <c r="BH246" s="1632"/>
      <c r="BI246" s="1954"/>
      <c r="BJ246" s="1955"/>
      <c r="BK246" s="1669"/>
      <c r="BL246" s="1632"/>
      <c r="BM246" s="1954"/>
      <c r="BN246" s="1955"/>
      <c r="BO246" s="1693"/>
      <c r="BP246" s="2008"/>
      <c r="BQ246" s="1693"/>
      <c r="BR246" s="2038"/>
      <c r="BS246" s="1669"/>
      <c r="BT246" s="1632"/>
      <c r="BU246" s="1954"/>
      <c r="BV246" s="1955"/>
      <c r="BW246" s="1693"/>
      <c r="BX246" s="2038"/>
      <c r="BY246" s="1669"/>
      <c r="BZ246" s="1632"/>
      <c r="CA246" s="1954"/>
      <c r="CB246" s="1955"/>
      <c r="CC246" s="1760"/>
      <c r="CD246" s="2170"/>
      <c r="CE246" s="948"/>
      <c r="CF246" s="1107" t="s">
        <v>1689</v>
      </c>
      <c r="CG246" s="1669"/>
      <c r="CH246" s="1632"/>
      <c r="CI246" s="1954"/>
      <c r="CJ246" s="1955"/>
      <c r="CK246" s="948"/>
      <c r="CL246" s="1107" t="s">
        <v>1689</v>
      </c>
      <c r="CM246" s="1669"/>
      <c r="CN246" s="1632"/>
      <c r="CO246" s="1954"/>
      <c r="CP246" s="1955"/>
      <c r="CQ246" s="1669"/>
      <c r="CR246" s="1632"/>
      <c r="CS246" s="1954"/>
      <c r="CT246" s="1955"/>
      <c r="CU246" s="1669"/>
      <c r="CV246" s="1632"/>
      <c r="CW246" s="1954"/>
      <c r="CX246" s="1955"/>
      <c r="CY246" s="1669"/>
      <c r="CZ246" s="1632"/>
      <c r="DA246" s="1954"/>
      <c r="DB246" s="1955"/>
      <c r="DC246" s="1693"/>
      <c r="DD246" s="2038"/>
      <c r="DE246" s="1669"/>
      <c r="DF246" s="1632"/>
      <c r="DG246" s="1954"/>
      <c r="DH246" s="1955"/>
      <c r="DI246" s="950"/>
      <c r="DJ246" s="1107" t="s">
        <v>1689</v>
      </c>
      <c r="DK246" s="1693"/>
      <c r="DL246" s="2008"/>
      <c r="DM246" s="1693"/>
      <c r="DN246" s="2008"/>
      <c r="DO246" s="1693"/>
      <c r="DP246" s="2038"/>
      <c r="DQ246" s="948"/>
      <c r="DR246" s="1108" t="s">
        <v>1689</v>
      </c>
      <c r="DS246" s="1669"/>
      <c r="DT246" s="1632"/>
      <c r="DU246" s="1954"/>
      <c r="DV246" s="1955"/>
      <c r="DW246" s="948"/>
      <c r="DX246" s="1107" t="s">
        <v>1689</v>
      </c>
      <c r="DY246" s="1669"/>
      <c r="DZ246" s="1632"/>
      <c r="EA246" s="1954"/>
      <c r="EB246" s="1955"/>
      <c r="EC246" s="1693"/>
      <c r="ED246" s="2038"/>
      <c r="EE246" s="948"/>
      <c r="EF246" s="1107" t="s">
        <v>1689</v>
      </c>
      <c r="EG246" s="1693"/>
      <c r="EH246" s="2038"/>
      <c r="EI246" s="1669"/>
      <c r="EJ246" s="1632"/>
      <c r="EK246" s="2231"/>
      <c r="EL246" s="2076"/>
      <c r="EM246" s="2230"/>
      <c r="EN246" s="1586"/>
      <c r="EO246" s="1586"/>
      <c r="EP246" s="1586">
        <f t="shared" ref="EP246" si="411">SUM(EM246:EO246)</f>
        <v>0</v>
      </c>
      <c r="EQ246" s="999">
        <f t="shared" si="237"/>
        <v>0</v>
      </c>
      <c r="ER246" s="1776">
        <f t="shared" si="238"/>
        <v>0</v>
      </c>
      <c r="ES246" s="1776">
        <f t="shared" si="239"/>
        <v>0</v>
      </c>
      <c r="ET246" s="1055">
        <f t="shared" si="241"/>
        <v>0</v>
      </c>
    </row>
    <row r="247" spans="1:150" x14ac:dyDescent="0.25">
      <c r="A247" s="952">
        <v>1</v>
      </c>
      <c r="B247" s="961"/>
      <c r="C247" s="1660"/>
      <c r="D247" s="1051"/>
      <c r="E247" s="1936"/>
      <c r="F247" s="1937"/>
      <c r="G247" s="1052"/>
      <c r="H247" s="1997"/>
      <c r="I247" s="1052"/>
      <c r="J247" s="1997"/>
      <c r="K247" s="1052"/>
      <c r="L247" s="2032"/>
      <c r="M247" s="952">
        <v>1</v>
      </c>
      <c r="N247" s="961"/>
      <c r="O247" s="1052"/>
      <c r="P247" s="2032"/>
      <c r="Q247" s="1660"/>
      <c r="R247" s="1051"/>
      <c r="S247" s="1936"/>
      <c r="T247" s="1937"/>
      <c r="U247" s="1660"/>
      <c r="V247" s="1051"/>
      <c r="W247" s="1936"/>
      <c r="X247" s="1937"/>
      <c r="Y247" s="1660"/>
      <c r="Z247" s="1051"/>
      <c r="AA247" s="2075"/>
      <c r="AB247" s="2076"/>
      <c r="AC247" s="975">
        <v>1</v>
      </c>
      <c r="AD247" s="1134" t="s">
        <v>1690</v>
      </c>
      <c r="AE247" s="1660"/>
      <c r="AF247" s="1051"/>
      <c r="AG247" s="1936"/>
      <c r="AH247" s="1937"/>
      <c r="AI247" s="1660"/>
      <c r="AJ247" s="1051"/>
      <c r="AK247" s="1936"/>
      <c r="AL247" s="1937"/>
      <c r="AM247" s="1052"/>
      <c r="AN247" s="2032"/>
      <c r="AO247" s="1864"/>
      <c r="AP247" s="1048"/>
      <c r="AQ247" s="1049"/>
      <c r="AR247" s="2102"/>
      <c r="AS247" s="1554"/>
      <c r="AT247" s="2102"/>
      <c r="AU247" s="1660"/>
      <c r="AV247" s="1051"/>
      <c r="AW247" s="1936"/>
      <c r="AX247" s="1937"/>
      <c r="AY247" s="952">
        <v>1</v>
      </c>
      <c r="AZ247" s="1135"/>
      <c r="BA247" s="1660"/>
      <c r="BB247" s="1051"/>
      <c r="BC247" s="1936"/>
      <c r="BD247" s="1937"/>
      <c r="BE247" s="952">
        <v>1</v>
      </c>
      <c r="BF247" s="961"/>
      <c r="BG247" s="1660"/>
      <c r="BH247" s="1051"/>
      <c r="BI247" s="1936"/>
      <c r="BJ247" s="1937"/>
      <c r="BK247" s="1660"/>
      <c r="BL247" s="1051"/>
      <c r="BM247" s="1936"/>
      <c r="BN247" s="1937"/>
      <c r="BO247" s="1052"/>
      <c r="BP247" s="1997"/>
      <c r="BQ247" s="1052"/>
      <c r="BR247" s="2032"/>
      <c r="BS247" s="1660"/>
      <c r="BT247" s="1051"/>
      <c r="BU247" s="1936"/>
      <c r="BV247" s="1937"/>
      <c r="BW247" s="1052"/>
      <c r="BX247" s="2032"/>
      <c r="BY247" s="1660"/>
      <c r="BZ247" s="1051"/>
      <c r="CA247" s="1936"/>
      <c r="CB247" s="1937"/>
      <c r="CC247" s="1754"/>
      <c r="CD247" s="2162"/>
      <c r="CE247" s="952">
        <v>1</v>
      </c>
      <c r="CF247" s="961"/>
      <c r="CG247" s="1660"/>
      <c r="CH247" s="1051"/>
      <c r="CI247" s="1936"/>
      <c r="CJ247" s="1937"/>
      <c r="CK247" s="952">
        <v>1</v>
      </c>
      <c r="CL247" s="961"/>
      <c r="CM247" s="1660"/>
      <c r="CN247" s="1051"/>
      <c r="CO247" s="1936"/>
      <c r="CP247" s="1937"/>
      <c r="CQ247" s="1660"/>
      <c r="CR247" s="1051"/>
      <c r="CS247" s="1936"/>
      <c r="CT247" s="1937"/>
      <c r="CU247" s="1660"/>
      <c r="CV247" s="1051"/>
      <c r="CW247" s="1936"/>
      <c r="CX247" s="1937"/>
      <c r="CY247" s="1660"/>
      <c r="CZ247" s="1051"/>
      <c r="DA247" s="1936"/>
      <c r="DB247" s="1937"/>
      <c r="DC247" s="1052"/>
      <c r="DD247" s="2032"/>
      <c r="DE247" s="1660"/>
      <c r="DF247" s="1051"/>
      <c r="DG247" s="1936"/>
      <c r="DH247" s="1937"/>
      <c r="DI247" s="955">
        <v>1</v>
      </c>
      <c r="DJ247" s="961"/>
      <c r="DK247" s="1052"/>
      <c r="DL247" s="1997"/>
      <c r="DM247" s="1052"/>
      <c r="DN247" s="1997"/>
      <c r="DO247" s="1052"/>
      <c r="DP247" s="2032"/>
      <c r="DQ247" s="952">
        <v>1</v>
      </c>
      <c r="DR247" s="1083"/>
      <c r="DS247" s="1660"/>
      <c r="DT247" s="1051"/>
      <c r="DU247" s="1936"/>
      <c r="DV247" s="1937"/>
      <c r="DW247" s="952">
        <v>1</v>
      </c>
      <c r="DX247" s="961"/>
      <c r="DY247" s="1660"/>
      <c r="DZ247" s="1051"/>
      <c r="EA247" s="1936"/>
      <c r="EB247" s="1937"/>
      <c r="EC247" s="1052"/>
      <c r="ED247" s="2032"/>
      <c r="EE247" s="952">
        <v>1</v>
      </c>
      <c r="EF247" s="961"/>
      <c r="EG247" s="1052"/>
      <c r="EH247" s="2032"/>
      <c r="EI247" s="1660"/>
      <c r="EJ247" s="1051"/>
      <c r="EK247" s="2220"/>
      <c r="EL247" s="1937"/>
      <c r="EM247" s="2202">
        <f t="shared" ref="EM247:EM250" si="412">E247+S247+W247+AA247+AG247+AK247+AN247+AR247+AW247+BC247+BI247+BM247+BR247+BU247+CA247+CD247+CI247+CO247+CS247+CW247+DA247+DG247+DU247+EA247+EK247</f>
        <v>0</v>
      </c>
      <c r="EN247" s="1585">
        <f t="shared" ref="EN247:EN250" si="413">F247+H247+J247+L247+P247+T247+X247+AB247+AH247+AL247+AS247+AX247+BD247+BJ247+BN247+BP247+BV247+BX247+CB247+CJ247+CP247+CT247+CX247+DB247+DD247+DH247+DN247+DP247+DV247+EB247+ED247+EH247+EL247+DL247</f>
        <v>0</v>
      </c>
      <c r="EO247" s="1585">
        <f t="shared" ref="EO247:EO250" si="414">AQ247</f>
        <v>0</v>
      </c>
      <c r="EP247" s="1586">
        <f t="shared" si="240"/>
        <v>0</v>
      </c>
      <c r="EQ247" s="999">
        <f t="shared" si="237"/>
        <v>0</v>
      </c>
      <c r="ER247" s="1776">
        <f t="shared" si="238"/>
        <v>0</v>
      </c>
      <c r="ES247" s="1776">
        <f t="shared" si="239"/>
        <v>0</v>
      </c>
      <c r="ET247" s="1055">
        <f t="shared" si="241"/>
        <v>0</v>
      </c>
    </row>
    <row r="248" spans="1:150" x14ac:dyDescent="0.25">
      <c r="A248" s="952">
        <v>2</v>
      </c>
      <c r="B248" s="961"/>
      <c r="C248" s="1660"/>
      <c r="D248" s="1051"/>
      <c r="E248" s="1936"/>
      <c r="F248" s="1937"/>
      <c r="G248" s="1052"/>
      <c r="H248" s="1997"/>
      <c r="I248" s="1052"/>
      <c r="J248" s="1997"/>
      <c r="K248" s="1052"/>
      <c r="L248" s="2032"/>
      <c r="M248" s="952">
        <v>2</v>
      </c>
      <c r="N248" s="961"/>
      <c r="O248" s="1052"/>
      <c r="P248" s="2032"/>
      <c r="Q248" s="1660"/>
      <c r="R248" s="1051"/>
      <c r="S248" s="1936"/>
      <c r="T248" s="1937"/>
      <c r="U248" s="1660"/>
      <c r="V248" s="1051"/>
      <c r="W248" s="1936"/>
      <c r="X248" s="1937"/>
      <c r="Y248" s="1660"/>
      <c r="Z248" s="1051"/>
      <c r="AA248" s="2075"/>
      <c r="AB248" s="2076"/>
      <c r="AC248" s="975">
        <v>2</v>
      </c>
      <c r="AD248" s="1136" t="s">
        <v>1691</v>
      </c>
      <c r="AE248" s="1660"/>
      <c r="AF248" s="1051"/>
      <c r="AG248" s="1936"/>
      <c r="AH248" s="1937"/>
      <c r="AI248" s="1660"/>
      <c r="AJ248" s="1051"/>
      <c r="AK248" s="1936"/>
      <c r="AL248" s="1937"/>
      <c r="AM248" s="1052"/>
      <c r="AN248" s="2032"/>
      <c r="AO248" s="1864"/>
      <c r="AP248" s="989"/>
      <c r="AQ248" s="990"/>
      <c r="AR248" s="2090"/>
      <c r="AS248" s="1545"/>
      <c r="AT248" s="2090"/>
      <c r="AU248" s="1660"/>
      <c r="AV248" s="1051"/>
      <c r="AW248" s="1936"/>
      <c r="AX248" s="1937"/>
      <c r="AY248" s="952">
        <v>2</v>
      </c>
      <c r="AZ248" s="959"/>
      <c r="BA248" s="1660"/>
      <c r="BB248" s="1051"/>
      <c r="BC248" s="1936"/>
      <c r="BD248" s="1937"/>
      <c r="BE248" s="952">
        <v>2</v>
      </c>
      <c r="BF248" s="961"/>
      <c r="BG248" s="1660"/>
      <c r="BH248" s="1051"/>
      <c r="BI248" s="1936"/>
      <c r="BJ248" s="1937"/>
      <c r="BK248" s="1660"/>
      <c r="BL248" s="1051"/>
      <c r="BM248" s="1936"/>
      <c r="BN248" s="1937"/>
      <c r="BO248" s="1052"/>
      <c r="BP248" s="1997"/>
      <c r="BQ248" s="1052"/>
      <c r="BR248" s="2032"/>
      <c r="BS248" s="1660"/>
      <c r="BT248" s="1051"/>
      <c r="BU248" s="1936"/>
      <c r="BV248" s="1937"/>
      <c r="BW248" s="1052"/>
      <c r="BX248" s="2032"/>
      <c r="BY248" s="1660"/>
      <c r="BZ248" s="1051"/>
      <c r="CA248" s="1936"/>
      <c r="CB248" s="1937"/>
      <c r="CC248" s="1754"/>
      <c r="CD248" s="2162"/>
      <c r="CE248" s="952">
        <v>2</v>
      </c>
      <c r="CF248" s="961"/>
      <c r="CG248" s="1660"/>
      <c r="CH248" s="1051"/>
      <c r="CI248" s="1936"/>
      <c r="CJ248" s="1937"/>
      <c r="CK248" s="952">
        <v>2</v>
      </c>
      <c r="CL248" s="961"/>
      <c r="CM248" s="1660"/>
      <c r="CN248" s="1051"/>
      <c r="CO248" s="1936"/>
      <c r="CP248" s="1937"/>
      <c r="CQ248" s="1660"/>
      <c r="CR248" s="1051"/>
      <c r="CS248" s="1936"/>
      <c r="CT248" s="1937"/>
      <c r="CU248" s="1660"/>
      <c r="CV248" s="1051"/>
      <c r="CW248" s="1936"/>
      <c r="CX248" s="1937"/>
      <c r="CY248" s="1660"/>
      <c r="CZ248" s="1051"/>
      <c r="DA248" s="1936"/>
      <c r="DB248" s="1937"/>
      <c r="DC248" s="1052"/>
      <c r="DD248" s="2032"/>
      <c r="DE248" s="1660"/>
      <c r="DF248" s="1051"/>
      <c r="DG248" s="1936"/>
      <c r="DH248" s="1937"/>
      <c r="DI248" s="955">
        <v>2</v>
      </c>
      <c r="DJ248" s="961"/>
      <c r="DK248" s="1052"/>
      <c r="DL248" s="1997"/>
      <c r="DM248" s="1052"/>
      <c r="DN248" s="1997"/>
      <c r="DO248" s="1052"/>
      <c r="DP248" s="2032"/>
      <c r="DQ248" s="952">
        <v>2</v>
      </c>
      <c r="DR248" s="1083"/>
      <c r="DS248" s="1660"/>
      <c r="DT248" s="1051"/>
      <c r="DU248" s="1936"/>
      <c r="DV248" s="1937"/>
      <c r="DW248" s="952">
        <v>2</v>
      </c>
      <c r="DX248" s="961"/>
      <c r="DY248" s="1660"/>
      <c r="DZ248" s="1051"/>
      <c r="EA248" s="1936"/>
      <c r="EB248" s="1937"/>
      <c r="EC248" s="1052"/>
      <c r="ED248" s="2032"/>
      <c r="EE248" s="952">
        <v>2</v>
      </c>
      <c r="EF248" s="961"/>
      <c r="EG248" s="1052"/>
      <c r="EH248" s="2032"/>
      <c r="EI248" s="1660"/>
      <c r="EJ248" s="1051"/>
      <c r="EK248" s="2220"/>
      <c r="EL248" s="1937"/>
      <c r="EM248" s="2202">
        <f t="shared" si="412"/>
        <v>0</v>
      </c>
      <c r="EN248" s="1585">
        <f t="shared" si="413"/>
        <v>0</v>
      </c>
      <c r="EO248" s="1585">
        <f t="shared" si="414"/>
        <v>0</v>
      </c>
      <c r="EP248" s="1586">
        <f t="shared" si="240"/>
        <v>0</v>
      </c>
      <c r="EQ248" s="999">
        <f t="shared" si="237"/>
        <v>0</v>
      </c>
      <c r="ER248" s="1776">
        <f t="shared" si="238"/>
        <v>0</v>
      </c>
      <c r="ES248" s="1776">
        <f t="shared" si="239"/>
        <v>0</v>
      </c>
      <c r="ET248" s="1055">
        <f t="shared" si="241"/>
        <v>0</v>
      </c>
    </row>
    <row r="249" spans="1:150" ht="39.6" x14ac:dyDescent="0.25">
      <c r="A249" s="965"/>
      <c r="B249" s="961"/>
      <c r="C249" s="1660"/>
      <c r="D249" s="1051"/>
      <c r="E249" s="1936"/>
      <c r="F249" s="1937"/>
      <c r="G249" s="1052"/>
      <c r="H249" s="1997"/>
      <c r="I249" s="1052"/>
      <c r="J249" s="1997"/>
      <c r="K249" s="1052"/>
      <c r="L249" s="2032"/>
      <c r="M249" s="965"/>
      <c r="N249" s="961"/>
      <c r="O249" s="1052"/>
      <c r="P249" s="2032"/>
      <c r="Q249" s="1660"/>
      <c r="R249" s="1051"/>
      <c r="S249" s="1936"/>
      <c r="T249" s="1937"/>
      <c r="U249" s="1660"/>
      <c r="V249" s="1051"/>
      <c r="W249" s="1936"/>
      <c r="X249" s="1937"/>
      <c r="Y249" s="1660"/>
      <c r="Z249" s="1051"/>
      <c r="AA249" s="2075"/>
      <c r="AB249" s="2076"/>
      <c r="AC249" s="975">
        <v>3</v>
      </c>
      <c r="AD249" s="1137" t="s">
        <v>1692</v>
      </c>
      <c r="AE249" s="1660"/>
      <c r="AF249" s="1051"/>
      <c r="AG249" s="1936"/>
      <c r="AH249" s="1937"/>
      <c r="AI249" s="1660"/>
      <c r="AJ249" s="1051"/>
      <c r="AK249" s="1936"/>
      <c r="AL249" s="1937"/>
      <c r="AM249" s="1052"/>
      <c r="AN249" s="2032"/>
      <c r="AO249" s="1864"/>
      <c r="AP249" s="989"/>
      <c r="AQ249" s="990"/>
      <c r="AR249" s="2090"/>
      <c r="AS249" s="1545"/>
      <c r="AT249" s="2090"/>
      <c r="AU249" s="1660"/>
      <c r="AV249" s="1051"/>
      <c r="AW249" s="1936"/>
      <c r="AX249" s="1937"/>
      <c r="AY249" s="965"/>
      <c r="AZ249" s="959"/>
      <c r="BA249" s="1660"/>
      <c r="BB249" s="1051"/>
      <c r="BC249" s="1936"/>
      <c r="BD249" s="1937"/>
      <c r="BE249" s="965"/>
      <c r="BF249" s="961"/>
      <c r="BG249" s="1660"/>
      <c r="BH249" s="1051"/>
      <c r="BI249" s="1936"/>
      <c r="BJ249" s="1937"/>
      <c r="BK249" s="1660"/>
      <c r="BL249" s="1051"/>
      <c r="BM249" s="1936"/>
      <c r="BN249" s="1937"/>
      <c r="BO249" s="1052"/>
      <c r="BP249" s="1997"/>
      <c r="BQ249" s="1052"/>
      <c r="BR249" s="2032"/>
      <c r="BS249" s="1660"/>
      <c r="BT249" s="1051"/>
      <c r="BU249" s="1936"/>
      <c r="BV249" s="1937"/>
      <c r="BW249" s="1052"/>
      <c r="BX249" s="2032"/>
      <c r="BY249" s="1660"/>
      <c r="BZ249" s="1051"/>
      <c r="CA249" s="1936"/>
      <c r="CB249" s="1937"/>
      <c r="CC249" s="1754"/>
      <c r="CD249" s="2162"/>
      <c r="CE249" s="965"/>
      <c r="CF249" s="961"/>
      <c r="CG249" s="1660"/>
      <c r="CH249" s="1051"/>
      <c r="CI249" s="1936"/>
      <c r="CJ249" s="1937"/>
      <c r="CK249" s="965"/>
      <c r="CL249" s="961"/>
      <c r="CM249" s="1660"/>
      <c r="CN249" s="1051"/>
      <c r="CO249" s="1936"/>
      <c r="CP249" s="1937"/>
      <c r="CQ249" s="1660"/>
      <c r="CR249" s="1051"/>
      <c r="CS249" s="1936"/>
      <c r="CT249" s="1937"/>
      <c r="CU249" s="1660"/>
      <c r="CV249" s="1051"/>
      <c r="CW249" s="1936"/>
      <c r="CX249" s="1937"/>
      <c r="CY249" s="1660"/>
      <c r="CZ249" s="1051"/>
      <c r="DA249" s="1936"/>
      <c r="DB249" s="1937"/>
      <c r="DC249" s="1052"/>
      <c r="DD249" s="2032"/>
      <c r="DE249" s="1660"/>
      <c r="DF249" s="1051"/>
      <c r="DG249" s="1936"/>
      <c r="DH249" s="1937"/>
      <c r="DI249" s="964"/>
      <c r="DJ249" s="961"/>
      <c r="DK249" s="1052"/>
      <c r="DL249" s="1997"/>
      <c r="DM249" s="1052"/>
      <c r="DN249" s="1997"/>
      <c r="DO249" s="1052"/>
      <c r="DP249" s="2032"/>
      <c r="DQ249" s="965"/>
      <c r="DR249" s="1083"/>
      <c r="DS249" s="1660"/>
      <c r="DT249" s="1051"/>
      <c r="DU249" s="1936"/>
      <c r="DV249" s="1937"/>
      <c r="DW249" s="965"/>
      <c r="DX249" s="961"/>
      <c r="DY249" s="1660"/>
      <c r="DZ249" s="1051"/>
      <c r="EA249" s="1936"/>
      <c r="EB249" s="1937"/>
      <c r="EC249" s="1052"/>
      <c r="ED249" s="2032"/>
      <c r="EE249" s="965"/>
      <c r="EF249" s="961"/>
      <c r="EG249" s="1052"/>
      <c r="EH249" s="2032"/>
      <c r="EI249" s="1660"/>
      <c r="EJ249" s="1051"/>
      <c r="EK249" s="2220"/>
      <c r="EL249" s="1937"/>
      <c r="EM249" s="2202">
        <f t="shared" si="412"/>
        <v>0</v>
      </c>
      <c r="EN249" s="1585">
        <f t="shared" si="413"/>
        <v>0</v>
      </c>
      <c r="EO249" s="1585">
        <f t="shared" si="414"/>
        <v>0</v>
      </c>
      <c r="EP249" s="1586">
        <f t="shared" si="240"/>
        <v>0</v>
      </c>
      <c r="EQ249" s="999">
        <f t="shared" si="237"/>
        <v>0</v>
      </c>
      <c r="ER249" s="1776">
        <f t="shared" si="238"/>
        <v>0</v>
      </c>
      <c r="ES249" s="1776">
        <f t="shared" si="239"/>
        <v>0</v>
      </c>
      <c r="ET249" s="1055">
        <f t="shared" si="241"/>
        <v>0</v>
      </c>
    </row>
    <row r="250" spans="1:150" x14ac:dyDescent="0.25">
      <c r="A250" s="965"/>
      <c r="B250" s="961"/>
      <c r="C250" s="1660"/>
      <c r="D250" s="1051"/>
      <c r="E250" s="1936"/>
      <c r="F250" s="1937"/>
      <c r="G250" s="1052"/>
      <c r="H250" s="1997"/>
      <c r="I250" s="1052"/>
      <c r="J250" s="1997"/>
      <c r="K250" s="1052"/>
      <c r="L250" s="2032"/>
      <c r="M250" s="965"/>
      <c r="N250" s="961"/>
      <c r="O250" s="1052"/>
      <c r="P250" s="2032"/>
      <c r="Q250" s="1660"/>
      <c r="R250" s="1051"/>
      <c r="S250" s="1936"/>
      <c r="T250" s="1937"/>
      <c r="U250" s="1660"/>
      <c r="V250" s="1051"/>
      <c r="W250" s="1936"/>
      <c r="X250" s="1937"/>
      <c r="Y250" s="1660"/>
      <c r="Z250" s="1051"/>
      <c r="AA250" s="2075"/>
      <c r="AB250" s="2076"/>
      <c r="AC250" s="975">
        <v>4</v>
      </c>
      <c r="AD250" s="1138" t="s">
        <v>1693</v>
      </c>
      <c r="AE250" s="1660"/>
      <c r="AF250" s="1051"/>
      <c r="AG250" s="1936"/>
      <c r="AH250" s="1937"/>
      <c r="AI250" s="1660"/>
      <c r="AJ250" s="1051"/>
      <c r="AK250" s="1936"/>
      <c r="AL250" s="1937"/>
      <c r="AM250" s="1052"/>
      <c r="AN250" s="2032"/>
      <c r="AO250" s="1864"/>
      <c r="AP250" s="989"/>
      <c r="AQ250" s="990"/>
      <c r="AR250" s="2090">
        <f>előterjállamitám!D3</f>
        <v>2019674.764</v>
      </c>
      <c r="AS250" s="1545"/>
      <c r="AT250" s="2090"/>
      <c r="AU250" s="1660"/>
      <c r="AV250" s="1051"/>
      <c r="AW250" s="1936"/>
      <c r="AX250" s="1937"/>
      <c r="AY250" s="965"/>
      <c r="AZ250" s="959"/>
      <c r="BA250" s="1660"/>
      <c r="BB250" s="1051"/>
      <c r="BC250" s="1936"/>
      <c r="BD250" s="1937"/>
      <c r="BE250" s="965"/>
      <c r="BF250" s="961"/>
      <c r="BG250" s="1660"/>
      <c r="BH250" s="1051"/>
      <c r="BI250" s="1936"/>
      <c r="BJ250" s="1937"/>
      <c r="BK250" s="1660"/>
      <c r="BL250" s="1051"/>
      <c r="BM250" s="1936"/>
      <c r="BN250" s="1937"/>
      <c r="BO250" s="1052"/>
      <c r="BP250" s="1997"/>
      <c r="BQ250" s="1052"/>
      <c r="BR250" s="2032"/>
      <c r="BS250" s="1660"/>
      <c r="BT250" s="1051"/>
      <c r="BU250" s="1936"/>
      <c r="BV250" s="1937"/>
      <c r="BW250" s="1052"/>
      <c r="BX250" s="2032"/>
      <c r="BY250" s="1660"/>
      <c r="BZ250" s="1051"/>
      <c r="CA250" s="1936"/>
      <c r="CB250" s="1937"/>
      <c r="CC250" s="1754"/>
      <c r="CD250" s="2162"/>
      <c r="CE250" s="965"/>
      <c r="CF250" s="961"/>
      <c r="CG250" s="1660"/>
      <c r="CH250" s="1051"/>
      <c r="CI250" s="1936"/>
      <c r="CJ250" s="1937"/>
      <c r="CK250" s="965"/>
      <c r="CL250" s="961"/>
      <c r="CM250" s="1660"/>
      <c r="CN250" s="1051"/>
      <c r="CO250" s="1936"/>
      <c r="CP250" s="1937"/>
      <c r="CQ250" s="1660"/>
      <c r="CR250" s="1051"/>
      <c r="CS250" s="1936"/>
      <c r="CT250" s="1937"/>
      <c r="CU250" s="1660"/>
      <c r="CV250" s="1051"/>
      <c r="CW250" s="1936"/>
      <c r="CX250" s="1937"/>
      <c r="CY250" s="1660"/>
      <c r="CZ250" s="1051"/>
      <c r="DA250" s="1936"/>
      <c r="DB250" s="1937"/>
      <c r="DC250" s="1052"/>
      <c r="DD250" s="2032"/>
      <c r="DE250" s="1660"/>
      <c r="DF250" s="1051"/>
      <c r="DG250" s="1936"/>
      <c r="DH250" s="1937"/>
      <c r="DI250" s="964"/>
      <c r="DJ250" s="961"/>
      <c r="DK250" s="1052"/>
      <c r="DL250" s="1997"/>
      <c r="DM250" s="1052"/>
      <c r="DN250" s="1997"/>
      <c r="DO250" s="1052"/>
      <c r="DP250" s="2032"/>
      <c r="DQ250" s="965"/>
      <c r="DR250" s="1083"/>
      <c r="DS250" s="1660"/>
      <c r="DT250" s="1051"/>
      <c r="DU250" s="1936"/>
      <c r="DV250" s="1937"/>
      <c r="DW250" s="965"/>
      <c r="DX250" s="961"/>
      <c r="DY250" s="1660"/>
      <c r="DZ250" s="1051"/>
      <c r="EA250" s="1936"/>
      <c r="EB250" s="1937"/>
      <c r="EC250" s="1052"/>
      <c r="ED250" s="2032"/>
      <c r="EE250" s="965"/>
      <c r="EF250" s="961"/>
      <c r="EG250" s="1052"/>
      <c r="EH250" s="2032"/>
      <c r="EI250" s="1660"/>
      <c r="EJ250" s="1051"/>
      <c r="EK250" s="2220"/>
      <c r="EL250" s="1937"/>
      <c r="EM250" s="2202">
        <f t="shared" si="412"/>
        <v>2019674.764</v>
      </c>
      <c r="EN250" s="1585">
        <f t="shared" si="413"/>
        <v>0</v>
      </c>
      <c r="EO250" s="1585">
        <f t="shared" si="414"/>
        <v>0</v>
      </c>
      <c r="EP250" s="1586">
        <f t="shared" si="240"/>
        <v>2019674.764</v>
      </c>
      <c r="EQ250" s="999">
        <f t="shared" si="237"/>
        <v>0</v>
      </c>
      <c r="ER250" s="1776">
        <f t="shared" si="238"/>
        <v>0</v>
      </c>
      <c r="ES250" s="1776">
        <f t="shared" si="239"/>
        <v>0</v>
      </c>
      <c r="ET250" s="1055">
        <f t="shared" si="241"/>
        <v>0</v>
      </c>
    </row>
    <row r="251" spans="1:150" ht="45" customHeight="1" thickBot="1" x14ac:dyDescent="0.3">
      <c r="A251" s="968"/>
      <c r="B251" s="1081" t="s">
        <v>1694</v>
      </c>
      <c r="C251" s="1656">
        <f t="shared" ref="C251:L251" si="415">SUM(C246:C250)</f>
        <v>0</v>
      </c>
      <c r="D251" s="1642">
        <f t="shared" si="415"/>
        <v>0</v>
      </c>
      <c r="E251" s="1926">
        <f t="shared" si="415"/>
        <v>0</v>
      </c>
      <c r="F251" s="1927">
        <f t="shared" si="415"/>
        <v>0</v>
      </c>
      <c r="G251" s="1058">
        <f t="shared" si="415"/>
        <v>0</v>
      </c>
      <c r="H251" s="1992">
        <f t="shared" si="415"/>
        <v>0</v>
      </c>
      <c r="I251" s="1058">
        <f t="shared" si="415"/>
        <v>0</v>
      </c>
      <c r="J251" s="1992">
        <f t="shared" si="415"/>
        <v>0</v>
      </c>
      <c r="K251" s="1058">
        <f t="shared" si="415"/>
        <v>0</v>
      </c>
      <c r="L251" s="1992">
        <f t="shared" si="415"/>
        <v>0</v>
      </c>
      <c r="M251" s="968"/>
      <c r="N251" s="1081" t="s">
        <v>1694</v>
      </c>
      <c r="O251" s="1058">
        <f t="shared" ref="O251:X251" si="416">SUM(O246:O250)</f>
        <v>0</v>
      </c>
      <c r="P251" s="1992">
        <f t="shared" si="416"/>
        <v>0</v>
      </c>
      <c r="Q251" s="1656">
        <f t="shared" si="416"/>
        <v>0</v>
      </c>
      <c r="R251" s="1642">
        <f t="shared" si="416"/>
        <v>0</v>
      </c>
      <c r="S251" s="1926">
        <f t="shared" si="416"/>
        <v>0</v>
      </c>
      <c r="T251" s="1927">
        <f t="shared" si="416"/>
        <v>0</v>
      </c>
      <c r="U251" s="1656">
        <f t="shared" si="416"/>
        <v>0</v>
      </c>
      <c r="V251" s="1642">
        <f t="shared" si="416"/>
        <v>0</v>
      </c>
      <c r="W251" s="1926">
        <f t="shared" si="416"/>
        <v>0</v>
      </c>
      <c r="X251" s="1927">
        <f t="shared" si="416"/>
        <v>0</v>
      </c>
      <c r="Y251" s="1656">
        <f>SUM(Y246:Y250)</f>
        <v>0</v>
      </c>
      <c r="Z251" s="1642">
        <f>SUM(Z246:Z250)</f>
        <v>0</v>
      </c>
      <c r="AA251" s="1926">
        <f>SUM(AA246:AA250)</f>
        <v>0</v>
      </c>
      <c r="AB251" s="1927">
        <f>SUM(AB246:AB250)</f>
        <v>0</v>
      </c>
      <c r="AC251" s="970"/>
      <c r="AD251" s="1081" t="s">
        <v>1694</v>
      </c>
      <c r="AE251" s="1656">
        <f t="shared" ref="AE251:AX251" si="417">SUM(AE246:AE250)</f>
        <v>0</v>
      </c>
      <c r="AF251" s="1642">
        <f t="shared" si="417"/>
        <v>0</v>
      </c>
      <c r="AG251" s="1926">
        <f t="shared" si="417"/>
        <v>0</v>
      </c>
      <c r="AH251" s="1927">
        <f t="shared" si="417"/>
        <v>0</v>
      </c>
      <c r="AI251" s="1656">
        <f t="shared" si="417"/>
        <v>0</v>
      </c>
      <c r="AJ251" s="1642">
        <f t="shared" si="417"/>
        <v>0</v>
      </c>
      <c r="AK251" s="1926">
        <f t="shared" si="417"/>
        <v>0</v>
      </c>
      <c r="AL251" s="1927">
        <f t="shared" si="417"/>
        <v>0</v>
      </c>
      <c r="AM251" s="1058">
        <f t="shared" si="417"/>
        <v>0</v>
      </c>
      <c r="AN251" s="1992">
        <f t="shared" si="417"/>
        <v>0</v>
      </c>
      <c r="AO251" s="1656">
        <f t="shared" si="417"/>
        <v>0</v>
      </c>
      <c r="AP251" s="1854">
        <f t="shared" si="417"/>
        <v>0</v>
      </c>
      <c r="AQ251" s="1030">
        <f t="shared" si="417"/>
        <v>0</v>
      </c>
      <c r="AR251" s="1926">
        <f t="shared" si="417"/>
        <v>2019674.764</v>
      </c>
      <c r="AS251" s="2096">
        <f t="shared" si="417"/>
        <v>0</v>
      </c>
      <c r="AT251" s="2097">
        <f t="shared" si="417"/>
        <v>0</v>
      </c>
      <c r="AU251" s="1656">
        <f t="shared" si="417"/>
        <v>0</v>
      </c>
      <c r="AV251" s="1642">
        <f t="shared" si="417"/>
        <v>0</v>
      </c>
      <c r="AW251" s="1926">
        <f t="shared" si="417"/>
        <v>0</v>
      </c>
      <c r="AX251" s="1927">
        <f t="shared" si="417"/>
        <v>0</v>
      </c>
      <c r="AY251" s="968"/>
      <c r="AZ251" s="1081" t="s">
        <v>1694</v>
      </c>
      <c r="BA251" s="1656">
        <f t="shared" ref="BA251:BD251" si="418">SUM(BA246:BA250)</f>
        <v>0</v>
      </c>
      <c r="BB251" s="1642">
        <f t="shared" si="418"/>
        <v>0</v>
      </c>
      <c r="BC251" s="1926">
        <f t="shared" si="418"/>
        <v>0</v>
      </c>
      <c r="BD251" s="1927">
        <f t="shared" si="418"/>
        <v>0</v>
      </c>
      <c r="BE251" s="968"/>
      <c r="BF251" s="1081" t="s">
        <v>1694</v>
      </c>
      <c r="BG251" s="1656">
        <f t="shared" ref="BG251:CD251" si="419">SUM(BG246:BG250)</f>
        <v>0</v>
      </c>
      <c r="BH251" s="1642">
        <f t="shared" si="419"/>
        <v>0</v>
      </c>
      <c r="BI251" s="1926">
        <f t="shared" si="419"/>
        <v>0</v>
      </c>
      <c r="BJ251" s="1927">
        <f t="shared" si="419"/>
        <v>0</v>
      </c>
      <c r="BK251" s="1656">
        <f t="shared" si="419"/>
        <v>0</v>
      </c>
      <c r="BL251" s="1642">
        <f t="shared" si="419"/>
        <v>0</v>
      </c>
      <c r="BM251" s="1926">
        <f t="shared" si="419"/>
        <v>0</v>
      </c>
      <c r="BN251" s="1927">
        <f t="shared" si="419"/>
        <v>0</v>
      </c>
      <c r="BO251" s="1058">
        <f t="shared" si="419"/>
        <v>0</v>
      </c>
      <c r="BP251" s="1992">
        <f t="shared" si="419"/>
        <v>0</v>
      </c>
      <c r="BQ251" s="1058">
        <f t="shared" si="419"/>
        <v>0</v>
      </c>
      <c r="BR251" s="1992">
        <f t="shared" si="419"/>
        <v>0</v>
      </c>
      <c r="BS251" s="1656">
        <f t="shared" si="419"/>
        <v>0</v>
      </c>
      <c r="BT251" s="1642">
        <f t="shared" si="419"/>
        <v>0</v>
      </c>
      <c r="BU251" s="1926">
        <f t="shared" si="419"/>
        <v>0</v>
      </c>
      <c r="BV251" s="1927">
        <f t="shared" si="419"/>
        <v>0</v>
      </c>
      <c r="BW251" s="1058">
        <f t="shared" si="419"/>
        <v>0</v>
      </c>
      <c r="BX251" s="1992">
        <f t="shared" si="419"/>
        <v>0</v>
      </c>
      <c r="BY251" s="1656">
        <f t="shared" si="419"/>
        <v>0</v>
      </c>
      <c r="BZ251" s="1642">
        <f t="shared" si="419"/>
        <v>0</v>
      </c>
      <c r="CA251" s="1926">
        <f t="shared" si="419"/>
        <v>0</v>
      </c>
      <c r="CB251" s="1927">
        <f t="shared" si="419"/>
        <v>0</v>
      </c>
      <c r="CC251" s="1705">
        <f t="shared" si="419"/>
        <v>0</v>
      </c>
      <c r="CD251" s="2159">
        <f t="shared" si="419"/>
        <v>0</v>
      </c>
      <c r="CE251" s="968"/>
      <c r="CF251" s="1081" t="s">
        <v>1694</v>
      </c>
      <c r="CG251" s="1656">
        <f t="shared" ref="CG251:CJ251" si="420">SUM(CG246:CG250)</f>
        <v>0</v>
      </c>
      <c r="CH251" s="1642">
        <f t="shared" si="420"/>
        <v>0</v>
      </c>
      <c r="CI251" s="1926">
        <f t="shared" si="420"/>
        <v>0</v>
      </c>
      <c r="CJ251" s="1927">
        <f t="shared" si="420"/>
        <v>0</v>
      </c>
      <c r="CK251" s="968"/>
      <c r="CL251" s="1081" t="s">
        <v>1694</v>
      </c>
      <c r="CM251" s="1656">
        <f t="shared" ref="CM251:DH251" si="421">SUM(CM246:CM250)</f>
        <v>0</v>
      </c>
      <c r="CN251" s="1642">
        <f t="shared" si="421"/>
        <v>0</v>
      </c>
      <c r="CO251" s="1926">
        <f t="shared" si="421"/>
        <v>0</v>
      </c>
      <c r="CP251" s="1927">
        <f t="shared" si="421"/>
        <v>0</v>
      </c>
      <c r="CQ251" s="1656">
        <f t="shared" si="421"/>
        <v>0</v>
      </c>
      <c r="CR251" s="1642">
        <f t="shared" si="421"/>
        <v>0</v>
      </c>
      <c r="CS251" s="1926">
        <f t="shared" si="421"/>
        <v>0</v>
      </c>
      <c r="CT251" s="1927">
        <f t="shared" si="421"/>
        <v>0</v>
      </c>
      <c r="CU251" s="1656">
        <f t="shared" si="421"/>
        <v>0</v>
      </c>
      <c r="CV251" s="1642">
        <f t="shared" si="421"/>
        <v>0</v>
      </c>
      <c r="CW251" s="1926">
        <f t="shared" si="421"/>
        <v>0</v>
      </c>
      <c r="CX251" s="1927">
        <f t="shared" si="421"/>
        <v>0</v>
      </c>
      <c r="CY251" s="1656">
        <f t="shared" si="421"/>
        <v>0</v>
      </c>
      <c r="CZ251" s="1642">
        <f t="shared" si="421"/>
        <v>0</v>
      </c>
      <c r="DA251" s="1926">
        <f t="shared" si="421"/>
        <v>0</v>
      </c>
      <c r="DB251" s="1927">
        <f t="shared" si="421"/>
        <v>0</v>
      </c>
      <c r="DC251" s="1058">
        <f t="shared" si="421"/>
        <v>0</v>
      </c>
      <c r="DD251" s="1992">
        <f t="shared" si="421"/>
        <v>0</v>
      </c>
      <c r="DE251" s="1656">
        <f t="shared" si="421"/>
        <v>0</v>
      </c>
      <c r="DF251" s="1642">
        <f t="shared" si="421"/>
        <v>0</v>
      </c>
      <c r="DG251" s="1926">
        <f t="shared" si="421"/>
        <v>0</v>
      </c>
      <c r="DH251" s="1927">
        <f t="shared" si="421"/>
        <v>0</v>
      </c>
      <c r="DI251" s="970"/>
      <c r="DJ251" s="1081" t="s">
        <v>1694</v>
      </c>
      <c r="DK251" s="1058">
        <f t="shared" ref="DK251:DL251" si="422">SUM(DK246:DK250)</f>
        <v>0</v>
      </c>
      <c r="DL251" s="1992">
        <f t="shared" si="422"/>
        <v>0</v>
      </c>
      <c r="DM251" s="1058">
        <f t="shared" ref="DM251:DP251" si="423">SUM(DM246:DM250)</f>
        <v>0</v>
      </c>
      <c r="DN251" s="1992">
        <f t="shared" si="423"/>
        <v>0</v>
      </c>
      <c r="DO251" s="1058">
        <f t="shared" si="423"/>
        <v>0</v>
      </c>
      <c r="DP251" s="1992">
        <f t="shared" si="423"/>
        <v>0</v>
      </c>
      <c r="DQ251" s="968"/>
      <c r="DR251" s="1082" t="s">
        <v>1694</v>
      </c>
      <c r="DS251" s="1656">
        <f t="shared" ref="DS251:DV251" si="424">SUM(DS246:DS250)</f>
        <v>0</v>
      </c>
      <c r="DT251" s="1642">
        <f t="shared" si="424"/>
        <v>0</v>
      </c>
      <c r="DU251" s="1926">
        <f t="shared" si="424"/>
        <v>0</v>
      </c>
      <c r="DV251" s="1927">
        <f t="shared" si="424"/>
        <v>0</v>
      </c>
      <c r="DW251" s="968"/>
      <c r="DX251" s="1081" t="s">
        <v>1694</v>
      </c>
      <c r="DY251" s="1656">
        <f t="shared" ref="DY251:ED251" si="425">SUM(DY246:DY250)</f>
        <v>0</v>
      </c>
      <c r="DZ251" s="1642">
        <f t="shared" si="425"/>
        <v>0</v>
      </c>
      <c r="EA251" s="1926">
        <f t="shared" si="425"/>
        <v>0</v>
      </c>
      <c r="EB251" s="1927">
        <f t="shared" si="425"/>
        <v>0</v>
      </c>
      <c r="EC251" s="1058">
        <f t="shared" si="425"/>
        <v>0</v>
      </c>
      <c r="ED251" s="1992">
        <f t="shared" si="425"/>
        <v>0</v>
      </c>
      <c r="EE251" s="968"/>
      <c r="EF251" s="1081" t="s">
        <v>1694</v>
      </c>
      <c r="EG251" s="1058">
        <f t="shared" ref="EG251:EO251" si="426">SUM(EG246:EG250)</f>
        <v>0</v>
      </c>
      <c r="EH251" s="1992">
        <f t="shared" si="426"/>
        <v>0</v>
      </c>
      <c r="EI251" s="1656">
        <f t="shared" si="426"/>
        <v>0</v>
      </c>
      <c r="EJ251" s="1642">
        <f t="shared" si="426"/>
        <v>0</v>
      </c>
      <c r="EK251" s="1926">
        <f t="shared" si="426"/>
        <v>0</v>
      </c>
      <c r="EL251" s="1927">
        <f t="shared" si="426"/>
        <v>0</v>
      </c>
      <c r="EM251" s="1927">
        <f t="shared" si="426"/>
        <v>2019674.764</v>
      </c>
      <c r="EN251" s="1927">
        <f t="shared" si="426"/>
        <v>0</v>
      </c>
      <c r="EO251" s="1927">
        <f t="shared" si="426"/>
        <v>0</v>
      </c>
      <c r="EP251" s="1962">
        <f t="shared" si="240"/>
        <v>2019674.764</v>
      </c>
      <c r="EQ251" s="1707">
        <f t="shared" si="237"/>
        <v>0</v>
      </c>
      <c r="ER251" s="1786">
        <f t="shared" si="238"/>
        <v>0</v>
      </c>
      <c r="ES251" s="1786">
        <f t="shared" si="239"/>
        <v>0</v>
      </c>
      <c r="ET251" s="1061">
        <f t="shared" si="241"/>
        <v>0</v>
      </c>
    </row>
    <row r="252" spans="1:150" ht="19.95" customHeight="1" x14ac:dyDescent="0.25">
      <c r="A252" s="965"/>
      <c r="B252" s="1107" t="s">
        <v>1695</v>
      </c>
      <c r="C252" s="1043"/>
      <c r="D252" s="1039"/>
      <c r="E252" s="1930"/>
      <c r="F252" s="1931"/>
      <c r="G252" s="1072"/>
      <c r="H252" s="1994"/>
      <c r="I252" s="1072"/>
      <c r="J252" s="1994"/>
      <c r="K252" s="1072"/>
      <c r="L252" s="2029"/>
      <c r="M252" s="965"/>
      <c r="N252" s="1107" t="s">
        <v>1695</v>
      </c>
      <c r="O252" s="1072"/>
      <c r="P252" s="2029"/>
      <c r="Q252" s="1043"/>
      <c r="R252" s="1039"/>
      <c r="S252" s="1930"/>
      <c r="T252" s="1931"/>
      <c r="U252" s="1043"/>
      <c r="V252" s="1039"/>
      <c r="W252" s="1930"/>
      <c r="X252" s="1931"/>
      <c r="Y252" s="1043"/>
      <c r="Z252" s="1039"/>
      <c r="AA252" s="2063"/>
      <c r="AB252" s="1931"/>
      <c r="AC252" s="964"/>
      <c r="AD252" s="1107" t="s">
        <v>1695</v>
      </c>
      <c r="AE252" s="1043"/>
      <c r="AF252" s="1039"/>
      <c r="AG252" s="1930"/>
      <c r="AH252" s="1931"/>
      <c r="AI252" s="1043"/>
      <c r="AJ252" s="1039"/>
      <c r="AK252" s="1930"/>
      <c r="AL252" s="1931"/>
      <c r="AM252" s="1072"/>
      <c r="AN252" s="2029"/>
      <c r="AO252" s="1881"/>
      <c r="AP252" s="1075"/>
      <c r="AQ252" s="1076"/>
      <c r="AR252" s="2099"/>
      <c r="AS252" s="1444"/>
      <c r="AT252" s="2099"/>
      <c r="AU252" s="1043"/>
      <c r="AV252" s="1039"/>
      <c r="AW252" s="1930"/>
      <c r="AX252" s="1931"/>
      <c r="AY252" s="965"/>
      <c r="AZ252" s="1107" t="s">
        <v>1695</v>
      </c>
      <c r="BA252" s="1043"/>
      <c r="BB252" s="1039"/>
      <c r="BC252" s="1930"/>
      <c r="BD252" s="1931"/>
      <c r="BE252" s="965"/>
      <c r="BF252" s="1107" t="s">
        <v>1695</v>
      </c>
      <c r="BG252" s="1043"/>
      <c r="BH252" s="1039"/>
      <c r="BI252" s="1930"/>
      <c r="BJ252" s="1931"/>
      <c r="BK252" s="1043"/>
      <c r="BL252" s="1039"/>
      <c r="BM252" s="1930"/>
      <c r="BN252" s="1931"/>
      <c r="BO252" s="1072"/>
      <c r="BP252" s="1994"/>
      <c r="BQ252" s="1072"/>
      <c r="BR252" s="2029"/>
      <c r="BS252" s="1043"/>
      <c r="BT252" s="1039"/>
      <c r="BU252" s="1930"/>
      <c r="BV252" s="1931"/>
      <c r="BW252" s="1072"/>
      <c r="BX252" s="2029"/>
      <c r="BY252" s="1043"/>
      <c r="BZ252" s="1039"/>
      <c r="CA252" s="1930"/>
      <c r="CB252" s="1931"/>
      <c r="CC252" s="1750"/>
      <c r="CD252" s="2157"/>
      <c r="CE252" s="965"/>
      <c r="CF252" s="1107" t="s">
        <v>1695</v>
      </c>
      <c r="CG252" s="1043"/>
      <c r="CH252" s="1039"/>
      <c r="CI252" s="1930"/>
      <c r="CJ252" s="1931"/>
      <c r="CK252" s="965"/>
      <c r="CL252" s="1107" t="s">
        <v>1695</v>
      </c>
      <c r="CM252" s="1043"/>
      <c r="CN252" s="1039"/>
      <c r="CO252" s="1930"/>
      <c r="CP252" s="1931"/>
      <c r="CQ252" s="1043"/>
      <c r="CR252" s="1039"/>
      <c r="CS252" s="1930"/>
      <c r="CT252" s="1931"/>
      <c r="CU252" s="1043"/>
      <c r="CV252" s="1039"/>
      <c r="CW252" s="1930"/>
      <c r="CX252" s="1931"/>
      <c r="CY252" s="1043"/>
      <c r="CZ252" s="1039"/>
      <c r="DA252" s="1930"/>
      <c r="DB252" s="1931"/>
      <c r="DC252" s="1072"/>
      <c r="DD252" s="2029"/>
      <c r="DE252" s="1043"/>
      <c r="DF252" s="1039"/>
      <c r="DG252" s="1930"/>
      <c r="DH252" s="1931"/>
      <c r="DI252" s="964"/>
      <c r="DJ252" s="1107" t="s">
        <v>1695</v>
      </c>
      <c r="DK252" s="1072"/>
      <c r="DL252" s="1994"/>
      <c r="DM252" s="1072"/>
      <c r="DN252" s="1994"/>
      <c r="DO252" s="1072"/>
      <c r="DP252" s="2029"/>
      <c r="DQ252" s="965"/>
      <c r="DR252" s="1107" t="s">
        <v>1695</v>
      </c>
      <c r="DS252" s="1043"/>
      <c r="DT252" s="1039"/>
      <c r="DU252" s="1930"/>
      <c r="DV252" s="1931"/>
      <c r="DW252" s="965"/>
      <c r="DX252" s="1107" t="s">
        <v>1695</v>
      </c>
      <c r="DY252" s="1043"/>
      <c r="DZ252" s="1039"/>
      <c r="EA252" s="1930"/>
      <c r="EB252" s="1931"/>
      <c r="EC252" s="1072"/>
      <c r="ED252" s="2029"/>
      <c r="EE252" s="965"/>
      <c r="EF252" s="1107" t="s">
        <v>1695</v>
      </c>
      <c r="EG252" s="1072"/>
      <c r="EH252" s="2029"/>
      <c r="EI252" s="1043"/>
      <c r="EJ252" s="1039"/>
      <c r="EK252" s="2217"/>
      <c r="EL252" s="1931"/>
      <c r="EM252" s="2216"/>
      <c r="EN252" s="1597"/>
      <c r="EO252" s="1597"/>
      <c r="EP252" s="1597">
        <f t="shared" si="240"/>
        <v>0</v>
      </c>
      <c r="EQ252" s="1162">
        <f t="shared" si="237"/>
        <v>0</v>
      </c>
      <c r="ER252" s="1785">
        <f t="shared" si="238"/>
        <v>0</v>
      </c>
      <c r="ES252" s="1785">
        <f t="shared" si="239"/>
        <v>0</v>
      </c>
      <c r="ET252" s="1070">
        <f t="shared" si="241"/>
        <v>0</v>
      </c>
    </row>
    <row r="253" spans="1:150" x14ac:dyDescent="0.25">
      <c r="A253" s="965">
        <v>1</v>
      </c>
      <c r="B253" s="956"/>
      <c r="C253" s="1043"/>
      <c r="D253" s="1039"/>
      <c r="E253" s="1930"/>
      <c r="F253" s="1931"/>
      <c r="G253" s="1072"/>
      <c r="H253" s="1994"/>
      <c r="I253" s="1072"/>
      <c r="J253" s="1994"/>
      <c r="K253" s="1072"/>
      <c r="L253" s="2029"/>
      <c r="M253" s="965">
        <v>1</v>
      </c>
      <c r="N253" s="956"/>
      <c r="O253" s="1072"/>
      <c r="P253" s="2029"/>
      <c r="Q253" s="1043"/>
      <c r="R253" s="1039"/>
      <c r="S253" s="1930"/>
      <c r="T253" s="1931"/>
      <c r="U253" s="1043"/>
      <c r="V253" s="1039"/>
      <c r="W253" s="1930"/>
      <c r="X253" s="1931"/>
      <c r="Y253" s="1043"/>
      <c r="Z253" s="1039"/>
      <c r="AA253" s="2063"/>
      <c r="AB253" s="1931"/>
      <c r="AC253" s="964">
        <v>1</v>
      </c>
      <c r="AD253" s="956"/>
      <c r="AE253" s="1043"/>
      <c r="AF253" s="1039"/>
      <c r="AG253" s="1930"/>
      <c r="AH253" s="1931"/>
      <c r="AI253" s="1043"/>
      <c r="AJ253" s="1039"/>
      <c r="AK253" s="1930"/>
      <c r="AL253" s="1931"/>
      <c r="AM253" s="1072"/>
      <c r="AN253" s="2029"/>
      <c r="AO253" s="1881"/>
      <c r="AP253" s="1075"/>
      <c r="AQ253" s="1076"/>
      <c r="AR253" s="2099"/>
      <c r="AS253" s="1444"/>
      <c r="AT253" s="2099"/>
      <c r="AU253" s="1043"/>
      <c r="AV253" s="1039"/>
      <c r="AW253" s="1930"/>
      <c r="AX253" s="1931"/>
      <c r="AY253" s="965">
        <v>1</v>
      </c>
      <c r="AZ253" s="956"/>
      <c r="BA253" s="1043"/>
      <c r="BB253" s="1039"/>
      <c r="BC253" s="1930"/>
      <c r="BD253" s="1931"/>
      <c r="BE253" s="965">
        <v>1</v>
      </c>
      <c r="BF253" s="956"/>
      <c r="BG253" s="1043"/>
      <c r="BH253" s="1039"/>
      <c r="BI253" s="1930"/>
      <c r="BJ253" s="1931"/>
      <c r="BK253" s="1043"/>
      <c r="BL253" s="1039"/>
      <c r="BM253" s="1930"/>
      <c r="BN253" s="1931"/>
      <c r="BO253" s="1072"/>
      <c r="BP253" s="1994"/>
      <c r="BQ253" s="1072"/>
      <c r="BR253" s="2029"/>
      <c r="BS253" s="1043"/>
      <c r="BT253" s="1039"/>
      <c r="BU253" s="1930"/>
      <c r="BV253" s="1931"/>
      <c r="BW253" s="1072"/>
      <c r="BX253" s="2029"/>
      <c r="BY253" s="1043"/>
      <c r="BZ253" s="1039"/>
      <c r="CA253" s="1930"/>
      <c r="CB253" s="1931"/>
      <c r="CC253" s="1750"/>
      <c r="CD253" s="2157"/>
      <c r="CE253" s="965">
        <v>1</v>
      </c>
      <c r="CF253" s="956"/>
      <c r="CG253" s="1043"/>
      <c r="CH253" s="1039"/>
      <c r="CI253" s="1930"/>
      <c r="CJ253" s="1931"/>
      <c r="CK253" s="965">
        <v>1</v>
      </c>
      <c r="CL253" s="956"/>
      <c r="CM253" s="1043"/>
      <c r="CN253" s="1039"/>
      <c r="CO253" s="1930"/>
      <c r="CP253" s="1931"/>
      <c r="CQ253" s="1043"/>
      <c r="CR253" s="1039"/>
      <c r="CS253" s="1930"/>
      <c r="CT253" s="1931"/>
      <c r="CU253" s="1043"/>
      <c r="CV253" s="1039"/>
      <c r="CW253" s="1930"/>
      <c r="CX253" s="1931"/>
      <c r="CY253" s="1043"/>
      <c r="CZ253" s="1039"/>
      <c r="DA253" s="1930"/>
      <c r="DB253" s="1931"/>
      <c r="DC253" s="1072"/>
      <c r="DD253" s="2029"/>
      <c r="DE253" s="1043"/>
      <c r="DF253" s="1039"/>
      <c r="DG253" s="1930"/>
      <c r="DH253" s="1931"/>
      <c r="DI253" s="964">
        <v>1</v>
      </c>
      <c r="DJ253" s="956"/>
      <c r="DK253" s="1072"/>
      <c r="DL253" s="1994"/>
      <c r="DM253" s="1072"/>
      <c r="DN253" s="1994"/>
      <c r="DO253" s="1072"/>
      <c r="DP253" s="2029"/>
      <c r="DQ253" s="965">
        <v>1</v>
      </c>
      <c r="DR253" s="956"/>
      <c r="DS253" s="1043"/>
      <c r="DT253" s="1039"/>
      <c r="DU253" s="1930"/>
      <c r="DV253" s="1931"/>
      <c r="DW253" s="965">
        <v>1</v>
      </c>
      <c r="DX253" s="956"/>
      <c r="DY253" s="1043"/>
      <c r="DZ253" s="1039"/>
      <c r="EA253" s="1930"/>
      <c r="EB253" s="1931"/>
      <c r="EC253" s="1072"/>
      <c r="ED253" s="2029"/>
      <c r="EE253" s="965">
        <v>1</v>
      </c>
      <c r="EF253" s="956"/>
      <c r="EG253" s="1072"/>
      <c r="EH253" s="2029"/>
      <c r="EI253" s="1043"/>
      <c r="EJ253" s="1039"/>
      <c r="EK253" s="2217"/>
      <c r="EL253" s="1931"/>
      <c r="EM253" s="2202">
        <f t="shared" ref="EM253:EM255" si="427">E253+S253+W253+AA253+AG253+AK253+AN253+AR253+AW253+BC253+BI253+BM253+BR253+BU253+CA253+CD253+CI253+CO253+CS253+CW253+DA253+DG253+DU253+EA253+EK253</f>
        <v>0</v>
      </c>
      <c r="EN253" s="1585">
        <f t="shared" ref="EN253:EN255" si="428">F253+H253+J253+L253+P253+T253+X253+AB253+AH253+AL253+AS253+AX253+BD253+BJ253+BN253+BP253+BV253+BX253+CB253+CJ253+CP253+CT253+CX253+DB253+DD253+DH253+DN253+DP253+DV253+EB253+ED253+EH253+EL253+DL253</f>
        <v>0</v>
      </c>
      <c r="EO253" s="1585">
        <f t="shared" ref="EO253:EO255" si="429">AQ253</f>
        <v>0</v>
      </c>
      <c r="EP253" s="1597">
        <f t="shared" si="240"/>
        <v>0</v>
      </c>
      <c r="EQ253" s="1162">
        <f t="shared" si="237"/>
        <v>0</v>
      </c>
      <c r="ER253" s="1785">
        <f t="shared" si="238"/>
        <v>0</v>
      </c>
      <c r="ES253" s="1785">
        <f t="shared" si="239"/>
        <v>0</v>
      </c>
      <c r="ET253" s="1070">
        <f t="shared" si="241"/>
        <v>0</v>
      </c>
    </row>
    <row r="254" spans="1:150" x14ac:dyDescent="0.25">
      <c r="A254" s="965">
        <v>2</v>
      </c>
      <c r="B254" s="954"/>
      <c r="C254" s="1043"/>
      <c r="D254" s="1039"/>
      <c r="E254" s="1930"/>
      <c r="F254" s="1931"/>
      <c r="G254" s="1072"/>
      <c r="H254" s="1994"/>
      <c r="I254" s="1072"/>
      <c r="J254" s="1994"/>
      <c r="K254" s="1072"/>
      <c r="L254" s="2029"/>
      <c r="M254" s="965">
        <v>2</v>
      </c>
      <c r="N254" s="954"/>
      <c r="O254" s="1072"/>
      <c r="P254" s="2029"/>
      <c r="Q254" s="1043"/>
      <c r="R254" s="1039"/>
      <c r="S254" s="1930"/>
      <c r="T254" s="1931"/>
      <c r="U254" s="1043"/>
      <c r="V254" s="1039"/>
      <c r="W254" s="1930"/>
      <c r="X254" s="1931"/>
      <c r="Y254" s="1043"/>
      <c r="Z254" s="1039"/>
      <c r="AA254" s="2063"/>
      <c r="AB254" s="1931"/>
      <c r="AC254" s="964">
        <v>2</v>
      </c>
      <c r="AD254" s="954"/>
      <c r="AE254" s="1043"/>
      <c r="AF254" s="1039"/>
      <c r="AG254" s="1930"/>
      <c r="AH254" s="1931"/>
      <c r="AI254" s="1043"/>
      <c r="AJ254" s="1039"/>
      <c r="AK254" s="1930"/>
      <c r="AL254" s="1931"/>
      <c r="AM254" s="1072"/>
      <c r="AN254" s="2029"/>
      <c r="AO254" s="1882"/>
      <c r="AP254" s="1075"/>
      <c r="AQ254" s="1076"/>
      <c r="AR254" s="2099"/>
      <c r="AS254" s="1444"/>
      <c r="AT254" s="2099"/>
      <c r="AU254" s="1043"/>
      <c r="AV254" s="1039"/>
      <c r="AW254" s="1930"/>
      <c r="AX254" s="1931"/>
      <c r="AY254" s="965">
        <v>2</v>
      </c>
      <c r="AZ254" s="954"/>
      <c r="BA254" s="1043"/>
      <c r="BB254" s="1039"/>
      <c r="BC254" s="1930"/>
      <c r="BD254" s="1931"/>
      <c r="BE254" s="965">
        <v>2</v>
      </c>
      <c r="BF254" s="954"/>
      <c r="BG254" s="1043"/>
      <c r="BH254" s="1039"/>
      <c r="BI254" s="1930"/>
      <c r="BJ254" s="1931"/>
      <c r="BK254" s="1043"/>
      <c r="BL254" s="1039"/>
      <c r="BM254" s="1930"/>
      <c r="BN254" s="1931"/>
      <c r="BO254" s="1072"/>
      <c r="BP254" s="1994"/>
      <c r="BQ254" s="1072"/>
      <c r="BR254" s="2029"/>
      <c r="BS254" s="1043"/>
      <c r="BT254" s="1039"/>
      <c r="BU254" s="1930"/>
      <c r="BV254" s="1931"/>
      <c r="BW254" s="1072"/>
      <c r="BX254" s="2029"/>
      <c r="BY254" s="1043"/>
      <c r="BZ254" s="1039"/>
      <c r="CA254" s="1930"/>
      <c r="CB254" s="1931"/>
      <c r="CC254" s="1750"/>
      <c r="CD254" s="2157"/>
      <c r="CE254" s="965">
        <v>2</v>
      </c>
      <c r="CF254" s="954"/>
      <c r="CG254" s="1043"/>
      <c r="CH254" s="1039"/>
      <c r="CI254" s="1930"/>
      <c r="CJ254" s="1931"/>
      <c r="CK254" s="965">
        <v>2</v>
      </c>
      <c r="CL254" s="954"/>
      <c r="CM254" s="1043"/>
      <c r="CN254" s="1039"/>
      <c r="CO254" s="1930"/>
      <c r="CP254" s="1931"/>
      <c r="CQ254" s="1043"/>
      <c r="CR254" s="1039"/>
      <c r="CS254" s="1930"/>
      <c r="CT254" s="1931"/>
      <c r="CU254" s="1043"/>
      <c r="CV254" s="1039"/>
      <c r="CW254" s="1930"/>
      <c r="CX254" s="1931"/>
      <c r="CY254" s="1043"/>
      <c r="CZ254" s="1039"/>
      <c r="DA254" s="1930"/>
      <c r="DB254" s="1931"/>
      <c r="DC254" s="1072"/>
      <c r="DD254" s="2029"/>
      <c r="DE254" s="1043"/>
      <c r="DF254" s="1039"/>
      <c r="DG254" s="1930"/>
      <c r="DH254" s="1931"/>
      <c r="DI254" s="964">
        <v>2</v>
      </c>
      <c r="DJ254" s="954"/>
      <c r="DK254" s="1072"/>
      <c r="DL254" s="1994"/>
      <c r="DM254" s="1072"/>
      <c r="DN254" s="1994"/>
      <c r="DO254" s="1072"/>
      <c r="DP254" s="2029"/>
      <c r="DQ254" s="965">
        <v>2</v>
      </c>
      <c r="DR254" s="954"/>
      <c r="DS254" s="1043"/>
      <c r="DT254" s="1039"/>
      <c r="DU254" s="1930"/>
      <c r="DV254" s="1931"/>
      <c r="DW254" s="965">
        <v>2</v>
      </c>
      <c r="DX254" s="954"/>
      <c r="DY254" s="1043"/>
      <c r="DZ254" s="1039"/>
      <c r="EA254" s="1930"/>
      <c r="EB254" s="1931"/>
      <c r="EC254" s="1072"/>
      <c r="ED254" s="2029"/>
      <c r="EE254" s="965">
        <v>2</v>
      </c>
      <c r="EF254" s="954"/>
      <c r="EG254" s="1072"/>
      <c r="EH254" s="2029"/>
      <c r="EI254" s="1043"/>
      <c r="EJ254" s="1039"/>
      <c r="EK254" s="2217"/>
      <c r="EL254" s="1931"/>
      <c r="EM254" s="2202">
        <f t="shared" si="427"/>
        <v>0</v>
      </c>
      <c r="EN254" s="1585">
        <f t="shared" si="428"/>
        <v>0</v>
      </c>
      <c r="EO254" s="1585">
        <f t="shared" si="429"/>
        <v>0</v>
      </c>
      <c r="EP254" s="1597">
        <f t="shared" si="240"/>
        <v>0</v>
      </c>
      <c r="EQ254" s="1162">
        <f t="shared" ref="EQ254:EQ317" si="430">SUM(C254+Q254+U254+Y254+AE254+AI254+AM254+AO254+AU254+BA254+BG254+BK254+BQ254+BS254+CC254+CG254+CM254+CQ254+CU254+CY254+DE254+DS254+DY254+EI254)</f>
        <v>0</v>
      </c>
      <c r="ER254" s="1785">
        <f t="shared" ref="ER254:ER317" si="431">SUM(D254+I254+K254+O254+R254+V254+Z254+AF254+AJ254+AP254+AV254+BB254+BH254+BL254+BO254+BT254+BW254+CH254+CN254+CR254+CV254+CZ254+DC254+DF254+DM254+DO254+DT254+DZ254+EC254+EG254+EJ254+G254)</f>
        <v>0</v>
      </c>
      <c r="ES254" s="1785">
        <f t="shared" ref="ES254:ES317" si="432">SUM(AQ254)</f>
        <v>0</v>
      </c>
      <c r="ET254" s="1070">
        <f t="shared" si="241"/>
        <v>0</v>
      </c>
    </row>
    <row r="255" spans="1:150" x14ac:dyDescent="0.25">
      <c r="A255" s="952">
        <v>3</v>
      </c>
      <c r="B255" s="954"/>
      <c r="C255" s="1043"/>
      <c r="D255" s="1039"/>
      <c r="E255" s="1930"/>
      <c r="F255" s="1931"/>
      <c r="G255" s="1072"/>
      <c r="H255" s="1994"/>
      <c r="I255" s="1072"/>
      <c r="J255" s="1994"/>
      <c r="K255" s="1072"/>
      <c r="L255" s="2029"/>
      <c r="M255" s="952">
        <v>3</v>
      </c>
      <c r="N255" s="954"/>
      <c r="O255" s="1072"/>
      <c r="P255" s="2029"/>
      <c r="Q255" s="1043"/>
      <c r="R255" s="1039"/>
      <c r="S255" s="1930"/>
      <c r="T255" s="1931"/>
      <c r="U255" s="1043"/>
      <c r="V255" s="1039"/>
      <c r="W255" s="1930"/>
      <c r="X255" s="1931"/>
      <c r="Y255" s="1043"/>
      <c r="Z255" s="1039"/>
      <c r="AA255" s="2063"/>
      <c r="AB255" s="1931"/>
      <c r="AC255" s="955">
        <v>3</v>
      </c>
      <c r="AD255" s="954"/>
      <c r="AE255" s="1043"/>
      <c r="AF255" s="1039"/>
      <c r="AG255" s="1930"/>
      <c r="AH255" s="1931"/>
      <c r="AI255" s="1043"/>
      <c r="AJ255" s="1039"/>
      <c r="AK255" s="1930"/>
      <c r="AL255" s="1931"/>
      <c r="AM255" s="1072"/>
      <c r="AN255" s="2029"/>
      <c r="AO255" s="1883"/>
      <c r="AP255" s="1262"/>
      <c r="AQ255" s="1728"/>
      <c r="AR255" s="2099"/>
      <c r="AS255" s="1444"/>
      <c r="AT255" s="2099"/>
      <c r="AU255" s="1043"/>
      <c r="AV255" s="1039"/>
      <c r="AW255" s="1930"/>
      <c r="AX255" s="1931"/>
      <c r="AY255" s="952">
        <v>3</v>
      </c>
      <c r="AZ255" s="954"/>
      <c r="BA255" s="1043"/>
      <c r="BB255" s="1039"/>
      <c r="BC255" s="1930"/>
      <c r="BD255" s="1931"/>
      <c r="BE255" s="952">
        <v>3</v>
      </c>
      <c r="BF255" s="954"/>
      <c r="BG255" s="1043"/>
      <c r="BH255" s="1039"/>
      <c r="BI255" s="1930"/>
      <c r="BJ255" s="1931"/>
      <c r="BK255" s="1043"/>
      <c r="BL255" s="1039"/>
      <c r="BM255" s="1930"/>
      <c r="BN255" s="1931"/>
      <c r="BO255" s="1072"/>
      <c r="BP255" s="1994"/>
      <c r="BQ255" s="1072"/>
      <c r="BR255" s="2029"/>
      <c r="BS255" s="1043"/>
      <c r="BT255" s="1039"/>
      <c r="BU255" s="1930"/>
      <c r="BV255" s="1931"/>
      <c r="BW255" s="1072"/>
      <c r="BX255" s="2029"/>
      <c r="BY255" s="1043"/>
      <c r="BZ255" s="1039"/>
      <c r="CA255" s="1930"/>
      <c r="CB255" s="1931"/>
      <c r="CC255" s="1750"/>
      <c r="CD255" s="2157"/>
      <c r="CE255" s="952">
        <v>3</v>
      </c>
      <c r="CF255" s="954"/>
      <c r="CG255" s="1043"/>
      <c r="CH255" s="1039"/>
      <c r="CI255" s="1930"/>
      <c r="CJ255" s="1931"/>
      <c r="CK255" s="952">
        <v>3</v>
      </c>
      <c r="CL255" s="954"/>
      <c r="CM255" s="1043"/>
      <c r="CN255" s="1039"/>
      <c r="CO255" s="1930"/>
      <c r="CP255" s="1931"/>
      <c r="CQ255" s="1043"/>
      <c r="CR255" s="1039"/>
      <c r="CS255" s="1930"/>
      <c r="CT255" s="1931"/>
      <c r="CU255" s="1043"/>
      <c r="CV255" s="1039"/>
      <c r="CW255" s="1930"/>
      <c r="CX255" s="1931"/>
      <c r="CY255" s="1043"/>
      <c r="CZ255" s="1039"/>
      <c r="DA255" s="1930"/>
      <c r="DB255" s="1931"/>
      <c r="DC255" s="1072"/>
      <c r="DD255" s="2029"/>
      <c r="DE255" s="1043"/>
      <c r="DF255" s="1039"/>
      <c r="DG255" s="1930"/>
      <c r="DH255" s="1931"/>
      <c r="DI255" s="955">
        <v>3</v>
      </c>
      <c r="DJ255" s="954"/>
      <c r="DK255" s="1072"/>
      <c r="DL255" s="1994"/>
      <c r="DM255" s="1072"/>
      <c r="DN255" s="1994"/>
      <c r="DO255" s="1072"/>
      <c r="DP255" s="2029"/>
      <c r="DQ255" s="952">
        <v>3</v>
      </c>
      <c r="DR255" s="954"/>
      <c r="DS255" s="1043"/>
      <c r="DT255" s="1039"/>
      <c r="DU255" s="1930"/>
      <c r="DV255" s="1931"/>
      <c r="DW255" s="952">
        <v>3</v>
      </c>
      <c r="DX255" s="954"/>
      <c r="DY255" s="1043"/>
      <c r="DZ255" s="1039"/>
      <c r="EA255" s="1930"/>
      <c r="EB255" s="1931"/>
      <c r="EC255" s="1072"/>
      <c r="ED255" s="2029"/>
      <c r="EE255" s="952">
        <v>3</v>
      </c>
      <c r="EF255" s="954"/>
      <c r="EG255" s="1072"/>
      <c r="EH255" s="2029"/>
      <c r="EI255" s="1043"/>
      <c r="EJ255" s="1039"/>
      <c r="EK255" s="2217"/>
      <c r="EL255" s="1931"/>
      <c r="EM255" s="2202">
        <f t="shared" si="427"/>
        <v>0</v>
      </c>
      <c r="EN255" s="1585">
        <f t="shared" si="428"/>
        <v>0</v>
      </c>
      <c r="EO255" s="1585">
        <f t="shared" si="429"/>
        <v>0</v>
      </c>
      <c r="EP255" s="1597">
        <f t="shared" si="240"/>
        <v>0</v>
      </c>
      <c r="EQ255" s="1162">
        <f t="shared" si="430"/>
        <v>0</v>
      </c>
      <c r="ER255" s="1785">
        <f t="shared" si="431"/>
        <v>0</v>
      </c>
      <c r="ES255" s="1785">
        <f t="shared" si="432"/>
        <v>0</v>
      </c>
      <c r="ET255" s="1070">
        <f t="shared" si="241"/>
        <v>0</v>
      </c>
    </row>
    <row r="256" spans="1:150" ht="19.95" customHeight="1" thickBot="1" x14ac:dyDescent="0.3">
      <c r="A256" s="968"/>
      <c r="B256" s="1081" t="s">
        <v>1696</v>
      </c>
      <c r="C256" s="1671">
        <f t="shared" ref="C256:L256" si="433">SUM(C252:C255)</f>
        <v>0</v>
      </c>
      <c r="D256" s="1061">
        <f t="shared" si="433"/>
        <v>0</v>
      </c>
      <c r="E256" s="1961">
        <f t="shared" si="433"/>
        <v>0</v>
      </c>
      <c r="F256" s="1962">
        <f t="shared" si="433"/>
        <v>0</v>
      </c>
      <c r="G256" s="1695">
        <f t="shared" si="433"/>
        <v>0</v>
      </c>
      <c r="H256" s="2012">
        <f t="shared" si="433"/>
        <v>0</v>
      </c>
      <c r="I256" s="1695">
        <f t="shared" si="433"/>
        <v>0</v>
      </c>
      <c r="J256" s="2012">
        <f t="shared" si="433"/>
        <v>0</v>
      </c>
      <c r="K256" s="1695">
        <f t="shared" si="433"/>
        <v>0</v>
      </c>
      <c r="L256" s="2012">
        <f t="shared" si="433"/>
        <v>0</v>
      </c>
      <c r="M256" s="968"/>
      <c r="N256" s="1081" t="s">
        <v>1696</v>
      </c>
      <c r="O256" s="1695">
        <f t="shared" ref="O256:AB256" si="434">SUM(O252:O255)</f>
        <v>0</v>
      </c>
      <c r="P256" s="2012">
        <f t="shared" si="434"/>
        <v>0</v>
      </c>
      <c r="Q256" s="1671">
        <f t="shared" si="434"/>
        <v>0</v>
      </c>
      <c r="R256" s="1061">
        <f t="shared" si="434"/>
        <v>0</v>
      </c>
      <c r="S256" s="1961">
        <f t="shared" si="434"/>
        <v>0</v>
      </c>
      <c r="T256" s="1962">
        <f t="shared" si="434"/>
        <v>0</v>
      </c>
      <c r="U256" s="1671">
        <f t="shared" si="434"/>
        <v>0</v>
      </c>
      <c r="V256" s="1061">
        <f t="shared" si="434"/>
        <v>0</v>
      </c>
      <c r="W256" s="1961">
        <f t="shared" si="434"/>
        <v>0</v>
      </c>
      <c r="X256" s="1962">
        <f t="shared" si="434"/>
        <v>0</v>
      </c>
      <c r="Y256" s="1671">
        <f t="shared" si="434"/>
        <v>0</v>
      </c>
      <c r="Z256" s="1061">
        <f t="shared" si="434"/>
        <v>0</v>
      </c>
      <c r="AA256" s="1961">
        <f t="shared" si="434"/>
        <v>0</v>
      </c>
      <c r="AB256" s="1962">
        <f t="shared" si="434"/>
        <v>0</v>
      </c>
      <c r="AC256" s="970"/>
      <c r="AD256" s="1081" t="s">
        <v>1696</v>
      </c>
      <c r="AE256" s="1671">
        <f t="shared" ref="AE256:AX256" si="435">SUM(AE252:AE255)</f>
        <v>0</v>
      </c>
      <c r="AF256" s="1061">
        <f t="shared" si="435"/>
        <v>0</v>
      </c>
      <c r="AG256" s="1961">
        <f t="shared" si="435"/>
        <v>0</v>
      </c>
      <c r="AH256" s="1962">
        <f t="shared" si="435"/>
        <v>0</v>
      </c>
      <c r="AI256" s="1671">
        <f t="shared" si="435"/>
        <v>0</v>
      </c>
      <c r="AJ256" s="1061">
        <f t="shared" si="435"/>
        <v>0</v>
      </c>
      <c r="AK256" s="1961">
        <f t="shared" si="435"/>
        <v>0</v>
      </c>
      <c r="AL256" s="1962">
        <f t="shared" si="435"/>
        <v>0</v>
      </c>
      <c r="AM256" s="1695">
        <f t="shared" si="435"/>
        <v>0</v>
      </c>
      <c r="AN256" s="2012">
        <f t="shared" si="435"/>
        <v>0</v>
      </c>
      <c r="AO256" s="1671">
        <f t="shared" si="435"/>
        <v>0</v>
      </c>
      <c r="AP256" s="1859">
        <f t="shared" si="435"/>
        <v>0</v>
      </c>
      <c r="AQ256" s="1116">
        <f t="shared" si="435"/>
        <v>0</v>
      </c>
      <c r="AR256" s="1961">
        <f t="shared" si="435"/>
        <v>0</v>
      </c>
      <c r="AS256" s="2127">
        <f t="shared" si="435"/>
        <v>0</v>
      </c>
      <c r="AT256" s="2128">
        <f t="shared" si="435"/>
        <v>0</v>
      </c>
      <c r="AU256" s="1671">
        <f t="shared" si="435"/>
        <v>0</v>
      </c>
      <c r="AV256" s="1061">
        <f t="shared" si="435"/>
        <v>0</v>
      </c>
      <c r="AW256" s="1961">
        <f t="shared" si="435"/>
        <v>0</v>
      </c>
      <c r="AX256" s="1962">
        <f t="shared" si="435"/>
        <v>0</v>
      </c>
      <c r="AY256" s="968"/>
      <c r="AZ256" s="1081" t="s">
        <v>1696</v>
      </c>
      <c r="BA256" s="1671">
        <f t="shared" ref="BA256:BD256" si="436">SUM(BA252:BA255)</f>
        <v>0</v>
      </c>
      <c r="BB256" s="1061">
        <f t="shared" si="436"/>
        <v>0</v>
      </c>
      <c r="BC256" s="1961">
        <f t="shared" si="436"/>
        <v>0</v>
      </c>
      <c r="BD256" s="1962">
        <f t="shared" si="436"/>
        <v>0</v>
      </c>
      <c r="BE256" s="968"/>
      <c r="BF256" s="1081" t="s">
        <v>1696</v>
      </c>
      <c r="BG256" s="1671">
        <f t="shared" ref="BG256:CD256" si="437">SUM(BG252:BG255)</f>
        <v>0</v>
      </c>
      <c r="BH256" s="1061">
        <f t="shared" si="437"/>
        <v>0</v>
      </c>
      <c r="BI256" s="1961">
        <f t="shared" si="437"/>
        <v>0</v>
      </c>
      <c r="BJ256" s="1962">
        <f t="shared" si="437"/>
        <v>0</v>
      </c>
      <c r="BK256" s="1671">
        <f t="shared" si="437"/>
        <v>0</v>
      </c>
      <c r="BL256" s="1061">
        <f t="shared" si="437"/>
        <v>0</v>
      </c>
      <c r="BM256" s="1961">
        <f t="shared" si="437"/>
        <v>0</v>
      </c>
      <c r="BN256" s="1962">
        <f t="shared" si="437"/>
        <v>0</v>
      </c>
      <c r="BO256" s="1695">
        <f t="shared" si="437"/>
        <v>0</v>
      </c>
      <c r="BP256" s="2012">
        <f t="shared" si="437"/>
        <v>0</v>
      </c>
      <c r="BQ256" s="1695">
        <f t="shared" si="437"/>
        <v>0</v>
      </c>
      <c r="BR256" s="2012">
        <f t="shared" si="437"/>
        <v>0</v>
      </c>
      <c r="BS256" s="1671">
        <f t="shared" si="437"/>
        <v>0</v>
      </c>
      <c r="BT256" s="1061">
        <f t="shared" si="437"/>
        <v>0</v>
      </c>
      <c r="BU256" s="1961">
        <f t="shared" si="437"/>
        <v>0</v>
      </c>
      <c r="BV256" s="1962">
        <f t="shared" si="437"/>
        <v>0</v>
      </c>
      <c r="BW256" s="1695">
        <f t="shared" si="437"/>
        <v>0</v>
      </c>
      <c r="BX256" s="2012">
        <f t="shared" si="437"/>
        <v>0</v>
      </c>
      <c r="BY256" s="1671">
        <f t="shared" si="437"/>
        <v>0</v>
      </c>
      <c r="BZ256" s="1061">
        <f t="shared" si="437"/>
        <v>0</v>
      </c>
      <c r="CA256" s="1961">
        <f t="shared" si="437"/>
        <v>0</v>
      </c>
      <c r="CB256" s="1962">
        <f t="shared" si="437"/>
        <v>0</v>
      </c>
      <c r="CC256" s="1707">
        <f t="shared" si="437"/>
        <v>0</v>
      </c>
      <c r="CD256" s="2177">
        <f t="shared" si="437"/>
        <v>0</v>
      </c>
      <c r="CE256" s="968"/>
      <c r="CF256" s="1081" t="s">
        <v>1696</v>
      </c>
      <c r="CG256" s="1671">
        <f t="shared" ref="CG256:CJ256" si="438">SUM(CG252:CG255)</f>
        <v>0</v>
      </c>
      <c r="CH256" s="1061">
        <f t="shared" si="438"/>
        <v>0</v>
      </c>
      <c r="CI256" s="1961">
        <f t="shared" si="438"/>
        <v>0</v>
      </c>
      <c r="CJ256" s="1962">
        <f t="shared" si="438"/>
        <v>0</v>
      </c>
      <c r="CK256" s="968"/>
      <c r="CL256" s="1081" t="s">
        <v>1696</v>
      </c>
      <c r="CM256" s="1671">
        <f t="shared" ref="CM256:DH256" si="439">SUM(CM252:CM255)</f>
        <v>0</v>
      </c>
      <c r="CN256" s="1061">
        <f t="shared" si="439"/>
        <v>0</v>
      </c>
      <c r="CO256" s="1961">
        <f t="shared" si="439"/>
        <v>0</v>
      </c>
      <c r="CP256" s="1962">
        <f t="shared" si="439"/>
        <v>0</v>
      </c>
      <c r="CQ256" s="1671">
        <f t="shared" si="439"/>
        <v>0</v>
      </c>
      <c r="CR256" s="1061">
        <f t="shared" si="439"/>
        <v>0</v>
      </c>
      <c r="CS256" s="1961">
        <f t="shared" si="439"/>
        <v>0</v>
      </c>
      <c r="CT256" s="1962">
        <f t="shared" si="439"/>
        <v>0</v>
      </c>
      <c r="CU256" s="1671">
        <f t="shared" si="439"/>
        <v>0</v>
      </c>
      <c r="CV256" s="1061">
        <f t="shared" si="439"/>
        <v>0</v>
      </c>
      <c r="CW256" s="1961">
        <f t="shared" si="439"/>
        <v>0</v>
      </c>
      <c r="CX256" s="1962">
        <f t="shared" si="439"/>
        <v>0</v>
      </c>
      <c r="CY256" s="1671">
        <f t="shared" si="439"/>
        <v>0</v>
      </c>
      <c r="CZ256" s="1061">
        <f t="shared" si="439"/>
        <v>0</v>
      </c>
      <c r="DA256" s="1961">
        <f t="shared" si="439"/>
        <v>0</v>
      </c>
      <c r="DB256" s="1962">
        <f t="shared" si="439"/>
        <v>0</v>
      </c>
      <c r="DC256" s="1695">
        <f t="shared" si="439"/>
        <v>0</v>
      </c>
      <c r="DD256" s="2012">
        <f t="shared" si="439"/>
        <v>0</v>
      </c>
      <c r="DE256" s="1671">
        <f t="shared" si="439"/>
        <v>0</v>
      </c>
      <c r="DF256" s="1061">
        <f t="shared" si="439"/>
        <v>0</v>
      </c>
      <c r="DG256" s="1961">
        <f t="shared" si="439"/>
        <v>0</v>
      </c>
      <c r="DH256" s="1962">
        <f t="shared" si="439"/>
        <v>0</v>
      </c>
      <c r="DI256" s="970"/>
      <c r="DJ256" s="1081" t="s">
        <v>1696</v>
      </c>
      <c r="DK256" s="1695">
        <f t="shared" ref="DK256:DL256" si="440">SUM(DK252:DK255)</f>
        <v>0</v>
      </c>
      <c r="DL256" s="2012">
        <f t="shared" si="440"/>
        <v>0</v>
      </c>
      <c r="DM256" s="1695">
        <f t="shared" ref="DM256:DP256" si="441">SUM(DM252:DM255)</f>
        <v>0</v>
      </c>
      <c r="DN256" s="2012">
        <f t="shared" si="441"/>
        <v>0</v>
      </c>
      <c r="DO256" s="1695">
        <f t="shared" si="441"/>
        <v>0</v>
      </c>
      <c r="DP256" s="2012">
        <f t="shared" si="441"/>
        <v>0</v>
      </c>
      <c r="DQ256" s="968"/>
      <c r="DR256" s="1081" t="s">
        <v>1696</v>
      </c>
      <c r="DS256" s="1671">
        <f t="shared" ref="DS256:DV256" si="442">SUM(DS252:DS255)</f>
        <v>0</v>
      </c>
      <c r="DT256" s="1061">
        <f t="shared" si="442"/>
        <v>0</v>
      </c>
      <c r="DU256" s="1961">
        <f t="shared" si="442"/>
        <v>0</v>
      </c>
      <c r="DV256" s="1962">
        <f t="shared" si="442"/>
        <v>0</v>
      </c>
      <c r="DW256" s="968"/>
      <c r="DX256" s="1081" t="s">
        <v>1696</v>
      </c>
      <c r="DY256" s="1671">
        <f t="shared" ref="DY256:ED256" si="443">SUM(DY252:DY255)</f>
        <v>0</v>
      </c>
      <c r="DZ256" s="1061">
        <f t="shared" si="443"/>
        <v>0</v>
      </c>
      <c r="EA256" s="1961">
        <f t="shared" si="443"/>
        <v>0</v>
      </c>
      <c r="EB256" s="1962">
        <f t="shared" si="443"/>
        <v>0</v>
      </c>
      <c r="EC256" s="1695">
        <f t="shared" si="443"/>
        <v>0</v>
      </c>
      <c r="ED256" s="2012">
        <f t="shared" si="443"/>
        <v>0</v>
      </c>
      <c r="EE256" s="968"/>
      <c r="EF256" s="1081" t="s">
        <v>1696</v>
      </c>
      <c r="EG256" s="1695">
        <f t="shared" ref="EG256:EO256" si="444">SUM(EG252:EG255)</f>
        <v>0</v>
      </c>
      <c r="EH256" s="2012">
        <f t="shared" si="444"/>
        <v>0</v>
      </c>
      <c r="EI256" s="1671">
        <f t="shared" si="444"/>
        <v>0</v>
      </c>
      <c r="EJ256" s="1061">
        <f t="shared" si="444"/>
        <v>0</v>
      </c>
      <c r="EK256" s="1961">
        <f t="shared" si="444"/>
        <v>0</v>
      </c>
      <c r="EL256" s="1962">
        <f t="shared" si="444"/>
        <v>0</v>
      </c>
      <c r="EM256" s="1962">
        <f t="shared" si="444"/>
        <v>0</v>
      </c>
      <c r="EN256" s="1962">
        <f t="shared" si="444"/>
        <v>0</v>
      </c>
      <c r="EO256" s="1962">
        <f t="shared" si="444"/>
        <v>0</v>
      </c>
      <c r="EP256" s="1962">
        <f t="shared" si="240"/>
        <v>0</v>
      </c>
      <c r="EQ256" s="1707">
        <f t="shared" si="430"/>
        <v>0</v>
      </c>
      <c r="ER256" s="1786">
        <f t="shared" si="431"/>
        <v>0</v>
      </c>
      <c r="ES256" s="1786">
        <f t="shared" si="432"/>
        <v>0</v>
      </c>
      <c r="ET256" s="1061">
        <f t="shared" si="241"/>
        <v>0</v>
      </c>
    </row>
    <row r="257" spans="1:150" ht="19.95" customHeight="1" x14ac:dyDescent="0.25">
      <c r="A257" s="1139"/>
      <c r="B257" s="1140" t="s">
        <v>1697</v>
      </c>
      <c r="C257" s="1673"/>
      <c r="D257" s="1141"/>
      <c r="E257" s="1963"/>
      <c r="F257" s="1964"/>
      <c r="G257" s="1142"/>
      <c r="H257" s="2013"/>
      <c r="I257" s="1142"/>
      <c r="J257" s="2013"/>
      <c r="K257" s="1142"/>
      <c r="L257" s="2041"/>
      <c r="M257" s="1139"/>
      <c r="N257" s="1140" t="s">
        <v>1697</v>
      </c>
      <c r="O257" s="1142"/>
      <c r="P257" s="2041"/>
      <c r="Q257" s="1673"/>
      <c r="R257" s="1141"/>
      <c r="S257" s="1963"/>
      <c r="T257" s="1964"/>
      <c r="U257" s="1673"/>
      <c r="V257" s="1141"/>
      <c r="W257" s="1963"/>
      <c r="X257" s="1964"/>
      <c r="Y257" s="1673"/>
      <c r="Z257" s="1141"/>
      <c r="AA257" s="2077"/>
      <c r="AB257" s="1964"/>
      <c r="AC257" s="1143"/>
      <c r="AD257" s="1140" t="s">
        <v>1697</v>
      </c>
      <c r="AE257" s="1673"/>
      <c r="AF257" s="1141"/>
      <c r="AG257" s="1963"/>
      <c r="AH257" s="1964"/>
      <c r="AI257" s="1673"/>
      <c r="AJ257" s="1141"/>
      <c r="AK257" s="1963"/>
      <c r="AL257" s="1964"/>
      <c r="AM257" s="1142"/>
      <c r="AN257" s="2041"/>
      <c r="AO257" s="1884"/>
      <c r="AP257" s="1145"/>
      <c r="AQ257" s="1146"/>
      <c r="AR257" s="2129"/>
      <c r="AS257" s="2130"/>
      <c r="AT257" s="2129"/>
      <c r="AU257" s="1673"/>
      <c r="AV257" s="1141"/>
      <c r="AW257" s="1963"/>
      <c r="AX257" s="1964"/>
      <c r="AY257" s="1139"/>
      <c r="AZ257" s="1140" t="s">
        <v>1697</v>
      </c>
      <c r="BA257" s="1673"/>
      <c r="BB257" s="1141"/>
      <c r="BC257" s="1963"/>
      <c r="BD257" s="1964"/>
      <c r="BE257" s="1139"/>
      <c r="BF257" s="1140" t="s">
        <v>1697</v>
      </c>
      <c r="BG257" s="1673"/>
      <c r="BH257" s="1141"/>
      <c r="BI257" s="1963"/>
      <c r="BJ257" s="1964"/>
      <c r="BK257" s="1673"/>
      <c r="BL257" s="1141"/>
      <c r="BM257" s="1963"/>
      <c r="BN257" s="1964"/>
      <c r="BO257" s="1142"/>
      <c r="BP257" s="2013"/>
      <c r="BQ257" s="1142"/>
      <c r="BR257" s="2041"/>
      <c r="BS257" s="1673"/>
      <c r="BT257" s="1141"/>
      <c r="BU257" s="1963"/>
      <c r="BV257" s="1964"/>
      <c r="BW257" s="1142"/>
      <c r="BX257" s="2041"/>
      <c r="BY257" s="1673"/>
      <c r="BZ257" s="1141"/>
      <c r="CA257" s="1963"/>
      <c r="CB257" s="1964"/>
      <c r="CC257" s="1764"/>
      <c r="CD257" s="2178"/>
      <c r="CE257" s="1031"/>
      <c r="CF257" s="1147"/>
      <c r="CG257" s="1673"/>
      <c r="CH257" s="1141"/>
      <c r="CI257" s="1963"/>
      <c r="CJ257" s="1964"/>
      <c r="CK257" s="1139"/>
      <c r="CL257" s="1140" t="s">
        <v>1697</v>
      </c>
      <c r="CM257" s="1673"/>
      <c r="CN257" s="1141"/>
      <c r="CO257" s="1963"/>
      <c r="CP257" s="1964"/>
      <c r="CQ257" s="1673"/>
      <c r="CR257" s="1141"/>
      <c r="CS257" s="1963"/>
      <c r="CT257" s="1964"/>
      <c r="CU257" s="1673"/>
      <c r="CV257" s="1141"/>
      <c r="CW257" s="1963"/>
      <c r="CX257" s="1964"/>
      <c r="CY257" s="1673"/>
      <c r="CZ257" s="1141"/>
      <c r="DA257" s="1963"/>
      <c r="DB257" s="1964"/>
      <c r="DC257" s="1142"/>
      <c r="DD257" s="2041"/>
      <c r="DE257" s="1673"/>
      <c r="DF257" s="1141"/>
      <c r="DG257" s="1963"/>
      <c r="DH257" s="1964"/>
      <c r="DI257" s="1143"/>
      <c r="DJ257" s="1140" t="s">
        <v>1697</v>
      </c>
      <c r="DK257" s="1142"/>
      <c r="DL257" s="2013"/>
      <c r="DM257" s="1142"/>
      <c r="DN257" s="2013"/>
      <c r="DO257" s="1142"/>
      <c r="DP257" s="2041"/>
      <c r="DQ257" s="1139"/>
      <c r="DR257" s="1148" t="s">
        <v>1697</v>
      </c>
      <c r="DS257" s="1673"/>
      <c r="DT257" s="1141"/>
      <c r="DU257" s="1963"/>
      <c r="DV257" s="1964"/>
      <c r="DW257" s="1139"/>
      <c r="DX257" s="1140" t="s">
        <v>1697</v>
      </c>
      <c r="DY257" s="1673"/>
      <c r="DZ257" s="1141"/>
      <c r="EA257" s="1963"/>
      <c r="EB257" s="1964"/>
      <c r="EC257" s="1142"/>
      <c r="ED257" s="2041"/>
      <c r="EE257" s="1139"/>
      <c r="EF257" s="1140" t="s">
        <v>1697</v>
      </c>
      <c r="EG257" s="1142"/>
      <c r="EH257" s="2041"/>
      <c r="EI257" s="1673"/>
      <c r="EJ257" s="1141"/>
      <c r="EK257" s="2235"/>
      <c r="EL257" s="1964"/>
      <c r="EM257" s="2234"/>
      <c r="EN257" s="1596"/>
      <c r="EO257" s="1596"/>
      <c r="EP257" s="1596">
        <f t="shared" si="240"/>
        <v>0</v>
      </c>
      <c r="EQ257" s="1729">
        <f t="shared" si="430"/>
        <v>0</v>
      </c>
      <c r="ER257" s="1797">
        <f t="shared" si="431"/>
        <v>0</v>
      </c>
      <c r="ES257" s="1797">
        <f t="shared" si="432"/>
        <v>0</v>
      </c>
      <c r="ET257" s="1798">
        <f t="shared" si="241"/>
        <v>0</v>
      </c>
    </row>
    <row r="258" spans="1:150" ht="26.4" x14ac:dyDescent="0.25">
      <c r="A258" s="952">
        <v>1</v>
      </c>
      <c r="B258" s="1149"/>
      <c r="C258" s="1672"/>
      <c r="D258" s="1634"/>
      <c r="E258" s="1958"/>
      <c r="F258" s="1959"/>
      <c r="G258" s="1696"/>
      <c r="H258" s="2010"/>
      <c r="I258" s="1696"/>
      <c r="J258" s="2010"/>
      <c r="K258" s="1696"/>
      <c r="L258" s="2040"/>
      <c r="M258" s="952">
        <v>1</v>
      </c>
      <c r="N258" s="1135"/>
      <c r="O258" s="1696"/>
      <c r="P258" s="2040"/>
      <c r="Q258" s="1672"/>
      <c r="R258" s="1634"/>
      <c r="S258" s="1958"/>
      <c r="T258" s="1959"/>
      <c r="U258" s="1672"/>
      <c r="V258" s="1634"/>
      <c r="W258" s="1958"/>
      <c r="X258" s="1959"/>
      <c r="Y258" s="1672"/>
      <c r="Z258" s="1634"/>
      <c r="AA258" s="2074"/>
      <c r="AB258" s="1959"/>
      <c r="AC258" s="955">
        <v>1</v>
      </c>
      <c r="AD258" s="1135" t="s">
        <v>1698</v>
      </c>
      <c r="AE258" s="1672"/>
      <c r="AF258" s="1634"/>
      <c r="AG258" s="1958"/>
      <c r="AH258" s="1959"/>
      <c r="AI258" s="1672"/>
      <c r="AJ258" s="1634"/>
      <c r="AK258" s="1958"/>
      <c r="AL258" s="1959"/>
      <c r="AM258" s="1696"/>
      <c r="AN258" s="2040"/>
      <c r="AO258" s="1879"/>
      <c r="AP258" s="1302">
        <v>6245</v>
      </c>
      <c r="AQ258" s="1728"/>
      <c r="AR258" s="2122"/>
      <c r="AS258" s="1552">
        <v>7411</v>
      </c>
      <c r="AT258" s="2122"/>
      <c r="AU258" s="1672"/>
      <c r="AV258" s="1634"/>
      <c r="AW258" s="1958"/>
      <c r="AX258" s="1959"/>
      <c r="AY258" s="952">
        <v>1</v>
      </c>
      <c r="AZ258" s="1135" t="s">
        <v>1548</v>
      </c>
      <c r="BA258" s="1841">
        <v>4000</v>
      </c>
      <c r="BB258" s="1634"/>
      <c r="BC258" s="1958">
        <v>4000</v>
      </c>
      <c r="BD258" s="1959"/>
      <c r="BE258" s="952">
        <v>1</v>
      </c>
      <c r="BF258" s="1149"/>
      <c r="BG258" s="1672"/>
      <c r="BH258" s="1634"/>
      <c r="BI258" s="1958"/>
      <c r="BJ258" s="1959"/>
      <c r="BK258" s="1672"/>
      <c r="BL258" s="1634"/>
      <c r="BM258" s="1958"/>
      <c r="BN258" s="1959"/>
      <c r="BO258" s="1696"/>
      <c r="BP258" s="2010"/>
      <c r="BQ258" s="1696"/>
      <c r="BR258" s="2040"/>
      <c r="BS258" s="1672"/>
      <c r="BT258" s="1634"/>
      <c r="BU258" s="1958"/>
      <c r="BV258" s="1959"/>
      <c r="BW258" s="1696"/>
      <c r="BX258" s="2040"/>
      <c r="BY258" s="1672"/>
      <c r="BZ258" s="1634"/>
      <c r="CA258" s="1958"/>
      <c r="CB258" s="1959"/>
      <c r="CC258" s="1750"/>
      <c r="CD258" s="2157"/>
      <c r="CE258" s="1002"/>
      <c r="CF258" s="1140" t="s">
        <v>1697</v>
      </c>
      <c r="CG258" s="1672"/>
      <c r="CH258" s="1634"/>
      <c r="CI258" s="1958"/>
      <c r="CJ258" s="1959"/>
      <c r="CK258" s="952">
        <v>1</v>
      </c>
      <c r="CL258" s="1149"/>
      <c r="CM258" s="1672"/>
      <c r="CN258" s="1634"/>
      <c r="CO258" s="1958"/>
      <c r="CP258" s="1959"/>
      <c r="CQ258" s="1672"/>
      <c r="CR258" s="1634"/>
      <c r="CS258" s="1958"/>
      <c r="CT258" s="1959"/>
      <c r="CU258" s="1672"/>
      <c r="CV258" s="1634"/>
      <c r="CW258" s="1958"/>
      <c r="CX258" s="1959"/>
      <c r="CY258" s="1672"/>
      <c r="CZ258" s="1634"/>
      <c r="DA258" s="1958"/>
      <c r="DB258" s="1959"/>
      <c r="DC258" s="1696"/>
      <c r="DD258" s="2040"/>
      <c r="DE258" s="1672"/>
      <c r="DF258" s="1634"/>
      <c r="DG258" s="1958"/>
      <c r="DH258" s="1959"/>
      <c r="DI258" s="955">
        <v>1</v>
      </c>
      <c r="DJ258" s="1149"/>
      <c r="DK258" s="1696"/>
      <c r="DL258" s="2010"/>
      <c r="DM258" s="1696"/>
      <c r="DN258" s="2010"/>
      <c r="DO258" s="1696"/>
      <c r="DP258" s="2040"/>
      <c r="DQ258" s="952">
        <v>1</v>
      </c>
      <c r="DR258" s="1150"/>
      <c r="DS258" s="1672"/>
      <c r="DT258" s="1634"/>
      <c r="DU258" s="1958"/>
      <c r="DV258" s="1959"/>
      <c r="DW258" s="952">
        <v>1</v>
      </c>
      <c r="DX258" s="1149"/>
      <c r="DY258" s="1672"/>
      <c r="DZ258" s="1634"/>
      <c r="EA258" s="1958"/>
      <c r="EB258" s="1959"/>
      <c r="EC258" s="1696"/>
      <c r="ED258" s="2040"/>
      <c r="EE258" s="952">
        <v>1</v>
      </c>
      <c r="EF258" s="1149"/>
      <c r="EG258" s="1696"/>
      <c r="EH258" s="2040"/>
      <c r="EI258" s="1672"/>
      <c r="EJ258" s="1634"/>
      <c r="EK258" s="2232"/>
      <c r="EL258" s="1959"/>
      <c r="EM258" s="2202">
        <f t="shared" ref="EM258:EM262" si="445">E258+S258+W258+AA258+AG258+AK258+AN258+AR258+AW258+BC258+BI258+BM258+BR258+BU258+CA258+CD258+CI258+CO258+CS258+CW258+DA258+DG258+DU258+EA258+EK258</f>
        <v>4000</v>
      </c>
      <c r="EN258" s="1585">
        <f t="shared" ref="EN258:EN262" si="446">F258+H258+J258+L258+P258+T258+X258+AB258+AH258+AL258+AS258+AX258+BD258+BJ258+BN258+BP258+BV258+BX258+CB258+CJ258+CP258+CT258+CX258+DB258+DD258+DH258+DN258+DP258+DV258+EB258+ED258+EH258+EL258+DL258</f>
        <v>7411</v>
      </c>
      <c r="EO258" s="1585">
        <f t="shared" ref="EO258:EO262" si="447">AQ258</f>
        <v>0</v>
      </c>
      <c r="EP258" s="1596">
        <f t="shared" si="240"/>
        <v>11411</v>
      </c>
      <c r="EQ258" s="1729">
        <f t="shared" si="430"/>
        <v>4000</v>
      </c>
      <c r="ER258" s="1797">
        <f t="shared" si="431"/>
        <v>6245</v>
      </c>
      <c r="ES258" s="1797">
        <f t="shared" si="432"/>
        <v>0</v>
      </c>
      <c r="ET258" s="1798">
        <f t="shared" si="241"/>
        <v>10245</v>
      </c>
    </row>
    <row r="259" spans="1:150" x14ac:dyDescent="0.25">
      <c r="A259" s="1139">
        <v>2</v>
      </c>
      <c r="B259" s="1151"/>
      <c r="C259" s="1657"/>
      <c r="D259" s="1034"/>
      <c r="E259" s="1928"/>
      <c r="F259" s="1929"/>
      <c r="G259" s="1152"/>
      <c r="H259" s="1993"/>
      <c r="I259" s="1152"/>
      <c r="J259" s="1993"/>
      <c r="K259" s="1152"/>
      <c r="L259" s="1975"/>
      <c r="M259" s="1139">
        <v>2</v>
      </c>
      <c r="N259" s="1151"/>
      <c r="O259" s="1152"/>
      <c r="P259" s="1975"/>
      <c r="Q259" s="1657"/>
      <c r="R259" s="1034"/>
      <c r="S259" s="1928"/>
      <c r="T259" s="1929"/>
      <c r="U259" s="1657"/>
      <c r="V259" s="1034"/>
      <c r="W259" s="1928"/>
      <c r="X259" s="1929"/>
      <c r="Y259" s="1657"/>
      <c r="Z259" s="1034"/>
      <c r="AA259" s="2062"/>
      <c r="AB259" s="1929"/>
      <c r="AC259" s="1143">
        <v>2</v>
      </c>
      <c r="AD259" s="1151" t="s">
        <v>1699</v>
      </c>
      <c r="AE259" s="1657"/>
      <c r="AF259" s="1034"/>
      <c r="AG259" s="1928"/>
      <c r="AH259" s="1929"/>
      <c r="AI259" s="1657"/>
      <c r="AJ259" s="1034"/>
      <c r="AK259" s="1928"/>
      <c r="AL259" s="1929"/>
      <c r="AM259" s="1152"/>
      <c r="AN259" s="1975"/>
      <c r="AO259" s="1702"/>
      <c r="AP259" s="1145">
        <v>2222</v>
      </c>
      <c r="AQ259" s="1155"/>
      <c r="AR259" s="2098"/>
      <c r="AS259" s="1421">
        <v>2468</v>
      </c>
      <c r="AT259" s="2098"/>
      <c r="AU259" s="1657"/>
      <c r="AV259" s="1034"/>
      <c r="AW259" s="1928"/>
      <c r="AX259" s="1929"/>
      <c r="AY259" s="1139">
        <v>2</v>
      </c>
      <c r="AZ259" s="1151"/>
      <c r="BA259" s="1657"/>
      <c r="BB259" s="1034"/>
      <c r="BC259" s="1928"/>
      <c r="BD259" s="1929"/>
      <c r="BE259" s="1139">
        <v>2</v>
      </c>
      <c r="BF259" s="1156"/>
      <c r="BG259" s="1657"/>
      <c r="BH259" s="1034"/>
      <c r="BI259" s="1928"/>
      <c r="BJ259" s="1929"/>
      <c r="BK259" s="1657"/>
      <c r="BL259" s="1034"/>
      <c r="BM259" s="1928"/>
      <c r="BN259" s="1929"/>
      <c r="BO259" s="1152"/>
      <c r="BP259" s="1993"/>
      <c r="BQ259" s="1152"/>
      <c r="BR259" s="1975"/>
      <c r="BS259" s="1657"/>
      <c r="BT259" s="1034"/>
      <c r="BU259" s="1928"/>
      <c r="BV259" s="1929"/>
      <c r="BW259" s="1152"/>
      <c r="BX259" s="1975"/>
      <c r="BY259" s="1657"/>
      <c r="BZ259" s="1034"/>
      <c r="CA259" s="1928"/>
      <c r="CB259" s="1929"/>
      <c r="CC259" s="1749"/>
      <c r="CD259" s="2156"/>
      <c r="CE259" s="952">
        <v>1</v>
      </c>
      <c r="CF259" s="1149"/>
      <c r="CG259" s="1657"/>
      <c r="CH259" s="1034"/>
      <c r="CI259" s="1928"/>
      <c r="CJ259" s="1929"/>
      <c r="CK259" s="1139">
        <v>2</v>
      </c>
      <c r="CL259" s="1151"/>
      <c r="CM259" s="1657"/>
      <c r="CN259" s="1034"/>
      <c r="CO259" s="1928"/>
      <c r="CP259" s="1929"/>
      <c r="CQ259" s="1657"/>
      <c r="CR259" s="1034"/>
      <c r="CS259" s="1928"/>
      <c r="CT259" s="1929"/>
      <c r="CU259" s="1657"/>
      <c r="CV259" s="1034"/>
      <c r="CW259" s="1928"/>
      <c r="CX259" s="1929"/>
      <c r="CY259" s="1657"/>
      <c r="CZ259" s="1034"/>
      <c r="DA259" s="1928"/>
      <c r="DB259" s="1929"/>
      <c r="DC259" s="1152"/>
      <c r="DD259" s="1975"/>
      <c r="DE259" s="1657"/>
      <c r="DF259" s="1034"/>
      <c r="DG259" s="1928"/>
      <c r="DH259" s="1929"/>
      <c r="DI259" s="1143">
        <v>2</v>
      </c>
      <c r="DJ259" s="1156"/>
      <c r="DK259" s="1152"/>
      <c r="DL259" s="1993"/>
      <c r="DM259" s="1152"/>
      <c r="DN259" s="1993"/>
      <c r="DO259" s="1152"/>
      <c r="DP259" s="1975"/>
      <c r="DQ259" s="1139">
        <v>2</v>
      </c>
      <c r="DR259" s="1157"/>
      <c r="DS259" s="1657"/>
      <c r="DT259" s="1034"/>
      <c r="DU259" s="1928"/>
      <c r="DV259" s="1929"/>
      <c r="DW259" s="1139">
        <v>2</v>
      </c>
      <c r="DX259" s="1156"/>
      <c r="DY259" s="1657"/>
      <c r="DZ259" s="1034"/>
      <c r="EA259" s="1928"/>
      <c r="EB259" s="1929"/>
      <c r="EC259" s="1152"/>
      <c r="ED259" s="1975"/>
      <c r="EE259" s="1139">
        <v>2</v>
      </c>
      <c r="EF259" s="1151"/>
      <c r="EG259" s="1152"/>
      <c r="EH259" s="1975"/>
      <c r="EI259" s="1657"/>
      <c r="EJ259" s="1034"/>
      <c r="EK259" s="2215"/>
      <c r="EL259" s="1929"/>
      <c r="EM259" s="2202">
        <f t="shared" si="445"/>
        <v>0</v>
      </c>
      <c r="EN259" s="1585">
        <f t="shared" si="446"/>
        <v>2468</v>
      </c>
      <c r="EO259" s="1585">
        <f t="shared" si="447"/>
        <v>0</v>
      </c>
      <c r="EP259" s="2236">
        <f t="shared" si="240"/>
        <v>2468</v>
      </c>
      <c r="EQ259" s="1144">
        <f t="shared" si="430"/>
        <v>0</v>
      </c>
      <c r="ER259" s="1799">
        <f t="shared" si="431"/>
        <v>2222</v>
      </c>
      <c r="ES259" s="1799">
        <f t="shared" si="432"/>
        <v>0</v>
      </c>
      <c r="ET259" s="1158">
        <f t="shared" si="241"/>
        <v>2222</v>
      </c>
    </row>
    <row r="260" spans="1:150" x14ac:dyDescent="0.25">
      <c r="A260" s="952">
        <v>3</v>
      </c>
      <c r="B260" s="1149"/>
      <c r="C260" s="1672"/>
      <c r="D260" s="1634"/>
      <c r="E260" s="1958"/>
      <c r="F260" s="1959"/>
      <c r="G260" s="1696"/>
      <c r="H260" s="2010"/>
      <c r="I260" s="1696"/>
      <c r="J260" s="2010"/>
      <c r="K260" s="1696"/>
      <c r="L260" s="2040"/>
      <c r="M260" s="952">
        <v>3</v>
      </c>
      <c r="N260" s="1149"/>
      <c r="O260" s="1696"/>
      <c r="P260" s="2040"/>
      <c r="Q260" s="1672"/>
      <c r="R260" s="1634"/>
      <c r="S260" s="1958"/>
      <c r="T260" s="1959"/>
      <c r="U260" s="1672"/>
      <c r="V260" s="1634"/>
      <c r="W260" s="1958"/>
      <c r="X260" s="1959"/>
      <c r="Y260" s="1672"/>
      <c r="Z260" s="1634"/>
      <c r="AA260" s="2074"/>
      <c r="AB260" s="1959"/>
      <c r="AC260" s="955">
        <v>3</v>
      </c>
      <c r="AD260" s="1149" t="s">
        <v>2201</v>
      </c>
      <c r="AE260" s="1672"/>
      <c r="AF260" s="1634"/>
      <c r="AG260" s="1958"/>
      <c r="AH260" s="1959"/>
      <c r="AI260" s="1672"/>
      <c r="AJ260" s="1634"/>
      <c r="AK260" s="1958"/>
      <c r="AL260" s="1959"/>
      <c r="AM260" s="1696"/>
      <c r="AN260" s="2040"/>
      <c r="AO260" s="1879"/>
      <c r="AP260" s="1262"/>
      <c r="AQ260" s="1728"/>
      <c r="AR260" s="2122">
        <v>698</v>
      </c>
      <c r="AS260" s="1552"/>
      <c r="AT260" s="2122"/>
      <c r="AU260" s="1672"/>
      <c r="AV260" s="1634"/>
      <c r="AW260" s="1958"/>
      <c r="AX260" s="1959"/>
      <c r="AY260" s="952">
        <v>3</v>
      </c>
      <c r="AZ260" s="1149"/>
      <c r="BA260" s="1672"/>
      <c r="BB260" s="1634"/>
      <c r="BC260" s="1958"/>
      <c r="BD260" s="1959"/>
      <c r="BE260" s="952">
        <v>3</v>
      </c>
      <c r="BF260" s="1135"/>
      <c r="BG260" s="1672"/>
      <c r="BH260" s="1634"/>
      <c r="BI260" s="1958"/>
      <c r="BJ260" s="1959"/>
      <c r="BK260" s="1672"/>
      <c r="BL260" s="1634"/>
      <c r="BM260" s="1958"/>
      <c r="BN260" s="1959"/>
      <c r="BO260" s="1696"/>
      <c r="BP260" s="2010"/>
      <c r="BQ260" s="1696"/>
      <c r="BR260" s="2040"/>
      <c r="BS260" s="1672"/>
      <c r="BT260" s="1634"/>
      <c r="BU260" s="1958"/>
      <c r="BV260" s="1959"/>
      <c r="BW260" s="1696"/>
      <c r="BX260" s="2040"/>
      <c r="BY260" s="1672"/>
      <c r="BZ260" s="1634"/>
      <c r="CA260" s="1958"/>
      <c r="CB260" s="1959"/>
      <c r="CC260" s="1749"/>
      <c r="CD260" s="2156"/>
      <c r="CE260" s="1139">
        <v>2</v>
      </c>
      <c r="CF260" s="1151"/>
      <c r="CG260" s="1672"/>
      <c r="CH260" s="1634"/>
      <c r="CI260" s="1958"/>
      <c r="CJ260" s="1959"/>
      <c r="CK260" s="952"/>
      <c r="CL260" s="961"/>
      <c r="CM260" s="1672"/>
      <c r="CN260" s="1634"/>
      <c r="CO260" s="1958"/>
      <c r="CP260" s="1959"/>
      <c r="CQ260" s="1672"/>
      <c r="CR260" s="1634"/>
      <c r="CS260" s="1958"/>
      <c r="CT260" s="1959"/>
      <c r="CU260" s="1672"/>
      <c r="CV260" s="1634"/>
      <c r="CW260" s="1958"/>
      <c r="CX260" s="1959"/>
      <c r="CY260" s="1672"/>
      <c r="CZ260" s="1634"/>
      <c r="DA260" s="1958"/>
      <c r="DB260" s="1959"/>
      <c r="DC260" s="1696"/>
      <c r="DD260" s="2040"/>
      <c r="DE260" s="1672"/>
      <c r="DF260" s="1634"/>
      <c r="DG260" s="1958"/>
      <c r="DH260" s="1959"/>
      <c r="DI260" s="955">
        <v>3</v>
      </c>
      <c r="DJ260" s="1135"/>
      <c r="DK260" s="1696"/>
      <c r="DL260" s="2010"/>
      <c r="DM260" s="1696"/>
      <c r="DN260" s="2010"/>
      <c r="DO260" s="1696"/>
      <c r="DP260" s="2040"/>
      <c r="DQ260" s="952">
        <v>3</v>
      </c>
      <c r="DR260" s="1150"/>
      <c r="DS260" s="1672"/>
      <c r="DT260" s="1634"/>
      <c r="DU260" s="1958"/>
      <c r="DV260" s="1959"/>
      <c r="DW260" s="952">
        <v>3</v>
      </c>
      <c r="DX260" s="1135"/>
      <c r="DY260" s="1672"/>
      <c r="DZ260" s="1634"/>
      <c r="EA260" s="1958"/>
      <c r="EB260" s="1959"/>
      <c r="EC260" s="1696"/>
      <c r="ED260" s="2040"/>
      <c r="EE260" s="952">
        <v>3</v>
      </c>
      <c r="EF260" s="1149"/>
      <c r="EG260" s="1696"/>
      <c r="EH260" s="2040"/>
      <c r="EI260" s="1672"/>
      <c r="EJ260" s="1634"/>
      <c r="EK260" s="2217"/>
      <c r="EL260" s="1931"/>
      <c r="EM260" s="2202">
        <f t="shared" si="445"/>
        <v>698</v>
      </c>
      <c r="EN260" s="1585">
        <f t="shared" si="446"/>
        <v>0</v>
      </c>
      <c r="EO260" s="1585">
        <f t="shared" si="447"/>
        <v>0</v>
      </c>
      <c r="EP260" s="1586">
        <f t="shared" si="240"/>
        <v>698</v>
      </c>
      <c r="EQ260" s="999">
        <f t="shared" si="430"/>
        <v>0</v>
      </c>
      <c r="ER260" s="1776">
        <f t="shared" si="431"/>
        <v>0</v>
      </c>
      <c r="ES260" s="1776">
        <f t="shared" si="432"/>
        <v>0</v>
      </c>
      <c r="ET260" s="1055">
        <f t="shared" si="241"/>
        <v>0</v>
      </c>
    </row>
    <row r="261" spans="1:150" x14ac:dyDescent="0.25">
      <c r="A261" s="952">
        <v>4</v>
      </c>
      <c r="B261" s="956"/>
      <c r="C261" s="1668"/>
      <c r="D261" s="979"/>
      <c r="E261" s="1920"/>
      <c r="F261" s="1921"/>
      <c r="G261" s="1684"/>
      <c r="H261" s="1991"/>
      <c r="I261" s="1684"/>
      <c r="J261" s="1991"/>
      <c r="K261" s="1684"/>
      <c r="L261" s="2027"/>
      <c r="M261" s="952">
        <v>4</v>
      </c>
      <c r="N261" s="956"/>
      <c r="O261" s="1684"/>
      <c r="P261" s="2027"/>
      <c r="Q261" s="1668"/>
      <c r="R261" s="979"/>
      <c r="S261" s="1920"/>
      <c r="T261" s="1921"/>
      <c r="U261" s="1668"/>
      <c r="V261" s="979"/>
      <c r="W261" s="1920"/>
      <c r="X261" s="1921"/>
      <c r="Y261" s="1668"/>
      <c r="Z261" s="979"/>
      <c r="AA261" s="2057"/>
      <c r="AB261" s="1921"/>
      <c r="AC261" s="955">
        <v>4</v>
      </c>
      <c r="AD261" s="956"/>
      <c r="AE261" s="1668"/>
      <c r="AF261" s="979"/>
      <c r="AG261" s="1920"/>
      <c r="AH261" s="1921"/>
      <c r="AI261" s="1668"/>
      <c r="AJ261" s="979"/>
      <c r="AK261" s="1920"/>
      <c r="AL261" s="1921"/>
      <c r="AM261" s="1684"/>
      <c r="AN261" s="2027"/>
      <c r="AO261" s="1665"/>
      <c r="AP261" s="1246"/>
      <c r="AQ261" s="1088"/>
      <c r="AR261" s="1947"/>
      <c r="AS261" s="1549"/>
      <c r="AT261" s="1947"/>
      <c r="AU261" s="1668"/>
      <c r="AV261" s="979"/>
      <c r="AW261" s="1920"/>
      <c r="AX261" s="1921"/>
      <c r="AY261" s="952">
        <v>4</v>
      </c>
      <c r="AZ261" s="956"/>
      <c r="BA261" s="1668"/>
      <c r="BB261" s="979"/>
      <c r="BC261" s="1920"/>
      <c r="BD261" s="1921"/>
      <c r="BE261" s="952">
        <v>4</v>
      </c>
      <c r="BF261" s="954"/>
      <c r="BG261" s="1668"/>
      <c r="BH261" s="979"/>
      <c r="BI261" s="1920"/>
      <c r="BJ261" s="1921"/>
      <c r="BK261" s="1668"/>
      <c r="BL261" s="979"/>
      <c r="BM261" s="1920"/>
      <c r="BN261" s="1921"/>
      <c r="BO261" s="1684"/>
      <c r="BP261" s="1991"/>
      <c r="BQ261" s="1684"/>
      <c r="BR261" s="2027"/>
      <c r="BS261" s="1668"/>
      <c r="BT261" s="979"/>
      <c r="BU261" s="1920"/>
      <c r="BV261" s="1921"/>
      <c r="BW261" s="1684"/>
      <c r="BX261" s="2027"/>
      <c r="BY261" s="1668"/>
      <c r="BZ261" s="979"/>
      <c r="CA261" s="1920"/>
      <c r="CB261" s="1921"/>
      <c r="CC261" s="1747"/>
      <c r="CD261" s="2154"/>
      <c r="CE261" s="952">
        <v>3</v>
      </c>
      <c r="CF261" s="1149"/>
      <c r="CG261" s="1668"/>
      <c r="CH261" s="979"/>
      <c r="CI261" s="2146"/>
      <c r="CJ261" s="1943"/>
      <c r="CK261" s="965"/>
      <c r="CL261" s="961"/>
      <c r="CM261" s="1668"/>
      <c r="CN261" s="979"/>
      <c r="CO261" s="1920"/>
      <c r="CP261" s="1921"/>
      <c r="CQ261" s="1668"/>
      <c r="CR261" s="979"/>
      <c r="CS261" s="1920"/>
      <c r="CT261" s="1921"/>
      <c r="CU261" s="1668"/>
      <c r="CV261" s="979"/>
      <c r="CW261" s="1920"/>
      <c r="CX261" s="1921"/>
      <c r="CY261" s="1668"/>
      <c r="CZ261" s="979"/>
      <c r="DA261" s="1920"/>
      <c r="DB261" s="1921"/>
      <c r="DC261" s="1684"/>
      <c r="DD261" s="2027"/>
      <c r="DE261" s="1668"/>
      <c r="DF261" s="979"/>
      <c r="DG261" s="1920"/>
      <c r="DH261" s="1921"/>
      <c r="DI261" s="955">
        <v>4</v>
      </c>
      <c r="DJ261" s="954"/>
      <c r="DK261" s="1684"/>
      <c r="DL261" s="1991"/>
      <c r="DM261" s="1684"/>
      <c r="DN261" s="1991"/>
      <c r="DO261" s="1684"/>
      <c r="DP261" s="2027"/>
      <c r="DQ261" s="952">
        <v>4</v>
      </c>
      <c r="DR261" s="958"/>
      <c r="DS261" s="1668"/>
      <c r="DT261" s="979"/>
      <c r="DU261" s="1920"/>
      <c r="DV261" s="1921"/>
      <c r="DW261" s="952">
        <v>4</v>
      </c>
      <c r="DY261" s="1668"/>
      <c r="DZ261" s="979"/>
      <c r="EA261" s="1920"/>
      <c r="EB261" s="1921"/>
      <c r="EC261" s="1684"/>
      <c r="ED261" s="2027"/>
      <c r="EE261" s="952">
        <v>4</v>
      </c>
      <c r="EF261" s="956"/>
      <c r="EG261" s="1684"/>
      <c r="EH261" s="2027"/>
      <c r="EI261" s="1668"/>
      <c r="EJ261" s="979"/>
      <c r="EK261" s="2237"/>
      <c r="EL261" s="1943"/>
      <c r="EM261" s="2202">
        <f t="shared" si="445"/>
        <v>0</v>
      </c>
      <c r="EN261" s="1585">
        <f t="shared" si="446"/>
        <v>0</v>
      </c>
      <c r="EO261" s="1585">
        <f t="shared" si="447"/>
        <v>0</v>
      </c>
      <c r="EP261" s="1586">
        <f t="shared" si="240"/>
        <v>0</v>
      </c>
      <c r="EQ261" s="999">
        <f t="shared" si="430"/>
        <v>0</v>
      </c>
      <c r="ER261" s="1776">
        <f t="shared" si="431"/>
        <v>0</v>
      </c>
      <c r="ES261" s="1776">
        <f t="shared" si="432"/>
        <v>0</v>
      </c>
      <c r="ET261" s="1055">
        <f t="shared" si="241"/>
        <v>0</v>
      </c>
    </row>
    <row r="262" spans="1:150" x14ac:dyDescent="0.25">
      <c r="A262" s="952"/>
      <c r="B262" s="961"/>
      <c r="C262" s="1651"/>
      <c r="D262" s="1026"/>
      <c r="E262" s="1912"/>
      <c r="F262" s="1913"/>
      <c r="G262" s="1680"/>
      <c r="H262" s="1986"/>
      <c r="I262" s="1680"/>
      <c r="J262" s="1986"/>
      <c r="K262" s="1680"/>
      <c r="L262" s="2023"/>
      <c r="M262" s="952"/>
      <c r="N262" s="961"/>
      <c r="O262" s="1680"/>
      <c r="P262" s="2023"/>
      <c r="Q262" s="1651"/>
      <c r="R262" s="1026"/>
      <c r="S262" s="1912"/>
      <c r="T262" s="1913"/>
      <c r="U262" s="1651"/>
      <c r="V262" s="1026"/>
      <c r="W262" s="1912"/>
      <c r="X262" s="1913"/>
      <c r="Y262" s="1651"/>
      <c r="Z262" s="1026"/>
      <c r="AA262" s="2054"/>
      <c r="AB262" s="1913"/>
      <c r="AC262" s="955"/>
      <c r="AD262" s="961"/>
      <c r="AE262" s="1651"/>
      <c r="AF262" s="1026"/>
      <c r="AG262" s="1912"/>
      <c r="AH262" s="1913"/>
      <c r="AI262" s="1651"/>
      <c r="AJ262" s="1026"/>
      <c r="AK262" s="1912"/>
      <c r="AL262" s="1913"/>
      <c r="AM262" s="1680"/>
      <c r="AN262" s="2023"/>
      <c r="AO262" s="1865"/>
      <c r="AP262" s="1000"/>
      <c r="AQ262" s="1001"/>
      <c r="AR262" s="2090"/>
      <c r="AS262" s="1545"/>
      <c r="AT262" s="2090"/>
      <c r="AU262" s="1651"/>
      <c r="AV262" s="1026"/>
      <c r="AW262" s="1912"/>
      <c r="AX262" s="1913"/>
      <c r="AY262" s="952"/>
      <c r="AZ262" s="961"/>
      <c r="BA262" s="1651"/>
      <c r="BB262" s="1026"/>
      <c r="BC262" s="1912"/>
      <c r="BD262" s="1913"/>
      <c r="BE262" s="965"/>
      <c r="BF262" s="959"/>
      <c r="BG262" s="1651"/>
      <c r="BH262" s="1026"/>
      <c r="BI262" s="1912"/>
      <c r="BJ262" s="1913"/>
      <c r="BK262" s="1651"/>
      <c r="BL262" s="1026"/>
      <c r="BM262" s="1912"/>
      <c r="BN262" s="1913"/>
      <c r="BO262" s="1680"/>
      <c r="BP262" s="1986"/>
      <c r="BQ262" s="1680"/>
      <c r="BR262" s="2023"/>
      <c r="BS262" s="1651"/>
      <c r="BT262" s="1026"/>
      <c r="BU262" s="1912"/>
      <c r="BV262" s="1913"/>
      <c r="BW262" s="1680"/>
      <c r="BX262" s="2023"/>
      <c r="BY262" s="1651"/>
      <c r="BZ262" s="1026"/>
      <c r="CA262" s="1912"/>
      <c r="CB262" s="1913"/>
      <c r="CC262" s="1765"/>
      <c r="CD262" s="2179"/>
      <c r="CE262" s="952">
        <v>4</v>
      </c>
      <c r="CF262" s="956"/>
      <c r="CG262" s="1651"/>
      <c r="CH262" s="1026"/>
      <c r="CI262" s="1912"/>
      <c r="CJ262" s="1913"/>
      <c r="CK262" s="965"/>
      <c r="CL262" s="961"/>
      <c r="CM262" s="1651"/>
      <c r="CN262" s="1026"/>
      <c r="CO262" s="1912"/>
      <c r="CP262" s="1913"/>
      <c r="CQ262" s="1651"/>
      <c r="CR262" s="1026"/>
      <c r="CS262" s="1912"/>
      <c r="CT262" s="1913"/>
      <c r="CU262" s="1651"/>
      <c r="CV262" s="1026"/>
      <c r="CW262" s="1912"/>
      <c r="CX262" s="1913"/>
      <c r="CY262" s="1651"/>
      <c r="CZ262" s="1026"/>
      <c r="DA262" s="1912"/>
      <c r="DB262" s="1913"/>
      <c r="DC262" s="1680"/>
      <c r="DD262" s="2023"/>
      <c r="DE262" s="1651"/>
      <c r="DF262" s="1026"/>
      <c r="DG262" s="1912"/>
      <c r="DH262" s="1913"/>
      <c r="DI262" s="955"/>
      <c r="DJ262" s="959"/>
      <c r="DK262" s="1680"/>
      <c r="DL262" s="1986"/>
      <c r="DM262" s="1680"/>
      <c r="DN262" s="1986"/>
      <c r="DO262" s="1680"/>
      <c r="DP262" s="2023">
        <f>'bevétel 11605 cím  '!B9</f>
        <v>0</v>
      </c>
      <c r="DQ262" s="952"/>
      <c r="DR262" s="1083"/>
      <c r="DS262" s="1651"/>
      <c r="DT262" s="1026"/>
      <c r="DU262" s="1912"/>
      <c r="DV262" s="1913"/>
      <c r="DW262" s="952"/>
      <c r="DX262" s="959"/>
      <c r="DY262" s="1651"/>
      <c r="DZ262" s="1026"/>
      <c r="EA262" s="1912"/>
      <c r="EB262" s="1913"/>
      <c r="EC262" s="1680"/>
      <c r="ED262" s="2023"/>
      <c r="EE262" s="952"/>
      <c r="EF262" s="961"/>
      <c r="EG262" s="1680"/>
      <c r="EH262" s="2023"/>
      <c r="EI262" s="1651"/>
      <c r="EJ262" s="1026"/>
      <c r="EK262" s="2204"/>
      <c r="EL262" s="1913"/>
      <c r="EM262" s="2202">
        <f t="shared" si="445"/>
        <v>0</v>
      </c>
      <c r="EN262" s="1585">
        <f t="shared" si="446"/>
        <v>0</v>
      </c>
      <c r="EO262" s="1585">
        <f t="shared" si="447"/>
        <v>0</v>
      </c>
      <c r="EP262" s="1586">
        <f t="shared" si="240"/>
        <v>0</v>
      </c>
      <c r="EQ262" s="999">
        <f t="shared" si="430"/>
        <v>0</v>
      </c>
      <c r="ER262" s="1776">
        <f t="shared" si="431"/>
        <v>0</v>
      </c>
      <c r="ES262" s="1776">
        <f t="shared" si="432"/>
        <v>0</v>
      </c>
      <c r="ET262" s="1055">
        <f t="shared" si="241"/>
        <v>0</v>
      </c>
    </row>
    <row r="263" spans="1:150" ht="30" customHeight="1" thickBot="1" x14ac:dyDescent="0.3">
      <c r="A263" s="968"/>
      <c r="B263" s="1040" t="s">
        <v>1700</v>
      </c>
      <c r="C263" s="1656">
        <f t="shared" ref="C263:L263" si="448">SUM(C257:C262)</f>
        <v>0</v>
      </c>
      <c r="D263" s="1642">
        <f t="shared" si="448"/>
        <v>0</v>
      </c>
      <c r="E263" s="1926">
        <f t="shared" si="448"/>
        <v>0</v>
      </c>
      <c r="F263" s="1927">
        <f t="shared" si="448"/>
        <v>0</v>
      </c>
      <c r="G263" s="1058">
        <f t="shared" si="448"/>
        <v>0</v>
      </c>
      <c r="H263" s="1992">
        <f t="shared" si="448"/>
        <v>0</v>
      </c>
      <c r="I263" s="1058">
        <f t="shared" si="448"/>
        <v>0</v>
      </c>
      <c r="J263" s="1992">
        <f t="shared" si="448"/>
        <v>0</v>
      </c>
      <c r="K263" s="1058">
        <f t="shared" si="448"/>
        <v>0</v>
      </c>
      <c r="L263" s="1992">
        <f t="shared" si="448"/>
        <v>0</v>
      </c>
      <c r="M263" s="968"/>
      <c r="N263" s="1040" t="s">
        <v>1700</v>
      </c>
      <c r="O263" s="1058">
        <f t="shared" ref="O263:AB263" si="449">SUM(O257:O262)</f>
        <v>0</v>
      </c>
      <c r="P263" s="1992">
        <f t="shared" si="449"/>
        <v>0</v>
      </c>
      <c r="Q263" s="1656">
        <f t="shared" si="449"/>
        <v>0</v>
      </c>
      <c r="R263" s="1642">
        <f t="shared" si="449"/>
        <v>0</v>
      </c>
      <c r="S263" s="1926">
        <f t="shared" si="449"/>
        <v>0</v>
      </c>
      <c r="T263" s="1927">
        <f t="shared" si="449"/>
        <v>0</v>
      </c>
      <c r="U263" s="1656">
        <f t="shared" si="449"/>
        <v>0</v>
      </c>
      <c r="V263" s="1642">
        <f t="shared" si="449"/>
        <v>0</v>
      </c>
      <c r="W263" s="1926">
        <f t="shared" si="449"/>
        <v>0</v>
      </c>
      <c r="X263" s="1927">
        <f t="shared" si="449"/>
        <v>0</v>
      </c>
      <c r="Y263" s="1656">
        <f t="shared" si="449"/>
        <v>0</v>
      </c>
      <c r="Z263" s="1642">
        <f t="shared" si="449"/>
        <v>0</v>
      </c>
      <c r="AA263" s="1926">
        <f t="shared" si="449"/>
        <v>0</v>
      </c>
      <c r="AB263" s="1927">
        <f t="shared" si="449"/>
        <v>0</v>
      </c>
      <c r="AC263" s="970"/>
      <c r="AD263" s="1040" t="s">
        <v>1700</v>
      </c>
      <c r="AE263" s="1656">
        <f t="shared" ref="AE263:AX263" si="450">SUM(AE257:AE262)</f>
        <v>0</v>
      </c>
      <c r="AF263" s="1642">
        <f t="shared" si="450"/>
        <v>0</v>
      </c>
      <c r="AG263" s="1926">
        <f t="shared" si="450"/>
        <v>0</v>
      </c>
      <c r="AH263" s="1927">
        <f t="shared" si="450"/>
        <v>0</v>
      </c>
      <c r="AI263" s="1656">
        <f t="shared" si="450"/>
        <v>0</v>
      </c>
      <c r="AJ263" s="1642">
        <f t="shared" si="450"/>
        <v>0</v>
      </c>
      <c r="AK263" s="1926">
        <f t="shared" si="450"/>
        <v>0</v>
      </c>
      <c r="AL263" s="1927">
        <f t="shared" si="450"/>
        <v>0</v>
      </c>
      <c r="AM263" s="1058">
        <f t="shared" si="450"/>
        <v>0</v>
      </c>
      <c r="AN263" s="1992">
        <f t="shared" si="450"/>
        <v>0</v>
      </c>
      <c r="AO263" s="1656">
        <f t="shared" si="450"/>
        <v>0</v>
      </c>
      <c r="AP263" s="1854">
        <f t="shared" si="450"/>
        <v>8467</v>
      </c>
      <c r="AQ263" s="1030">
        <f t="shared" si="450"/>
        <v>0</v>
      </c>
      <c r="AR263" s="1926">
        <f t="shared" si="450"/>
        <v>698</v>
      </c>
      <c r="AS263" s="2096">
        <f t="shared" si="450"/>
        <v>9879</v>
      </c>
      <c r="AT263" s="2097">
        <f t="shared" si="450"/>
        <v>0</v>
      </c>
      <c r="AU263" s="1656">
        <f t="shared" si="450"/>
        <v>0</v>
      </c>
      <c r="AV263" s="1642">
        <f t="shared" si="450"/>
        <v>0</v>
      </c>
      <c r="AW263" s="1926">
        <f t="shared" si="450"/>
        <v>0</v>
      </c>
      <c r="AX263" s="1927">
        <f t="shared" si="450"/>
        <v>0</v>
      </c>
      <c r="AY263" s="968"/>
      <c r="AZ263" s="1040" t="s">
        <v>1700</v>
      </c>
      <c r="BA263" s="1656">
        <f t="shared" ref="BA263:BD263" si="451">SUM(BA257:BA262)</f>
        <v>4000</v>
      </c>
      <c r="BB263" s="1642">
        <f t="shared" si="451"/>
        <v>0</v>
      </c>
      <c r="BC263" s="1926">
        <f t="shared" si="451"/>
        <v>4000</v>
      </c>
      <c r="BD263" s="1927">
        <f t="shared" si="451"/>
        <v>0</v>
      </c>
      <c r="BE263" s="968"/>
      <c r="BF263" s="1040" t="s">
        <v>1700</v>
      </c>
      <c r="BG263" s="1656">
        <f t="shared" ref="BG263:CD263" si="452">SUM(BG257:BG262)</f>
        <v>0</v>
      </c>
      <c r="BH263" s="1642">
        <f t="shared" si="452"/>
        <v>0</v>
      </c>
      <c r="BI263" s="1926">
        <f t="shared" si="452"/>
        <v>0</v>
      </c>
      <c r="BJ263" s="1927">
        <f t="shared" si="452"/>
        <v>0</v>
      </c>
      <c r="BK263" s="1656">
        <f t="shared" si="452"/>
        <v>0</v>
      </c>
      <c r="BL263" s="1642">
        <f t="shared" si="452"/>
        <v>0</v>
      </c>
      <c r="BM263" s="1926">
        <f t="shared" si="452"/>
        <v>0</v>
      </c>
      <c r="BN263" s="1927">
        <f t="shared" si="452"/>
        <v>0</v>
      </c>
      <c r="BO263" s="1058">
        <f t="shared" si="452"/>
        <v>0</v>
      </c>
      <c r="BP263" s="1992">
        <f t="shared" si="452"/>
        <v>0</v>
      </c>
      <c r="BQ263" s="1058">
        <f t="shared" si="452"/>
        <v>0</v>
      </c>
      <c r="BR263" s="1992">
        <f t="shared" si="452"/>
        <v>0</v>
      </c>
      <c r="BS263" s="1656">
        <f t="shared" si="452"/>
        <v>0</v>
      </c>
      <c r="BT263" s="1642">
        <f t="shared" si="452"/>
        <v>0</v>
      </c>
      <c r="BU263" s="1926">
        <f t="shared" si="452"/>
        <v>0</v>
      </c>
      <c r="BV263" s="1927">
        <f t="shared" si="452"/>
        <v>0</v>
      </c>
      <c r="BW263" s="1058">
        <f t="shared" si="452"/>
        <v>0</v>
      </c>
      <c r="BX263" s="1992">
        <f t="shared" si="452"/>
        <v>0</v>
      </c>
      <c r="BY263" s="1656">
        <f t="shared" si="452"/>
        <v>0</v>
      </c>
      <c r="BZ263" s="1642">
        <f t="shared" si="452"/>
        <v>0</v>
      </c>
      <c r="CA263" s="1926">
        <f t="shared" si="452"/>
        <v>0</v>
      </c>
      <c r="CB263" s="1927">
        <f t="shared" si="452"/>
        <v>0</v>
      </c>
      <c r="CC263" s="1705">
        <f t="shared" si="452"/>
        <v>0</v>
      </c>
      <c r="CD263" s="2159">
        <f t="shared" si="452"/>
        <v>0</v>
      </c>
      <c r="CE263" s="968"/>
      <c r="CF263" s="1040" t="s">
        <v>1700</v>
      </c>
      <c r="CG263" s="1656">
        <f t="shared" ref="CG263:CJ263" si="453">SUM(CG257:CG262)</f>
        <v>0</v>
      </c>
      <c r="CH263" s="1642">
        <f t="shared" si="453"/>
        <v>0</v>
      </c>
      <c r="CI263" s="1926">
        <f t="shared" si="453"/>
        <v>0</v>
      </c>
      <c r="CJ263" s="1927">
        <f t="shared" si="453"/>
        <v>0</v>
      </c>
      <c r="CK263" s="968"/>
      <c r="CL263" s="1040" t="s">
        <v>1700</v>
      </c>
      <c r="CM263" s="1656">
        <f t="shared" ref="CM263:DH263" si="454">SUM(CM257:CM262)</f>
        <v>0</v>
      </c>
      <c r="CN263" s="1642">
        <f t="shared" si="454"/>
        <v>0</v>
      </c>
      <c r="CO263" s="1926">
        <f t="shared" si="454"/>
        <v>0</v>
      </c>
      <c r="CP263" s="1927">
        <f t="shared" si="454"/>
        <v>0</v>
      </c>
      <c r="CQ263" s="1656">
        <f t="shared" si="454"/>
        <v>0</v>
      </c>
      <c r="CR263" s="1642">
        <f t="shared" si="454"/>
        <v>0</v>
      </c>
      <c r="CS263" s="1926">
        <f t="shared" si="454"/>
        <v>0</v>
      </c>
      <c r="CT263" s="1927">
        <f t="shared" si="454"/>
        <v>0</v>
      </c>
      <c r="CU263" s="1656">
        <f t="shared" si="454"/>
        <v>0</v>
      </c>
      <c r="CV263" s="1642">
        <f t="shared" si="454"/>
        <v>0</v>
      </c>
      <c r="CW263" s="1926">
        <f t="shared" si="454"/>
        <v>0</v>
      </c>
      <c r="CX263" s="1927">
        <f t="shared" si="454"/>
        <v>0</v>
      </c>
      <c r="CY263" s="1656">
        <f t="shared" si="454"/>
        <v>0</v>
      </c>
      <c r="CZ263" s="1642">
        <f t="shared" si="454"/>
        <v>0</v>
      </c>
      <c r="DA263" s="1926">
        <f t="shared" si="454"/>
        <v>0</v>
      </c>
      <c r="DB263" s="1927">
        <f t="shared" si="454"/>
        <v>0</v>
      </c>
      <c r="DC263" s="1058">
        <f t="shared" si="454"/>
        <v>0</v>
      </c>
      <c r="DD263" s="1992">
        <f t="shared" si="454"/>
        <v>0</v>
      </c>
      <c r="DE263" s="1656">
        <f t="shared" si="454"/>
        <v>0</v>
      </c>
      <c r="DF263" s="1642">
        <f t="shared" si="454"/>
        <v>0</v>
      </c>
      <c r="DG263" s="1926">
        <f t="shared" si="454"/>
        <v>0</v>
      </c>
      <c r="DH263" s="1927">
        <f t="shared" si="454"/>
        <v>0</v>
      </c>
      <c r="DI263" s="970"/>
      <c r="DJ263" s="1040" t="s">
        <v>1700</v>
      </c>
      <c r="DK263" s="1058">
        <f t="shared" ref="DK263:DL263" si="455">SUM(DK257:DK262)</f>
        <v>0</v>
      </c>
      <c r="DL263" s="1992">
        <f t="shared" si="455"/>
        <v>0</v>
      </c>
      <c r="DM263" s="1058">
        <f t="shared" ref="DM263:DP263" si="456">SUM(DM257:DM262)</f>
        <v>0</v>
      </c>
      <c r="DN263" s="1992">
        <f t="shared" si="456"/>
        <v>0</v>
      </c>
      <c r="DO263" s="1058">
        <f t="shared" si="456"/>
        <v>0</v>
      </c>
      <c r="DP263" s="1992">
        <f t="shared" si="456"/>
        <v>0</v>
      </c>
      <c r="DQ263" s="968"/>
      <c r="DR263" s="1042" t="s">
        <v>1700</v>
      </c>
      <c r="DS263" s="1656">
        <f t="shared" ref="DS263:DV263" si="457">SUM(DS257:DS262)</f>
        <v>0</v>
      </c>
      <c r="DT263" s="1642">
        <f t="shared" si="457"/>
        <v>0</v>
      </c>
      <c r="DU263" s="1926">
        <f t="shared" si="457"/>
        <v>0</v>
      </c>
      <c r="DV263" s="1927">
        <f t="shared" si="457"/>
        <v>0</v>
      </c>
      <c r="DW263" s="968"/>
      <c r="DX263" s="1040" t="s">
        <v>1700</v>
      </c>
      <c r="DY263" s="1656">
        <f>SUM(DY257:DY262)</f>
        <v>0</v>
      </c>
      <c r="DZ263" s="1642">
        <f>SUM(DZ257:DZ262)</f>
        <v>0</v>
      </c>
      <c r="EA263" s="1926">
        <f>SUM(EA257:EA262)</f>
        <v>0</v>
      </c>
      <c r="EB263" s="1927">
        <f>SUM(EB257:EB262)</f>
        <v>0</v>
      </c>
      <c r="EC263" s="1058">
        <f t="shared" ref="EC263:ED263" si="458">SUM(EC257:EC262)</f>
        <v>0</v>
      </c>
      <c r="ED263" s="1992">
        <f t="shared" si="458"/>
        <v>0</v>
      </c>
      <c r="EE263" s="968"/>
      <c r="EF263" s="1040" t="s">
        <v>1700</v>
      </c>
      <c r="EG263" s="1058">
        <f t="shared" ref="EG263:EO263" si="459">SUM(EG257:EG262)</f>
        <v>0</v>
      </c>
      <c r="EH263" s="1992">
        <f t="shared" si="459"/>
        <v>0</v>
      </c>
      <c r="EI263" s="1656">
        <f t="shared" si="459"/>
        <v>0</v>
      </c>
      <c r="EJ263" s="1642">
        <f t="shared" si="459"/>
        <v>0</v>
      </c>
      <c r="EK263" s="1926">
        <f t="shared" si="459"/>
        <v>0</v>
      </c>
      <c r="EL263" s="1927">
        <f t="shared" si="459"/>
        <v>0</v>
      </c>
      <c r="EM263" s="1927">
        <f t="shared" si="459"/>
        <v>4698</v>
      </c>
      <c r="EN263" s="1927">
        <f t="shared" si="459"/>
        <v>9879</v>
      </c>
      <c r="EO263" s="1927">
        <f t="shared" si="459"/>
        <v>0</v>
      </c>
      <c r="EP263" s="1962">
        <f t="shared" ref="EP263" si="460">SUM(EM263:EO263)</f>
        <v>14577</v>
      </c>
      <c r="EQ263" s="1707">
        <f>SUM(C263+Q263+U263+Y263+AE263+AI263+AM263+AO263+AU263+BA263+BG263+BK263+BQ263+BS263+CC263+CG263+CM263+CQ263+CU263+CY263+DE263+DS263+DY263+EI263)</f>
        <v>4000</v>
      </c>
      <c r="ER263" s="1786">
        <f>SUM(D263+I263+K263+O263+R263+V263+Z263+AF263+AJ263+AP263+AV263+BB263+BH263+BL263+BO263+BT263+BW263+CH263+CN263+CR263+CV263+CZ263+DC263+DF263+DM263+DO263+DT263+DZ263+EC263+EG263+EJ263+G263)</f>
        <v>8467</v>
      </c>
      <c r="ES263" s="1786">
        <f t="shared" si="432"/>
        <v>0</v>
      </c>
      <c r="ET263" s="1061">
        <f t="shared" si="241"/>
        <v>12467</v>
      </c>
    </row>
    <row r="264" spans="1:150" ht="19.95" customHeight="1" x14ac:dyDescent="0.25">
      <c r="A264" s="1031"/>
      <c r="B264" s="949" t="s">
        <v>131</v>
      </c>
      <c r="C264" s="1674"/>
      <c r="D264" s="1635"/>
      <c r="E264" s="1965"/>
      <c r="F264" s="1966"/>
      <c r="G264" s="1697"/>
      <c r="H264" s="2014"/>
      <c r="I264" s="1697"/>
      <c r="J264" s="2014"/>
      <c r="K264" s="1697"/>
      <c r="L264" s="2042"/>
      <c r="M264" s="1031"/>
      <c r="N264" s="949" t="s">
        <v>131</v>
      </c>
      <c r="O264" s="1697"/>
      <c r="P264" s="2042"/>
      <c r="Q264" s="1674"/>
      <c r="R264" s="1635"/>
      <c r="S264" s="1965"/>
      <c r="T264" s="1966"/>
      <c r="U264" s="1674"/>
      <c r="V264" s="1635"/>
      <c r="W264" s="1965"/>
      <c r="X264" s="1966"/>
      <c r="Y264" s="1674"/>
      <c r="Z264" s="1635"/>
      <c r="AA264" s="2078"/>
      <c r="AB264" s="1966"/>
      <c r="AC264" s="1033"/>
      <c r="AD264" s="949" t="s">
        <v>131</v>
      </c>
      <c r="AE264" s="1674"/>
      <c r="AF264" s="1635"/>
      <c r="AG264" s="1965"/>
      <c r="AH264" s="1966"/>
      <c r="AI264" s="1674"/>
      <c r="AJ264" s="1635"/>
      <c r="AK264" s="1965"/>
      <c r="AL264" s="1966"/>
      <c r="AM264" s="1697"/>
      <c r="AN264" s="2042"/>
      <c r="AO264" s="1885"/>
      <c r="AP264" s="1732"/>
      <c r="AQ264" s="1733"/>
      <c r="AR264" s="2131"/>
      <c r="AS264" s="2132"/>
      <c r="AT264" s="2131"/>
      <c r="AU264" s="1674"/>
      <c r="AV264" s="1635"/>
      <c r="AW264" s="1965"/>
      <c r="AX264" s="1966"/>
      <c r="AY264" s="1031"/>
      <c r="AZ264" s="949" t="s">
        <v>131</v>
      </c>
      <c r="BA264" s="1674"/>
      <c r="BB264" s="1635"/>
      <c r="BC264" s="1965"/>
      <c r="BD264" s="1966"/>
      <c r="BE264" s="1031"/>
      <c r="BF264" s="949" t="s">
        <v>131</v>
      </c>
      <c r="BG264" s="1674"/>
      <c r="BH264" s="1635"/>
      <c r="BI264" s="1965"/>
      <c r="BJ264" s="1966"/>
      <c r="BK264" s="1674"/>
      <c r="BL264" s="1635"/>
      <c r="BM264" s="1965"/>
      <c r="BN264" s="1966"/>
      <c r="BO264" s="1697"/>
      <c r="BP264" s="2014"/>
      <c r="BQ264" s="1697"/>
      <c r="BR264" s="2042"/>
      <c r="BS264" s="1674"/>
      <c r="BT264" s="1635"/>
      <c r="BU264" s="1965"/>
      <c r="BV264" s="1966"/>
      <c r="BW264" s="1697"/>
      <c r="BX264" s="2042"/>
      <c r="BY264" s="1674"/>
      <c r="BZ264" s="1635"/>
      <c r="CA264" s="1965"/>
      <c r="CB264" s="1966"/>
      <c r="CC264" s="1761"/>
      <c r="CD264" s="2171"/>
      <c r="CE264" s="1031"/>
      <c r="CF264" s="949" t="s">
        <v>131</v>
      </c>
      <c r="CG264" s="1674"/>
      <c r="CH264" s="1635"/>
      <c r="CI264" s="1965"/>
      <c r="CJ264" s="1966"/>
      <c r="CK264" s="1031"/>
      <c r="CL264" s="949" t="s">
        <v>131</v>
      </c>
      <c r="CM264" s="1674"/>
      <c r="CN264" s="1635"/>
      <c r="CO264" s="1965"/>
      <c r="CP264" s="1966"/>
      <c r="CQ264" s="1674"/>
      <c r="CR264" s="1635"/>
      <c r="CS264" s="1965"/>
      <c r="CT264" s="1966"/>
      <c r="CU264" s="1674"/>
      <c r="CV264" s="1635"/>
      <c r="CW264" s="1965"/>
      <c r="CX264" s="1966"/>
      <c r="CY264" s="1674"/>
      <c r="CZ264" s="1635"/>
      <c r="DA264" s="1965"/>
      <c r="DB264" s="1966"/>
      <c r="DC264" s="1697"/>
      <c r="DD264" s="2042"/>
      <c r="DE264" s="1674"/>
      <c r="DF264" s="1635"/>
      <c r="DG264" s="1965"/>
      <c r="DH264" s="1966"/>
      <c r="DI264" s="1033"/>
      <c r="DJ264" s="949" t="s">
        <v>131</v>
      </c>
      <c r="DK264" s="1697"/>
      <c r="DL264" s="2014"/>
      <c r="DM264" s="1697"/>
      <c r="DN264" s="2014"/>
      <c r="DO264" s="1697"/>
      <c r="DP264" s="2042"/>
      <c r="DQ264" s="1031"/>
      <c r="DR264" s="951" t="s">
        <v>131</v>
      </c>
      <c r="DS264" s="1674"/>
      <c r="DT264" s="1635"/>
      <c r="DU264" s="1965"/>
      <c r="DV264" s="1966"/>
      <c r="DW264" s="1031"/>
      <c r="DX264" s="949" t="s">
        <v>131</v>
      </c>
      <c r="DY264" s="1674"/>
      <c r="DZ264" s="1635"/>
      <c r="EA264" s="1965"/>
      <c r="EB264" s="1966"/>
      <c r="EC264" s="1697"/>
      <c r="ED264" s="2042"/>
      <c r="EE264" s="1031"/>
      <c r="EF264" s="949" t="s">
        <v>131</v>
      </c>
      <c r="EG264" s="1697"/>
      <c r="EH264" s="2042"/>
      <c r="EI264" s="1674"/>
      <c r="EJ264" s="1635"/>
      <c r="EK264" s="2238"/>
      <c r="EL264" s="1966"/>
      <c r="EM264" s="2230"/>
      <c r="EN264" s="1586"/>
      <c r="EO264" s="1586"/>
      <c r="EP264" s="1586">
        <f t="shared" ref="EP264:EP327" si="461">SUM(EM264:EO264)</f>
        <v>0</v>
      </c>
      <c r="EQ264" s="999">
        <f t="shared" si="430"/>
        <v>0</v>
      </c>
      <c r="ER264" s="1776">
        <f t="shared" si="431"/>
        <v>0</v>
      </c>
      <c r="ES264" s="1776">
        <f t="shared" si="432"/>
        <v>0</v>
      </c>
      <c r="ET264" s="1055">
        <f t="shared" si="241"/>
        <v>0</v>
      </c>
    </row>
    <row r="265" spans="1:150" x14ac:dyDescent="0.25">
      <c r="A265" s="965">
        <v>1</v>
      </c>
      <c r="B265" s="959"/>
      <c r="C265" s="1651"/>
      <c r="D265" s="1026"/>
      <c r="E265" s="1912"/>
      <c r="F265" s="1913"/>
      <c r="G265" s="1680"/>
      <c r="H265" s="1986"/>
      <c r="I265" s="1680"/>
      <c r="J265" s="1986"/>
      <c r="K265" s="1680"/>
      <c r="L265" s="2023"/>
      <c r="M265" s="965">
        <v>1</v>
      </c>
      <c r="N265" s="959"/>
      <c r="O265" s="1680"/>
      <c r="P265" s="2023"/>
      <c r="Q265" s="1651"/>
      <c r="R265" s="1026"/>
      <c r="S265" s="1912"/>
      <c r="T265" s="1913"/>
      <c r="U265" s="1651"/>
      <c r="V265" s="1026"/>
      <c r="W265" s="1912"/>
      <c r="X265" s="1913"/>
      <c r="Y265" s="1651"/>
      <c r="Z265" s="1026"/>
      <c r="AA265" s="2054"/>
      <c r="AB265" s="1913"/>
      <c r="AC265" s="964">
        <v>1</v>
      </c>
      <c r="AD265" s="961" t="s">
        <v>1701</v>
      </c>
      <c r="AE265" s="1651"/>
      <c r="AF265" s="1026"/>
      <c r="AG265" s="1912"/>
      <c r="AH265" s="1913"/>
      <c r="AI265" s="1651"/>
      <c r="AJ265" s="1026"/>
      <c r="AK265" s="1912"/>
      <c r="AL265" s="1913"/>
      <c r="AM265" s="1680"/>
      <c r="AN265" s="2023"/>
      <c r="AO265" s="1865"/>
      <c r="AP265" s="1000"/>
      <c r="AQ265" s="1001"/>
      <c r="AR265" s="2090"/>
      <c r="AS265" s="1545"/>
      <c r="AT265" s="2090"/>
      <c r="AU265" s="1651"/>
      <c r="AV265" s="1026"/>
      <c r="AW265" s="1912"/>
      <c r="AX265" s="1913"/>
      <c r="AY265" s="965">
        <v>1</v>
      </c>
      <c r="AZ265" s="959"/>
      <c r="BA265" s="1651"/>
      <c r="BB265" s="1026"/>
      <c r="BC265" s="1912"/>
      <c r="BD265" s="1913"/>
      <c r="BE265" s="965">
        <v>1</v>
      </c>
      <c r="BF265" s="959"/>
      <c r="BG265" s="1651"/>
      <c r="BH265" s="1026"/>
      <c r="BI265" s="1912"/>
      <c r="BJ265" s="1913"/>
      <c r="BK265" s="1651"/>
      <c r="BL265" s="1026"/>
      <c r="BM265" s="1912"/>
      <c r="BN265" s="1913"/>
      <c r="BO265" s="1680"/>
      <c r="BP265" s="1986"/>
      <c r="BQ265" s="1680"/>
      <c r="BR265" s="2023"/>
      <c r="BS265" s="1651"/>
      <c r="BT265" s="1026"/>
      <c r="BU265" s="1912"/>
      <c r="BV265" s="1913"/>
      <c r="BW265" s="1680"/>
      <c r="BX265" s="2023"/>
      <c r="BY265" s="1651"/>
      <c r="BZ265" s="1026"/>
      <c r="CA265" s="1912"/>
      <c r="CB265" s="1913"/>
      <c r="CC265" s="1743"/>
      <c r="CD265" s="2150"/>
      <c r="CE265" s="965">
        <v>1</v>
      </c>
      <c r="CF265" s="959" t="s">
        <v>1702</v>
      </c>
      <c r="CG265" s="1651"/>
      <c r="CH265" s="1026"/>
      <c r="CI265" s="1912"/>
      <c r="CJ265" s="1913"/>
      <c r="CK265" s="965">
        <v>1</v>
      </c>
      <c r="CL265" s="959"/>
      <c r="CM265" s="1651"/>
      <c r="CN265" s="1026"/>
      <c r="CO265" s="1912"/>
      <c r="CP265" s="1913"/>
      <c r="CQ265" s="1651"/>
      <c r="CR265" s="1026"/>
      <c r="CS265" s="1912"/>
      <c r="CT265" s="1913"/>
      <c r="CU265" s="1651"/>
      <c r="CV265" s="1026"/>
      <c r="CW265" s="1912"/>
      <c r="CX265" s="1913"/>
      <c r="CY265" s="1651"/>
      <c r="CZ265" s="1026"/>
      <c r="DA265" s="1912"/>
      <c r="DB265" s="1913"/>
      <c r="DC265" s="1680"/>
      <c r="DD265" s="2023"/>
      <c r="DE265" s="1651"/>
      <c r="DF265" s="1026"/>
      <c r="DG265" s="1912"/>
      <c r="DH265" s="1913"/>
      <c r="DI265" s="964">
        <v>1</v>
      </c>
      <c r="DJ265" s="959"/>
      <c r="DK265" s="1680"/>
      <c r="DL265" s="1986"/>
      <c r="DM265" s="1680"/>
      <c r="DN265" s="1986"/>
      <c r="DO265" s="1680"/>
      <c r="DP265" s="2023"/>
      <c r="DQ265" s="965">
        <v>1</v>
      </c>
      <c r="DR265" s="962"/>
      <c r="DS265" s="1651"/>
      <c r="DT265" s="1026"/>
      <c r="DU265" s="1912"/>
      <c r="DV265" s="1913"/>
      <c r="DW265" s="965">
        <v>1</v>
      </c>
      <c r="DX265" s="959"/>
      <c r="DY265" s="1651"/>
      <c r="DZ265" s="1026"/>
      <c r="EA265" s="1912"/>
      <c r="EB265" s="1913"/>
      <c r="EC265" s="1680"/>
      <c r="ED265" s="2023"/>
      <c r="EE265" s="965">
        <v>1</v>
      </c>
      <c r="EF265" s="959"/>
      <c r="EG265" s="1680"/>
      <c r="EH265" s="2023"/>
      <c r="EI265" s="1651"/>
      <c r="EJ265" s="1026"/>
      <c r="EK265" s="2204"/>
      <c r="EL265" s="1913"/>
      <c r="EM265" s="2202">
        <f t="shared" ref="EM265:EM273" si="462">E265+S265+W265+AA265+AG265+AK265+AN265+AR265+AW265+BC265+BI265+BM265+BR265+BU265+CA265+CD265+CI265+CO265+CS265+CW265+DA265+DG265+DU265+EA265+EK265</f>
        <v>0</v>
      </c>
      <c r="EN265" s="1585">
        <f t="shared" ref="EN265:EN273" si="463">F265+H265+J265+L265+P265+T265+X265+AB265+AH265+AL265+AS265+AX265+BD265+BJ265+BN265+BP265+BV265+BX265+CB265+CJ265+CP265+CT265+CX265+DB265+DD265+DH265+DN265+DP265+DV265+EB265+ED265+EH265+EL265+DL265</f>
        <v>0</v>
      </c>
      <c r="EO265" s="1585">
        <f t="shared" ref="EO265:EO273" si="464">AQ265</f>
        <v>0</v>
      </c>
      <c r="EP265" s="1586">
        <f t="shared" si="461"/>
        <v>0</v>
      </c>
      <c r="EQ265" s="999">
        <f t="shared" si="430"/>
        <v>0</v>
      </c>
      <c r="ER265" s="1776">
        <f t="shared" si="431"/>
        <v>0</v>
      </c>
      <c r="ES265" s="1776">
        <f t="shared" si="432"/>
        <v>0</v>
      </c>
      <c r="ET265" s="1055">
        <f t="shared" ref="ET265:ET328" si="465">SUM(EQ265:ES265)</f>
        <v>0</v>
      </c>
    </row>
    <row r="266" spans="1:150" x14ac:dyDescent="0.25">
      <c r="A266" s="965">
        <v>2</v>
      </c>
      <c r="B266" s="959"/>
      <c r="C266" s="1651"/>
      <c r="D266" s="1026"/>
      <c r="E266" s="1912"/>
      <c r="F266" s="1913"/>
      <c r="G266" s="1680"/>
      <c r="H266" s="1986"/>
      <c r="I266" s="1680"/>
      <c r="J266" s="1986"/>
      <c r="K266" s="1680"/>
      <c r="L266" s="2023"/>
      <c r="M266" s="965">
        <v>2</v>
      </c>
      <c r="N266" s="959"/>
      <c r="O266" s="1680"/>
      <c r="P266" s="2023"/>
      <c r="Q266" s="1651"/>
      <c r="R266" s="1026"/>
      <c r="S266" s="1912"/>
      <c r="T266" s="1913"/>
      <c r="U266" s="1651"/>
      <c r="V266" s="1026"/>
      <c r="W266" s="1912"/>
      <c r="X266" s="1913"/>
      <c r="Y266" s="1651"/>
      <c r="Z266" s="1026"/>
      <c r="AA266" s="2054"/>
      <c r="AB266" s="1913"/>
      <c r="AC266" s="964">
        <v>2</v>
      </c>
      <c r="AD266" s="959" t="s">
        <v>1703</v>
      </c>
      <c r="AE266" s="1651"/>
      <c r="AF266" s="1026"/>
      <c r="AG266" s="1912"/>
      <c r="AH266" s="1913"/>
      <c r="AI266" s="1651"/>
      <c r="AJ266" s="1026"/>
      <c r="AK266" s="1912"/>
      <c r="AL266" s="1913"/>
      <c r="AM266" s="1680">
        <f>SUM([1]előterjállamitám!$D$58)</f>
        <v>4600000</v>
      </c>
      <c r="AN266" s="2023">
        <f>előterjállamitám!D58</f>
        <v>5537432</v>
      </c>
      <c r="AO266" s="1865"/>
      <c r="AP266" s="1000"/>
      <c r="AQ266" s="1001"/>
      <c r="AR266" s="2090"/>
      <c r="AS266" s="1545"/>
      <c r="AT266" s="2090"/>
      <c r="AU266" s="1651"/>
      <c r="AV266" s="1026"/>
      <c r="AW266" s="1912"/>
      <c r="AX266" s="1913"/>
      <c r="AY266" s="965">
        <v>2</v>
      </c>
      <c r="AZ266" s="959"/>
      <c r="BA266" s="1651"/>
      <c r="BB266" s="1026"/>
      <c r="BC266" s="1912"/>
      <c r="BD266" s="1913"/>
      <c r="BE266" s="965">
        <v>2</v>
      </c>
      <c r="BF266" s="959"/>
      <c r="BG266" s="1651"/>
      <c r="BH266" s="1026"/>
      <c r="BI266" s="1912"/>
      <c r="BJ266" s="1913"/>
      <c r="BK266" s="1651"/>
      <c r="BL266" s="1026"/>
      <c r="BM266" s="1912"/>
      <c r="BN266" s="1913"/>
      <c r="BO266" s="1680"/>
      <c r="BP266" s="1986"/>
      <c r="BQ266" s="1680"/>
      <c r="BR266" s="2023"/>
      <c r="BS266" s="1651"/>
      <c r="BT266" s="1026"/>
      <c r="BU266" s="1912"/>
      <c r="BV266" s="1913"/>
      <c r="BW266" s="1680"/>
      <c r="BX266" s="2023"/>
      <c r="BY266" s="1651"/>
      <c r="BZ266" s="1026"/>
      <c r="CA266" s="1912"/>
      <c r="CB266" s="1913"/>
      <c r="CC266" s="1743"/>
      <c r="CD266" s="2150"/>
      <c r="CE266" s="965">
        <v>2</v>
      </c>
      <c r="CF266" s="959" t="s">
        <v>1704</v>
      </c>
      <c r="CG266" s="1651"/>
      <c r="CH266" s="1026"/>
      <c r="CI266" s="1912"/>
      <c r="CJ266" s="1913"/>
      <c r="CK266" s="965">
        <v>2</v>
      </c>
      <c r="CL266" s="959"/>
      <c r="CM266" s="1651"/>
      <c r="CN266" s="1026"/>
      <c r="CO266" s="1912"/>
      <c r="CP266" s="1913"/>
      <c r="CQ266" s="1651"/>
      <c r="CR266" s="1026"/>
      <c r="CS266" s="1912"/>
      <c r="CT266" s="1913"/>
      <c r="CU266" s="1651"/>
      <c r="CV266" s="1026"/>
      <c r="CW266" s="1912"/>
      <c r="CX266" s="1913"/>
      <c r="CY266" s="1651"/>
      <c r="CZ266" s="1026"/>
      <c r="DA266" s="1912"/>
      <c r="DB266" s="1913"/>
      <c r="DC266" s="1680"/>
      <c r="DD266" s="2023"/>
      <c r="DE266" s="1651"/>
      <c r="DF266" s="1026"/>
      <c r="DG266" s="1912"/>
      <c r="DH266" s="1913"/>
      <c r="DI266" s="964">
        <v>2</v>
      </c>
      <c r="DJ266" s="959"/>
      <c r="DK266" s="1680"/>
      <c r="DL266" s="1986"/>
      <c r="DM266" s="1680"/>
      <c r="DN266" s="1986"/>
      <c r="DO266" s="1680"/>
      <c r="DP266" s="2023"/>
      <c r="DQ266" s="965">
        <v>2</v>
      </c>
      <c r="DR266" s="962"/>
      <c r="DS266" s="1651"/>
      <c r="DT266" s="1026"/>
      <c r="DU266" s="1912"/>
      <c r="DV266" s="1913"/>
      <c r="DW266" s="965">
        <v>2</v>
      </c>
      <c r="DX266" s="959"/>
      <c r="DY266" s="1651"/>
      <c r="DZ266" s="1026"/>
      <c r="EA266" s="1912"/>
      <c r="EB266" s="1913"/>
      <c r="EC266" s="1680"/>
      <c r="ED266" s="2023"/>
      <c r="EE266" s="965">
        <v>2</v>
      </c>
      <c r="EF266" s="959"/>
      <c r="EG266" s="1680"/>
      <c r="EH266" s="2023"/>
      <c r="EI266" s="1651"/>
      <c r="EJ266" s="1026"/>
      <c r="EK266" s="2204"/>
      <c r="EL266" s="1913"/>
      <c r="EM266" s="2202">
        <f t="shared" si="462"/>
        <v>5537432</v>
      </c>
      <c r="EN266" s="1585">
        <f t="shared" si="463"/>
        <v>0</v>
      </c>
      <c r="EO266" s="1585">
        <f t="shared" si="464"/>
        <v>0</v>
      </c>
      <c r="EP266" s="1586">
        <f t="shared" si="461"/>
        <v>5537432</v>
      </c>
      <c r="EQ266" s="999">
        <f t="shared" si="430"/>
        <v>4600000</v>
      </c>
      <c r="ER266" s="1776">
        <f t="shared" si="431"/>
        <v>0</v>
      </c>
      <c r="ES266" s="1776">
        <f t="shared" si="432"/>
        <v>0</v>
      </c>
      <c r="ET266" s="1055">
        <f t="shared" si="465"/>
        <v>4600000</v>
      </c>
    </row>
    <row r="267" spans="1:150" x14ac:dyDescent="0.25">
      <c r="A267" s="965">
        <v>3</v>
      </c>
      <c r="B267" s="959"/>
      <c r="C267" s="1651"/>
      <c r="D267" s="1026"/>
      <c r="E267" s="1912"/>
      <c r="F267" s="1913"/>
      <c r="G267" s="1680"/>
      <c r="H267" s="1986"/>
      <c r="I267" s="1680"/>
      <c r="J267" s="1986"/>
      <c r="K267" s="1680"/>
      <c r="L267" s="2023"/>
      <c r="M267" s="965">
        <v>3</v>
      </c>
      <c r="N267" s="959"/>
      <c r="O267" s="1680"/>
      <c r="P267" s="2023"/>
      <c r="Q267" s="1651"/>
      <c r="R267" s="1026"/>
      <c r="S267" s="1912"/>
      <c r="T267" s="1913"/>
      <c r="U267" s="1651"/>
      <c r="V267" s="1026"/>
      <c r="W267" s="1912"/>
      <c r="X267" s="1913"/>
      <c r="Y267" s="1651"/>
      <c r="Z267" s="1026"/>
      <c r="AA267" s="2054"/>
      <c r="AB267" s="1913"/>
      <c r="AC267" s="964">
        <v>3</v>
      </c>
      <c r="AD267" s="959" t="s">
        <v>1705</v>
      </c>
      <c r="AE267" s="1651"/>
      <c r="AF267" s="1026"/>
      <c r="AG267" s="1912"/>
      <c r="AH267" s="1913"/>
      <c r="AI267" s="1651"/>
      <c r="AJ267" s="1026"/>
      <c r="AK267" s="1912"/>
      <c r="AL267" s="1913"/>
      <c r="AM267" s="1680">
        <f>SUM([1]előterjállamitám!$D$59)</f>
        <v>2500000</v>
      </c>
      <c r="AN267" s="2023">
        <f>előterjállamitám!D59</f>
        <v>2500000</v>
      </c>
      <c r="AO267" s="1865"/>
      <c r="AP267" s="1000"/>
      <c r="AQ267" s="1001"/>
      <c r="AR267" s="2090"/>
      <c r="AS267" s="1545"/>
      <c r="AT267" s="2090"/>
      <c r="AU267" s="1651"/>
      <c r="AV267" s="1026"/>
      <c r="AW267" s="1912"/>
      <c r="AX267" s="1913"/>
      <c r="AY267" s="965">
        <v>3</v>
      </c>
      <c r="AZ267" s="959"/>
      <c r="BA267" s="1651"/>
      <c r="BB267" s="1026"/>
      <c r="BC267" s="1912"/>
      <c r="BD267" s="1913"/>
      <c r="BE267" s="965">
        <v>3</v>
      </c>
      <c r="BF267" s="959"/>
      <c r="BG267" s="1651"/>
      <c r="BH267" s="1026"/>
      <c r="BI267" s="1912"/>
      <c r="BJ267" s="1913"/>
      <c r="BK267" s="1651"/>
      <c r="BL267" s="1026"/>
      <c r="BM267" s="1912"/>
      <c r="BN267" s="1913"/>
      <c r="BO267" s="1680"/>
      <c r="BP267" s="1986"/>
      <c r="BQ267" s="1680"/>
      <c r="BR267" s="2023"/>
      <c r="BS267" s="1651"/>
      <c r="BT267" s="1026"/>
      <c r="BU267" s="1912"/>
      <c r="BV267" s="1913"/>
      <c r="BW267" s="1680"/>
      <c r="BX267" s="2023"/>
      <c r="BY267" s="1651"/>
      <c r="BZ267" s="1026"/>
      <c r="CA267" s="1912"/>
      <c r="CB267" s="1913"/>
      <c r="CC267" s="1743"/>
      <c r="CD267" s="2150"/>
      <c r="CE267" s="965">
        <v>3</v>
      </c>
      <c r="CF267" s="959"/>
      <c r="CG267" s="1651"/>
      <c r="CH267" s="1026"/>
      <c r="CI267" s="1912"/>
      <c r="CJ267" s="1913"/>
      <c r="CK267" s="965">
        <v>3</v>
      </c>
      <c r="CL267" s="959"/>
      <c r="CM267" s="1651"/>
      <c r="CN267" s="1026"/>
      <c r="CO267" s="1912"/>
      <c r="CP267" s="1913"/>
      <c r="CQ267" s="1651"/>
      <c r="CR267" s="1026"/>
      <c r="CS267" s="1912"/>
      <c r="CT267" s="1913"/>
      <c r="CU267" s="1651"/>
      <c r="CV267" s="1026"/>
      <c r="CW267" s="1912"/>
      <c r="CX267" s="1913"/>
      <c r="CY267" s="1651"/>
      <c r="CZ267" s="1026"/>
      <c r="DA267" s="1912"/>
      <c r="DB267" s="1913"/>
      <c r="DC267" s="1680"/>
      <c r="DD267" s="2023"/>
      <c r="DE267" s="1651"/>
      <c r="DF267" s="1026"/>
      <c r="DG267" s="1912"/>
      <c r="DH267" s="1913"/>
      <c r="DI267" s="964">
        <v>3</v>
      </c>
      <c r="DJ267" s="959"/>
      <c r="DK267" s="1680"/>
      <c r="DL267" s="1986"/>
      <c r="DM267" s="1680"/>
      <c r="DN267" s="1986"/>
      <c r="DO267" s="1680"/>
      <c r="DP267" s="2023"/>
      <c r="DQ267" s="965">
        <v>3</v>
      </c>
      <c r="DR267" s="962"/>
      <c r="DS267" s="1651"/>
      <c r="DT267" s="1026"/>
      <c r="DU267" s="1912"/>
      <c r="DV267" s="1913"/>
      <c r="DW267" s="965">
        <v>3</v>
      </c>
      <c r="DX267" s="959"/>
      <c r="DY267" s="1651"/>
      <c r="DZ267" s="1026"/>
      <c r="EA267" s="1912"/>
      <c r="EB267" s="1913"/>
      <c r="EC267" s="1680"/>
      <c r="ED267" s="2023"/>
      <c r="EE267" s="965">
        <v>3</v>
      </c>
      <c r="EF267" s="959"/>
      <c r="EG267" s="1680"/>
      <c r="EH267" s="2023"/>
      <c r="EI267" s="1651"/>
      <c r="EJ267" s="1026"/>
      <c r="EK267" s="2204"/>
      <c r="EL267" s="1913"/>
      <c r="EM267" s="2202">
        <f t="shared" si="462"/>
        <v>2500000</v>
      </c>
      <c r="EN267" s="1585">
        <f t="shared" si="463"/>
        <v>0</v>
      </c>
      <c r="EO267" s="1585">
        <f t="shared" si="464"/>
        <v>0</v>
      </c>
      <c r="EP267" s="1586">
        <f t="shared" si="461"/>
        <v>2500000</v>
      </c>
      <c r="EQ267" s="999">
        <f t="shared" si="430"/>
        <v>2500000</v>
      </c>
      <c r="ER267" s="1776">
        <f t="shared" si="431"/>
        <v>0</v>
      </c>
      <c r="ES267" s="1776">
        <f t="shared" si="432"/>
        <v>0</v>
      </c>
      <c r="ET267" s="1055">
        <f t="shared" si="465"/>
        <v>2500000</v>
      </c>
    </row>
    <row r="268" spans="1:150" x14ac:dyDescent="0.25">
      <c r="A268" s="965"/>
      <c r="B268" s="959"/>
      <c r="C268" s="1651"/>
      <c r="D268" s="1026"/>
      <c r="E268" s="1912"/>
      <c r="F268" s="1913"/>
      <c r="G268" s="1680"/>
      <c r="H268" s="1986"/>
      <c r="I268" s="1680"/>
      <c r="J268" s="1986"/>
      <c r="K268" s="1680"/>
      <c r="L268" s="2023"/>
      <c r="M268" s="965"/>
      <c r="N268" s="959"/>
      <c r="O268" s="1680"/>
      <c r="P268" s="2023"/>
      <c r="Q268" s="1651"/>
      <c r="R268" s="1026"/>
      <c r="S268" s="1912"/>
      <c r="T268" s="1913"/>
      <c r="U268" s="1651"/>
      <c r="V268" s="1026"/>
      <c r="W268" s="1912"/>
      <c r="X268" s="1913"/>
      <c r="Y268" s="1651"/>
      <c r="Z268" s="1026"/>
      <c r="AA268" s="2054"/>
      <c r="AB268" s="1913"/>
      <c r="AC268" s="964">
        <v>4</v>
      </c>
      <c r="AD268" s="959" t="s">
        <v>1706</v>
      </c>
      <c r="AE268" s="1651"/>
      <c r="AF268" s="1026"/>
      <c r="AG268" s="1912"/>
      <c r="AH268" s="1913"/>
      <c r="AI268" s="1651"/>
      <c r="AJ268" s="1026"/>
      <c r="AK268" s="1912"/>
      <c r="AL268" s="1913"/>
      <c r="AM268" s="1680">
        <f>SUM([1]előterjállamitám!$D$60)</f>
        <v>45000</v>
      </c>
      <c r="AN268" s="2023">
        <f>előterjállamitám!D60</f>
        <v>45000</v>
      </c>
      <c r="AO268" s="1865"/>
      <c r="AP268" s="1000"/>
      <c r="AQ268" s="1001"/>
      <c r="AR268" s="2090"/>
      <c r="AS268" s="1545"/>
      <c r="AT268" s="2090"/>
      <c r="AU268" s="1651"/>
      <c r="AV268" s="1026"/>
      <c r="AW268" s="1912"/>
      <c r="AX268" s="1913"/>
      <c r="AY268" s="965"/>
      <c r="AZ268" s="959"/>
      <c r="BA268" s="1651"/>
      <c r="BB268" s="1026"/>
      <c r="BC268" s="1912"/>
      <c r="BD268" s="1913"/>
      <c r="BE268" s="965"/>
      <c r="BF268" s="959"/>
      <c r="BG268" s="1651"/>
      <c r="BH268" s="1026"/>
      <c r="BI268" s="1912"/>
      <c r="BJ268" s="1913"/>
      <c r="BK268" s="1651"/>
      <c r="BL268" s="1026"/>
      <c r="BM268" s="1912"/>
      <c r="BN268" s="1913"/>
      <c r="BO268" s="1680"/>
      <c r="BP268" s="1986"/>
      <c r="BQ268" s="1680"/>
      <c r="BR268" s="2023"/>
      <c r="BS268" s="1651"/>
      <c r="BT268" s="1026"/>
      <c r="BU268" s="1912"/>
      <c r="BV268" s="1913"/>
      <c r="BW268" s="1680"/>
      <c r="BX268" s="2023"/>
      <c r="BY268" s="1651"/>
      <c r="BZ268" s="1026"/>
      <c r="CA268" s="1912"/>
      <c r="CB268" s="1913"/>
      <c r="CC268" s="1743"/>
      <c r="CD268" s="2150"/>
      <c r="CE268" s="965">
        <v>4</v>
      </c>
      <c r="CF268" s="959"/>
      <c r="CG268" s="1651"/>
      <c r="CH268" s="1026"/>
      <c r="CI268" s="1912"/>
      <c r="CJ268" s="1913"/>
      <c r="CK268" s="965"/>
      <c r="CL268" s="959"/>
      <c r="CM268" s="1651"/>
      <c r="CN268" s="1026"/>
      <c r="CO268" s="1912"/>
      <c r="CP268" s="1913"/>
      <c r="CQ268" s="1651"/>
      <c r="CR268" s="1026"/>
      <c r="CS268" s="1912"/>
      <c r="CT268" s="1913"/>
      <c r="CU268" s="1651"/>
      <c r="CV268" s="1026"/>
      <c r="CW268" s="1912"/>
      <c r="CX268" s="1913"/>
      <c r="CY268" s="1651"/>
      <c r="CZ268" s="1026"/>
      <c r="DA268" s="1912"/>
      <c r="DB268" s="1913"/>
      <c r="DC268" s="1680"/>
      <c r="DD268" s="2023"/>
      <c r="DE268" s="1651"/>
      <c r="DF268" s="1026"/>
      <c r="DG268" s="1912"/>
      <c r="DH268" s="1913"/>
      <c r="DI268" s="964"/>
      <c r="DJ268" s="959"/>
      <c r="DK268" s="1680"/>
      <c r="DL268" s="1986"/>
      <c r="DM268" s="1680"/>
      <c r="DN268" s="1986"/>
      <c r="DO268" s="1680"/>
      <c r="DP268" s="2023"/>
      <c r="DQ268" s="965"/>
      <c r="DR268" s="962"/>
      <c r="DS268" s="1651"/>
      <c r="DT268" s="1026"/>
      <c r="DU268" s="1912"/>
      <c r="DV268" s="1913"/>
      <c r="DW268" s="965"/>
      <c r="DX268" s="959"/>
      <c r="DY268" s="1651"/>
      <c r="DZ268" s="1026"/>
      <c r="EA268" s="1912"/>
      <c r="EB268" s="1913"/>
      <c r="EC268" s="1680"/>
      <c r="ED268" s="2023"/>
      <c r="EE268" s="965"/>
      <c r="EF268" s="959"/>
      <c r="EG268" s="1680"/>
      <c r="EH268" s="2023"/>
      <c r="EI268" s="1651"/>
      <c r="EJ268" s="1026"/>
      <c r="EK268" s="2204"/>
      <c r="EL268" s="1913"/>
      <c r="EM268" s="2202">
        <f t="shared" si="462"/>
        <v>45000</v>
      </c>
      <c r="EN268" s="1585">
        <f t="shared" si="463"/>
        <v>0</v>
      </c>
      <c r="EO268" s="1585">
        <f t="shared" si="464"/>
        <v>0</v>
      </c>
      <c r="EP268" s="1586">
        <f t="shared" si="461"/>
        <v>45000</v>
      </c>
      <c r="EQ268" s="999">
        <f t="shared" si="430"/>
        <v>45000</v>
      </c>
      <c r="ER268" s="1776">
        <f t="shared" si="431"/>
        <v>0</v>
      </c>
      <c r="ES268" s="1776">
        <f t="shared" si="432"/>
        <v>0</v>
      </c>
      <c r="ET268" s="1055">
        <f t="shared" si="465"/>
        <v>45000</v>
      </c>
    </row>
    <row r="269" spans="1:150" x14ac:dyDescent="0.25">
      <c r="A269" s="965"/>
      <c r="B269" s="959"/>
      <c r="C269" s="1651"/>
      <c r="D269" s="1026"/>
      <c r="E269" s="1912"/>
      <c r="F269" s="1913"/>
      <c r="G269" s="1680"/>
      <c r="H269" s="1986"/>
      <c r="I269" s="1680"/>
      <c r="J269" s="1986"/>
      <c r="K269" s="1680"/>
      <c r="L269" s="2023"/>
      <c r="M269" s="965"/>
      <c r="N269" s="959"/>
      <c r="O269" s="1680"/>
      <c r="P269" s="2023"/>
      <c r="Q269" s="1651"/>
      <c r="R269" s="1026"/>
      <c r="S269" s="1912"/>
      <c r="T269" s="1913"/>
      <c r="U269" s="1651"/>
      <c r="V269" s="1026"/>
      <c r="W269" s="1912"/>
      <c r="X269" s="1913"/>
      <c r="Y269" s="1651"/>
      <c r="Z269" s="1026"/>
      <c r="AA269" s="2054"/>
      <c r="AB269" s="1913"/>
      <c r="AC269" s="964">
        <v>5</v>
      </c>
      <c r="AD269" s="959" t="s">
        <v>1707</v>
      </c>
      <c r="AE269" s="1651"/>
      <c r="AF269" s="1026"/>
      <c r="AG269" s="1912"/>
      <c r="AH269" s="1913"/>
      <c r="AI269" s="1651"/>
      <c r="AJ269" s="1026"/>
      <c r="AK269" s="1912"/>
      <c r="AL269" s="1913"/>
      <c r="AM269" s="1680">
        <f>SUM([1]előterjállamitám!$D$63)</f>
        <v>180000</v>
      </c>
      <c r="AN269" s="2023">
        <f>előterjállamitám!D61</f>
        <v>450000</v>
      </c>
      <c r="AO269" s="1865"/>
      <c r="AP269" s="1000"/>
      <c r="AQ269" s="1001"/>
      <c r="AR269" s="2090"/>
      <c r="AS269" s="1545"/>
      <c r="AT269" s="2090"/>
      <c r="AU269" s="1651"/>
      <c r="AV269" s="1026"/>
      <c r="AW269" s="1912"/>
      <c r="AX269" s="1913"/>
      <c r="AY269" s="965"/>
      <c r="AZ269" s="959"/>
      <c r="BA269" s="1651"/>
      <c r="BB269" s="1026"/>
      <c r="BC269" s="1912"/>
      <c r="BD269" s="1913"/>
      <c r="BE269" s="965"/>
      <c r="BF269" s="959"/>
      <c r="BG269" s="1651"/>
      <c r="BH269" s="1026"/>
      <c r="BI269" s="1912"/>
      <c r="BJ269" s="1913"/>
      <c r="BK269" s="1651"/>
      <c r="BL269" s="1026"/>
      <c r="BM269" s="1912"/>
      <c r="BN269" s="1913"/>
      <c r="BO269" s="1680"/>
      <c r="BP269" s="1986"/>
      <c r="BQ269" s="1680"/>
      <c r="BR269" s="2023"/>
      <c r="BS269" s="1651"/>
      <c r="BT269" s="1026"/>
      <c r="BU269" s="1912"/>
      <c r="BV269" s="1913"/>
      <c r="BW269" s="1680"/>
      <c r="BX269" s="2023"/>
      <c r="BY269" s="1651"/>
      <c r="BZ269" s="1026"/>
      <c r="CA269" s="1912"/>
      <c r="CB269" s="1913"/>
      <c r="CC269" s="1743"/>
      <c r="CD269" s="2150"/>
      <c r="CE269" s="965">
        <v>5</v>
      </c>
      <c r="CF269" s="959"/>
      <c r="CG269" s="1651"/>
      <c r="CH269" s="1026"/>
      <c r="CI269" s="1912"/>
      <c r="CJ269" s="1913"/>
      <c r="CK269" s="965"/>
      <c r="CL269" s="959"/>
      <c r="CM269" s="1651"/>
      <c r="CN269" s="1026"/>
      <c r="CO269" s="1912"/>
      <c r="CP269" s="1913"/>
      <c r="CQ269" s="1651"/>
      <c r="CR269" s="1026"/>
      <c r="CS269" s="1912"/>
      <c r="CT269" s="1913"/>
      <c r="CU269" s="1651"/>
      <c r="CV269" s="1026"/>
      <c r="CW269" s="1912"/>
      <c r="CX269" s="1913"/>
      <c r="CY269" s="1651"/>
      <c r="CZ269" s="1026"/>
      <c r="DA269" s="1912"/>
      <c r="DB269" s="1913"/>
      <c r="DC269" s="1680"/>
      <c r="DD269" s="2023"/>
      <c r="DE269" s="1651"/>
      <c r="DF269" s="1026"/>
      <c r="DG269" s="1912"/>
      <c r="DH269" s="1913"/>
      <c r="DI269" s="964"/>
      <c r="DJ269" s="959"/>
      <c r="DK269" s="1680"/>
      <c r="DL269" s="1986"/>
      <c r="DM269" s="1680"/>
      <c r="DN269" s="1986"/>
      <c r="DO269" s="1680"/>
      <c r="DP269" s="2023"/>
      <c r="DQ269" s="965"/>
      <c r="DR269" s="962"/>
      <c r="DS269" s="1651"/>
      <c r="DT269" s="1026"/>
      <c r="DU269" s="1912"/>
      <c r="DV269" s="1913"/>
      <c r="DW269" s="965"/>
      <c r="DX269" s="959"/>
      <c r="DY269" s="1651"/>
      <c r="DZ269" s="1026"/>
      <c r="EA269" s="1912"/>
      <c r="EB269" s="1913"/>
      <c r="EC269" s="1680"/>
      <c r="ED269" s="2023"/>
      <c r="EE269" s="965"/>
      <c r="EF269" s="959"/>
      <c r="EG269" s="1680"/>
      <c r="EH269" s="2023"/>
      <c r="EI269" s="1651"/>
      <c r="EJ269" s="1026"/>
      <c r="EK269" s="2204"/>
      <c r="EL269" s="1913"/>
      <c r="EM269" s="2202">
        <f t="shared" si="462"/>
        <v>450000</v>
      </c>
      <c r="EN269" s="1585">
        <f t="shared" si="463"/>
        <v>0</v>
      </c>
      <c r="EO269" s="1585">
        <f t="shared" si="464"/>
        <v>0</v>
      </c>
      <c r="EP269" s="1586">
        <f t="shared" si="461"/>
        <v>450000</v>
      </c>
      <c r="EQ269" s="999">
        <f t="shared" si="430"/>
        <v>180000</v>
      </c>
      <c r="ER269" s="1776">
        <f t="shared" si="431"/>
        <v>0</v>
      </c>
      <c r="ES269" s="1776">
        <f t="shared" si="432"/>
        <v>0</v>
      </c>
      <c r="ET269" s="1055">
        <f t="shared" si="465"/>
        <v>180000</v>
      </c>
    </row>
    <row r="270" spans="1:150" x14ac:dyDescent="0.25">
      <c r="A270" s="965"/>
      <c r="B270" s="959"/>
      <c r="C270" s="1651"/>
      <c r="D270" s="1026"/>
      <c r="E270" s="1912"/>
      <c r="F270" s="1913"/>
      <c r="G270" s="1680"/>
      <c r="H270" s="1986"/>
      <c r="I270" s="1680"/>
      <c r="J270" s="1986"/>
      <c r="K270" s="1680"/>
      <c r="L270" s="2023"/>
      <c r="M270" s="965"/>
      <c r="N270" s="959"/>
      <c r="O270" s="1680"/>
      <c r="P270" s="2023"/>
      <c r="Q270" s="1651"/>
      <c r="R270" s="1026"/>
      <c r="S270" s="1912"/>
      <c r="T270" s="1913"/>
      <c r="U270" s="1651"/>
      <c r="V270" s="1026"/>
      <c r="W270" s="1912"/>
      <c r="X270" s="1913"/>
      <c r="Y270" s="1651"/>
      <c r="Z270" s="1026"/>
      <c r="AA270" s="2054"/>
      <c r="AB270" s="1913"/>
      <c r="AC270" s="964">
        <v>6</v>
      </c>
      <c r="AD270" s="959" t="s">
        <v>1708</v>
      </c>
      <c r="AE270" s="1651"/>
      <c r="AF270" s="1026"/>
      <c r="AG270" s="1912"/>
      <c r="AH270" s="1913"/>
      <c r="AI270" s="1651"/>
      <c r="AJ270" s="1026"/>
      <c r="AK270" s="1912"/>
      <c r="AL270" s="1913"/>
      <c r="AM270" s="1680">
        <f>SUM([1]előterjállamitám!$D$64)</f>
        <v>12000</v>
      </c>
      <c r="AN270" s="2023">
        <f>előterjállamitám!D62</f>
        <v>100000</v>
      </c>
      <c r="AO270" s="1865"/>
      <c r="AP270" s="1000"/>
      <c r="AQ270" s="1001"/>
      <c r="AR270" s="2090"/>
      <c r="AS270" s="1545"/>
      <c r="AT270" s="2090"/>
      <c r="AU270" s="1651"/>
      <c r="AV270" s="1026"/>
      <c r="AW270" s="1912"/>
      <c r="AX270" s="1913"/>
      <c r="AY270" s="965"/>
      <c r="AZ270" s="959"/>
      <c r="BA270" s="1651"/>
      <c r="BB270" s="1026"/>
      <c r="BC270" s="1912"/>
      <c r="BD270" s="1913"/>
      <c r="BE270" s="965"/>
      <c r="BF270" s="959"/>
      <c r="BG270" s="1651"/>
      <c r="BH270" s="1026"/>
      <c r="BI270" s="1912"/>
      <c r="BJ270" s="1913"/>
      <c r="BK270" s="1651"/>
      <c r="BL270" s="1026"/>
      <c r="BM270" s="1912"/>
      <c r="BN270" s="1913"/>
      <c r="BO270" s="1680"/>
      <c r="BP270" s="1986"/>
      <c r="BQ270" s="1680"/>
      <c r="BR270" s="2023"/>
      <c r="BS270" s="1651"/>
      <c r="BT270" s="1026"/>
      <c r="BU270" s="1912"/>
      <c r="BV270" s="1913"/>
      <c r="BW270" s="1680"/>
      <c r="BX270" s="2023"/>
      <c r="BY270" s="1651"/>
      <c r="BZ270" s="1026"/>
      <c r="CA270" s="1912"/>
      <c r="CB270" s="1913"/>
      <c r="CC270" s="1743"/>
      <c r="CD270" s="2150"/>
      <c r="CE270" s="965"/>
      <c r="CF270" s="959"/>
      <c r="CG270" s="1651"/>
      <c r="CH270" s="1026"/>
      <c r="CI270" s="1912"/>
      <c r="CJ270" s="1913"/>
      <c r="CK270" s="965"/>
      <c r="CL270" s="959"/>
      <c r="CM270" s="1651"/>
      <c r="CN270" s="1026"/>
      <c r="CO270" s="1912"/>
      <c r="CP270" s="1913"/>
      <c r="CQ270" s="1651"/>
      <c r="CR270" s="1026"/>
      <c r="CS270" s="1912"/>
      <c r="CT270" s="1913"/>
      <c r="CU270" s="1651"/>
      <c r="CV270" s="1026"/>
      <c r="CW270" s="1912"/>
      <c r="CX270" s="1913"/>
      <c r="CY270" s="1651"/>
      <c r="CZ270" s="1026"/>
      <c r="DA270" s="1912"/>
      <c r="DB270" s="1913"/>
      <c r="DC270" s="1680"/>
      <c r="DD270" s="2023"/>
      <c r="DE270" s="1651"/>
      <c r="DF270" s="1026"/>
      <c r="DG270" s="1912"/>
      <c r="DH270" s="1913"/>
      <c r="DI270" s="964"/>
      <c r="DJ270" s="959"/>
      <c r="DK270" s="1680"/>
      <c r="DL270" s="1986"/>
      <c r="DM270" s="1680"/>
      <c r="DN270" s="1986"/>
      <c r="DO270" s="1680"/>
      <c r="DP270" s="2023"/>
      <c r="DQ270" s="965"/>
      <c r="DR270" s="962"/>
      <c r="DS270" s="1651"/>
      <c r="DT270" s="1026"/>
      <c r="DU270" s="1912"/>
      <c r="DV270" s="1913"/>
      <c r="DW270" s="965"/>
      <c r="DX270" s="959"/>
      <c r="DY270" s="1651"/>
      <c r="DZ270" s="1026"/>
      <c r="EA270" s="1912"/>
      <c r="EB270" s="1913"/>
      <c r="EC270" s="1680"/>
      <c r="ED270" s="2023"/>
      <c r="EE270" s="965"/>
      <c r="EF270" s="959"/>
      <c r="EG270" s="1680"/>
      <c r="EH270" s="2023"/>
      <c r="EI270" s="1651"/>
      <c r="EJ270" s="1026"/>
      <c r="EK270" s="2204"/>
      <c r="EL270" s="1913"/>
      <c r="EM270" s="2202">
        <f t="shared" si="462"/>
        <v>100000</v>
      </c>
      <c r="EN270" s="1585">
        <f t="shared" si="463"/>
        <v>0</v>
      </c>
      <c r="EO270" s="1585">
        <f t="shared" si="464"/>
        <v>0</v>
      </c>
      <c r="EP270" s="1586">
        <f t="shared" si="461"/>
        <v>100000</v>
      </c>
      <c r="EQ270" s="999">
        <f t="shared" si="430"/>
        <v>12000</v>
      </c>
      <c r="ER270" s="1776">
        <f t="shared" si="431"/>
        <v>0</v>
      </c>
      <c r="ES270" s="1776">
        <f t="shared" si="432"/>
        <v>0</v>
      </c>
      <c r="ET270" s="1055">
        <f t="shared" si="465"/>
        <v>12000</v>
      </c>
    </row>
    <row r="271" spans="1:150" x14ac:dyDescent="0.25">
      <c r="A271" s="965"/>
      <c r="B271" s="959"/>
      <c r="C271" s="1651"/>
      <c r="D271" s="1026"/>
      <c r="E271" s="1912"/>
      <c r="F271" s="1913"/>
      <c r="G271" s="1680"/>
      <c r="H271" s="1986"/>
      <c r="I271" s="1680"/>
      <c r="J271" s="1986"/>
      <c r="K271" s="1680"/>
      <c r="L271" s="2023"/>
      <c r="M271" s="965"/>
      <c r="N271" s="959"/>
      <c r="O271" s="1680"/>
      <c r="P271" s="2023"/>
      <c r="Q271" s="1651"/>
      <c r="R271" s="1026"/>
      <c r="S271" s="1912"/>
      <c r="T271" s="1913"/>
      <c r="U271" s="1651"/>
      <c r="V271" s="1026"/>
      <c r="W271" s="1912"/>
      <c r="X271" s="1913"/>
      <c r="Y271" s="1651"/>
      <c r="Z271" s="1026"/>
      <c r="AA271" s="2054"/>
      <c r="AB271" s="1913"/>
      <c r="AC271" s="964">
        <v>7</v>
      </c>
      <c r="AD271" s="959" t="s">
        <v>1709</v>
      </c>
      <c r="AE271" s="1651"/>
      <c r="AF271" s="1026"/>
      <c r="AG271" s="1912"/>
      <c r="AH271" s="1913"/>
      <c r="AI271" s="1651"/>
      <c r="AJ271" s="1026"/>
      <c r="AK271" s="1912"/>
      <c r="AL271" s="1913"/>
      <c r="AM271" s="1680">
        <f>SUM([1]előterjállamitám!$D$61)</f>
        <v>400000</v>
      </c>
      <c r="AN271" s="2023">
        <f>előterjállamitám!D63</f>
        <v>185000</v>
      </c>
      <c r="AO271" s="1865"/>
      <c r="AP271" s="1000"/>
      <c r="AQ271" s="1001"/>
      <c r="AR271" s="2090"/>
      <c r="AS271" s="1545"/>
      <c r="AT271" s="2090"/>
      <c r="AU271" s="1651"/>
      <c r="AV271" s="1026"/>
      <c r="AW271" s="1912"/>
      <c r="AX271" s="1913"/>
      <c r="AY271" s="965"/>
      <c r="AZ271" s="959"/>
      <c r="BA271" s="1651"/>
      <c r="BB271" s="1026"/>
      <c r="BC271" s="1912"/>
      <c r="BD271" s="1913"/>
      <c r="BE271" s="965"/>
      <c r="BF271" s="959"/>
      <c r="BG271" s="1651"/>
      <c r="BH271" s="1026"/>
      <c r="BI271" s="1912"/>
      <c r="BJ271" s="1913"/>
      <c r="BK271" s="1651"/>
      <c r="BL271" s="1026"/>
      <c r="BM271" s="1912"/>
      <c r="BN271" s="1913"/>
      <c r="BO271" s="1680"/>
      <c r="BP271" s="1986"/>
      <c r="BQ271" s="1680"/>
      <c r="BR271" s="2023"/>
      <c r="BS271" s="1651"/>
      <c r="BT271" s="1026"/>
      <c r="BU271" s="1912"/>
      <c r="BV271" s="1913"/>
      <c r="BW271" s="1680"/>
      <c r="BX271" s="2023"/>
      <c r="BY271" s="1651"/>
      <c r="BZ271" s="1026"/>
      <c r="CA271" s="1912"/>
      <c r="CB271" s="1913"/>
      <c r="CC271" s="1743"/>
      <c r="CD271" s="2150"/>
      <c r="CE271" s="965"/>
      <c r="CF271" s="959"/>
      <c r="CG271" s="1651"/>
      <c r="CH271" s="1026"/>
      <c r="CI271" s="1912"/>
      <c r="CJ271" s="1913"/>
      <c r="CK271" s="965"/>
      <c r="CL271" s="959"/>
      <c r="CM271" s="1651"/>
      <c r="CN271" s="1026"/>
      <c r="CO271" s="1912"/>
      <c r="CP271" s="1913"/>
      <c r="CQ271" s="1651"/>
      <c r="CR271" s="1026"/>
      <c r="CS271" s="1912"/>
      <c r="CT271" s="1913"/>
      <c r="CU271" s="1651"/>
      <c r="CV271" s="1026"/>
      <c r="CW271" s="1912"/>
      <c r="CX271" s="1913"/>
      <c r="CY271" s="1651"/>
      <c r="CZ271" s="1026"/>
      <c r="DA271" s="1912"/>
      <c r="DB271" s="1913"/>
      <c r="DC271" s="1680"/>
      <c r="DD271" s="2023"/>
      <c r="DE271" s="1651"/>
      <c r="DF271" s="1026"/>
      <c r="DG271" s="1912"/>
      <c r="DH271" s="1913"/>
      <c r="DI271" s="964"/>
      <c r="DJ271" s="959"/>
      <c r="DK271" s="1680"/>
      <c r="DL271" s="1986"/>
      <c r="DM271" s="1680"/>
      <c r="DN271" s="1986"/>
      <c r="DO271" s="1680"/>
      <c r="DP271" s="2023"/>
      <c r="DQ271" s="965"/>
      <c r="DR271" s="962"/>
      <c r="DS271" s="1651"/>
      <c r="DT271" s="1026"/>
      <c r="DU271" s="1912"/>
      <c r="DV271" s="1913"/>
      <c r="DW271" s="965"/>
      <c r="DX271" s="959"/>
      <c r="DY271" s="1651"/>
      <c r="DZ271" s="1026"/>
      <c r="EA271" s="1912"/>
      <c r="EB271" s="1913"/>
      <c r="EC271" s="1680"/>
      <c r="ED271" s="2023"/>
      <c r="EE271" s="965"/>
      <c r="EF271" s="959"/>
      <c r="EG271" s="1680"/>
      <c r="EH271" s="2023"/>
      <c r="EI271" s="1651"/>
      <c r="EJ271" s="1026"/>
      <c r="EK271" s="2204"/>
      <c r="EL271" s="1913"/>
      <c r="EM271" s="2202">
        <f t="shared" si="462"/>
        <v>185000</v>
      </c>
      <c r="EN271" s="1585">
        <f t="shared" si="463"/>
        <v>0</v>
      </c>
      <c r="EO271" s="1585">
        <f t="shared" si="464"/>
        <v>0</v>
      </c>
      <c r="EP271" s="1586">
        <f t="shared" si="461"/>
        <v>185000</v>
      </c>
      <c r="EQ271" s="999">
        <f t="shared" si="430"/>
        <v>400000</v>
      </c>
      <c r="ER271" s="1776">
        <f t="shared" si="431"/>
        <v>0</v>
      </c>
      <c r="ES271" s="1776">
        <f t="shared" si="432"/>
        <v>0</v>
      </c>
      <c r="ET271" s="1055">
        <f t="shared" si="465"/>
        <v>400000</v>
      </c>
    </row>
    <row r="272" spans="1:150" x14ac:dyDescent="0.25">
      <c r="A272" s="965"/>
      <c r="B272" s="959"/>
      <c r="C272" s="1651"/>
      <c r="D272" s="1026"/>
      <c r="E272" s="1912"/>
      <c r="F272" s="1913"/>
      <c r="G272" s="1680"/>
      <c r="H272" s="1986"/>
      <c r="I272" s="1680"/>
      <c r="J272" s="1986"/>
      <c r="K272" s="1680"/>
      <c r="L272" s="2023"/>
      <c r="M272" s="965"/>
      <c r="N272" s="959"/>
      <c r="O272" s="1680"/>
      <c r="P272" s="2023"/>
      <c r="Q272" s="1651"/>
      <c r="R272" s="1026"/>
      <c r="S272" s="1912"/>
      <c r="T272" s="1913"/>
      <c r="U272" s="1651"/>
      <c r="V272" s="1026"/>
      <c r="W272" s="1912"/>
      <c r="X272" s="1913"/>
      <c r="Y272" s="1651"/>
      <c r="Z272" s="1026"/>
      <c r="AA272" s="2054"/>
      <c r="AB272" s="1913"/>
      <c r="AC272" s="964">
        <v>8</v>
      </c>
      <c r="AD272" s="959" t="s">
        <v>1710</v>
      </c>
      <c r="AE272" s="1651"/>
      <c r="AF272" s="1026"/>
      <c r="AG272" s="1912"/>
      <c r="AH272" s="1913"/>
      <c r="AI272" s="1651"/>
      <c r="AJ272" s="1026"/>
      <c r="AK272" s="1912"/>
      <c r="AL272" s="1913"/>
      <c r="AM272" s="1680">
        <f>SUM([1]előterjállamitám!$D$62)</f>
        <v>70000</v>
      </c>
      <c r="AN272" s="2023">
        <f>előterjállamitám!D64</f>
        <v>18504</v>
      </c>
      <c r="AO272" s="1865"/>
      <c r="AP272" s="1000"/>
      <c r="AQ272" s="1001"/>
      <c r="AR272" s="2090"/>
      <c r="AS272" s="1545"/>
      <c r="AT272" s="2090"/>
      <c r="AU272" s="1651"/>
      <c r="AV272" s="1026"/>
      <c r="AW272" s="1912"/>
      <c r="AX272" s="1913"/>
      <c r="AY272" s="965"/>
      <c r="AZ272" s="959"/>
      <c r="BA272" s="1651"/>
      <c r="BB272" s="1026"/>
      <c r="BC272" s="1912"/>
      <c r="BD272" s="1913"/>
      <c r="BE272" s="965"/>
      <c r="BF272" s="959"/>
      <c r="BG272" s="1651"/>
      <c r="BH272" s="1026"/>
      <c r="BI272" s="1912"/>
      <c r="BJ272" s="1913"/>
      <c r="BK272" s="1651"/>
      <c r="BL272" s="1026"/>
      <c r="BM272" s="1912"/>
      <c r="BN272" s="1913"/>
      <c r="BO272" s="1680"/>
      <c r="BP272" s="1986"/>
      <c r="BQ272" s="1680"/>
      <c r="BR272" s="2023"/>
      <c r="BS272" s="1651"/>
      <c r="BT272" s="1026"/>
      <c r="BU272" s="1912"/>
      <c r="BV272" s="1913"/>
      <c r="BW272" s="1680"/>
      <c r="BX272" s="2023"/>
      <c r="BY272" s="1651"/>
      <c r="BZ272" s="1026"/>
      <c r="CA272" s="1912"/>
      <c r="CB272" s="1913"/>
      <c r="CC272" s="1743"/>
      <c r="CD272" s="2150"/>
      <c r="CE272" s="965"/>
      <c r="CF272" s="959"/>
      <c r="CG272" s="1651"/>
      <c r="CH272" s="1026"/>
      <c r="CI272" s="1912"/>
      <c r="CJ272" s="1913"/>
      <c r="CK272" s="965"/>
      <c r="CL272" s="959"/>
      <c r="CM272" s="1651"/>
      <c r="CN272" s="1026"/>
      <c r="CO272" s="1912"/>
      <c r="CP272" s="1913"/>
      <c r="CQ272" s="1651"/>
      <c r="CR272" s="1026"/>
      <c r="CS272" s="1912"/>
      <c r="CT272" s="1913"/>
      <c r="CU272" s="1651"/>
      <c r="CV272" s="1026"/>
      <c r="CW272" s="1912"/>
      <c r="CX272" s="1913"/>
      <c r="CY272" s="1651"/>
      <c r="CZ272" s="1026"/>
      <c r="DA272" s="1912"/>
      <c r="DB272" s="1913"/>
      <c r="DC272" s="1680"/>
      <c r="DD272" s="2023"/>
      <c r="DE272" s="1651"/>
      <c r="DF272" s="1026"/>
      <c r="DG272" s="1912"/>
      <c r="DH272" s="1913"/>
      <c r="DI272" s="964"/>
      <c r="DJ272" s="959"/>
      <c r="DK272" s="1680"/>
      <c r="DL272" s="1986"/>
      <c r="DM272" s="1680"/>
      <c r="DN272" s="1986"/>
      <c r="DO272" s="1680"/>
      <c r="DP272" s="2023"/>
      <c r="DQ272" s="965"/>
      <c r="DR272" s="962"/>
      <c r="DS272" s="1651"/>
      <c r="DT272" s="1026"/>
      <c r="DU272" s="1912"/>
      <c r="DV272" s="1913"/>
      <c r="DW272" s="965"/>
      <c r="DX272" s="959"/>
      <c r="DY272" s="1651"/>
      <c r="DZ272" s="1026"/>
      <c r="EA272" s="1912"/>
      <c r="EB272" s="1913"/>
      <c r="EC272" s="1680"/>
      <c r="ED272" s="2023"/>
      <c r="EE272" s="965"/>
      <c r="EF272" s="959"/>
      <c r="EG272" s="1680"/>
      <c r="EH272" s="2023"/>
      <c r="EI272" s="1651"/>
      <c r="EJ272" s="1026"/>
      <c r="EK272" s="2204"/>
      <c r="EL272" s="1913"/>
      <c r="EM272" s="2202">
        <f t="shared" si="462"/>
        <v>18504</v>
      </c>
      <c r="EN272" s="1585">
        <f t="shared" si="463"/>
        <v>0</v>
      </c>
      <c r="EO272" s="1585">
        <f t="shared" si="464"/>
        <v>0</v>
      </c>
      <c r="EP272" s="1586">
        <f t="shared" si="461"/>
        <v>18504</v>
      </c>
      <c r="EQ272" s="999">
        <f t="shared" si="430"/>
        <v>70000</v>
      </c>
      <c r="ER272" s="1776">
        <f t="shared" si="431"/>
        <v>0</v>
      </c>
      <c r="ES272" s="1776">
        <f t="shared" si="432"/>
        <v>0</v>
      </c>
      <c r="ET272" s="1055">
        <f t="shared" si="465"/>
        <v>70000</v>
      </c>
    </row>
    <row r="273" spans="1:150" x14ac:dyDescent="0.25">
      <c r="A273" s="965"/>
      <c r="B273" s="959"/>
      <c r="C273" s="1651"/>
      <c r="D273" s="1026"/>
      <c r="E273" s="1912"/>
      <c r="F273" s="1913"/>
      <c r="G273" s="1680"/>
      <c r="H273" s="1986"/>
      <c r="I273" s="1680"/>
      <c r="J273" s="1986"/>
      <c r="K273" s="1680"/>
      <c r="L273" s="2023"/>
      <c r="M273" s="965"/>
      <c r="N273" s="959"/>
      <c r="O273" s="1680"/>
      <c r="P273" s="2023"/>
      <c r="Q273" s="1651"/>
      <c r="R273" s="1026"/>
      <c r="S273" s="1912"/>
      <c r="T273" s="1913"/>
      <c r="U273" s="1651"/>
      <c r="V273" s="1026"/>
      <c r="W273" s="1912"/>
      <c r="X273" s="1913"/>
      <c r="Y273" s="1651"/>
      <c r="Z273" s="1026"/>
      <c r="AA273" s="2054"/>
      <c r="AB273" s="1913"/>
      <c r="AC273" s="964">
        <v>9</v>
      </c>
      <c r="AD273" s="959"/>
      <c r="AE273" s="1651"/>
      <c r="AF273" s="1026"/>
      <c r="AG273" s="1912"/>
      <c r="AH273" s="1913"/>
      <c r="AI273" s="1651"/>
      <c r="AJ273" s="1026"/>
      <c r="AK273" s="1912"/>
      <c r="AL273" s="1913"/>
      <c r="AM273" s="1680"/>
      <c r="AN273" s="2023"/>
      <c r="AO273" s="1865"/>
      <c r="AP273" s="1000"/>
      <c r="AQ273" s="1001"/>
      <c r="AR273" s="2090"/>
      <c r="AS273" s="1545"/>
      <c r="AT273" s="2090"/>
      <c r="AU273" s="1651"/>
      <c r="AV273" s="1026"/>
      <c r="AW273" s="1912"/>
      <c r="AX273" s="1913"/>
      <c r="AY273" s="965"/>
      <c r="AZ273" s="959"/>
      <c r="BA273" s="1651"/>
      <c r="BB273" s="1026"/>
      <c r="BC273" s="1912"/>
      <c r="BD273" s="1913"/>
      <c r="BE273" s="965"/>
      <c r="BF273" s="959"/>
      <c r="BG273" s="1651"/>
      <c r="BH273" s="1026"/>
      <c r="BI273" s="1912"/>
      <c r="BJ273" s="1913"/>
      <c r="BK273" s="1651"/>
      <c r="BL273" s="1026"/>
      <c r="BM273" s="1912"/>
      <c r="BN273" s="1913"/>
      <c r="BO273" s="1680"/>
      <c r="BP273" s="1986"/>
      <c r="BQ273" s="1680"/>
      <c r="BR273" s="2023"/>
      <c r="BS273" s="1651"/>
      <c r="BT273" s="1026"/>
      <c r="BU273" s="1912"/>
      <c r="BV273" s="1913"/>
      <c r="BW273" s="1680"/>
      <c r="BX273" s="2023"/>
      <c r="BY273" s="1651"/>
      <c r="BZ273" s="1026"/>
      <c r="CA273" s="1912"/>
      <c r="CB273" s="1913"/>
      <c r="CC273" s="1743"/>
      <c r="CD273" s="2150"/>
      <c r="CE273" s="965"/>
      <c r="CF273" s="959"/>
      <c r="CG273" s="1651"/>
      <c r="CH273" s="1026"/>
      <c r="CI273" s="1912"/>
      <c r="CJ273" s="1913"/>
      <c r="CK273" s="965"/>
      <c r="CL273" s="959"/>
      <c r="CM273" s="1651"/>
      <c r="CN273" s="1026"/>
      <c r="CO273" s="1912"/>
      <c r="CP273" s="1913"/>
      <c r="CQ273" s="1651"/>
      <c r="CR273" s="1026"/>
      <c r="CS273" s="1912"/>
      <c r="CT273" s="1913"/>
      <c r="CU273" s="1651"/>
      <c r="CV273" s="1026"/>
      <c r="CW273" s="1912"/>
      <c r="CX273" s="1913"/>
      <c r="CY273" s="1651"/>
      <c r="CZ273" s="1026"/>
      <c r="DA273" s="1912"/>
      <c r="DB273" s="1913"/>
      <c r="DC273" s="1680"/>
      <c r="DD273" s="2023"/>
      <c r="DE273" s="1651"/>
      <c r="DF273" s="1026"/>
      <c r="DG273" s="1912"/>
      <c r="DH273" s="1913"/>
      <c r="DI273" s="964"/>
      <c r="DJ273" s="959"/>
      <c r="DK273" s="1680"/>
      <c r="DL273" s="1986"/>
      <c r="DM273" s="1680"/>
      <c r="DN273" s="1986"/>
      <c r="DO273" s="1680"/>
      <c r="DP273" s="2023"/>
      <c r="DQ273" s="965"/>
      <c r="DR273" s="962"/>
      <c r="DS273" s="1651"/>
      <c r="DT273" s="1026"/>
      <c r="DU273" s="1912"/>
      <c r="DV273" s="1913"/>
      <c r="DW273" s="965"/>
      <c r="DX273" s="959"/>
      <c r="DY273" s="1651"/>
      <c r="DZ273" s="1026"/>
      <c r="EA273" s="1912"/>
      <c r="EB273" s="1913"/>
      <c r="EC273" s="1680"/>
      <c r="ED273" s="2023"/>
      <c r="EE273" s="965"/>
      <c r="EF273" s="959"/>
      <c r="EG273" s="1680"/>
      <c r="EH273" s="2023"/>
      <c r="EI273" s="1651"/>
      <c r="EJ273" s="1026"/>
      <c r="EK273" s="2204"/>
      <c r="EL273" s="1913"/>
      <c r="EM273" s="2202">
        <f t="shared" si="462"/>
        <v>0</v>
      </c>
      <c r="EN273" s="1585">
        <f t="shared" si="463"/>
        <v>0</v>
      </c>
      <c r="EO273" s="1585">
        <f t="shared" si="464"/>
        <v>0</v>
      </c>
      <c r="EP273" s="1586">
        <f t="shared" si="461"/>
        <v>0</v>
      </c>
      <c r="EQ273" s="999">
        <f t="shared" si="430"/>
        <v>0</v>
      </c>
      <c r="ER273" s="1776">
        <f t="shared" si="431"/>
        <v>0</v>
      </c>
      <c r="ES273" s="1776">
        <f t="shared" si="432"/>
        <v>0</v>
      </c>
      <c r="ET273" s="1055">
        <f t="shared" si="465"/>
        <v>0</v>
      </c>
    </row>
    <row r="274" spans="1:150" ht="19.95" customHeight="1" thickBot="1" x14ac:dyDescent="0.3">
      <c r="A274" s="968"/>
      <c r="B274" s="969" t="s">
        <v>1711</v>
      </c>
      <c r="C274" s="1656">
        <f t="shared" ref="C274:L274" si="466">SUM(C264:C273)</f>
        <v>0</v>
      </c>
      <c r="D274" s="1642">
        <f t="shared" si="466"/>
        <v>0</v>
      </c>
      <c r="E274" s="1926">
        <f t="shared" si="466"/>
        <v>0</v>
      </c>
      <c r="F274" s="1927">
        <f t="shared" si="466"/>
        <v>0</v>
      </c>
      <c r="G274" s="1058">
        <f t="shared" si="466"/>
        <v>0</v>
      </c>
      <c r="H274" s="1992">
        <f t="shared" si="466"/>
        <v>0</v>
      </c>
      <c r="I274" s="1058">
        <f t="shared" si="466"/>
        <v>0</v>
      </c>
      <c r="J274" s="1992">
        <f t="shared" si="466"/>
        <v>0</v>
      </c>
      <c r="K274" s="1058">
        <f t="shared" si="466"/>
        <v>0</v>
      </c>
      <c r="L274" s="1992">
        <f t="shared" si="466"/>
        <v>0</v>
      </c>
      <c r="M274" s="1897"/>
      <c r="N274" s="969" t="s">
        <v>1711</v>
      </c>
      <c r="O274" s="1058">
        <f t="shared" ref="O274:AB274" si="467">SUM(O264:O273)</f>
        <v>0</v>
      </c>
      <c r="P274" s="1992">
        <f t="shared" si="467"/>
        <v>0</v>
      </c>
      <c r="Q274" s="1656">
        <f t="shared" si="467"/>
        <v>0</v>
      </c>
      <c r="R274" s="1642">
        <f t="shared" si="467"/>
        <v>0</v>
      </c>
      <c r="S274" s="1926">
        <f t="shared" si="467"/>
        <v>0</v>
      </c>
      <c r="T274" s="1927">
        <f t="shared" si="467"/>
        <v>0</v>
      </c>
      <c r="U274" s="1656">
        <f t="shared" si="467"/>
        <v>0</v>
      </c>
      <c r="V274" s="1642">
        <f t="shared" si="467"/>
        <v>0</v>
      </c>
      <c r="W274" s="1926">
        <f t="shared" si="467"/>
        <v>0</v>
      </c>
      <c r="X274" s="1927">
        <f t="shared" si="467"/>
        <v>0</v>
      </c>
      <c r="Y274" s="1656">
        <f t="shared" si="467"/>
        <v>0</v>
      </c>
      <c r="Z274" s="1642">
        <f t="shared" si="467"/>
        <v>0</v>
      </c>
      <c r="AA274" s="1926">
        <f t="shared" si="467"/>
        <v>0</v>
      </c>
      <c r="AB274" s="1927">
        <f t="shared" si="467"/>
        <v>0</v>
      </c>
      <c r="AC274" s="970"/>
      <c r="AD274" s="969" t="s">
        <v>1711</v>
      </c>
      <c r="AE274" s="1656">
        <f t="shared" ref="AE274:AX274" si="468">SUM(AE264:AE273)</f>
        <v>0</v>
      </c>
      <c r="AF274" s="1642">
        <f t="shared" si="468"/>
        <v>0</v>
      </c>
      <c r="AG274" s="1926">
        <f t="shared" si="468"/>
        <v>0</v>
      </c>
      <c r="AH274" s="1927">
        <f t="shared" si="468"/>
        <v>0</v>
      </c>
      <c r="AI274" s="1656">
        <f t="shared" si="468"/>
        <v>0</v>
      </c>
      <c r="AJ274" s="1642">
        <f t="shared" si="468"/>
        <v>0</v>
      </c>
      <c r="AK274" s="1926">
        <f t="shared" si="468"/>
        <v>0</v>
      </c>
      <c r="AL274" s="1927">
        <f t="shared" si="468"/>
        <v>0</v>
      </c>
      <c r="AM274" s="1058">
        <f t="shared" si="468"/>
        <v>7807000</v>
      </c>
      <c r="AN274" s="1992">
        <f t="shared" si="468"/>
        <v>8835936</v>
      </c>
      <c r="AO274" s="1656">
        <f t="shared" si="468"/>
        <v>0</v>
      </c>
      <c r="AP274" s="1854">
        <f t="shared" si="468"/>
        <v>0</v>
      </c>
      <c r="AQ274" s="1030">
        <f t="shared" si="468"/>
        <v>0</v>
      </c>
      <c r="AR274" s="1926">
        <f t="shared" si="468"/>
        <v>0</v>
      </c>
      <c r="AS274" s="2096">
        <f t="shared" si="468"/>
        <v>0</v>
      </c>
      <c r="AT274" s="2097">
        <f t="shared" si="468"/>
        <v>0</v>
      </c>
      <c r="AU274" s="1656">
        <f t="shared" si="468"/>
        <v>0</v>
      </c>
      <c r="AV274" s="1642">
        <f t="shared" si="468"/>
        <v>0</v>
      </c>
      <c r="AW274" s="1926">
        <f t="shared" si="468"/>
        <v>0</v>
      </c>
      <c r="AX274" s="1927">
        <f t="shared" si="468"/>
        <v>0</v>
      </c>
      <c r="AY274" s="968"/>
      <c r="AZ274" s="969" t="s">
        <v>1711</v>
      </c>
      <c r="BA274" s="1656">
        <f t="shared" ref="BA274:BD274" si="469">SUM(BA264:BA273)</f>
        <v>0</v>
      </c>
      <c r="BB274" s="1642">
        <f t="shared" si="469"/>
        <v>0</v>
      </c>
      <c r="BC274" s="1926">
        <f t="shared" si="469"/>
        <v>0</v>
      </c>
      <c r="BD274" s="1927">
        <f t="shared" si="469"/>
        <v>0</v>
      </c>
      <c r="BE274" s="968"/>
      <c r="BF274" s="969" t="s">
        <v>1711</v>
      </c>
      <c r="BG274" s="1656">
        <f t="shared" ref="BG274:CD274" si="470">SUM(BG264:BG273)</f>
        <v>0</v>
      </c>
      <c r="BH274" s="1642">
        <f t="shared" si="470"/>
        <v>0</v>
      </c>
      <c r="BI274" s="1926">
        <f t="shared" si="470"/>
        <v>0</v>
      </c>
      <c r="BJ274" s="1927">
        <f t="shared" si="470"/>
        <v>0</v>
      </c>
      <c r="BK274" s="1656">
        <f t="shared" si="470"/>
        <v>0</v>
      </c>
      <c r="BL274" s="1642">
        <f t="shared" si="470"/>
        <v>0</v>
      </c>
      <c r="BM274" s="1926">
        <f t="shared" si="470"/>
        <v>0</v>
      </c>
      <c r="BN274" s="1927">
        <f t="shared" si="470"/>
        <v>0</v>
      </c>
      <c r="BO274" s="1058">
        <f t="shared" si="470"/>
        <v>0</v>
      </c>
      <c r="BP274" s="1992">
        <f t="shared" si="470"/>
        <v>0</v>
      </c>
      <c r="BQ274" s="1058">
        <f t="shared" si="470"/>
        <v>0</v>
      </c>
      <c r="BR274" s="1992">
        <f t="shared" si="470"/>
        <v>0</v>
      </c>
      <c r="BS274" s="1656">
        <f t="shared" si="470"/>
        <v>0</v>
      </c>
      <c r="BT274" s="1642">
        <f t="shared" si="470"/>
        <v>0</v>
      </c>
      <c r="BU274" s="1926">
        <f t="shared" si="470"/>
        <v>0</v>
      </c>
      <c r="BV274" s="1927">
        <f t="shared" si="470"/>
        <v>0</v>
      </c>
      <c r="BW274" s="1058">
        <f t="shared" si="470"/>
        <v>0</v>
      </c>
      <c r="BX274" s="1992">
        <f t="shared" si="470"/>
        <v>0</v>
      </c>
      <c r="BY274" s="1656">
        <f t="shared" si="470"/>
        <v>0</v>
      </c>
      <c r="BZ274" s="1642">
        <f t="shared" si="470"/>
        <v>0</v>
      </c>
      <c r="CA274" s="1926">
        <f t="shared" si="470"/>
        <v>0</v>
      </c>
      <c r="CB274" s="1927">
        <f t="shared" si="470"/>
        <v>0</v>
      </c>
      <c r="CC274" s="1705">
        <f t="shared" si="470"/>
        <v>0</v>
      </c>
      <c r="CD274" s="2159">
        <f t="shared" si="470"/>
        <v>0</v>
      </c>
      <c r="CE274" s="968"/>
      <c r="CF274" s="969" t="s">
        <v>1711</v>
      </c>
      <c r="CG274" s="1656">
        <f t="shared" ref="CG274:CJ274" si="471">SUM(CG264:CG273)</f>
        <v>0</v>
      </c>
      <c r="CH274" s="1642">
        <f t="shared" si="471"/>
        <v>0</v>
      </c>
      <c r="CI274" s="1926">
        <f t="shared" si="471"/>
        <v>0</v>
      </c>
      <c r="CJ274" s="1927">
        <f t="shared" si="471"/>
        <v>0</v>
      </c>
      <c r="CK274" s="968"/>
      <c r="CL274" s="969" t="s">
        <v>1711</v>
      </c>
      <c r="CM274" s="1656">
        <f t="shared" ref="CM274:DH274" si="472">SUM(CM264:CM273)</f>
        <v>0</v>
      </c>
      <c r="CN274" s="1642">
        <f t="shared" si="472"/>
        <v>0</v>
      </c>
      <c r="CO274" s="1926">
        <f t="shared" si="472"/>
        <v>0</v>
      </c>
      <c r="CP274" s="1927">
        <f t="shared" si="472"/>
        <v>0</v>
      </c>
      <c r="CQ274" s="1656">
        <f t="shared" si="472"/>
        <v>0</v>
      </c>
      <c r="CR274" s="1642">
        <f t="shared" si="472"/>
        <v>0</v>
      </c>
      <c r="CS274" s="1926">
        <f t="shared" si="472"/>
        <v>0</v>
      </c>
      <c r="CT274" s="1927">
        <f t="shared" si="472"/>
        <v>0</v>
      </c>
      <c r="CU274" s="1656">
        <f t="shared" si="472"/>
        <v>0</v>
      </c>
      <c r="CV274" s="1642">
        <f t="shared" si="472"/>
        <v>0</v>
      </c>
      <c r="CW274" s="1926">
        <f t="shared" si="472"/>
        <v>0</v>
      </c>
      <c r="CX274" s="1927">
        <f t="shared" si="472"/>
        <v>0</v>
      </c>
      <c r="CY274" s="1656">
        <f t="shared" si="472"/>
        <v>0</v>
      </c>
      <c r="CZ274" s="1642">
        <f t="shared" si="472"/>
        <v>0</v>
      </c>
      <c r="DA274" s="1926">
        <f t="shared" si="472"/>
        <v>0</v>
      </c>
      <c r="DB274" s="1927">
        <f t="shared" si="472"/>
        <v>0</v>
      </c>
      <c r="DC274" s="1058">
        <f t="shared" si="472"/>
        <v>0</v>
      </c>
      <c r="DD274" s="1992">
        <f t="shared" si="472"/>
        <v>0</v>
      </c>
      <c r="DE274" s="1656">
        <f t="shared" si="472"/>
        <v>0</v>
      </c>
      <c r="DF274" s="1642">
        <f t="shared" si="472"/>
        <v>0</v>
      </c>
      <c r="DG274" s="1926">
        <f t="shared" si="472"/>
        <v>0</v>
      </c>
      <c r="DH274" s="1927">
        <f t="shared" si="472"/>
        <v>0</v>
      </c>
      <c r="DI274" s="970"/>
      <c r="DJ274" s="969" t="s">
        <v>1711</v>
      </c>
      <c r="DK274" s="1058">
        <f t="shared" ref="DK274:DL274" si="473">SUM(DK264:DK273)</f>
        <v>0</v>
      </c>
      <c r="DL274" s="1992">
        <f t="shared" si="473"/>
        <v>0</v>
      </c>
      <c r="DM274" s="1058">
        <f t="shared" ref="DM274:DP274" si="474">SUM(DM264:DM273)</f>
        <v>0</v>
      </c>
      <c r="DN274" s="1992">
        <f t="shared" si="474"/>
        <v>0</v>
      </c>
      <c r="DO274" s="1058">
        <f t="shared" si="474"/>
        <v>0</v>
      </c>
      <c r="DP274" s="1992">
        <f t="shared" si="474"/>
        <v>0</v>
      </c>
      <c r="DQ274" s="968"/>
      <c r="DR274" s="972" t="s">
        <v>1711</v>
      </c>
      <c r="DS274" s="1656">
        <f t="shared" ref="DS274:DV274" si="475">SUM(DS264:DS273)</f>
        <v>0</v>
      </c>
      <c r="DT274" s="1642">
        <f t="shared" si="475"/>
        <v>0</v>
      </c>
      <c r="DU274" s="1926">
        <f t="shared" si="475"/>
        <v>0</v>
      </c>
      <c r="DV274" s="1927">
        <f t="shared" si="475"/>
        <v>0</v>
      </c>
      <c r="DW274" s="968"/>
      <c r="DX274" s="969" t="s">
        <v>1711</v>
      </c>
      <c r="DY274" s="1656">
        <f t="shared" ref="DY274:ED274" si="476">SUM(DY264:DY273)</f>
        <v>0</v>
      </c>
      <c r="DZ274" s="1642">
        <f t="shared" si="476"/>
        <v>0</v>
      </c>
      <c r="EA274" s="1926">
        <f t="shared" si="476"/>
        <v>0</v>
      </c>
      <c r="EB274" s="1927">
        <f t="shared" si="476"/>
        <v>0</v>
      </c>
      <c r="EC274" s="1058">
        <f t="shared" si="476"/>
        <v>0</v>
      </c>
      <c r="ED274" s="1992">
        <f t="shared" si="476"/>
        <v>0</v>
      </c>
      <c r="EE274" s="968"/>
      <c r="EF274" s="969" t="s">
        <v>1711</v>
      </c>
      <c r="EG274" s="1058">
        <f t="shared" ref="EG274:EO274" si="477">SUM(EG264:EG273)</f>
        <v>0</v>
      </c>
      <c r="EH274" s="1992">
        <f t="shared" si="477"/>
        <v>0</v>
      </c>
      <c r="EI274" s="1656">
        <f t="shared" si="477"/>
        <v>0</v>
      </c>
      <c r="EJ274" s="1642">
        <f t="shared" si="477"/>
        <v>0</v>
      </c>
      <c r="EK274" s="1926">
        <f t="shared" si="477"/>
        <v>0</v>
      </c>
      <c r="EL274" s="1927">
        <f t="shared" si="477"/>
        <v>0</v>
      </c>
      <c r="EM274" s="1927">
        <f t="shared" si="477"/>
        <v>8835936</v>
      </c>
      <c r="EN274" s="1927">
        <f t="shared" si="477"/>
        <v>0</v>
      </c>
      <c r="EO274" s="1927">
        <f t="shared" si="477"/>
        <v>0</v>
      </c>
      <c r="EP274" s="1962">
        <f t="shared" si="461"/>
        <v>8835936</v>
      </c>
      <c r="EQ274" s="1707">
        <f t="shared" si="430"/>
        <v>7807000</v>
      </c>
      <c r="ER274" s="1786">
        <f t="shared" si="431"/>
        <v>0</v>
      </c>
      <c r="ES274" s="1786">
        <f t="shared" si="432"/>
        <v>0</v>
      </c>
      <c r="ET274" s="1061">
        <f t="shared" si="465"/>
        <v>7807000</v>
      </c>
    </row>
    <row r="275" spans="1:150" ht="19.95" customHeight="1" x14ac:dyDescent="0.25">
      <c r="A275" s="948"/>
      <c r="B275" s="949" t="s">
        <v>133</v>
      </c>
      <c r="C275" s="1670"/>
      <c r="D275" s="1633"/>
      <c r="E275" s="1956"/>
      <c r="F275" s="1957"/>
      <c r="G275" s="1694"/>
      <c r="H275" s="2009"/>
      <c r="I275" s="1694"/>
      <c r="J275" s="2009"/>
      <c r="K275" s="1694"/>
      <c r="L275" s="2039"/>
      <c r="M275" s="948"/>
      <c r="N275" s="949" t="s">
        <v>133</v>
      </c>
      <c r="O275" s="1694"/>
      <c r="P275" s="2039"/>
      <c r="Q275" s="1670"/>
      <c r="R275" s="1633"/>
      <c r="S275" s="1956"/>
      <c r="T275" s="1957"/>
      <c r="U275" s="1670"/>
      <c r="V275" s="1633"/>
      <c r="W275" s="1956"/>
      <c r="X275" s="1957"/>
      <c r="Y275" s="1670"/>
      <c r="Z275" s="1633"/>
      <c r="AA275" s="2073"/>
      <c r="AB275" s="1957"/>
      <c r="AC275" s="950"/>
      <c r="AD275" s="949" t="s">
        <v>133</v>
      </c>
      <c r="AE275" s="1670"/>
      <c r="AF275" s="1633"/>
      <c r="AG275" s="1956"/>
      <c r="AH275" s="1957"/>
      <c r="AI275" s="1670"/>
      <c r="AJ275" s="1633"/>
      <c r="AK275" s="1956"/>
      <c r="AL275" s="1957"/>
      <c r="AM275" s="1694"/>
      <c r="AN275" s="2039"/>
      <c r="AO275" s="1878"/>
      <c r="AP275" s="1726"/>
      <c r="AQ275" s="1727"/>
      <c r="AR275" s="2120"/>
      <c r="AS275" s="2121"/>
      <c r="AT275" s="2120"/>
      <c r="AU275" s="1670"/>
      <c r="AV275" s="1633"/>
      <c r="AW275" s="1956"/>
      <c r="AX275" s="1957"/>
      <c r="AY275" s="948"/>
      <c r="AZ275" s="949" t="s">
        <v>133</v>
      </c>
      <c r="BA275" s="1670"/>
      <c r="BB275" s="1633"/>
      <c r="BC275" s="1956"/>
      <c r="BD275" s="1957"/>
      <c r="BE275" s="948"/>
      <c r="BF275" s="949" t="s">
        <v>133</v>
      </c>
      <c r="BG275" s="1670"/>
      <c r="BH275" s="1633"/>
      <c r="BI275" s="1956"/>
      <c r="BJ275" s="1957"/>
      <c r="BK275" s="1670"/>
      <c r="BL275" s="1633"/>
      <c r="BM275" s="1956"/>
      <c r="BN275" s="1957"/>
      <c r="BO275" s="1694"/>
      <c r="BP275" s="2009"/>
      <c r="BQ275" s="1694"/>
      <c r="BR275" s="2039"/>
      <c r="BS275" s="1670"/>
      <c r="BT275" s="1633"/>
      <c r="BU275" s="1956"/>
      <c r="BV275" s="1957"/>
      <c r="BW275" s="1694"/>
      <c r="BX275" s="2039"/>
      <c r="BY275" s="1670"/>
      <c r="BZ275" s="1633"/>
      <c r="CA275" s="1956"/>
      <c r="CB275" s="1957"/>
      <c r="CC275" s="1762"/>
      <c r="CD275" s="2172"/>
      <c r="CE275" s="948"/>
      <c r="CF275" s="949" t="s">
        <v>133</v>
      </c>
      <c r="CG275" s="1670"/>
      <c r="CH275" s="1633"/>
      <c r="CI275" s="1956"/>
      <c r="CJ275" s="1957"/>
      <c r="CK275" s="948"/>
      <c r="CL275" s="949" t="s">
        <v>133</v>
      </c>
      <c r="CM275" s="1670"/>
      <c r="CN275" s="1633"/>
      <c r="CO275" s="1956"/>
      <c r="CP275" s="1957"/>
      <c r="CQ275" s="1670"/>
      <c r="CR275" s="1633"/>
      <c r="CS275" s="1956"/>
      <c r="CT275" s="1957"/>
      <c r="CU275" s="1670"/>
      <c r="CV275" s="1633"/>
      <c r="CW275" s="1956"/>
      <c r="CX275" s="1957"/>
      <c r="CY275" s="1670"/>
      <c r="CZ275" s="1633"/>
      <c r="DA275" s="1956"/>
      <c r="DB275" s="1957"/>
      <c r="DC275" s="1694"/>
      <c r="DD275" s="2039"/>
      <c r="DE275" s="1670"/>
      <c r="DF275" s="1633"/>
      <c r="DG275" s="1956"/>
      <c r="DH275" s="1957"/>
      <c r="DI275" s="950"/>
      <c r="DJ275" s="949" t="s">
        <v>133</v>
      </c>
      <c r="DK275" s="1694"/>
      <c r="DL275" s="2009"/>
      <c r="DM275" s="1694"/>
      <c r="DN275" s="2009"/>
      <c r="DO275" s="1694"/>
      <c r="DP275" s="2039"/>
      <c r="DQ275" s="948"/>
      <c r="DR275" s="951" t="s">
        <v>133</v>
      </c>
      <c r="DS275" s="1670"/>
      <c r="DT275" s="1633"/>
      <c r="DU275" s="1956"/>
      <c r="DV275" s="1957"/>
      <c r="DW275" s="948"/>
      <c r="DX275" s="949" t="s">
        <v>133</v>
      </c>
      <c r="DY275" s="1670"/>
      <c r="DZ275" s="1633"/>
      <c r="EA275" s="1956"/>
      <c r="EB275" s="1957"/>
      <c r="EC275" s="1694"/>
      <c r="ED275" s="2039"/>
      <c r="EE275" s="948"/>
      <c r="EF275" s="949" t="s">
        <v>133</v>
      </c>
      <c r="EG275" s="1694"/>
      <c r="EH275" s="2039"/>
      <c r="EI275" s="1670"/>
      <c r="EJ275" s="1633"/>
      <c r="EK275" s="2215"/>
      <c r="EL275" s="1929"/>
      <c r="EM275" s="2216"/>
      <c r="EN275" s="1597"/>
      <c r="EO275" s="1597"/>
      <c r="EP275" s="1597">
        <f t="shared" si="461"/>
        <v>0</v>
      </c>
      <c r="EQ275" s="1162">
        <f t="shared" si="430"/>
        <v>0</v>
      </c>
      <c r="ER275" s="1785">
        <f t="shared" si="431"/>
        <v>0</v>
      </c>
      <c r="ES275" s="1785">
        <f t="shared" si="432"/>
        <v>0</v>
      </c>
      <c r="ET275" s="1070">
        <f t="shared" si="465"/>
        <v>0</v>
      </c>
    </row>
    <row r="276" spans="1:150" s="368" customFormat="1" ht="26.4" x14ac:dyDescent="0.25">
      <c r="A276" s="1002">
        <v>1</v>
      </c>
      <c r="B276" s="1045"/>
      <c r="C276" s="1043"/>
      <c r="D276" s="1039"/>
      <c r="E276" s="1930"/>
      <c r="F276" s="1931"/>
      <c r="G276" s="1072"/>
      <c r="H276" s="1994"/>
      <c r="I276" s="1072"/>
      <c r="J276" s="1994"/>
      <c r="K276" s="1072"/>
      <c r="L276" s="2029"/>
      <c r="M276" s="1002">
        <v>1</v>
      </c>
      <c r="N276" s="1073" t="s">
        <v>1712</v>
      </c>
      <c r="O276" s="1072"/>
      <c r="P276" s="2029"/>
      <c r="Q276" s="1043"/>
      <c r="R276" s="1039"/>
      <c r="S276" s="1930"/>
      <c r="T276" s="1931"/>
      <c r="U276" s="1043">
        <v>2303</v>
      </c>
      <c r="V276" s="1039"/>
      <c r="W276" s="1930">
        <v>2398</v>
      </c>
      <c r="X276" s="1931"/>
      <c r="Y276" s="1043"/>
      <c r="Z276" s="1039"/>
      <c r="AA276" s="2063"/>
      <c r="AB276" s="1931"/>
      <c r="AC276" s="998">
        <v>1</v>
      </c>
      <c r="AD276" s="980" t="s">
        <v>1699</v>
      </c>
      <c r="AE276" s="1043"/>
      <c r="AF276" s="1039"/>
      <c r="AG276" s="1930"/>
      <c r="AH276" s="1931"/>
      <c r="AI276" s="1043"/>
      <c r="AJ276" s="1039"/>
      <c r="AK276" s="1930"/>
      <c r="AL276" s="1931"/>
      <c r="AM276" s="1072"/>
      <c r="AN276" s="2029"/>
      <c r="AO276" s="1718"/>
      <c r="AP276" s="1159"/>
      <c r="AQ276" s="1076"/>
      <c r="AR276" s="2099"/>
      <c r="AS276" s="1444"/>
      <c r="AT276" s="2099"/>
      <c r="AU276" s="1043"/>
      <c r="AV276" s="1039"/>
      <c r="AW276" s="1930"/>
      <c r="AX276" s="1931"/>
      <c r="AY276" s="1002">
        <v>1</v>
      </c>
      <c r="AZ276" s="1045"/>
      <c r="BA276" s="1043"/>
      <c r="BB276" s="1039"/>
      <c r="BC276" s="1930"/>
      <c r="BD276" s="1931"/>
      <c r="BE276" s="1002">
        <v>1</v>
      </c>
      <c r="BF276" s="987" t="s">
        <v>1713</v>
      </c>
      <c r="BG276" s="1043">
        <v>887682</v>
      </c>
      <c r="BH276" s="1039"/>
      <c r="BI276" s="1930">
        <v>991772</v>
      </c>
      <c r="BJ276" s="1931">
        <v>272258</v>
      </c>
      <c r="BK276" s="1043"/>
      <c r="BL276" s="1039"/>
      <c r="BM276" s="1930"/>
      <c r="BN276" s="1931"/>
      <c r="BO276" s="1072"/>
      <c r="BP276" s="1994"/>
      <c r="BQ276" s="1072"/>
      <c r="BR276" s="2029"/>
      <c r="BS276" s="1043"/>
      <c r="BT276" s="1039"/>
      <c r="BU276" s="1930"/>
      <c r="BV276" s="1931"/>
      <c r="BW276" s="1072"/>
      <c r="BX276" s="2029"/>
      <c r="BY276" s="1043"/>
      <c r="BZ276" s="1039"/>
      <c r="CA276" s="1930"/>
      <c r="CB276" s="1931"/>
      <c r="CC276" s="1750"/>
      <c r="CD276" s="2157"/>
      <c r="CE276" s="1002">
        <v>1</v>
      </c>
      <c r="CF276" s="980" t="s">
        <v>1714</v>
      </c>
      <c r="CG276" s="1043">
        <v>1300</v>
      </c>
      <c r="CH276" s="1039"/>
      <c r="CI276" s="1930"/>
      <c r="CJ276" s="1931"/>
      <c r="CK276" s="1002">
        <v>1</v>
      </c>
      <c r="CL276" s="980" t="s">
        <v>1715</v>
      </c>
      <c r="CM276" s="1043"/>
      <c r="CN276" s="1039"/>
      <c r="CO276" s="1930"/>
      <c r="CP276" s="1931"/>
      <c r="CQ276" s="1043"/>
      <c r="CR276" s="1039"/>
      <c r="CS276" s="1930"/>
      <c r="CT276" s="1931"/>
      <c r="CU276" s="1043"/>
      <c r="CV276" s="1039"/>
      <c r="CW276" s="1930"/>
      <c r="CX276" s="1931"/>
      <c r="CY276" s="1043"/>
      <c r="CZ276" s="1039"/>
      <c r="DA276" s="1930"/>
      <c r="DB276" s="1931"/>
      <c r="DC276" s="1072"/>
      <c r="DD276" s="2029"/>
      <c r="DE276" s="1043"/>
      <c r="DF276" s="1039"/>
      <c r="DG276" s="1930"/>
      <c r="DH276" s="1931"/>
      <c r="DI276" s="998"/>
      <c r="DJ276" s="1045"/>
      <c r="DK276" s="1072"/>
      <c r="DL276" s="1994"/>
      <c r="DM276" s="1072"/>
      <c r="DN276" s="1994"/>
      <c r="DO276" s="1072"/>
      <c r="DP276" s="2029"/>
      <c r="DQ276" s="1002">
        <v>1</v>
      </c>
      <c r="DR276" s="1050"/>
      <c r="DS276" s="1043"/>
      <c r="DT276" s="1039"/>
      <c r="DU276" s="1930"/>
      <c r="DV276" s="1931"/>
      <c r="DW276" s="1002">
        <v>1</v>
      </c>
      <c r="DX276" s="1045" t="s">
        <v>1716</v>
      </c>
      <c r="DY276" s="1043">
        <v>15000</v>
      </c>
      <c r="DZ276" s="1039"/>
      <c r="EA276" s="1930">
        <v>20000</v>
      </c>
      <c r="EB276" s="1931"/>
      <c r="EC276" s="1072"/>
      <c r="ED276" s="2029"/>
      <c r="EE276" s="1002">
        <v>1</v>
      </c>
      <c r="EF276" s="1045"/>
      <c r="EG276" s="1072"/>
      <c r="EH276" s="2029"/>
      <c r="EI276" s="1043"/>
      <c r="EJ276" s="1039"/>
      <c r="EK276" s="2217"/>
      <c r="EL276" s="1931"/>
      <c r="EM276" s="2202">
        <f t="shared" ref="EM276:EM311" si="478">E276+S276+W276+AA276+AG276+AK276+AN276+AR276+AW276+BC276+BI276+BM276+BR276+BU276+CA276+CD276+CI276+CO276+CS276+CW276+DA276+DG276+DU276+EA276+EK276</f>
        <v>1014170</v>
      </c>
      <c r="EN276" s="1585">
        <f t="shared" ref="EN276:EN311" si="479">F276+H276+J276+L276+P276+T276+X276+AB276+AH276+AL276+AS276+AX276+BD276+BJ276+BN276+BP276+BV276+BX276+CB276+CJ276+CP276+CT276+CX276+DB276+DD276+DH276+DN276+DP276+DV276+EB276+ED276+EH276+EL276+DL276</f>
        <v>272258</v>
      </c>
      <c r="EO276" s="1585">
        <f t="shared" ref="EO276:EO311" si="480">AQ276</f>
        <v>0</v>
      </c>
      <c r="EP276" s="1597">
        <f t="shared" si="461"/>
        <v>1286428</v>
      </c>
      <c r="EQ276" s="1162">
        <f t="shared" si="430"/>
        <v>906285</v>
      </c>
      <c r="ER276" s="1785">
        <f t="shared" si="431"/>
        <v>0</v>
      </c>
      <c r="ES276" s="1785">
        <f t="shared" si="432"/>
        <v>0</v>
      </c>
      <c r="ET276" s="1070">
        <f t="shared" si="465"/>
        <v>906285</v>
      </c>
    </row>
    <row r="277" spans="1:150" s="368" customFormat="1" x14ac:dyDescent="0.25">
      <c r="A277" s="1002">
        <v>2</v>
      </c>
      <c r="B277" s="1073"/>
      <c r="C277" s="1675"/>
      <c r="D277" s="1160"/>
      <c r="E277" s="1967"/>
      <c r="F277" s="1968"/>
      <c r="G277" s="1161"/>
      <c r="H277" s="2015"/>
      <c r="I277" s="1161"/>
      <c r="J277" s="2015"/>
      <c r="K277" s="1161"/>
      <c r="L277" s="2043"/>
      <c r="M277" s="1002">
        <v>2</v>
      </c>
      <c r="N277" s="1073" t="s">
        <v>1717</v>
      </c>
      <c r="O277" s="1161"/>
      <c r="P277" s="2043"/>
      <c r="Q277" s="1675"/>
      <c r="R277" s="1160"/>
      <c r="S277" s="1967"/>
      <c r="T277" s="1968"/>
      <c r="U277" s="1675">
        <v>3300</v>
      </c>
      <c r="V277" s="1160"/>
      <c r="W277" s="1967">
        <v>3300</v>
      </c>
      <c r="X277" s="1968"/>
      <c r="Y277" s="1675"/>
      <c r="Z277" s="1160"/>
      <c r="AA277" s="2079"/>
      <c r="AB277" s="1968"/>
      <c r="AC277" s="998">
        <v>2</v>
      </c>
      <c r="AD277" s="1073"/>
      <c r="AE277" s="1675"/>
      <c r="AF277" s="1160"/>
      <c r="AG277" s="1967"/>
      <c r="AH277" s="1968"/>
      <c r="AI277" s="1675"/>
      <c r="AJ277" s="1160"/>
      <c r="AK277" s="1967"/>
      <c r="AL277" s="1968"/>
      <c r="AM277" s="1161"/>
      <c r="AN277" s="2043"/>
      <c r="AO277" s="1869"/>
      <c r="AP277" s="1159"/>
      <c r="AQ277" s="1163"/>
      <c r="AR277" s="2133"/>
      <c r="AS277" s="1551"/>
      <c r="AT277" s="2133"/>
      <c r="AU277" s="1675"/>
      <c r="AV277" s="1160"/>
      <c r="AW277" s="1967"/>
      <c r="AX277" s="1968"/>
      <c r="AY277" s="1002">
        <v>2</v>
      </c>
      <c r="AZ277" s="1073"/>
      <c r="BA277" s="1675"/>
      <c r="BB277" s="1160"/>
      <c r="BC277" s="1967"/>
      <c r="BD277" s="1968"/>
      <c r="BE277" s="1002">
        <v>2</v>
      </c>
      <c r="BF277" s="987" t="s">
        <v>1718</v>
      </c>
      <c r="BG277" s="1675">
        <v>197328</v>
      </c>
      <c r="BH277" s="1160"/>
      <c r="BI277" s="1967">
        <v>247638</v>
      </c>
      <c r="BJ277" s="1968">
        <v>61742</v>
      </c>
      <c r="BK277" s="1675"/>
      <c r="BL277" s="1160"/>
      <c r="BM277" s="1967"/>
      <c r="BN277" s="1968"/>
      <c r="BO277" s="1161"/>
      <c r="BP277" s="2015"/>
      <c r="BQ277" s="1161"/>
      <c r="BR277" s="2043"/>
      <c r="BS277" s="1675"/>
      <c r="BT277" s="1160"/>
      <c r="BU277" s="1967"/>
      <c r="BV277" s="1968"/>
      <c r="BW277" s="1161"/>
      <c r="BX277" s="2043"/>
      <c r="BY277" s="1675"/>
      <c r="BZ277" s="1160"/>
      <c r="CA277" s="1967"/>
      <c r="CB277" s="1968"/>
      <c r="CC277" s="1766"/>
      <c r="CD277" s="2180"/>
      <c r="CE277" s="1002">
        <v>2</v>
      </c>
      <c r="CF277" s="987" t="s">
        <v>1719</v>
      </c>
      <c r="CG277" s="1675"/>
      <c r="CH277" s="1160"/>
      <c r="CI277" s="1967"/>
      <c r="CJ277" s="1968"/>
      <c r="CK277" s="1002">
        <v>2</v>
      </c>
      <c r="CL277" s="987" t="s">
        <v>1720</v>
      </c>
      <c r="CM277" s="1675"/>
      <c r="CN277" s="1160"/>
      <c r="CO277" s="1967"/>
      <c r="CP277" s="1968"/>
      <c r="CQ277" s="1675"/>
      <c r="CR277" s="1160"/>
      <c r="CS277" s="1967"/>
      <c r="CT277" s="1968"/>
      <c r="CU277" s="1675"/>
      <c r="CV277" s="1160"/>
      <c r="CW277" s="1967"/>
      <c r="CX277" s="1968"/>
      <c r="CY277" s="1675"/>
      <c r="CZ277" s="1160"/>
      <c r="DA277" s="1967"/>
      <c r="DB277" s="1968"/>
      <c r="DC277" s="1161"/>
      <c r="DD277" s="2043"/>
      <c r="DE277" s="1675"/>
      <c r="DF277" s="1160"/>
      <c r="DG277" s="1967"/>
      <c r="DH277" s="1968"/>
      <c r="DI277" s="998">
        <v>1</v>
      </c>
      <c r="DJ277" s="1073"/>
      <c r="DK277" s="1161"/>
      <c r="DL277" s="2015"/>
      <c r="DM277" s="1161"/>
      <c r="DN277" s="2015"/>
      <c r="DO277" s="1161"/>
      <c r="DP277" s="2043"/>
      <c r="DQ277" s="1002">
        <v>2</v>
      </c>
      <c r="DR277" s="1164"/>
      <c r="DS277" s="1675"/>
      <c r="DT277" s="1160"/>
      <c r="DU277" s="1967"/>
      <c r="DV277" s="1968"/>
      <c r="DW277" s="1002">
        <v>2</v>
      </c>
      <c r="DX277" s="1073" t="s">
        <v>2127</v>
      </c>
      <c r="DY277" s="1675"/>
      <c r="DZ277" s="1160"/>
      <c r="EA277" s="1967">
        <v>56446</v>
      </c>
      <c r="EB277" s="1968"/>
      <c r="EC277" s="1161"/>
      <c r="ED277" s="2043"/>
      <c r="EE277" s="1002">
        <v>2</v>
      </c>
      <c r="EF277" s="1073"/>
      <c r="EG277" s="1161"/>
      <c r="EH277" s="2043"/>
      <c r="EI277" s="1675"/>
      <c r="EJ277" s="1160"/>
      <c r="EK277" s="2221"/>
      <c r="EL277" s="1968"/>
      <c r="EM277" s="2202">
        <f t="shared" si="478"/>
        <v>307384</v>
      </c>
      <c r="EN277" s="1585">
        <f t="shared" si="479"/>
        <v>61742</v>
      </c>
      <c r="EO277" s="1585">
        <f t="shared" si="480"/>
        <v>0</v>
      </c>
      <c r="EP277" s="1597">
        <f t="shared" si="461"/>
        <v>369126</v>
      </c>
      <c r="EQ277" s="1162">
        <f t="shared" si="430"/>
        <v>200628</v>
      </c>
      <c r="ER277" s="1785">
        <f t="shared" si="431"/>
        <v>0</v>
      </c>
      <c r="ES277" s="1785">
        <f t="shared" si="432"/>
        <v>0</v>
      </c>
      <c r="ET277" s="1070">
        <f t="shared" si="465"/>
        <v>200628</v>
      </c>
    </row>
    <row r="278" spans="1:150" ht="26.4" x14ac:dyDescent="0.25">
      <c r="A278" s="965">
        <v>3</v>
      </c>
      <c r="B278" s="1037"/>
      <c r="C278" s="1675"/>
      <c r="D278" s="1160"/>
      <c r="E278" s="1967"/>
      <c r="F278" s="1968"/>
      <c r="G278" s="1161"/>
      <c r="H278" s="2015"/>
      <c r="I278" s="1161"/>
      <c r="J278" s="2015"/>
      <c r="K278" s="1161"/>
      <c r="L278" s="2043"/>
      <c r="M278" s="965">
        <v>3</v>
      </c>
      <c r="N278" s="1037" t="s">
        <v>1721</v>
      </c>
      <c r="O278" s="1161"/>
      <c r="P278" s="2043"/>
      <c r="Q278" s="1675"/>
      <c r="R278" s="1160"/>
      <c r="S278" s="1967"/>
      <c r="T278" s="1968"/>
      <c r="U278" s="1675"/>
      <c r="V278" s="1160"/>
      <c r="W278" s="1967"/>
      <c r="X278" s="1968"/>
      <c r="Y278" s="1675"/>
      <c r="Z278" s="1160"/>
      <c r="AA278" s="2079"/>
      <c r="AB278" s="1968"/>
      <c r="AC278" s="964">
        <v>3</v>
      </c>
      <c r="AD278" s="1037"/>
      <c r="AE278" s="1675"/>
      <c r="AF278" s="1160"/>
      <c r="AG278" s="1967"/>
      <c r="AH278" s="1968"/>
      <c r="AI278" s="1675"/>
      <c r="AJ278" s="1160"/>
      <c r="AK278" s="1967"/>
      <c r="AL278" s="1968"/>
      <c r="AM278" s="1161"/>
      <c r="AN278" s="2043"/>
      <c r="AO278" s="1869"/>
      <c r="AP278" s="1159"/>
      <c r="AQ278" s="1163"/>
      <c r="AR278" s="2133"/>
      <c r="AS278" s="1551"/>
      <c r="AT278" s="2133"/>
      <c r="AU278" s="1675"/>
      <c r="AV278" s="1160"/>
      <c r="AW278" s="1967"/>
      <c r="AX278" s="1968"/>
      <c r="AY278" s="965">
        <v>3</v>
      </c>
      <c r="AZ278" s="1037"/>
      <c r="BA278" s="1675"/>
      <c r="BB278" s="1160"/>
      <c r="BC278" s="1967"/>
      <c r="BD278" s="1968"/>
      <c r="BE278" s="965">
        <v>3</v>
      </c>
      <c r="BF278" s="1037" t="s">
        <v>1722</v>
      </c>
      <c r="BG278" s="1675"/>
      <c r="BH278" s="1160"/>
      <c r="BI278" s="1967"/>
      <c r="BJ278" s="1968"/>
      <c r="BK278" s="1675">
        <f>196850+14961</f>
        <v>211811</v>
      </c>
      <c r="BL278" s="1160"/>
      <c r="BM278" s="1967">
        <v>236220</v>
      </c>
      <c r="BN278" s="1968"/>
      <c r="BO278" s="1161"/>
      <c r="BP278" s="2015"/>
      <c r="BQ278" s="1161"/>
      <c r="BR278" s="2043"/>
      <c r="BS278" s="1675"/>
      <c r="BT278" s="1160"/>
      <c r="BU278" s="1967"/>
      <c r="BV278" s="1968"/>
      <c r="BW278" s="1161"/>
      <c r="BX278" s="2043"/>
      <c r="BY278" s="1675"/>
      <c r="BZ278" s="1160"/>
      <c r="CA278" s="1967"/>
      <c r="CB278" s="1968"/>
      <c r="CC278" s="1766"/>
      <c r="CD278" s="2180"/>
      <c r="CE278" s="965">
        <v>3</v>
      </c>
      <c r="CF278" s="959"/>
      <c r="CG278" s="1675"/>
      <c r="CH278" s="1160"/>
      <c r="CI278" s="1967"/>
      <c r="CJ278" s="1968"/>
      <c r="CK278" s="965">
        <v>3</v>
      </c>
      <c r="CL278" s="959" t="s">
        <v>1723</v>
      </c>
      <c r="CM278" s="1675"/>
      <c r="CN278" s="1160"/>
      <c r="CO278" s="1967"/>
      <c r="CP278" s="1968"/>
      <c r="CQ278" s="1675"/>
      <c r="CR278" s="1160"/>
      <c r="CS278" s="1967"/>
      <c r="CT278" s="1968"/>
      <c r="CU278" s="1675"/>
      <c r="CV278" s="1160"/>
      <c r="CW278" s="1967"/>
      <c r="CX278" s="1968"/>
      <c r="CY278" s="1675"/>
      <c r="CZ278" s="1160"/>
      <c r="DA278" s="1967"/>
      <c r="DB278" s="1968"/>
      <c r="DC278" s="1161"/>
      <c r="DD278" s="2043"/>
      <c r="DE278" s="1675"/>
      <c r="DF278" s="1160"/>
      <c r="DG278" s="1967"/>
      <c r="DH278" s="1968"/>
      <c r="DI278" s="964">
        <v>2</v>
      </c>
      <c r="DJ278" s="1037"/>
      <c r="DK278" s="1161"/>
      <c r="DL278" s="2015"/>
      <c r="DM278" s="1161"/>
      <c r="DN278" s="2015"/>
      <c r="DO278" s="1161"/>
      <c r="DP278" s="2043"/>
      <c r="DQ278" s="965">
        <v>3</v>
      </c>
      <c r="DR278" s="1165"/>
      <c r="DS278" s="1675"/>
      <c r="DT278" s="1160"/>
      <c r="DU278" s="1967"/>
      <c r="DV278" s="1968"/>
      <c r="DW278" s="965">
        <v>3</v>
      </c>
      <c r="DX278" s="1037"/>
      <c r="DY278" s="1675"/>
      <c r="DZ278" s="1160"/>
      <c r="EA278" s="1967"/>
      <c r="EB278" s="1968"/>
      <c r="EC278" s="1161"/>
      <c r="ED278" s="2043"/>
      <c r="EE278" s="965">
        <v>3</v>
      </c>
      <c r="EF278" s="1037"/>
      <c r="EG278" s="1161"/>
      <c r="EH278" s="2043"/>
      <c r="EI278" s="1675"/>
      <c r="EJ278" s="1160"/>
      <c r="EK278" s="2221"/>
      <c r="EL278" s="1968"/>
      <c r="EM278" s="2202">
        <f t="shared" si="478"/>
        <v>236220</v>
      </c>
      <c r="EN278" s="1585">
        <f t="shared" si="479"/>
        <v>0</v>
      </c>
      <c r="EO278" s="1585">
        <f t="shared" si="480"/>
        <v>0</v>
      </c>
      <c r="EP278" s="1597">
        <f t="shared" si="461"/>
        <v>236220</v>
      </c>
      <c r="EQ278" s="1162">
        <f t="shared" si="430"/>
        <v>211811</v>
      </c>
      <c r="ER278" s="1785">
        <f t="shared" si="431"/>
        <v>0</v>
      </c>
      <c r="ES278" s="1785">
        <f t="shared" si="432"/>
        <v>0</v>
      </c>
      <c r="ET278" s="1070">
        <f t="shared" si="465"/>
        <v>211811</v>
      </c>
    </row>
    <row r="279" spans="1:150" x14ac:dyDescent="0.25">
      <c r="A279" s="965">
        <v>4</v>
      </c>
      <c r="B279" s="1040"/>
      <c r="C279" s="1675"/>
      <c r="D279" s="1160"/>
      <c r="E279" s="1967"/>
      <c r="F279" s="1968"/>
      <c r="G279" s="1161"/>
      <c r="H279" s="2015"/>
      <c r="I279" s="1161"/>
      <c r="J279" s="2015"/>
      <c r="K279" s="1161"/>
      <c r="L279" s="2043"/>
      <c r="M279" s="965">
        <v>4</v>
      </c>
      <c r="N279" s="1037" t="s">
        <v>1719</v>
      </c>
      <c r="O279" s="1161"/>
      <c r="P279" s="2043"/>
      <c r="Q279" s="1675"/>
      <c r="R279" s="1160"/>
      <c r="S279" s="1967"/>
      <c r="T279" s="1968"/>
      <c r="U279" s="1675"/>
      <c r="V279" s="1160"/>
      <c r="W279" s="1967"/>
      <c r="X279" s="1968"/>
      <c r="Y279" s="1675"/>
      <c r="Z279" s="1160"/>
      <c r="AA279" s="2079"/>
      <c r="AB279" s="1968"/>
      <c r="AC279" s="964">
        <v>4</v>
      </c>
      <c r="AD279" s="1040"/>
      <c r="AE279" s="1675"/>
      <c r="AF279" s="1160"/>
      <c r="AG279" s="1967"/>
      <c r="AH279" s="1968"/>
      <c r="AI279" s="1675"/>
      <c r="AJ279" s="1160"/>
      <c r="AK279" s="1967"/>
      <c r="AL279" s="1968"/>
      <c r="AM279" s="1161"/>
      <c r="AN279" s="2043"/>
      <c r="AO279" s="1869"/>
      <c r="AP279" s="1159"/>
      <c r="AQ279" s="1163"/>
      <c r="AR279" s="2133"/>
      <c r="AS279" s="1551"/>
      <c r="AT279" s="2133"/>
      <c r="AU279" s="1675"/>
      <c r="AV279" s="1160"/>
      <c r="AW279" s="1967"/>
      <c r="AX279" s="1968"/>
      <c r="AY279" s="965">
        <v>4</v>
      </c>
      <c r="AZ279" s="1040"/>
      <c r="BA279" s="1675"/>
      <c r="BB279" s="1160"/>
      <c r="BC279" s="1967"/>
      <c r="BD279" s="1968"/>
      <c r="BE279" s="965">
        <v>4</v>
      </c>
      <c r="BF279" s="959" t="s">
        <v>1719</v>
      </c>
      <c r="BG279" s="1675"/>
      <c r="BH279" s="1160"/>
      <c r="BI279" s="1967"/>
      <c r="BJ279" s="1968"/>
      <c r="BK279" s="1675">
        <f>53150+4039</f>
        <v>57189</v>
      </c>
      <c r="BL279" s="1160"/>
      <c r="BM279" s="1967">
        <v>63780</v>
      </c>
      <c r="BN279" s="1968"/>
      <c r="BO279" s="1161"/>
      <c r="BP279" s="2015"/>
      <c r="BQ279" s="1161"/>
      <c r="BR279" s="2043"/>
      <c r="BS279" s="1675"/>
      <c r="BT279" s="1160"/>
      <c r="BU279" s="1967"/>
      <c r="BV279" s="1968"/>
      <c r="BW279" s="1161"/>
      <c r="BX279" s="2043"/>
      <c r="BY279" s="1675"/>
      <c r="BZ279" s="1160"/>
      <c r="CA279" s="1967"/>
      <c r="CB279" s="1968"/>
      <c r="CC279" s="1766"/>
      <c r="CD279" s="2180"/>
      <c r="CE279" s="965">
        <v>4</v>
      </c>
      <c r="CF279" s="1040"/>
      <c r="CG279" s="1675"/>
      <c r="CH279" s="1160"/>
      <c r="CI279" s="1967"/>
      <c r="CJ279" s="1968"/>
      <c r="CK279" s="965">
        <v>4</v>
      </c>
      <c r="CL279" s="1025" t="s">
        <v>1719</v>
      </c>
      <c r="CM279" s="1675"/>
      <c r="CN279" s="1160"/>
      <c r="CO279" s="1967"/>
      <c r="CP279" s="1968"/>
      <c r="CQ279" s="1675"/>
      <c r="CR279" s="1160"/>
      <c r="CS279" s="1967"/>
      <c r="CT279" s="1968"/>
      <c r="CU279" s="1675"/>
      <c r="CV279" s="1160"/>
      <c r="CW279" s="1967"/>
      <c r="CX279" s="1968"/>
      <c r="CY279" s="1675"/>
      <c r="CZ279" s="1160"/>
      <c r="DA279" s="1967"/>
      <c r="DB279" s="1968"/>
      <c r="DC279" s="1161"/>
      <c r="DD279" s="2043"/>
      <c r="DE279" s="1675"/>
      <c r="DF279" s="1160"/>
      <c r="DG279" s="1967"/>
      <c r="DH279" s="1968"/>
      <c r="DI279" s="964">
        <v>3</v>
      </c>
      <c r="DJ279" s="1037"/>
      <c r="DK279" s="1161"/>
      <c r="DL279" s="2015"/>
      <c r="DM279" s="1161"/>
      <c r="DN279" s="2015"/>
      <c r="DO279" s="1161"/>
      <c r="DP279" s="2043"/>
      <c r="DQ279" s="965">
        <v>4</v>
      </c>
      <c r="DR279" s="1042"/>
      <c r="DS279" s="1675"/>
      <c r="DT279" s="1160"/>
      <c r="DU279" s="1967"/>
      <c r="DV279" s="1968"/>
      <c r="DW279" s="965">
        <v>4</v>
      </c>
      <c r="DX279" s="1040"/>
      <c r="DY279" s="1675"/>
      <c r="DZ279" s="1160"/>
      <c r="EA279" s="1967"/>
      <c r="EB279" s="1968"/>
      <c r="EC279" s="1161"/>
      <c r="ED279" s="2043"/>
      <c r="EE279" s="965">
        <v>4</v>
      </c>
      <c r="EF279" s="1040"/>
      <c r="EG279" s="1161"/>
      <c r="EH279" s="2043"/>
      <c r="EI279" s="1675"/>
      <c r="EJ279" s="1160"/>
      <c r="EK279" s="2221"/>
      <c r="EL279" s="1968"/>
      <c r="EM279" s="2202">
        <f t="shared" si="478"/>
        <v>63780</v>
      </c>
      <c r="EN279" s="1585">
        <f t="shared" si="479"/>
        <v>0</v>
      </c>
      <c r="EO279" s="1585">
        <f t="shared" si="480"/>
        <v>0</v>
      </c>
      <c r="EP279" s="1597">
        <f t="shared" si="461"/>
        <v>63780</v>
      </c>
      <c r="EQ279" s="1162">
        <f t="shared" si="430"/>
        <v>57189</v>
      </c>
      <c r="ER279" s="1785">
        <f t="shared" si="431"/>
        <v>0</v>
      </c>
      <c r="ES279" s="1785">
        <f t="shared" si="432"/>
        <v>0</v>
      </c>
      <c r="ET279" s="1070">
        <f t="shared" si="465"/>
        <v>57189</v>
      </c>
    </row>
    <row r="280" spans="1:150" x14ac:dyDescent="0.25">
      <c r="A280" s="965"/>
      <c r="B280" s="1040"/>
      <c r="C280" s="1675"/>
      <c r="D280" s="1160"/>
      <c r="E280" s="1967"/>
      <c r="F280" s="1968"/>
      <c r="G280" s="1161"/>
      <c r="H280" s="2015"/>
      <c r="I280" s="1161"/>
      <c r="J280" s="2015"/>
      <c r="K280" s="1161"/>
      <c r="L280" s="2043"/>
      <c r="M280" s="965">
        <v>5</v>
      </c>
      <c r="N280" s="1037"/>
      <c r="O280" s="1161"/>
      <c r="P280" s="2043"/>
      <c r="Q280" s="1675"/>
      <c r="R280" s="1160"/>
      <c r="S280" s="1967"/>
      <c r="T280" s="1968"/>
      <c r="U280" s="1675"/>
      <c r="V280" s="1160"/>
      <c r="W280" s="1967"/>
      <c r="X280" s="1968"/>
      <c r="Y280" s="1675"/>
      <c r="Z280" s="1160"/>
      <c r="AA280" s="2079"/>
      <c r="AB280" s="1968"/>
      <c r="AC280" s="964"/>
      <c r="AD280" s="1040"/>
      <c r="AE280" s="1675"/>
      <c r="AF280" s="1160"/>
      <c r="AG280" s="1967"/>
      <c r="AH280" s="1968"/>
      <c r="AI280" s="1675"/>
      <c r="AJ280" s="1160"/>
      <c r="AK280" s="1967"/>
      <c r="AL280" s="1968"/>
      <c r="AM280" s="1161"/>
      <c r="AN280" s="2043"/>
      <c r="AO280" s="1869"/>
      <c r="AP280" s="1159"/>
      <c r="AQ280" s="1163"/>
      <c r="AR280" s="2133"/>
      <c r="AS280" s="1551"/>
      <c r="AT280" s="2133"/>
      <c r="AU280" s="1675"/>
      <c r="AV280" s="1160"/>
      <c r="AW280" s="1967"/>
      <c r="AX280" s="1968"/>
      <c r="AY280" s="965"/>
      <c r="AZ280" s="1040"/>
      <c r="BA280" s="1675"/>
      <c r="BB280" s="1160"/>
      <c r="BC280" s="1967"/>
      <c r="BD280" s="1968"/>
      <c r="BE280" s="965">
        <v>5</v>
      </c>
      <c r="BF280" s="1037" t="s">
        <v>1724</v>
      </c>
      <c r="BG280" s="1675"/>
      <c r="BH280" s="1160"/>
      <c r="BI280" s="1967"/>
      <c r="BJ280" s="1968"/>
      <c r="BK280" s="1675"/>
      <c r="BL280" s="1160"/>
      <c r="BM280" s="1967"/>
      <c r="BN280" s="1968"/>
      <c r="BO280" s="1161"/>
      <c r="BP280" s="2015"/>
      <c r="BQ280" s="1161"/>
      <c r="BR280" s="2043"/>
      <c r="BS280" s="1675">
        <v>25000</v>
      </c>
      <c r="BT280" s="1160"/>
      <c r="BU280" s="1967">
        <v>25545</v>
      </c>
      <c r="BV280" s="1968"/>
      <c r="BW280" s="1161"/>
      <c r="BX280" s="2043"/>
      <c r="BY280" s="1675"/>
      <c r="BZ280" s="1160"/>
      <c r="CA280" s="1967"/>
      <c r="CB280" s="1968"/>
      <c r="CC280" s="1766"/>
      <c r="CD280" s="2180"/>
      <c r="CE280" s="965"/>
      <c r="CF280" s="1040"/>
      <c r="CG280" s="1675"/>
      <c r="CH280" s="1160"/>
      <c r="CI280" s="1967"/>
      <c r="CJ280" s="1968"/>
      <c r="CK280" s="965">
        <v>5</v>
      </c>
      <c r="CL280" s="959" t="s">
        <v>1725</v>
      </c>
      <c r="CM280" s="1675"/>
      <c r="CN280" s="1160"/>
      <c r="CO280" s="1967"/>
      <c r="CP280" s="1968"/>
      <c r="CQ280" s="1675"/>
      <c r="CR280" s="1160"/>
      <c r="CS280" s="1967"/>
      <c r="CT280" s="1968"/>
      <c r="CU280" s="1675"/>
      <c r="CV280" s="1160"/>
      <c r="CW280" s="1967"/>
      <c r="CX280" s="1968"/>
      <c r="CY280" s="1675"/>
      <c r="CZ280" s="1160"/>
      <c r="DA280" s="1967"/>
      <c r="DB280" s="1968"/>
      <c r="DC280" s="1161"/>
      <c r="DD280" s="2043"/>
      <c r="DE280" s="1675"/>
      <c r="DF280" s="1160"/>
      <c r="DG280" s="1967"/>
      <c r="DH280" s="1968"/>
      <c r="DI280" s="964"/>
      <c r="DJ280" s="1037"/>
      <c r="DK280" s="1161"/>
      <c r="DL280" s="2015"/>
      <c r="DM280" s="1161"/>
      <c r="DN280" s="2015"/>
      <c r="DO280" s="1161"/>
      <c r="DP280" s="2043"/>
      <c r="DQ280" s="965"/>
      <c r="DR280" s="1042"/>
      <c r="DS280" s="1675"/>
      <c r="DT280" s="1160"/>
      <c r="DU280" s="1967"/>
      <c r="DV280" s="1968"/>
      <c r="DW280" s="965"/>
      <c r="DX280" s="1040"/>
      <c r="DY280" s="1675"/>
      <c r="DZ280" s="1160"/>
      <c r="EA280" s="1967"/>
      <c r="EB280" s="1968"/>
      <c r="EC280" s="1161"/>
      <c r="ED280" s="2043"/>
      <c r="EE280" s="965"/>
      <c r="EF280" s="1040"/>
      <c r="EG280" s="1161"/>
      <c r="EH280" s="2043"/>
      <c r="EI280" s="1675"/>
      <c r="EJ280" s="1160"/>
      <c r="EK280" s="2221"/>
      <c r="EL280" s="1968"/>
      <c r="EM280" s="2202">
        <f t="shared" si="478"/>
        <v>25545</v>
      </c>
      <c r="EN280" s="1585">
        <f t="shared" si="479"/>
        <v>0</v>
      </c>
      <c r="EO280" s="1585">
        <f t="shared" si="480"/>
        <v>0</v>
      </c>
      <c r="EP280" s="1597">
        <f t="shared" si="461"/>
        <v>25545</v>
      </c>
      <c r="EQ280" s="1162">
        <f t="shared" si="430"/>
        <v>25000</v>
      </c>
      <c r="ER280" s="1785">
        <f t="shared" si="431"/>
        <v>0</v>
      </c>
      <c r="ES280" s="1785">
        <f t="shared" si="432"/>
        <v>0</v>
      </c>
      <c r="ET280" s="1070">
        <f t="shared" si="465"/>
        <v>25000</v>
      </c>
    </row>
    <row r="281" spans="1:150" ht="26.4" x14ac:dyDescent="0.25">
      <c r="A281" s="965"/>
      <c r="B281" s="1040"/>
      <c r="C281" s="1675"/>
      <c r="D281" s="1160"/>
      <c r="E281" s="1967"/>
      <c r="F281" s="1968"/>
      <c r="G281" s="1161"/>
      <c r="H281" s="2015"/>
      <c r="I281" s="1161"/>
      <c r="J281" s="2015"/>
      <c r="K281" s="1161"/>
      <c r="L281" s="2043"/>
      <c r="M281" s="965">
        <v>6</v>
      </c>
      <c r="N281" s="1040"/>
      <c r="O281" s="1161"/>
      <c r="P281" s="2043"/>
      <c r="Q281" s="1675"/>
      <c r="R281" s="1160"/>
      <c r="S281" s="1967"/>
      <c r="T281" s="1968"/>
      <c r="U281" s="1675"/>
      <c r="V281" s="1160"/>
      <c r="W281" s="1967"/>
      <c r="X281" s="1968"/>
      <c r="Y281" s="1675"/>
      <c r="Z281" s="1160"/>
      <c r="AA281" s="2079"/>
      <c r="AB281" s="1968"/>
      <c r="AC281" s="964"/>
      <c r="AD281" s="1040"/>
      <c r="AE281" s="1675"/>
      <c r="AF281" s="1160"/>
      <c r="AG281" s="1967"/>
      <c r="AH281" s="1968"/>
      <c r="AI281" s="1675"/>
      <c r="AJ281" s="1160"/>
      <c r="AK281" s="1967"/>
      <c r="AL281" s="1968"/>
      <c r="AM281" s="1161"/>
      <c r="AN281" s="2043"/>
      <c r="AO281" s="1869"/>
      <c r="AP281" s="1159"/>
      <c r="AQ281" s="1163"/>
      <c r="AR281" s="2133"/>
      <c r="AS281" s="1551"/>
      <c r="AT281" s="2133"/>
      <c r="AU281" s="1675"/>
      <c r="AV281" s="1160"/>
      <c r="AW281" s="1967"/>
      <c r="AX281" s="1968"/>
      <c r="AY281" s="965"/>
      <c r="AZ281" s="1040"/>
      <c r="BA281" s="1675"/>
      <c r="BB281" s="1160"/>
      <c r="BC281" s="1967"/>
      <c r="BD281" s="1968"/>
      <c r="BE281" s="965">
        <v>6</v>
      </c>
      <c r="BF281" s="1037" t="s">
        <v>1726</v>
      </c>
      <c r="BG281" s="1675"/>
      <c r="BH281" s="1160"/>
      <c r="BI281" s="1967"/>
      <c r="BJ281" s="1968"/>
      <c r="BK281" s="1675"/>
      <c r="BL281" s="1160"/>
      <c r="BM281" s="1967"/>
      <c r="BN281" s="1968"/>
      <c r="BO281" s="1161"/>
      <c r="BP281" s="2015"/>
      <c r="BQ281" s="1161"/>
      <c r="BR281" s="2043"/>
      <c r="BS281" s="1675"/>
      <c r="BT281" s="1160"/>
      <c r="BU281" s="1967"/>
      <c r="BV281" s="1968"/>
      <c r="BW281" s="1161"/>
      <c r="BX281" s="2043"/>
      <c r="BY281" s="1675"/>
      <c r="BZ281" s="1160"/>
      <c r="CA281" s="1967"/>
      <c r="CB281" s="1968"/>
      <c r="CC281" s="1766"/>
      <c r="CD281" s="2180"/>
      <c r="CE281" s="965"/>
      <c r="CF281" s="1040"/>
      <c r="CG281" s="1675"/>
      <c r="CH281" s="1160"/>
      <c r="CI281" s="1967"/>
      <c r="CJ281" s="1968"/>
      <c r="CK281" s="965">
        <v>6</v>
      </c>
      <c r="CL281" s="959" t="s">
        <v>1727</v>
      </c>
      <c r="CM281" s="1675"/>
      <c r="CN281" s="1160"/>
      <c r="CO281" s="1967"/>
      <c r="CP281" s="1968"/>
      <c r="CQ281" s="1675"/>
      <c r="CR281" s="1160"/>
      <c r="CS281" s="1967"/>
      <c r="CT281" s="1968"/>
      <c r="CU281" s="1675"/>
      <c r="CV281" s="1160"/>
      <c r="CW281" s="1967"/>
      <c r="CX281" s="1968"/>
      <c r="CY281" s="1675"/>
      <c r="CZ281" s="1160"/>
      <c r="DA281" s="1967"/>
      <c r="DB281" s="1968"/>
      <c r="DC281" s="1161"/>
      <c r="DD281" s="2043"/>
      <c r="DE281" s="1675"/>
      <c r="DF281" s="1160"/>
      <c r="DG281" s="1967"/>
      <c r="DH281" s="1968"/>
      <c r="DI281" s="964"/>
      <c r="DJ281" s="1037"/>
      <c r="DK281" s="1161"/>
      <c r="DL281" s="2015"/>
      <c r="DM281" s="1161"/>
      <c r="DN281" s="2015"/>
      <c r="DO281" s="1161"/>
      <c r="DP281" s="2043"/>
      <c r="DQ281" s="965"/>
      <c r="DR281" s="1042"/>
      <c r="DS281" s="1675"/>
      <c r="DT281" s="1160"/>
      <c r="DU281" s="1967"/>
      <c r="DV281" s="1968"/>
      <c r="DW281" s="965"/>
      <c r="DX281" s="1040"/>
      <c r="DY281" s="1675"/>
      <c r="DZ281" s="1160"/>
      <c r="EA281" s="1967"/>
      <c r="EB281" s="1968"/>
      <c r="EC281" s="1161"/>
      <c r="ED281" s="2043"/>
      <c r="EE281" s="965"/>
      <c r="EF281" s="1040"/>
      <c r="EG281" s="1161"/>
      <c r="EH281" s="2043"/>
      <c r="EI281" s="1675"/>
      <c r="EJ281" s="1160"/>
      <c r="EK281" s="2221"/>
      <c r="EL281" s="1968"/>
      <c r="EM281" s="2202">
        <f t="shared" si="478"/>
        <v>0</v>
      </c>
      <c r="EN281" s="1585">
        <f t="shared" si="479"/>
        <v>0</v>
      </c>
      <c r="EO281" s="1585">
        <f t="shared" si="480"/>
        <v>0</v>
      </c>
      <c r="EP281" s="1597">
        <f t="shared" si="461"/>
        <v>0</v>
      </c>
      <c r="EQ281" s="1162">
        <f t="shared" si="430"/>
        <v>0</v>
      </c>
      <c r="ER281" s="1785">
        <f t="shared" si="431"/>
        <v>0</v>
      </c>
      <c r="ES281" s="1785">
        <f t="shared" si="432"/>
        <v>0</v>
      </c>
      <c r="ET281" s="1070">
        <f t="shared" si="465"/>
        <v>0</v>
      </c>
    </row>
    <row r="282" spans="1:150" ht="26.4" x14ac:dyDescent="0.25">
      <c r="A282" s="965"/>
      <c r="B282" s="1040"/>
      <c r="C282" s="1675"/>
      <c r="D282" s="1160"/>
      <c r="E282" s="1967"/>
      <c r="F282" s="1968"/>
      <c r="G282" s="1161"/>
      <c r="H282" s="2015"/>
      <c r="I282" s="1161"/>
      <c r="J282" s="2015"/>
      <c r="K282" s="1161"/>
      <c r="L282" s="2043"/>
      <c r="M282" s="965"/>
      <c r="N282" s="1040"/>
      <c r="O282" s="1161"/>
      <c r="P282" s="2043"/>
      <c r="Q282" s="1675"/>
      <c r="R282" s="1160"/>
      <c r="S282" s="1967"/>
      <c r="T282" s="1968"/>
      <c r="U282" s="1675"/>
      <c r="V282" s="1160"/>
      <c r="W282" s="1967"/>
      <c r="X282" s="1968"/>
      <c r="Y282" s="1675"/>
      <c r="Z282" s="1160"/>
      <c r="AA282" s="2079"/>
      <c r="AB282" s="1968"/>
      <c r="AC282" s="964"/>
      <c r="AD282" s="1040"/>
      <c r="AE282" s="1675"/>
      <c r="AF282" s="1160"/>
      <c r="AG282" s="1967"/>
      <c r="AH282" s="1968"/>
      <c r="AI282" s="1675"/>
      <c r="AJ282" s="1160"/>
      <c r="AK282" s="1967"/>
      <c r="AL282" s="1968"/>
      <c r="AM282" s="1161"/>
      <c r="AN282" s="2043"/>
      <c r="AO282" s="1869"/>
      <c r="AP282" s="1159"/>
      <c r="AQ282" s="1163"/>
      <c r="AR282" s="2133"/>
      <c r="AS282" s="1551"/>
      <c r="AT282" s="2133"/>
      <c r="AU282" s="1675"/>
      <c r="AV282" s="1160"/>
      <c r="AW282" s="1967"/>
      <c r="AX282" s="1968"/>
      <c r="AY282" s="965"/>
      <c r="AZ282" s="1040"/>
      <c r="BA282" s="1675"/>
      <c r="BB282" s="1160"/>
      <c r="BC282" s="1967"/>
      <c r="BD282" s="1968"/>
      <c r="BE282" s="965">
        <v>7</v>
      </c>
      <c r="BF282" s="1037" t="s">
        <v>1728</v>
      </c>
      <c r="BG282" s="1675"/>
      <c r="BH282" s="1160"/>
      <c r="BI282" s="1967"/>
      <c r="BJ282" s="1968"/>
      <c r="BK282" s="1675"/>
      <c r="BL282" s="1160"/>
      <c r="BM282" s="1967"/>
      <c r="BN282" s="1968"/>
      <c r="BO282" s="1161"/>
      <c r="BP282" s="2015"/>
      <c r="BQ282" s="1161"/>
      <c r="BR282" s="2043"/>
      <c r="BS282" s="1675">
        <v>15000</v>
      </c>
      <c r="BT282" s="1160"/>
      <c r="BU282" s="1967">
        <v>11295</v>
      </c>
      <c r="BV282" s="1968"/>
      <c r="BW282" s="1161"/>
      <c r="BX282" s="2043"/>
      <c r="BY282" s="1675"/>
      <c r="BZ282" s="1160"/>
      <c r="CA282" s="1967"/>
      <c r="CB282" s="1968"/>
      <c r="CC282" s="1766"/>
      <c r="CD282" s="2180"/>
      <c r="CE282" s="965"/>
      <c r="CF282" s="1040"/>
      <c r="CG282" s="1675"/>
      <c r="CH282" s="1160"/>
      <c r="CI282" s="1967"/>
      <c r="CJ282" s="1968"/>
      <c r="CK282" s="965">
        <v>7</v>
      </c>
      <c r="CL282" s="959" t="s">
        <v>1729</v>
      </c>
      <c r="CM282" s="1675"/>
      <c r="CN282" s="1160"/>
      <c r="CO282" s="1967"/>
      <c r="CP282" s="1968"/>
      <c r="CQ282" s="1675"/>
      <c r="CR282" s="1160"/>
      <c r="CS282" s="1967"/>
      <c r="CT282" s="1968"/>
      <c r="CU282" s="1675"/>
      <c r="CV282" s="1160"/>
      <c r="CW282" s="1967"/>
      <c r="CX282" s="1968"/>
      <c r="CY282" s="1675"/>
      <c r="CZ282" s="1160"/>
      <c r="DA282" s="1967"/>
      <c r="DB282" s="1968"/>
      <c r="DC282" s="1161"/>
      <c r="DD282" s="2043"/>
      <c r="DE282" s="1675"/>
      <c r="DF282" s="1160"/>
      <c r="DG282" s="1967"/>
      <c r="DH282" s="1968"/>
      <c r="DI282" s="964"/>
      <c r="DJ282" s="1037"/>
      <c r="DK282" s="1161"/>
      <c r="DL282" s="2015"/>
      <c r="DM282" s="1161"/>
      <c r="DN282" s="2015"/>
      <c r="DO282" s="1161"/>
      <c r="DP282" s="2043"/>
      <c r="DQ282" s="965"/>
      <c r="DR282" s="1042"/>
      <c r="DS282" s="1675"/>
      <c r="DT282" s="1160"/>
      <c r="DU282" s="1967"/>
      <c r="DV282" s="1968"/>
      <c r="DW282" s="965"/>
      <c r="DX282" s="1040"/>
      <c r="DY282" s="1675"/>
      <c r="DZ282" s="1160"/>
      <c r="EA282" s="1967"/>
      <c r="EB282" s="1968"/>
      <c r="EC282" s="1161"/>
      <c r="ED282" s="2043"/>
      <c r="EE282" s="965"/>
      <c r="EF282" s="1040"/>
      <c r="EG282" s="1161"/>
      <c r="EH282" s="2043"/>
      <c r="EI282" s="1675"/>
      <c r="EJ282" s="1160"/>
      <c r="EK282" s="2221"/>
      <c r="EL282" s="1968"/>
      <c r="EM282" s="2202">
        <f t="shared" si="478"/>
        <v>11295</v>
      </c>
      <c r="EN282" s="1585">
        <f t="shared" si="479"/>
        <v>0</v>
      </c>
      <c r="EO282" s="1585">
        <f t="shared" si="480"/>
        <v>0</v>
      </c>
      <c r="EP282" s="1597">
        <f t="shared" si="461"/>
        <v>11295</v>
      </c>
      <c r="EQ282" s="1162">
        <f t="shared" si="430"/>
        <v>15000</v>
      </c>
      <c r="ER282" s="1785">
        <f t="shared" si="431"/>
        <v>0</v>
      </c>
      <c r="ES282" s="1785">
        <f t="shared" si="432"/>
        <v>0</v>
      </c>
      <c r="ET282" s="1070">
        <f t="shared" si="465"/>
        <v>15000</v>
      </c>
    </row>
    <row r="283" spans="1:150" ht="26.4" x14ac:dyDescent="0.25">
      <c r="A283" s="965"/>
      <c r="B283" s="1040"/>
      <c r="C283" s="1675"/>
      <c r="D283" s="1160"/>
      <c r="E283" s="1967"/>
      <c r="F283" s="1968"/>
      <c r="G283" s="1161"/>
      <c r="H283" s="2015"/>
      <c r="I283" s="1161"/>
      <c r="J283" s="2015"/>
      <c r="K283" s="1161"/>
      <c r="L283" s="2043"/>
      <c r="M283" s="965"/>
      <c r="N283" s="1040"/>
      <c r="O283" s="1161"/>
      <c r="P283" s="2043"/>
      <c r="Q283" s="1675"/>
      <c r="R283" s="1160"/>
      <c r="S283" s="1967"/>
      <c r="T283" s="1968"/>
      <c r="U283" s="1675"/>
      <c r="V283" s="1160"/>
      <c r="W283" s="1967"/>
      <c r="X283" s="1968"/>
      <c r="Y283" s="1675"/>
      <c r="Z283" s="1160"/>
      <c r="AA283" s="2079"/>
      <c r="AB283" s="1968"/>
      <c r="AC283" s="964"/>
      <c r="AD283" s="1040"/>
      <c r="AE283" s="1675"/>
      <c r="AF283" s="1160"/>
      <c r="AG283" s="1967"/>
      <c r="AH283" s="1968"/>
      <c r="AI283" s="1675"/>
      <c r="AJ283" s="1160"/>
      <c r="AK283" s="1967"/>
      <c r="AL283" s="1968"/>
      <c r="AM283" s="1161"/>
      <c r="AN283" s="2043"/>
      <c r="AO283" s="1869"/>
      <c r="AP283" s="1159"/>
      <c r="AQ283" s="1163"/>
      <c r="AR283" s="2133"/>
      <c r="AS283" s="1551"/>
      <c r="AT283" s="2133"/>
      <c r="AU283" s="1675"/>
      <c r="AV283" s="1160"/>
      <c r="AW283" s="1967"/>
      <c r="AX283" s="1968"/>
      <c r="AY283" s="965"/>
      <c r="AZ283" s="1040"/>
      <c r="BA283" s="1675"/>
      <c r="BB283" s="1160"/>
      <c r="BC283" s="1967"/>
      <c r="BD283" s="1968"/>
      <c r="BE283" s="965">
        <v>8</v>
      </c>
      <c r="BF283" s="1037" t="s">
        <v>1726</v>
      </c>
      <c r="BG283" s="1675"/>
      <c r="BH283" s="1160"/>
      <c r="BI283" s="1967"/>
      <c r="BJ283" s="1968"/>
      <c r="BK283" s="1675"/>
      <c r="BL283" s="1160"/>
      <c r="BM283" s="1967"/>
      <c r="BN283" s="1968"/>
      <c r="BO283" s="1161"/>
      <c r="BP283" s="2015"/>
      <c r="BQ283" s="1161"/>
      <c r="BR283" s="2043"/>
      <c r="BS283" s="1675"/>
      <c r="BT283" s="1160"/>
      <c r="BU283" s="1967"/>
      <c r="BV283" s="1968"/>
      <c r="BW283" s="1161"/>
      <c r="BX283" s="2043"/>
      <c r="BY283" s="1675"/>
      <c r="BZ283" s="1160"/>
      <c r="CA283" s="1967"/>
      <c r="CB283" s="1968"/>
      <c r="CC283" s="1766"/>
      <c r="CD283" s="2180"/>
      <c r="CE283" s="965"/>
      <c r="CF283" s="1040"/>
      <c r="CG283" s="1675"/>
      <c r="CH283" s="1160"/>
      <c r="CI283" s="1967"/>
      <c r="CJ283" s="1968"/>
      <c r="CK283" s="965">
        <v>8</v>
      </c>
      <c r="CL283" s="959" t="s">
        <v>1730</v>
      </c>
      <c r="CM283" s="1675"/>
      <c r="CN283" s="1160"/>
      <c r="CO283" s="1967"/>
      <c r="CP283" s="1968"/>
      <c r="CQ283" s="1675"/>
      <c r="CR283" s="1160"/>
      <c r="CS283" s="1967"/>
      <c r="CT283" s="1968"/>
      <c r="CU283" s="1675"/>
      <c r="CV283" s="1160"/>
      <c r="CW283" s="1967"/>
      <c r="CX283" s="1968"/>
      <c r="CY283" s="1675"/>
      <c r="CZ283" s="1160"/>
      <c r="DA283" s="1967"/>
      <c r="DB283" s="1968"/>
      <c r="DC283" s="1161"/>
      <c r="DD283" s="2043"/>
      <c r="DE283" s="1675"/>
      <c r="DF283" s="1160"/>
      <c r="DG283" s="1967"/>
      <c r="DH283" s="1968"/>
      <c r="DI283" s="964"/>
      <c r="DJ283" s="1037"/>
      <c r="DK283" s="1161"/>
      <c r="DL283" s="2015"/>
      <c r="DM283" s="1161"/>
      <c r="DN283" s="2015"/>
      <c r="DO283" s="1161"/>
      <c r="DP283" s="2043"/>
      <c r="DQ283" s="965"/>
      <c r="DR283" s="1042"/>
      <c r="DS283" s="1675"/>
      <c r="DT283" s="1160"/>
      <c r="DU283" s="1967"/>
      <c r="DV283" s="1968"/>
      <c r="DW283" s="965"/>
      <c r="DX283" s="1040"/>
      <c r="DY283" s="1675"/>
      <c r="DZ283" s="1160"/>
      <c r="EA283" s="1967"/>
      <c r="EB283" s="1968"/>
      <c r="EC283" s="1161"/>
      <c r="ED283" s="2043"/>
      <c r="EE283" s="965"/>
      <c r="EF283" s="1040"/>
      <c r="EG283" s="1161"/>
      <c r="EH283" s="2043"/>
      <c r="EI283" s="1675"/>
      <c r="EJ283" s="1160"/>
      <c r="EK283" s="2221"/>
      <c r="EL283" s="1968"/>
      <c r="EM283" s="2202">
        <f t="shared" si="478"/>
        <v>0</v>
      </c>
      <c r="EN283" s="1585">
        <f t="shared" si="479"/>
        <v>0</v>
      </c>
      <c r="EO283" s="1585">
        <f t="shared" si="480"/>
        <v>0</v>
      </c>
      <c r="EP283" s="1597">
        <f t="shared" si="461"/>
        <v>0</v>
      </c>
      <c r="EQ283" s="1162">
        <f t="shared" si="430"/>
        <v>0</v>
      </c>
      <c r="ER283" s="1785">
        <f t="shared" si="431"/>
        <v>0</v>
      </c>
      <c r="ES283" s="1785">
        <f t="shared" si="432"/>
        <v>0</v>
      </c>
      <c r="ET283" s="1070">
        <f t="shared" si="465"/>
        <v>0</v>
      </c>
    </row>
    <row r="284" spans="1:150" ht="39.6" x14ac:dyDescent="0.25">
      <c r="A284" s="965"/>
      <c r="B284" s="1040"/>
      <c r="C284" s="1675"/>
      <c r="D284" s="1160"/>
      <c r="E284" s="1967"/>
      <c r="F284" s="1968"/>
      <c r="G284" s="1161"/>
      <c r="H284" s="2015"/>
      <c r="I284" s="1161"/>
      <c r="J284" s="2015"/>
      <c r="K284" s="1161"/>
      <c r="L284" s="2043"/>
      <c r="M284" s="965"/>
      <c r="N284" s="1040"/>
      <c r="O284" s="1161"/>
      <c r="P284" s="2043"/>
      <c r="Q284" s="1675"/>
      <c r="R284" s="1160"/>
      <c r="S284" s="1967"/>
      <c r="T284" s="1968"/>
      <c r="U284" s="1675"/>
      <c r="V284" s="1160"/>
      <c r="W284" s="1967"/>
      <c r="X284" s="1968"/>
      <c r="Y284" s="1675"/>
      <c r="Z284" s="1160"/>
      <c r="AA284" s="2079"/>
      <c r="AB284" s="1968"/>
      <c r="AC284" s="964"/>
      <c r="AD284" s="1040"/>
      <c r="AE284" s="1675"/>
      <c r="AF284" s="1160"/>
      <c r="AG284" s="1967"/>
      <c r="AH284" s="1968"/>
      <c r="AI284" s="1675"/>
      <c r="AJ284" s="1160"/>
      <c r="AK284" s="1967"/>
      <c r="AL284" s="1968"/>
      <c r="AM284" s="1161"/>
      <c r="AN284" s="2043"/>
      <c r="AO284" s="1869"/>
      <c r="AP284" s="1159"/>
      <c r="AQ284" s="1163"/>
      <c r="AR284" s="2133"/>
      <c r="AS284" s="1551"/>
      <c r="AT284" s="2133"/>
      <c r="AU284" s="1675"/>
      <c r="AV284" s="1160"/>
      <c r="AW284" s="1967"/>
      <c r="AX284" s="1968"/>
      <c r="AY284" s="965"/>
      <c r="AZ284" s="1040"/>
      <c r="BA284" s="1675"/>
      <c r="BB284" s="1160"/>
      <c r="BC284" s="1967"/>
      <c r="BD284" s="1968"/>
      <c r="BE284" s="965">
        <v>9</v>
      </c>
      <c r="BF284" s="1037" t="s">
        <v>1731</v>
      </c>
      <c r="BG284" s="1675"/>
      <c r="BH284" s="1160"/>
      <c r="BI284" s="1967"/>
      <c r="BJ284" s="1968"/>
      <c r="BK284" s="1675"/>
      <c r="BL284" s="1160"/>
      <c r="BM284" s="1967"/>
      <c r="BN284" s="1968"/>
      <c r="BO284" s="1161"/>
      <c r="BP284" s="2015"/>
      <c r="BQ284" s="1161"/>
      <c r="BR284" s="2043"/>
      <c r="BS284" s="1675">
        <v>18944</v>
      </c>
      <c r="BT284" s="1160"/>
      <c r="BU284" s="1967">
        <v>35114</v>
      </c>
      <c r="BV284" s="1968"/>
      <c r="BW284" s="1161"/>
      <c r="BX284" s="2043"/>
      <c r="BY284" s="1675"/>
      <c r="BZ284" s="1160"/>
      <c r="CA284" s="1967"/>
      <c r="CB284" s="1968"/>
      <c r="CC284" s="1766"/>
      <c r="CD284" s="2180"/>
      <c r="CE284" s="965"/>
      <c r="CF284" s="1040"/>
      <c r="CG284" s="1675"/>
      <c r="CH284" s="1160"/>
      <c r="CI284" s="1967"/>
      <c r="CJ284" s="1968"/>
      <c r="CK284" s="965">
        <v>9</v>
      </c>
      <c r="CL284" s="1166" t="s">
        <v>1732</v>
      </c>
      <c r="CM284" s="1675"/>
      <c r="CN284" s="1160"/>
      <c r="CO284" s="1967"/>
      <c r="CP284" s="1968"/>
      <c r="CQ284" s="1675"/>
      <c r="CR284" s="1160"/>
      <c r="CS284" s="1967"/>
      <c r="CT284" s="1968"/>
      <c r="CU284" s="1675"/>
      <c r="CV284" s="1160"/>
      <c r="CW284" s="1967"/>
      <c r="CX284" s="1968"/>
      <c r="CY284" s="1675"/>
      <c r="CZ284" s="1160"/>
      <c r="DA284" s="1967"/>
      <c r="DB284" s="1968"/>
      <c r="DC284" s="1161"/>
      <c r="DD284" s="2043"/>
      <c r="DE284" s="1675"/>
      <c r="DF284" s="1160"/>
      <c r="DG284" s="1967"/>
      <c r="DH284" s="1968"/>
      <c r="DI284" s="964"/>
      <c r="DJ284" s="1037"/>
      <c r="DK284" s="1161"/>
      <c r="DL284" s="2015"/>
      <c r="DM284" s="1161"/>
      <c r="DN284" s="2015"/>
      <c r="DO284" s="1161"/>
      <c r="DP284" s="2043"/>
      <c r="DQ284" s="965"/>
      <c r="DR284" s="1042"/>
      <c r="DS284" s="1675"/>
      <c r="DT284" s="1160"/>
      <c r="DU284" s="1967"/>
      <c r="DV284" s="1968"/>
      <c r="DW284" s="965"/>
      <c r="DX284" s="1040"/>
      <c r="DY284" s="1675"/>
      <c r="DZ284" s="1160"/>
      <c r="EA284" s="1967"/>
      <c r="EB284" s="1968"/>
      <c r="EC284" s="1161"/>
      <c r="ED284" s="2043"/>
      <c r="EE284" s="965"/>
      <c r="EF284" s="1040"/>
      <c r="EG284" s="1161"/>
      <c r="EH284" s="2043"/>
      <c r="EI284" s="1675"/>
      <c r="EJ284" s="1160"/>
      <c r="EK284" s="2221"/>
      <c r="EL284" s="1968"/>
      <c r="EM284" s="2202">
        <f t="shared" si="478"/>
        <v>35114</v>
      </c>
      <c r="EN284" s="1585">
        <f t="shared" si="479"/>
        <v>0</v>
      </c>
      <c r="EO284" s="1585">
        <f t="shared" si="480"/>
        <v>0</v>
      </c>
      <c r="EP284" s="1597">
        <f t="shared" si="461"/>
        <v>35114</v>
      </c>
      <c r="EQ284" s="1162">
        <f t="shared" si="430"/>
        <v>18944</v>
      </c>
      <c r="ER284" s="1785">
        <f t="shared" si="431"/>
        <v>0</v>
      </c>
      <c r="ES284" s="1785">
        <f t="shared" si="432"/>
        <v>0</v>
      </c>
      <c r="ET284" s="1070">
        <f t="shared" si="465"/>
        <v>18944</v>
      </c>
    </row>
    <row r="285" spans="1:150" x14ac:dyDescent="0.25">
      <c r="A285" s="965"/>
      <c r="B285" s="1040"/>
      <c r="C285" s="1675"/>
      <c r="D285" s="1160"/>
      <c r="E285" s="1967"/>
      <c r="F285" s="1968"/>
      <c r="G285" s="1161"/>
      <c r="H285" s="2015"/>
      <c r="I285" s="1161"/>
      <c r="J285" s="2015"/>
      <c r="K285" s="1161"/>
      <c r="L285" s="2043"/>
      <c r="M285" s="965"/>
      <c r="N285" s="1040"/>
      <c r="O285" s="1161"/>
      <c r="P285" s="2043"/>
      <c r="Q285" s="1675"/>
      <c r="R285" s="1160"/>
      <c r="S285" s="1967"/>
      <c r="T285" s="1968"/>
      <c r="U285" s="1675"/>
      <c r="V285" s="1160"/>
      <c r="W285" s="1967"/>
      <c r="X285" s="1968"/>
      <c r="Y285" s="1675"/>
      <c r="Z285" s="1160"/>
      <c r="AA285" s="2079"/>
      <c r="AB285" s="1968"/>
      <c r="AC285" s="964"/>
      <c r="AD285" s="1040"/>
      <c r="AE285" s="1675"/>
      <c r="AF285" s="1160"/>
      <c r="AG285" s="1967"/>
      <c r="AH285" s="1968"/>
      <c r="AI285" s="1675"/>
      <c r="AJ285" s="1160"/>
      <c r="AK285" s="1967"/>
      <c r="AL285" s="1968"/>
      <c r="AM285" s="1161"/>
      <c r="AN285" s="2043"/>
      <c r="AO285" s="1869"/>
      <c r="AP285" s="1159"/>
      <c r="AQ285" s="1163"/>
      <c r="AR285" s="2133"/>
      <c r="AS285" s="1551"/>
      <c r="AT285" s="2133"/>
      <c r="AU285" s="1675"/>
      <c r="AV285" s="1160"/>
      <c r="AW285" s="1967"/>
      <c r="AX285" s="1968"/>
      <c r="AY285" s="965"/>
      <c r="AZ285" s="1040"/>
      <c r="BA285" s="1675"/>
      <c r="BB285" s="1160"/>
      <c r="BC285" s="1967"/>
      <c r="BD285" s="1968"/>
      <c r="BE285" s="965">
        <v>10</v>
      </c>
      <c r="BF285" s="1037" t="s">
        <v>1726</v>
      </c>
      <c r="BG285" s="1675"/>
      <c r="BH285" s="1160"/>
      <c r="BI285" s="1967"/>
      <c r="BJ285" s="1968"/>
      <c r="BK285" s="1675"/>
      <c r="BL285" s="1160"/>
      <c r="BM285" s="1967"/>
      <c r="BN285" s="1968"/>
      <c r="BO285" s="1161"/>
      <c r="BP285" s="2015"/>
      <c r="BQ285" s="1161"/>
      <c r="BR285" s="2043"/>
      <c r="BS285" s="1675"/>
      <c r="BT285" s="1160"/>
      <c r="BU285" s="1967"/>
      <c r="BV285" s="1968"/>
      <c r="BW285" s="1161"/>
      <c r="BX285" s="2043"/>
      <c r="BY285" s="1675"/>
      <c r="BZ285" s="1160"/>
      <c r="CA285" s="1967"/>
      <c r="CB285" s="1968"/>
      <c r="CC285" s="1766"/>
      <c r="CD285" s="2180"/>
      <c r="CE285" s="965"/>
      <c r="CF285" s="1040"/>
      <c r="CG285" s="1675"/>
      <c r="CH285" s="1160"/>
      <c r="CI285" s="1967"/>
      <c r="CJ285" s="1968"/>
      <c r="CK285" s="965">
        <v>10</v>
      </c>
      <c r="CL285" s="959" t="s">
        <v>1733</v>
      </c>
      <c r="CM285" s="1675"/>
      <c r="CN285" s="1160"/>
      <c r="CO285" s="1967"/>
      <c r="CP285" s="1968"/>
      <c r="CQ285" s="1675"/>
      <c r="CR285" s="1160"/>
      <c r="CS285" s="1967"/>
      <c r="CT285" s="1968"/>
      <c r="CU285" s="1675"/>
      <c r="CV285" s="1160"/>
      <c r="CW285" s="1967"/>
      <c r="CX285" s="1968"/>
      <c r="CY285" s="1675"/>
      <c r="CZ285" s="1160"/>
      <c r="DA285" s="1967"/>
      <c r="DB285" s="1968"/>
      <c r="DC285" s="1161"/>
      <c r="DD285" s="2043"/>
      <c r="DE285" s="1675"/>
      <c r="DF285" s="1160"/>
      <c r="DG285" s="1967"/>
      <c r="DH285" s="1968"/>
      <c r="DI285" s="964"/>
      <c r="DJ285" s="1037"/>
      <c r="DK285" s="1161"/>
      <c r="DL285" s="2015"/>
      <c r="DM285" s="1161"/>
      <c r="DN285" s="2015"/>
      <c r="DO285" s="1161"/>
      <c r="DP285" s="2043"/>
      <c r="DQ285" s="965"/>
      <c r="DR285" s="1042"/>
      <c r="DS285" s="1675"/>
      <c r="DT285" s="1160"/>
      <c r="DU285" s="1967"/>
      <c r="DV285" s="1968"/>
      <c r="DW285" s="965"/>
      <c r="DX285" s="1040"/>
      <c r="DY285" s="1675"/>
      <c r="DZ285" s="1160"/>
      <c r="EA285" s="1967"/>
      <c r="EB285" s="1968"/>
      <c r="EC285" s="1161"/>
      <c r="ED285" s="2043"/>
      <c r="EE285" s="965"/>
      <c r="EF285" s="1040"/>
      <c r="EG285" s="1161"/>
      <c r="EH285" s="2043"/>
      <c r="EI285" s="1675"/>
      <c r="EJ285" s="1160"/>
      <c r="EK285" s="2221"/>
      <c r="EL285" s="1968"/>
      <c r="EM285" s="2202">
        <f t="shared" si="478"/>
        <v>0</v>
      </c>
      <c r="EN285" s="1585">
        <f t="shared" si="479"/>
        <v>0</v>
      </c>
      <c r="EO285" s="1585">
        <f t="shared" si="480"/>
        <v>0</v>
      </c>
      <c r="EP285" s="1597">
        <f t="shared" si="461"/>
        <v>0</v>
      </c>
      <c r="EQ285" s="1162">
        <f t="shared" si="430"/>
        <v>0</v>
      </c>
      <c r="ER285" s="1785">
        <f t="shared" si="431"/>
        <v>0</v>
      </c>
      <c r="ES285" s="1785">
        <f t="shared" si="432"/>
        <v>0</v>
      </c>
      <c r="ET285" s="1070">
        <f t="shared" si="465"/>
        <v>0</v>
      </c>
    </row>
    <row r="286" spans="1:150" x14ac:dyDescent="0.25">
      <c r="A286" s="965"/>
      <c r="B286" s="1040"/>
      <c r="C286" s="1675"/>
      <c r="D286" s="1160"/>
      <c r="E286" s="1967"/>
      <c r="F286" s="1968"/>
      <c r="G286" s="1161"/>
      <c r="H286" s="2015"/>
      <c r="I286" s="1161"/>
      <c r="J286" s="2015"/>
      <c r="K286" s="1161"/>
      <c r="L286" s="2043"/>
      <c r="M286" s="965"/>
      <c r="N286" s="1040"/>
      <c r="O286" s="1161"/>
      <c r="P286" s="2043"/>
      <c r="Q286" s="1675"/>
      <c r="R286" s="1160"/>
      <c r="S286" s="1967"/>
      <c r="T286" s="1968"/>
      <c r="U286" s="1675"/>
      <c r="V286" s="1160"/>
      <c r="W286" s="1967"/>
      <c r="X286" s="1968"/>
      <c r="Y286" s="1675"/>
      <c r="Z286" s="1160"/>
      <c r="AA286" s="2079"/>
      <c r="AB286" s="1968"/>
      <c r="AC286" s="964"/>
      <c r="AD286" s="1040"/>
      <c r="AE286" s="1675"/>
      <c r="AF286" s="1160"/>
      <c r="AG286" s="1967"/>
      <c r="AH286" s="1968"/>
      <c r="AI286" s="1675"/>
      <c r="AJ286" s="1160"/>
      <c r="AK286" s="1967"/>
      <c r="AL286" s="1968"/>
      <c r="AM286" s="1161"/>
      <c r="AN286" s="2043"/>
      <c r="AO286" s="1869"/>
      <c r="AP286" s="1159"/>
      <c r="AQ286" s="1163"/>
      <c r="AR286" s="2133"/>
      <c r="AS286" s="1551"/>
      <c r="AT286" s="2133"/>
      <c r="AU286" s="1675"/>
      <c r="AV286" s="1160"/>
      <c r="AW286" s="1967"/>
      <c r="AX286" s="1968"/>
      <c r="AY286" s="965"/>
      <c r="AZ286" s="1040"/>
      <c r="BA286" s="1675"/>
      <c r="BB286" s="1160"/>
      <c r="BC286" s="1967"/>
      <c r="BD286" s="1968"/>
      <c r="BE286" s="965">
        <v>11</v>
      </c>
      <c r="BF286" s="1037" t="s">
        <v>2119</v>
      </c>
      <c r="BG286" s="1675">
        <v>40000</v>
      </c>
      <c r="BH286" s="1160"/>
      <c r="BI286" s="1967">
        <v>76200</v>
      </c>
      <c r="BJ286" s="1968"/>
      <c r="BK286" s="1675"/>
      <c r="BL286" s="1160"/>
      <c r="BM286" s="1967"/>
      <c r="BN286" s="1968"/>
      <c r="BO286" s="1161"/>
      <c r="BP286" s="2015"/>
      <c r="BQ286" s="1161"/>
      <c r="BR286" s="2043"/>
      <c r="BS286" s="1675"/>
      <c r="BT286" s="1160"/>
      <c r="BU286" s="1967"/>
      <c r="BV286" s="1968"/>
      <c r="BW286" s="1161"/>
      <c r="BX286" s="2043"/>
      <c r="BY286" s="1675"/>
      <c r="BZ286" s="1160"/>
      <c r="CA286" s="1967"/>
      <c r="CB286" s="1968"/>
      <c r="CC286" s="1766"/>
      <c r="CD286" s="2180"/>
      <c r="CE286" s="965"/>
      <c r="CF286" s="1040"/>
      <c r="CG286" s="1675"/>
      <c r="CH286" s="1160"/>
      <c r="CI286" s="1967"/>
      <c r="CJ286" s="1968"/>
      <c r="CK286" s="965">
        <v>12</v>
      </c>
      <c r="CL286" s="959" t="s">
        <v>1734</v>
      </c>
      <c r="CM286" s="1675"/>
      <c r="CN286" s="1160"/>
      <c r="CO286" s="1967"/>
      <c r="CP286" s="1968"/>
      <c r="CQ286" s="1675"/>
      <c r="CR286" s="1160"/>
      <c r="CS286" s="1967"/>
      <c r="CT286" s="1968"/>
      <c r="CU286" s="1675"/>
      <c r="CV286" s="1160"/>
      <c r="CW286" s="1967"/>
      <c r="CX286" s="1968"/>
      <c r="CY286" s="1675"/>
      <c r="CZ286" s="1160"/>
      <c r="DA286" s="1967"/>
      <c r="DB286" s="1968"/>
      <c r="DC286" s="1161"/>
      <c r="DD286" s="2043"/>
      <c r="DE286" s="1675"/>
      <c r="DF286" s="1160"/>
      <c r="DG286" s="1967"/>
      <c r="DH286" s="1968"/>
      <c r="DI286" s="964"/>
      <c r="DJ286" s="1037"/>
      <c r="DK286" s="1161"/>
      <c r="DL286" s="2015"/>
      <c r="DM286" s="1161"/>
      <c r="DN286" s="2015"/>
      <c r="DO286" s="1161"/>
      <c r="DP286" s="2043"/>
      <c r="DQ286" s="965"/>
      <c r="DR286" s="1042"/>
      <c r="DS286" s="1675"/>
      <c r="DT286" s="1160"/>
      <c r="DU286" s="1967"/>
      <c r="DV286" s="1968"/>
      <c r="DW286" s="965"/>
      <c r="DX286" s="1040"/>
      <c r="DY286" s="1675"/>
      <c r="DZ286" s="1160"/>
      <c r="EA286" s="1967"/>
      <c r="EB286" s="1968"/>
      <c r="EC286" s="1161"/>
      <c r="ED286" s="2043"/>
      <c r="EE286" s="965"/>
      <c r="EF286" s="1040"/>
      <c r="EG286" s="1161"/>
      <c r="EH286" s="2043"/>
      <c r="EI286" s="1675"/>
      <c r="EJ286" s="1160"/>
      <c r="EK286" s="2221"/>
      <c r="EL286" s="1968"/>
      <c r="EM286" s="2202">
        <f t="shared" si="478"/>
        <v>76200</v>
      </c>
      <c r="EN286" s="1585">
        <f t="shared" si="479"/>
        <v>0</v>
      </c>
      <c r="EO286" s="1585">
        <f t="shared" si="480"/>
        <v>0</v>
      </c>
      <c r="EP286" s="1597">
        <f t="shared" si="461"/>
        <v>76200</v>
      </c>
      <c r="EQ286" s="1162">
        <f t="shared" si="430"/>
        <v>40000</v>
      </c>
      <c r="ER286" s="1785">
        <f t="shared" si="431"/>
        <v>0</v>
      </c>
      <c r="ES286" s="1785">
        <f t="shared" si="432"/>
        <v>0</v>
      </c>
      <c r="ET286" s="1070">
        <f t="shared" si="465"/>
        <v>40000</v>
      </c>
    </row>
    <row r="287" spans="1:150" x14ac:dyDescent="0.25">
      <c r="A287" s="965"/>
      <c r="B287" s="1040"/>
      <c r="C287" s="1675"/>
      <c r="D287" s="1160"/>
      <c r="E287" s="1967"/>
      <c r="F287" s="1968"/>
      <c r="G287" s="1161"/>
      <c r="H287" s="2015"/>
      <c r="I287" s="1161"/>
      <c r="J287" s="2015"/>
      <c r="K287" s="1161"/>
      <c r="L287" s="2043"/>
      <c r="M287" s="965"/>
      <c r="N287" s="1040"/>
      <c r="O287" s="1161"/>
      <c r="P287" s="2043"/>
      <c r="Q287" s="1675"/>
      <c r="R287" s="1160"/>
      <c r="S287" s="1967"/>
      <c r="T287" s="1968"/>
      <c r="U287" s="1675"/>
      <c r="V287" s="1160"/>
      <c r="W287" s="1967"/>
      <c r="X287" s="1968"/>
      <c r="Y287" s="1675"/>
      <c r="Z287" s="1160"/>
      <c r="AA287" s="2079"/>
      <c r="AB287" s="1968"/>
      <c r="AC287" s="964"/>
      <c r="AD287" s="1040"/>
      <c r="AE287" s="1675"/>
      <c r="AF287" s="1160"/>
      <c r="AG287" s="1967"/>
      <c r="AH287" s="1968"/>
      <c r="AI287" s="1675"/>
      <c r="AJ287" s="1160"/>
      <c r="AK287" s="1967"/>
      <c r="AL287" s="1968"/>
      <c r="AM287" s="1161"/>
      <c r="AN287" s="2043"/>
      <c r="AO287" s="1869"/>
      <c r="AP287" s="1159"/>
      <c r="AQ287" s="1163"/>
      <c r="AR287" s="2133"/>
      <c r="AS287" s="1551"/>
      <c r="AT287" s="2133"/>
      <c r="AU287" s="1675"/>
      <c r="AV287" s="1160"/>
      <c r="AW287" s="1967"/>
      <c r="AX287" s="1968"/>
      <c r="AY287" s="965"/>
      <c r="AZ287" s="1040"/>
      <c r="BA287" s="1675"/>
      <c r="BB287" s="1160"/>
      <c r="BC287" s="1967"/>
      <c r="BD287" s="1968"/>
      <c r="BE287" s="965">
        <v>12</v>
      </c>
      <c r="BF287" s="1037" t="s">
        <v>1735</v>
      </c>
      <c r="BG287" s="1675">
        <v>329493</v>
      </c>
      <c r="BH287" s="1160"/>
      <c r="BI287" s="1967"/>
      <c r="BJ287" s="1968"/>
      <c r="BK287" s="1675"/>
      <c r="BL287" s="1160"/>
      <c r="BM287" s="1967"/>
      <c r="BN287" s="1968"/>
      <c r="BO287" s="1161"/>
      <c r="BP287" s="2015"/>
      <c r="BQ287" s="1161"/>
      <c r="BR287" s="2043"/>
      <c r="BS287" s="1675"/>
      <c r="BT287" s="1160"/>
      <c r="BU287" s="1967"/>
      <c r="BV287" s="1968"/>
      <c r="BW287" s="1161"/>
      <c r="BX287" s="2043"/>
      <c r="BY287" s="1675"/>
      <c r="BZ287" s="1160"/>
      <c r="CA287" s="1967"/>
      <c r="CB287" s="1968"/>
      <c r="CC287" s="1766"/>
      <c r="CD287" s="2180"/>
      <c r="CE287" s="965"/>
      <c r="CF287" s="1040"/>
      <c r="CG287" s="1675"/>
      <c r="CH287" s="1160"/>
      <c r="CI287" s="1967"/>
      <c r="CJ287" s="1968"/>
      <c r="CK287" s="965">
        <v>13</v>
      </c>
      <c r="CL287" s="959" t="s">
        <v>1736</v>
      </c>
      <c r="CM287" s="1675"/>
      <c r="CN287" s="1160"/>
      <c r="CO287" s="1967"/>
      <c r="CP287" s="1968"/>
      <c r="CQ287" s="1675"/>
      <c r="CR287" s="1160"/>
      <c r="CS287" s="1967"/>
      <c r="CT287" s="1968"/>
      <c r="CU287" s="1675"/>
      <c r="CV287" s="1160"/>
      <c r="CW287" s="1967"/>
      <c r="CX287" s="1968"/>
      <c r="CY287" s="1675"/>
      <c r="CZ287" s="1160"/>
      <c r="DA287" s="1967"/>
      <c r="DB287" s="1968"/>
      <c r="DC287" s="1161"/>
      <c r="DD287" s="2043"/>
      <c r="DE287" s="1675"/>
      <c r="DF287" s="1160"/>
      <c r="DG287" s="1967"/>
      <c r="DH287" s="1968"/>
      <c r="DI287" s="964"/>
      <c r="DJ287" s="1037"/>
      <c r="DK287" s="1161"/>
      <c r="DL287" s="2015"/>
      <c r="DM287" s="1161"/>
      <c r="DN287" s="2015"/>
      <c r="DO287" s="1161"/>
      <c r="DP287" s="2043"/>
      <c r="DQ287" s="965"/>
      <c r="DR287" s="1042"/>
      <c r="DS287" s="1675"/>
      <c r="DT287" s="1160"/>
      <c r="DU287" s="1967"/>
      <c r="DV287" s="1968"/>
      <c r="DW287" s="965"/>
      <c r="DX287" s="1040"/>
      <c r="DY287" s="1675"/>
      <c r="DZ287" s="1160"/>
      <c r="EA287" s="1967"/>
      <c r="EB287" s="1968"/>
      <c r="EC287" s="1161"/>
      <c r="ED287" s="2043"/>
      <c r="EE287" s="965"/>
      <c r="EF287" s="1040"/>
      <c r="EG287" s="1161"/>
      <c r="EH287" s="2043"/>
      <c r="EI287" s="1675"/>
      <c r="EJ287" s="1160"/>
      <c r="EK287" s="2221"/>
      <c r="EL287" s="1968"/>
      <c r="EM287" s="2202">
        <f t="shared" si="478"/>
        <v>0</v>
      </c>
      <c r="EN287" s="1585">
        <f t="shared" si="479"/>
        <v>0</v>
      </c>
      <c r="EO287" s="1585">
        <f t="shared" si="480"/>
        <v>0</v>
      </c>
      <c r="EP287" s="1597">
        <f t="shared" si="461"/>
        <v>0</v>
      </c>
      <c r="EQ287" s="1162">
        <f t="shared" si="430"/>
        <v>329493</v>
      </c>
      <c r="ER287" s="1785">
        <f t="shared" si="431"/>
        <v>0</v>
      </c>
      <c r="ES287" s="1785">
        <f t="shared" si="432"/>
        <v>0</v>
      </c>
      <c r="ET287" s="1070">
        <f t="shared" si="465"/>
        <v>329493</v>
      </c>
    </row>
    <row r="288" spans="1:150" x14ac:dyDescent="0.25">
      <c r="A288" s="965"/>
      <c r="B288" s="1040"/>
      <c r="C288" s="1675"/>
      <c r="D288" s="1160"/>
      <c r="E288" s="1967"/>
      <c r="F288" s="1968"/>
      <c r="G288" s="1161"/>
      <c r="H288" s="2015"/>
      <c r="I288" s="1161"/>
      <c r="J288" s="2015"/>
      <c r="K288" s="1161"/>
      <c r="L288" s="2043"/>
      <c r="M288" s="965"/>
      <c r="N288" s="1040"/>
      <c r="O288" s="1161"/>
      <c r="P288" s="2043"/>
      <c r="Q288" s="1675"/>
      <c r="R288" s="1160"/>
      <c r="S288" s="1967"/>
      <c r="T288" s="1968"/>
      <c r="U288" s="1675"/>
      <c r="V288" s="1160"/>
      <c r="W288" s="1967"/>
      <c r="X288" s="1968"/>
      <c r="Y288" s="1675"/>
      <c r="Z288" s="1160"/>
      <c r="AA288" s="2079"/>
      <c r="AB288" s="1968"/>
      <c r="AC288" s="964"/>
      <c r="AD288" s="1040"/>
      <c r="AE288" s="1675"/>
      <c r="AF288" s="1160"/>
      <c r="AG288" s="1967"/>
      <c r="AH288" s="1968"/>
      <c r="AI288" s="1675"/>
      <c r="AJ288" s="1160"/>
      <c r="AK288" s="1967"/>
      <c r="AL288" s="1968"/>
      <c r="AM288" s="1161"/>
      <c r="AN288" s="2043"/>
      <c r="AO288" s="1869"/>
      <c r="AP288" s="1159"/>
      <c r="AQ288" s="1163"/>
      <c r="AR288" s="2133"/>
      <c r="AS288" s="1551"/>
      <c r="AT288" s="2133"/>
      <c r="AU288" s="1675"/>
      <c r="AV288" s="1160"/>
      <c r="AW288" s="1967"/>
      <c r="AX288" s="1968"/>
      <c r="AY288" s="965"/>
      <c r="AZ288" s="1040"/>
      <c r="BA288" s="1675"/>
      <c r="BB288" s="1160"/>
      <c r="BC288" s="1967"/>
      <c r="BD288" s="1968"/>
      <c r="BE288" s="965">
        <v>13</v>
      </c>
      <c r="BF288" s="1037" t="s">
        <v>1737</v>
      </c>
      <c r="BG288" s="1675">
        <v>74508</v>
      </c>
      <c r="BH288" s="1160"/>
      <c r="BI288" s="1967"/>
      <c r="BJ288" s="1968"/>
      <c r="BK288" s="1675"/>
      <c r="BL288" s="1160"/>
      <c r="BM288" s="1967"/>
      <c r="BN288" s="1968"/>
      <c r="BO288" s="1161"/>
      <c r="BP288" s="2015"/>
      <c r="BQ288" s="1161"/>
      <c r="BR288" s="2043"/>
      <c r="BS288" s="1675"/>
      <c r="BT288" s="1160"/>
      <c r="BU288" s="1967"/>
      <c r="BV288" s="1968"/>
      <c r="BW288" s="1161"/>
      <c r="BX288" s="2043"/>
      <c r="BY288" s="1675"/>
      <c r="BZ288" s="1160"/>
      <c r="CA288" s="1967"/>
      <c r="CB288" s="1968"/>
      <c r="CC288" s="1766"/>
      <c r="CD288" s="2180"/>
      <c r="CE288" s="965"/>
      <c r="CF288" s="1040"/>
      <c r="CG288" s="1675"/>
      <c r="CH288" s="1160"/>
      <c r="CI288" s="1967"/>
      <c r="CJ288" s="1968"/>
      <c r="CK288" s="965">
        <v>14</v>
      </c>
      <c r="CL288" s="959" t="s">
        <v>1738</v>
      </c>
      <c r="CM288" s="1675"/>
      <c r="CN288" s="1160"/>
      <c r="CO288" s="1967"/>
      <c r="CP288" s="1968"/>
      <c r="CQ288" s="1675"/>
      <c r="CR288" s="1160"/>
      <c r="CS288" s="1967"/>
      <c r="CT288" s="1968"/>
      <c r="CU288" s="1675"/>
      <c r="CV288" s="1160"/>
      <c r="CW288" s="1967"/>
      <c r="CX288" s="1968"/>
      <c r="CY288" s="1675"/>
      <c r="CZ288" s="1160"/>
      <c r="DA288" s="1967"/>
      <c r="DB288" s="1968"/>
      <c r="DC288" s="1161"/>
      <c r="DD288" s="2043"/>
      <c r="DE288" s="1675"/>
      <c r="DF288" s="1160"/>
      <c r="DG288" s="1967"/>
      <c r="DH288" s="1968"/>
      <c r="DI288" s="964"/>
      <c r="DJ288" s="1037"/>
      <c r="DK288" s="1161"/>
      <c r="DL288" s="2015"/>
      <c r="DM288" s="1161"/>
      <c r="DN288" s="2015"/>
      <c r="DO288" s="1161"/>
      <c r="DP288" s="2043"/>
      <c r="DQ288" s="965"/>
      <c r="DR288" s="1042"/>
      <c r="DS288" s="1675"/>
      <c r="DT288" s="1160"/>
      <c r="DU288" s="1967"/>
      <c r="DV288" s="1968"/>
      <c r="DW288" s="965"/>
      <c r="DX288" s="1040"/>
      <c r="DY288" s="1675"/>
      <c r="DZ288" s="1160"/>
      <c r="EA288" s="1967"/>
      <c r="EB288" s="1968"/>
      <c r="EC288" s="1161"/>
      <c r="ED288" s="2043"/>
      <c r="EE288" s="965"/>
      <c r="EF288" s="1040"/>
      <c r="EG288" s="1161"/>
      <c r="EH288" s="2043"/>
      <c r="EI288" s="1675"/>
      <c r="EJ288" s="1160"/>
      <c r="EK288" s="2221"/>
      <c r="EL288" s="1968"/>
      <c r="EM288" s="2202">
        <f t="shared" si="478"/>
        <v>0</v>
      </c>
      <c r="EN288" s="1585">
        <f t="shared" si="479"/>
        <v>0</v>
      </c>
      <c r="EO288" s="1585">
        <f t="shared" si="480"/>
        <v>0</v>
      </c>
      <c r="EP288" s="1597">
        <f t="shared" si="461"/>
        <v>0</v>
      </c>
      <c r="EQ288" s="1162">
        <f t="shared" si="430"/>
        <v>74508</v>
      </c>
      <c r="ER288" s="1785">
        <f t="shared" si="431"/>
        <v>0</v>
      </c>
      <c r="ES288" s="1785">
        <f t="shared" si="432"/>
        <v>0</v>
      </c>
      <c r="ET288" s="1070">
        <f t="shared" si="465"/>
        <v>74508</v>
      </c>
    </row>
    <row r="289" spans="1:150" x14ac:dyDescent="0.25">
      <c r="A289" s="965"/>
      <c r="B289" s="1040"/>
      <c r="C289" s="1675"/>
      <c r="D289" s="1160"/>
      <c r="E289" s="1967"/>
      <c r="F289" s="1968"/>
      <c r="G289" s="1161"/>
      <c r="H289" s="2015"/>
      <c r="I289" s="1161"/>
      <c r="J289" s="2015"/>
      <c r="K289" s="1161"/>
      <c r="L289" s="2043"/>
      <c r="M289" s="965"/>
      <c r="N289" s="1040"/>
      <c r="O289" s="1161"/>
      <c r="P289" s="2043"/>
      <c r="Q289" s="1675"/>
      <c r="R289" s="1160"/>
      <c r="S289" s="1967"/>
      <c r="T289" s="1968"/>
      <c r="U289" s="1675"/>
      <c r="V289" s="1160"/>
      <c r="W289" s="1967"/>
      <c r="X289" s="1968"/>
      <c r="Y289" s="1675"/>
      <c r="Z289" s="1160"/>
      <c r="AA289" s="2079"/>
      <c r="AB289" s="1968"/>
      <c r="AC289" s="964"/>
      <c r="AD289" s="1040"/>
      <c r="AE289" s="1675"/>
      <c r="AF289" s="1160"/>
      <c r="AG289" s="1967"/>
      <c r="AH289" s="1968"/>
      <c r="AI289" s="1675"/>
      <c r="AJ289" s="1160"/>
      <c r="AK289" s="1967"/>
      <c r="AL289" s="1968"/>
      <c r="AM289" s="1161"/>
      <c r="AN289" s="2043"/>
      <c r="AO289" s="1869"/>
      <c r="AP289" s="1159"/>
      <c r="AQ289" s="1163"/>
      <c r="AR289" s="2133"/>
      <c r="AS289" s="1551"/>
      <c r="AT289" s="2133"/>
      <c r="AU289" s="1675"/>
      <c r="AV289" s="1160"/>
      <c r="AW289" s="1967"/>
      <c r="AX289" s="1968"/>
      <c r="AY289" s="965"/>
      <c r="AZ289" s="1040"/>
      <c r="BA289" s="1675"/>
      <c r="BB289" s="1160"/>
      <c r="BC289" s="1967"/>
      <c r="BD289" s="1968"/>
      <c r="BE289" s="965">
        <v>14</v>
      </c>
      <c r="BF289" s="1037"/>
      <c r="BG289" s="1675"/>
      <c r="BH289" s="1160"/>
      <c r="BI289" s="1967"/>
      <c r="BJ289" s="1968"/>
      <c r="BK289" s="1675"/>
      <c r="BL289" s="1160"/>
      <c r="BM289" s="1967"/>
      <c r="BN289" s="1968"/>
      <c r="BO289" s="1161"/>
      <c r="BP289" s="2015"/>
      <c r="BQ289" s="1161"/>
      <c r="BR289" s="2043"/>
      <c r="BS289" s="1675"/>
      <c r="BT289" s="1160"/>
      <c r="BU289" s="1967"/>
      <c r="BV289" s="1968"/>
      <c r="BW289" s="1161"/>
      <c r="BX289" s="2043"/>
      <c r="BY289" s="1675"/>
      <c r="BZ289" s="1160"/>
      <c r="CA289" s="1967"/>
      <c r="CB289" s="1968"/>
      <c r="CC289" s="1766"/>
      <c r="CD289" s="2180"/>
      <c r="CE289" s="965"/>
      <c r="CF289" s="1040"/>
      <c r="CG289" s="1675"/>
      <c r="CH289" s="1160"/>
      <c r="CI289" s="1967"/>
      <c r="CJ289" s="1968"/>
      <c r="CK289" s="965">
        <v>15</v>
      </c>
      <c r="CL289" s="959" t="s">
        <v>1739</v>
      </c>
      <c r="CM289" s="1675"/>
      <c r="CN289" s="1160"/>
      <c r="CO289" s="1967"/>
      <c r="CP289" s="1968"/>
      <c r="CQ289" s="1675"/>
      <c r="CR289" s="1160"/>
      <c r="CS289" s="1967"/>
      <c r="CT289" s="1968"/>
      <c r="CU289" s="1675"/>
      <c r="CV289" s="1160"/>
      <c r="CW289" s="1967"/>
      <c r="CX289" s="1968"/>
      <c r="CY289" s="1675"/>
      <c r="CZ289" s="1160"/>
      <c r="DA289" s="1967"/>
      <c r="DB289" s="1968"/>
      <c r="DC289" s="1161"/>
      <c r="DD289" s="2043"/>
      <c r="DE289" s="1675"/>
      <c r="DF289" s="1160"/>
      <c r="DG289" s="1967"/>
      <c r="DH289" s="1968"/>
      <c r="DI289" s="964"/>
      <c r="DJ289" s="1037"/>
      <c r="DK289" s="1161"/>
      <c r="DL289" s="2015"/>
      <c r="DM289" s="1161"/>
      <c r="DN289" s="2015"/>
      <c r="DO289" s="1161"/>
      <c r="DP289" s="2043"/>
      <c r="DQ289" s="965"/>
      <c r="DR289" s="1042"/>
      <c r="DS289" s="1675"/>
      <c r="DT289" s="1160"/>
      <c r="DU289" s="1967"/>
      <c r="DV289" s="1968"/>
      <c r="DW289" s="965"/>
      <c r="DX289" s="1040"/>
      <c r="DY289" s="1675"/>
      <c r="DZ289" s="1160"/>
      <c r="EA289" s="1967"/>
      <c r="EB289" s="1968"/>
      <c r="EC289" s="1161"/>
      <c r="ED289" s="2043"/>
      <c r="EE289" s="965"/>
      <c r="EF289" s="1040"/>
      <c r="EG289" s="1161"/>
      <c r="EH289" s="2043"/>
      <c r="EI289" s="1675"/>
      <c r="EJ289" s="1160"/>
      <c r="EK289" s="2221"/>
      <c r="EL289" s="1968"/>
      <c r="EM289" s="2202">
        <f t="shared" si="478"/>
        <v>0</v>
      </c>
      <c r="EN289" s="1585">
        <f t="shared" si="479"/>
        <v>0</v>
      </c>
      <c r="EO289" s="1585">
        <f t="shared" si="480"/>
        <v>0</v>
      </c>
      <c r="EP289" s="1597">
        <f t="shared" si="461"/>
        <v>0</v>
      </c>
      <c r="EQ289" s="1162">
        <f t="shared" si="430"/>
        <v>0</v>
      </c>
      <c r="ER289" s="1785">
        <f t="shared" si="431"/>
        <v>0</v>
      </c>
      <c r="ES289" s="1785">
        <f t="shared" si="432"/>
        <v>0</v>
      </c>
      <c r="ET289" s="1070">
        <f t="shared" si="465"/>
        <v>0</v>
      </c>
    </row>
    <row r="290" spans="1:150" x14ac:dyDescent="0.25">
      <c r="A290" s="965"/>
      <c r="B290" s="1040"/>
      <c r="C290" s="1675"/>
      <c r="D290" s="1160"/>
      <c r="E290" s="1967"/>
      <c r="F290" s="1968"/>
      <c r="G290" s="1161"/>
      <c r="H290" s="2015"/>
      <c r="I290" s="1161"/>
      <c r="J290" s="2015"/>
      <c r="K290" s="1161"/>
      <c r="L290" s="2043"/>
      <c r="M290" s="965"/>
      <c r="N290" s="1040"/>
      <c r="O290" s="1161"/>
      <c r="P290" s="2043"/>
      <c r="Q290" s="1675"/>
      <c r="R290" s="1160"/>
      <c r="S290" s="1967"/>
      <c r="T290" s="1968"/>
      <c r="U290" s="1675"/>
      <c r="V290" s="1160"/>
      <c r="W290" s="1967"/>
      <c r="X290" s="1968"/>
      <c r="Y290" s="1675"/>
      <c r="Z290" s="1160"/>
      <c r="AA290" s="2079"/>
      <c r="AB290" s="1968"/>
      <c r="AC290" s="964"/>
      <c r="AD290" s="1040"/>
      <c r="AE290" s="1675"/>
      <c r="AF290" s="1160"/>
      <c r="AG290" s="1967"/>
      <c r="AH290" s="1968"/>
      <c r="AI290" s="1675"/>
      <c r="AJ290" s="1160"/>
      <c r="AK290" s="1967"/>
      <c r="AL290" s="1968"/>
      <c r="AM290" s="1161"/>
      <c r="AN290" s="2043"/>
      <c r="AO290" s="1869"/>
      <c r="AP290" s="1159"/>
      <c r="AQ290" s="1163"/>
      <c r="AR290" s="2133"/>
      <c r="AS290" s="1551"/>
      <c r="AT290" s="2133"/>
      <c r="AU290" s="1675"/>
      <c r="AV290" s="1160"/>
      <c r="AW290" s="1967"/>
      <c r="AX290" s="1968"/>
      <c r="AY290" s="965"/>
      <c r="AZ290" s="1040"/>
      <c r="BA290" s="1675"/>
      <c r="BB290" s="1160"/>
      <c r="BC290" s="1967"/>
      <c r="BD290" s="1968"/>
      <c r="BE290" s="965">
        <v>15</v>
      </c>
      <c r="BF290" s="1037"/>
      <c r="BG290" s="1675"/>
      <c r="BH290" s="1160"/>
      <c r="BI290" s="1967"/>
      <c r="BJ290" s="1968"/>
      <c r="BK290" s="1675"/>
      <c r="BL290" s="1160"/>
      <c r="BM290" s="1967"/>
      <c r="BN290" s="1968"/>
      <c r="BO290" s="1161"/>
      <c r="BP290" s="2015"/>
      <c r="BQ290" s="1161"/>
      <c r="BR290" s="2043"/>
      <c r="BS290" s="1675"/>
      <c r="BT290" s="1160"/>
      <c r="BU290" s="1967"/>
      <c r="BV290" s="1968"/>
      <c r="BW290" s="1161"/>
      <c r="BX290" s="2043"/>
      <c r="BY290" s="1675"/>
      <c r="BZ290" s="1160"/>
      <c r="CA290" s="1967"/>
      <c r="CB290" s="1968"/>
      <c r="CC290" s="1766"/>
      <c r="CD290" s="2180"/>
      <c r="CE290" s="965"/>
      <c r="CF290" s="1040"/>
      <c r="CG290" s="1675"/>
      <c r="CH290" s="1160"/>
      <c r="CI290" s="1967"/>
      <c r="CJ290" s="1968"/>
      <c r="CK290" s="965">
        <v>16</v>
      </c>
      <c r="CL290" s="959" t="s">
        <v>1740</v>
      </c>
      <c r="CM290" s="1675"/>
      <c r="CN290" s="1160"/>
      <c r="CO290" s="1967"/>
      <c r="CP290" s="1968"/>
      <c r="CQ290" s="1675"/>
      <c r="CR290" s="1160"/>
      <c r="CS290" s="1967"/>
      <c r="CT290" s="1968"/>
      <c r="CU290" s="1675"/>
      <c r="CV290" s="1160"/>
      <c r="CW290" s="1967"/>
      <c r="CX290" s="1968"/>
      <c r="CY290" s="1675"/>
      <c r="CZ290" s="1160"/>
      <c r="DA290" s="1967"/>
      <c r="DB290" s="1968"/>
      <c r="DC290" s="1161"/>
      <c r="DD290" s="2043"/>
      <c r="DE290" s="1675"/>
      <c r="DF290" s="1160"/>
      <c r="DG290" s="1967"/>
      <c r="DH290" s="1968"/>
      <c r="DI290" s="964"/>
      <c r="DJ290" s="1037"/>
      <c r="DK290" s="1161"/>
      <c r="DL290" s="2015"/>
      <c r="DM290" s="1161"/>
      <c r="DN290" s="2015"/>
      <c r="DO290" s="1161"/>
      <c r="DP290" s="2043"/>
      <c r="DQ290" s="965"/>
      <c r="DR290" s="1042"/>
      <c r="DS290" s="1675"/>
      <c r="DT290" s="1160"/>
      <c r="DU290" s="1967"/>
      <c r="DV290" s="1968"/>
      <c r="DW290" s="965"/>
      <c r="DX290" s="1040"/>
      <c r="DY290" s="1675"/>
      <c r="DZ290" s="1160"/>
      <c r="EA290" s="1967"/>
      <c r="EB290" s="1968"/>
      <c r="EC290" s="1161"/>
      <c r="ED290" s="2043"/>
      <c r="EE290" s="965"/>
      <c r="EF290" s="1040"/>
      <c r="EG290" s="1161"/>
      <c r="EH290" s="2043"/>
      <c r="EI290" s="1675"/>
      <c r="EJ290" s="1160"/>
      <c r="EK290" s="2221"/>
      <c r="EL290" s="1968"/>
      <c r="EM290" s="2202">
        <f t="shared" si="478"/>
        <v>0</v>
      </c>
      <c r="EN290" s="1585">
        <f t="shared" si="479"/>
        <v>0</v>
      </c>
      <c r="EO290" s="1585">
        <f t="shared" si="480"/>
        <v>0</v>
      </c>
      <c r="EP290" s="1597">
        <f t="shared" si="461"/>
        <v>0</v>
      </c>
      <c r="EQ290" s="1162">
        <f t="shared" si="430"/>
        <v>0</v>
      </c>
      <c r="ER290" s="1785">
        <f t="shared" si="431"/>
        <v>0</v>
      </c>
      <c r="ES290" s="1785">
        <f t="shared" si="432"/>
        <v>0</v>
      </c>
      <c r="ET290" s="1070">
        <f t="shared" si="465"/>
        <v>0</v>
      </c>
    </row>
    <row r="291" spans="1:150" x14ac:dyDescent="0.25">
      <c r="A291" s="965"/>
      <c r="B291" s="1040"/>
      <c r="C291" s="1675"/>
      <c r="D291" s="1160"/>
      <c r="E291" s="1967"/>
      <c r="F291" s="1968"/>
      <c r="G291" s="1161"/>
      <c r="H291" s="2015"/>
      <c r="I291" s="1161"/>
      <c r="J291" s="2015"/>
      <c r="K291" s="1161"/>
      <c r="L291" s="2043"/>
      <c r="M291" s="965"/>
      <c r="N291" s="1040"/>
      <c r="O291" s="1161"/>
      <c r="P291" s="2043"/>
      <c r="Q291" s="1675"/>
      <c r="R291" s="1160"/>
      <c r="S291" s="1967"/>
      <c r="T291" s="1968"/>
      <c r="U291" s="1675"/>
      <c r="V291" s="1160"/>
      <c r="W291" s="1967"/>
      <c r="X291" s="1968"/>
      <c r="Y291" s="1675"/>
      <c r="Z291" s="1160"/>
      <c r="AA291" s="2079"/>
      <c r="AB291" s="1968"/>
      <c r="AC291" s="964"/>
      <c r="AD291" s="1040"/>
      <c r="AE291" s="1675"/>
      <c r="AF291" s="1160"/>
      <c r="AG291" s="1967"/>
      <c r="AH291" s="1968"/>
      <c r="AI291" s="1675"/>
      <c r="AJ291" s="1160"/>
      <c r="AK291" s="1967"/>
      <c r="AL291" s="1968"/>
      <c r="AM291" s="1161"/>
      <c r="AN291" s="2043"/>
      <c r="AO291" s="1869"/>
      <c r="AP291" s="1159"/>
      <c r="AQ291" s="1163"/>
      <c r="AR291" s="2133"/>
      <c r="AS291" s="1551"/>
      <c r="AT291" s="2133"/>
      <c r="AU291" s="1675"/>
      <c r="AV291" s="1160"/>
      <c r="AW291" s="1967"/>
      <c r="AX291" s="1968"/>
      <c r="AY291" s="965"/>
      <c r="AZ291" s="1040"/>
      <c r="BA291" s="1675"/>
      <c r="BB291" s="1160"/>
      <c r="BC291" s="1967"/>
      <c r="BD291" s="1968"/>
      <c r="BE291" s="965">
        <v>16</v>
      </c>
      <c r="BF291" s="1037"/>
      <c r="BG291" s="1675"/>
      <c r="BH291" s="1160"/>
      <c r="BI291" s="1967"/>
      <c r="BJ291" s="1968"/>
      <c r="BK291" s="1675"/>
      <c r="BL291" s="1160"/>
      <c r="BM291" s="1967"/>
      <c r="BN291" s="1968"/>
      <c r="BO291" s="1161"/>
      <c r="BP291" s="2015"/>
      <c r="BQ291" s="1161"/>
      <c r="BR291" s="2043"/>
      <c r="BS291" s="1675"/>
      <c r="BT291" s="1160"/>
      <c r="BU291" s="1967"/>
      <c r="BV291" s="1968"/>
      <c r="BW291" s="1161"/>
      <c r="BX291" s="2043"/>
      <c r="BY291" s="1675"/>
      <c r="BZ291" s="1160"/>
      <c r="CA291" s="1967"/>
      <c r="CB291" s="1968"/>
      <c r="CC291" s="1766"/>
      <c r="CD291" s="2180"/>
      <c r="CE291" s="965"/>
      <c r="CF291" s="1040"/>
      <c r="CG291" s="1675"/>
      <c r="CH291" s="1160"/>
      <c r="CI291" s="1967"/>
      <c r="CJ291" s="1968"/>
      <c r="CK291" s="965">
        <v>17</v>
      </c>
      <c r="CL291" s="959" t="s">
        <v>1741</v>
      </c>
      <c r="CM291" s="1675"/>
      <c r="CN291" s="1160"/>
      <c r="CO291" s="1967"/>
      <c r="CP291" s="1968"/>
      <c r="CQ291" s="1675"/>
      <c r="CR291" s="1160"/>
      <c r="CS291" s="1967"/>
      <c r="CT291" s="1968"/>
      <c r="CU291" s="1675"/>
      <c r="CV291" s="1160"/>
      <c r="CW291" s="1967"/>
      <c r="CX291" s="1968"/>
      <c r="CY291" s="1675"/>
      <c r="CZ291" s="1160"/>
      <c r="DA291" s="1967"/>
      <c r="DB291" s="1968"/>
      <c r="DC291" s="1161"/>
      <c r="DD291" s="2043"/>
      <c r="DE291" s="1675"/>
      <c r="DF291" s="1160"/>
      <c r="DG291" s="1967"/>
      <c r="DH291" s="1968"/>
      <c r="DI291" s="964"/>
      <c r="DJ291" s="1037"/>
      <c r="DK291" s="1161"/>
      <c r="DL291" s="2015"/>
      <c r="DM291" s="1161"/>
      <c r="DN291" s="2015"/>
      <c r="DO291" s="1161"/>
      <c r="DP291" s="2043"/>
      <c r="DQ291" s="965"/>
      <c r="DR291" s="1042"/>
      <c r="DS291" s="1675"/>
      <c r="DT291" s="1160"/>
      <c r="DU291" s="1967"/>
      <c r="DV291" s="1968"/>
      <c r="DW291" s="965"/>
      <c r="DX291" s="1040"/>
      <c r="DY291" s="1675"/>
      <c r="DZ291" s="1160"/>
      <c r="EA291" s="1967"/>
      <c r="EB291" s="1968"/>
      <c r="EC291" s="1161"/>
      <c r="ED291" s="2043"/>
      <c r="EE291" s="965"/>
      <c r="EF291" s="1040"/>
      <c r="EG291" s="1161"/>
      <c r="EH291" s="2043"/>
      <c r="EI291" s="1675"/>
      <c r="EJ291" s="1160"/>
      <c r="EK291" s="2221"/>
      <c r="EL291" s="1968"/>
      <c r="EM291" s="2202">
        <f t="shared" si="478"/>
        <v>0</v>
      </c>
      <c r="EN291" s="1585">
        <f t="shared" si="479"/>
        <v>0</v>
      </c>
      <c r="EO291" s="1585">
        <f t="shared" si="480"/>
        <v>0</v>
      </c>
      <c r="EP291" s="1597">
        <f t="shared" si="461"/>
        <v>0</v>
      </c>
      <c r="EQ291" s="1162">
        <f t="shared" si="430"/>
        <v>0</v>
      </c>
      <c r="ER291" s="1785">
        <f t="shared" si="431"/>
        <v>0</v>
      </c>
      <c r="ES291" s="1785">
        <f t="shared" si="432"/>
        <v>0</v>
      </c>
      <c r="ET291" s="1070">
        <f t="shared" si="465"/>
        <v>0</v>
      </c>
    </row>
    <row r="292" spans="1:150" x14ac:dyDescent="0.25">
      <c r="A292" s="965"/>
      <c r="B292" s="1040"/>
      <c r="C292" s="1675"/>
      <c r="D292" s="1160"/>
      <c r="E292" s="1967"/>
      <c r="F292" s="1968"/>
      <c r="G292" s="1161"/>
      <c r="H292" s="2015"/>
      <c r="I292" s="1161"/>
      <c r="J292" s="2015"/>
      <c r="K292" s="1161"/>
      <c r="L292" s="2043"/>
      <c r="M292" s="965"/>
      <c r="N292" s="1040"/>
      <c r="O292" s="1161"/>
      <c r="P292" s="2043"/>
      <c r="Q292" s="1675"/>
      <c r="R292" s="1160"/>
      <c r="S292" s="1967"/>
      <c r="T292" s="1968"/>
      <c r="U292" s="1675"/>
      <c r="V292" s="1160"/>
      <c r="W292" s="1967"/>
      <c r="X292" s="1968"/>
      <c r="Y292" s="1675"/>
      <c r="Z292" s="1160"/>
      <c r="AA292" s="2079"/>
      <c r="AB292" s="1968"/>
      <c r="AC292" s="964"/>
      <c r="AD292" s="1040"/>
      <c r="AE292" s="1675"/>
      <c r="AF292" s="1160"/>
      <c r="AG292" s="1967"/>
      <c r="AH292" s="1968"/>
      <c r="AI292" s="1675"/>
      <c r="AJ292" s="1160"/>
      <c r="AK292" s="1967"/>
      <c r="AL292" s="1968"/>
      <c r="AM292" s="1161"/>
      <c r="AN292" s="2043"/>
      <c r="AO292" s="1869"/>
      <c r="AP292" s="1159"/>
      <c r="AQ292" s="1163"/>
      <c r="AR292" s="2133"/>
      <c r="AS292" s="1551"/>
      <c r="AT292" s="2133"/>
      <c r="AU292" s="1675"/>
      <c r="AV292" s="1160"/>
      <c r="AW292" s="1967"/>
      <c r="AX292" s="1968"/>
      <c r="AY292" s="965"/>
      <c r="AZ292" s="1040"/>
      <c r="BA292" s="1675"/>
      <c r="BB292" s="1160"/>
      <c r="BC292" s="1967"/>
      <c r="BD292" s="1968"/>
      <c r="BE292" s="965">
        <v>17</v>
      </c>
      <c r="BF292" s="1037"/>
      <c r="BG292" s="1675"/>
      <c r="BH292" s="1160"/>
      <c r="BI292" s="1967"/>
      <c r="BJ292" s="1968"/>
      <c r="BK292" s="1675"/>
      <c r="BL292" s="1160"/>
      <c r="BM292" s="1967"/>
      <c r="BN292" s="1968"/>
      <c r="BO292" s="1161"/>
      <c r="BP292" s="2015"/>
      <c r="BQ292" s="1161"/>
      <c r="BR292" s="2043"/>
      <c r="BS292" s="1675"/>
      <c r="BT292" s="1160"/>
      <c r="BU292" s="1967"/>
      <c r="BV292" s="1968"/>
      <c r="BW292" s="1161"/>
      <c r="BX292" s="2043"/>
      <c r="BY292" s="1675"/>
      <c r="BZ292" s="1160"/>
      <c r="CA292" s="1967"/>
      <c r="CB292" s="1968"/>
      <c r="CC292" s="1766"/>
      <c r="CD292" s="2180"/>
      <c r="CE292" s="965"/>
      <c r="CF292" s="1040"/>
      <c r="CG292" s="1675"/>
      <c r="CH292" s="1160"/>
      <c r="CI292" s="1967"/>
      <c r="CJ292" s="1968"/>
      <c r="CK292" s="965">
        <v>18</v>
      </c>
      <c r="CL292" s="1167" t="s">
        <v>1742</v>
      </c>
      <c r="CM292" s="1675"/>
      <c r="CN292" s="1160"/>
      <c r="CO292" s="1967"/>
      <c r="CP292" s="1968"/>
      <c r="CQ292" s="1675"/>
      <c r="CR292" s="1160"/>
      <c r="CS292" s="1967"/>
      <c r="CT292" s="1968"/>
      <c r="CU292" s="1675"/>
      <c r="CV292" s="1160"/>
      <c r="CW292" s="1967"/>
      <c r="CX292" s="1968"/>
      <c r="CY292" s="1675"/>
      <c r="CZ292" s="1160"/>
      <c r="DA292" s="1967"/>
      <c r="DB292" s="1968"/>
      <c r="DC292" s="1161"/>
      <c r="DD292" s="2043"/>
      <c r="DE292" s="1675"/>
      <c r="DF292" s="1160"/>
      <c r="DG292" s="1967"/>
      <c r="DH292" s="1968"/>
      <c r="DI292" s="964"/>
      <c r="DJ292" s="1037"/>
      <c r="DK292" s="1161"/>
      <c r="DL292" s="2015"/>
      <c r="DM292" s="1161"/>
      <c r="DN292" s="2015"/>
      <c r="DO292" s="1161"/>
      <c r="DP292" s="2043"/>
      <c r="DQ292" s="965"/>
      <c r="DR292" s="1042"/>
      <c r="DS292" s="1675"/>
      <c r="DT292" s="1160"/>
      <c r="DU292" s="1967"/>
      <c r="DV292" s="1968"/>
      <c r="DW292" s="965"/>
      <c r="DX292" s="1040"/>
      <c r="DY292" s="1675"/>
      <c r="DZ292" s="1160"/>
      <c r="EA292" s="1967"/>
      <c r="EB292" s="1968"/>
      <c r="EC292" s="1161"/>
      <c r="ED292" s="2043"/>
      <c r="EE292" s="965"/>
      <c r="EF292" s="1040"/>
      <c r="EG292" s="1161"/>
      <c r="EH292" s="2043"/>
      <c r="EI292" s="1675"/>
      <c r="EJ292" s="1160"/>
      <c r="EK292" s="2221"/>
      <c r="EL292" s="1968"/>
      <c r="EM292" s="2202">
        <f t="shared" si="478"/>
        <v>0</v>
      </c>
      <c r="EN292" s="1585">
        <f t="shared" si="479"/>
        <v>0</v>
      </c>
      <c r="EO292" s="1585">
        <f t="shared" si="480"/>
        <v>0</v>
      </c>
      <c r="EP292" s="1597">
        <f t="shared" si="461"/>
        <v>0</v>
      </c>
      <c r="EQ292" s="1162">
        <f t="shared" si="430"/>
        <v>0</v>
      </c>
      <c r="ER292" s="1785">
        <f t="shared" si="431"/>
        <v>0</v>
      </c>
      <c r="ES292" s="1785">
        <f t="shared" si="432"/>
        <v>0</v>
      </c>
      <c r="ET292" s="1070">
        <f t="shared" si="465"/>
        <v>0</v>
      </c>
    </row>
    <row r="293" spans="1:150" x14ac:dyDescent="0.25">
      <c r="A293" s="965"/>
      <c r="B293" s="1040"/>
      <c r="C293" s="1675"/>
      <c r="D293" s="1160"/>
      <c r="E293" s="1967"/>
      <c r="F293" s="1968"/>
      <c r="G293" s="1161"/>
      <c r="H293" s="2015"/>
      <c r="I293" s="1161"/>
      <c r="J293" s="2015"/>
      <c r="K293" s="1161"/>
      <c r="L293" s="2043"/>
      <c r="M293" s="965"/>
      <c r="N293" s="1040"/>
      <c r="O293" s="1161"/>
      <c r="P293" s="2043"/>
      <c r="Q293" s="1675"/>
      <c r="R293" s="1160"/>
      <c r="S293" s="1967"/>
      <c r="T293" s="1968"/>
      <c r="U293" s="1675"/>
      <c r="V293" s="1160"/>
      <c r="W293" s="1967"/>
      <c r="X293" s="1968"/>
      <c r="Y293" s="1675"/>
      <c r="Z293" s="1160"/>
      <c r="AA293" s="2079"/>
      <c r="AB293" s="1968"/>
      <c r="AC293" s="964"/>
      <c r="AD293" s="1040"/>
      <c r="AE293" s="1675"/>
      <c r="AF293" s="1160"/>
      <c r="AG293" s="1967"/>
      <c r="AH293" s="1968"/>
      <c r="AI293" s="1675"/>
      <c r="AJ293" s="1160"/>
      <c r="AK293" s="1967"/>
      <c r="AL293" s="1968"/>
      <c r="AM293" s="1161"/>
      <c r="AN293" s="2043"/>
      <c r="AO293" s="1869"/>
      <c r="AP293" s="1159"/>
      <c r="AQ293" s="1163"/>
      <c r="AR293" s="2133"/>
      <c r="AS293" s="1551"/>
      <c r="AT293" s="2133"/>
      <c r="AU293" s="1675"/>
      <c r="AV293" s="1160"/>
      <c r="AW293" s="1967"/>
      <c r="AX293" s="1968"/>
      <c r="AY293" s="965"/>
      <c r="AZ293" s="1040"/>
      <c r="BA293" s="1675"/>
      <c r="BB293" s="1160"/>
      <c r="BC293" s="1967"/>
      <c r="BD293" s="1968"/>
      <c r="BE293" s="965">
        <v>18</v>
      </c>
      <c r="BF293" s="1040"/>
      <c r="BG293" s="1675"/>
      <c r="BH293" s="1160"/>
      <c r="BI293" s="1967"/>
      <c r="BJ293" s="1968"/>
      <c r="BK293" s="1675"/>
      <c r="BL293" s="1160"/>
      <c r="BM293" s="1967"/>
      <c r="BN293" s="1968"/>
      <c r="BO293" s="1161"/>
      <c r="BP293" s="2015"/>
      <c r="BQ293" s="1161"/>
      <c r="BR293" s="2043"/>
      <c r="BS293" s="1675"/>
      <c r="BT293" s="1160"/>
      <c r="BU293" s="1967"/>
      <c r="BV293" s="1968"/>
      <c r="BW293" s="1161"/>
      <c r="BX293" s="2043"/>
      <c r="BY293" s="1675"/>
      <c r="BZ293" s="1160"/>
      <c r="CA293" s="1967"/>
      <c r="CB293" s="1968"/>
      <c r="CC293" s="1766"/>
      <c r="CD293" s="2180"/>
      <c r="CE293" s="965"/>
      <c r="CF293" s="1040"/>
      <c r="CG293" s="1675"/>
      <c r="CH293" s="1160"/>
      <c r="CI293" s="1967"/>
      <c r="CJ293" s="1968"/>
      <c r="CK293" s="965">
        <v>19</v>
      </c>
      <c r="CL293" s="959" t="s">
        <v>1736</v>
      </c>
      <c r="CM293" s="1675"/>
      <c r="CN293" s="1160"/>
      <c r="CO293" s="1967"/>
      <c r="CP293" s="1968"/>
      <c r="CQ293" s="1675"/>
      <c r="CR293" s="1160"/>
      <c r="CS293" s="1967"/>
      <c r="CT293" s="1968"/>
      <c r="CU293" s="1675"/>
      <c r="CV293" s="1160"/>
      <c r="CW293" s="1967"/>
      <c r="CX293" s="1968"/>
      <c r="CY293" s="1675"/>
      <c r="CZ293" s="1160"/>
      <c r="DA293" s="1967"/>
      <c r="DB293" s="1968"/>
      <c r="DC293" s="1161"/>
      <c r="DD293" s="2043"/>
      <c r="DE293" s="1675"/>
      <c r="DF293" s="1160"/>
      <c r="DG293" s="1967"/>
      <c r="DH293" s="1968"/>
      <c r="DI293" s="964"/>
      <c r="DJ293" s="1037"/>
      <c r="DK293" s="1161"/>
      <c r="DL293" s="2015"/>
      <c r="DM293" s="1161"/>
      <c r="DN293" s="2015"/>
      <c r="DO293" s="1161"/>
      <c r="DP293" s="2043"/>
      <c r="DQ293" s="965"/>
      <c r="DR293" s="1042"/>
      <c r="DS293" s="1675"/>
      <c r="DT293" s="1160"/>
      <c r="DU293" s="1967"/>
      <c r="DV293" s="1968"/>
      <c r="DW293" s="965"/>
      <c r="DX293" s="1040"/>
      <c r="DY293" s="1675"/>
      <c r="DZ293" s="1160"/>
      <c r="EA293" s="1967"/>
      <c r="EB293" s="1968"/>
      <c r="EC293" s="1161"/>
      <c r="ED293" s="2043"/>
      <c r="EE293" s="965"/>
      <c r="EF293" s="1040"/>
      <c r="EG293" s="1161"/>
      <c r="EH293" s="2043"/>
      <c r="EI293" s="1675"/>
      <c r="EJ293" s="1160"/>
      <c r="EK293" s="2221"/>
      <c r="EL293" s="1968"/>
      <c r="EM293" s="2202">
        <f t="shared" si="478"/>
        <v>0</v>
      </c>
      <c r="EN293" s="1585">
        <f t="shared" si="479"/>
        <v>0</v>
      </c>
      <c r="EO293" s="1585">
        <f t="shared" si="480"/>
        <v>0</v>
      </c>
      <c r="EP293" s="1597">
        <f t="shared" si="461"/>
        <v>0</v>
      </c>
      <c r="EQ293" s="1162">
        <f t="shared" si="430"/>
        <v>0</v>
      </c>
      <c r="ER293" s="1785">
        <f t="shared" si="431"/>
        <v>0</v>
      </c>
      <c r="ES293" s="1785">
        <f t="shared" si="432"/>
        <v>0</v>
      </c>
      <c r="ET293" s="1070">
        <f t="shared" si="465"/>
        <v>0</v>
      </c>
    </row>
    <row r="294" spans="1:150" x14ac:dyDescent="0.25">
      <c r="A294" s="965"/>
      <c r="B294" s="1040"/>
      <c r="C294" s="1675"/>
      <c r="D294" s="1160"/>
      <c r="E294" s="1967"/>
      <c r="F294" s="1968"/>
      <c r="G294" s="1161"/>
      <c r="H294" s="2015"/>
      <c r="I294" s="1161"/>
      <c r="J294" s="2015"/>
      <c r="K294" s="1161"/>
      <c r="L294" s="2043"/>
      <c r="M294" s="965"/>
      <c r="N294" s="1040"/>
      <c r="O294" s="1161"/>
      <c r="P294" s="2043"/>
      <c r="Q294" s="1675"/>
      <c r="R294" s="1160"/>
      <c r="S294" s="1967"/>
      <c r="T294" s="1968"/>
      <c r="U294" s="1675"/>
      <c r="V294" s="1160"/>
      <c r="W294" s="1967"/>
      <c r="X294" s="1968"/>
      <c r="Y294" s="1675"/>
      <c r="Z294" s="1160"/>
      <c r="AA294" s="2079"/>
      <c r="AB294" s="1968"/>
      <c r="AC294" s="964"/>
      <c r="AD294" s="1040"/>
      <c r="AE294" s="1675"/>
      <c r="AF294" s="1160"/>
      <c r="AG294" s="1967"/>
      <c r="AH294" s="1968"/>
      <c r="AI294" s="1675"/>
      <c r="AJ294" s="1160"/>
      <c r="AK294" s="1967"/>
      <c r="AL294" s="1968"/>
      <c r="AM294" s="1161"/>
      <c r="AN294" s="2043"/>
      <c r="AO294" s="1869"/>
      <c r="AP294" s="1159"/>
      <c r="AQ294" s="1163"/>
      <c r="AR294" s="2133"/>
      <c r="AS294" s="1551"/>
      <c r="AT294" s="2133"/>
      <c r="AU294" s="1675"/>
      <c r="AV294" s="1160"/>
      <c r="AW294" s="1967"/>
      <c r="AX294" s="1968"/>
      <c r="AY294" s="965"/>
      <c r="AZ294" s="1040"/>
      <c r="BA294" s="1675"/>
      <c r="BB294" s="1160"/>
      <c r="BC294" s="1967"/>
      <c r="BD294" s="1968"/>
      <c r="BE294" s="965"/>
      <c r="BF294" s="1040"/>
      <c r="BG294" s="1675"/>
      <c r="BH294" s="1160"/>
      <c r="BI294" s="1967"/>
      <c r="BJ294" s="1968"/>
      <c r="BK294" s="1675"/>
      <c r="BL294" s="1160"/>
      <c r="BM294" s="1967"/>
      <c r="BN294" s="1968"/>
      <c r="BO294" s="1161"/>
      <c r="BP294" s="2015"/>
      <c r="BQ294" s="1161"/>
      <c r="BR294" s="2043"/>
      <c r="BS294" s="1675"/>
      <c r="BT294" s="1160"/>
      <c r="BU294" s="1967"/>
      <c r="BV294" s="1968"/>
      <c r="BW294" s="1161"/>
      <c r="BX294" s="2043"/>
      <c r="BY294" s="1675"/>
      <c r="BZ294" s="1160"/>
      <c r="CA294" s="1967"/>
      <c r="CB294" s="1968"/>
      <c r="CC294" s="1766"/>
      <c r="CD294" s="2180"/>
      <c r="CE294" s="965"/>
      <c r="CF294" s="1040"/>
      <c r="CG294" s="1675"/>
      <c r="CH294" s="1160"/>
      <c r="CI294" s="1967"/>
      <c r="CJ294" s="1968"/>
      <c r="CK294" s="965">
        <v>20</v>
      </c>
      <c r="CL294" s="959" t="s">
        <v>1738</v>
      </c>
      <c r="CM294" s="1675"/>
      <c r="CN294" s="1160"/>
      <c r="CO294" s="1967"/>
      <c r="CP294" s="1968"/>
      <c r="CQ294" s="1675"/>
      <c r="CR294" s="1160"/>
      <c r="CS294" s="1967"/>
      <c r="CT294" s="1968"/>
      <c r="CU294" s="1675"/>
      <c r="CV294" s="1160"/>
      <c r="CW294" s="1967"/>
      <c r="CX294" s="1968"/>
      <c r="CY294" s="1675"/>
      <c r="CZ294" s="1160"/>
      <c r="DA294" s="1967"/>
      <c r="DB294" s="1968"/>
      <c r="DC294" s="1161"/>
      <c r="DD294" s="2043"/>
      <c r="DE294" s="1675"/>
      <c r="DF294" s="1160"/>
      <c r="DG294" s="1967"/>
      <c r="DH294" s="1968"/>
      <c r="DI294" s="964"/>
      <c r="DJ294" s="1037"/>
      <c r="DK294" s="1161"/>
      <c r="DL294" s="2015"/>
      <c r="DM294" s="1161"/>
      <c r="DN294" s="2015"/>
      <c r="DO294" s="1161"/>
      <c r="DP294" s="2043"/>
      <c r="DQ294" s="965"/>
      <c r="DR294" s="1042"/>
      <c r="DS294" s="1675"/>
      <c r="DT294" s="1160"/>
      <c r="DU294" s="1967"/>
      <c r="DV294" s="1968"/>
      <c r="DW294" s="965"/>
      <c r="DX294" s="1040"/>
      <c r="DY294" s="1675"/>
      <c r="DZ294" s="1160"/>
      <c r="EA294" s="1967"/>
      <c r="EB294" s="1968"/>
      <c r="EC294" s="1161"/>
      <c r="ED294" s="2043"/>
      <c r="EE294" s="965"/>
      <c r="EF294" s="1040"/>
      <c r="EG294" s="1161"/>
      <c r="EH294" s="2043"/>
      <c r="EI294" s="1675"/>
      <c r="EJ294" s="1160"/>
      <c r="EK294" s="2221"/>
      <c r="EL294" s="1968"/>
      <c r="EM294" s="2202">
        <f t="shared" si="478"/>
        <v>0</v>
      </c>
      <c r="EN294" s="1585">
        <f t="shared" si="479"/>
        <v>0</v>
      </c>
      <c r="EO294" s="1585">
        <f t="shared" si="480"/>
        <v>0</v>
      </c>
      <c r="EP294" s="1597">
        <f t="shared" si="461"/>
        <v>0</v>
      </c>
      <c r="EQ294" s="1162">
        <f t="shared" si="430"/>
        <v>0</v>
      </c>
      <c r="ER294" s="1785">
        <f t="shared" si="431"/>
        <v>0</v>
      </c>
      <c r="ES294" s="1785">
        <f t="shared" si="432"/>
        <v>0</v>
      </c>
      <c r="ET294" s="1070">
        <f t="shared" si="465"/>
        <v>0</v>
      </c>
    </row>
    <row r="295" spans="1:150" x14ac:dyDescent="0.25">
      <c r="A295" s="965"/>
      <c r="B295" s="1040"/>
      <c r="C295" s="1675"/>
      <c r="D295" s="1160"/>
      <c r="E295" s="1967"/>
      <c r="F295" s="1968"/>
      <c r="G295" s="1161"/>
      <c r="H295" s="2015"/>
      <c r="I295" s="1161"/>
      <c r="J295" s="2015"/>
      <c r="K295" s="1161"/>
      <c r="L295" s="2043"/>
      <c r="M295" s="965"/>
      <c r="N295" s="1040"/>
      <c r="O295" s="1161"/>
      <c r="P295" s="2043"/>
      <c r="Q295" s="1675"/>
      <c r="R295" s="1160"/>
      <c r="S295" s="1967"/>
      <c r="T295" s="1968"/>
      <c r="U295" s="1675"/>
      <c r="V295" s="1160"/>
      <c r="W295" s="1967"/>
      <c r="X295" s="1968"/>
      <c r="Y295" s="1675"/>
      <c r="Z295" s="1160"/>
      <c r="AA295" s="2079"/>
      <c r="AB295" s="1968"/>
      <c r="AC295" s="964"/>
      <c r="AD295" s="1040"/>
      <c r="AE295" s="1675"/>
      <c r="AF295" s="1160"/>
      <c r="AG295" s="1967"/>
      <c r="AH295" s="1968"/>
      <c r="AI295" s="1675"/>
      <c r="AJ295" s="1160"/>
      <c r="AK295" s="1967"/>
      <c r="AL295" s="1968"/>
      <c r="AM295" s="1161"/>
      <c r="AN295" s="2043"/>
      <c r="AO295" s="1869"/>
      <c r="AP295" s="1159"/>
      <c r="AQ295" s="1163"/>
      <c r="AR295" s="2133"/>
      <c r="AS295" s="1551"/>
      <c r="AT295" s="2133"/>
      <c r="AU295" s="1675"/>
      <c r="AV295" s="1160"/>
      <c r="AW295" s="1967"/>
      <c r="AX295" s="1968"/>
      <c r="AY295" s="965"/>
      <c r="AZ295" s="1040"/>
      <c r="BA295" s="1675"/>
      <c r="BB295" s="1160"/>
      <c r="BC295" s="1967"/>
      <c r="BD295" s="1968"/>
      <c r="BE295" s="965"/>
      <c r="BF295" s="1040"/>
      <c r="BG295" s="1675"/>
      <c r="BH295" s="1160"/>
      <c r="BI295" s="1967"/>
      <c r="BJ295" s="1968"/>
      <c r="BK295" s="1675"/>
      <c r="BL295" s="1160"/>
      <c r="BM295" s="1967"/>
      <c r="BN295" s="1968"/>
      <c r="BO295" s="1161"/>
      <c r="BP295" s="2015"/>
      <c r="BQ295" s="1161"/>
      <c r="BR295" s="2043"/>
      <c r="BS295" s="1675"/>
      <c r="BT295" s="1160"/>
      <c r="BU295" s="1967"/>
      <c r="BV295" s="1968"/>
      <c r="BW295" s="1161"/>
      <c r="BX295" s="2043"/>
      <c r="BY295" s="1675"/>
      <c r="BZ295" s="1160"/>
      <c r="CA295" s="1967"/>
      <c r="CB295" s="1968"/>
      <c r="CC295" s="1766"/>
      <c r="CD295" s="2180"/>
      <c r="CE295" s="965"/>
      <c r="CF295" s="1040"/>
      <c r="CG295" s="1675"/>
      <c r="CH295" s="1160"/>
      <c r="CI295" s="1967"/>
      <c r="CJ295" s="1968"/>
      <c r="CK295" s="965">
        <v>21</v>
      </c>
      <c r="CL295" s="959" t="s">
        <v>1739</v>
      </c>
      <c r="CM295" s="1675"/>
      <c r="CN295" s="1160"/>
      <c r="CO295" s="1967"/>
      <c r="CP295" s="1968"/>
      <c r="CQ295" s="1675"/>
      <c r="CR295" s="1160"/>
      <c r="CS295" s="1967"/>
      <c r="CT295" s="1968"/>
      <c r="CU295" s="1675"/>
      <c r="CV295" s="1160"/>
      <c r="CW295" s="1967"/>
      <c r="CX295" s="1968"/>
      <c r="CY295" s="1675"/>
      <c r="CZ295" s="1160"/>
      <c r="DA295" s="1967"/>
      <c r="DB295" s="1968"/>
      <c r="DC295" s="1161"/>
      <c r="DD295" s="2043"/>
      <c r="DE295" s="1675"/>
      <c r="DF295" s="1160"/>
      <c r="DG295" s="1967"/>
      <c r="DH295" s="1968"/>
      <c r="DI295" s="964"/>
      <c r="DJ295" s="1037"/>
      <c r="DK295" s="1161"/>
      <c r="DL295" s="2015"/>
      <c r="DM295" s="1161"/>
      <c r="DN295" s="2015"/>
      <c r="DO295" s="1161"/>
      <c r="DP295" s="2043"/>
      <c r="DQ295" s="965"/>
      <c r="DR295" s="1042"/>
      <c r="DS295" s="1675"/>
      <c r="DT295" s="1160"/>
      <c r="DU295" s="1967"/>
      <c r="DV295" s="1968"/>
      <c r="DW295" s="965"/>
      <c r="DX295" s="1040"/>
      <c r="DY295" s="1675"/>
      <c r="DZ295" s="1160"/>
      <c r="EA295" s="1967"/>
      <c r="EB295" s="1968"/>
      <c r="EC295" s="1161"/>
      <c r="ED295" s="2043"/>
      <c r="EE295" s="965"/>
      <c r="EF295" s="1040"/>
      <c r="EG295" s="1161"/>
      <c r="EH295" s="2043"/>
      <c r="EI295" s="1675"/>
      <c r="EJ295" s="1160"/>
      <c r="EK295" s="2221"/>
      <c r="EL295" s="1968"/>
      <c r="EM295" s="2202">
        <f t="shared" si="478"/>
        <v>0</v>
      </c>
      <c r="EN295" s="1585">
        <f t="shared" si="479"/>
        <v>0</v>
      </c>
      <c r="EO295" s="1585">
        <f t="shared" si="480"/>
        <v>0</v>
      </c>
      <c r="EP295" s="1597">
        <f t="shared" si="461"/>
        <v>0</v>
      </c>
      <c r="EQ295" s="1162">
        <f t="shared" si="430"/>
        <v>0</v>
      </c>
      <c r="ER295" s="1785">
        <f t="shared" si="431"/>
        <v>0</v>
      </c>
      <c r="ES295" s="1785">
        <f t="shared" si="432"/>
        <v>0</v>
      </c>
      <c r="ET295" s="1070">
        <f t="shared" si="465"/>
        <v>0</v>
      </c>
    </row>
    <row r="296" spans="1:150" x14ac:dyDescent="0.25">
      <c r="A296" s="965"/>
      <c r="B296" s="1040"/>
      <c r="C296" s="1675"/>
      <c r="D296" s="1160"/>
      <c r="E296" s="1967"/>
      <c r="F296" s="1968"/>
      <c r="G296" s="1161"/>
      <c r="H296" s="2015"/>
      <c r="I296" s="1161"/>
      <c r="J296" s="2015"/>
      <c r="K296" s="1161"/>
      <c r="L296" s="2043"/>
      <c r="M296" s="965"/>
      <c r="N296" s="1040"/>
      <c r="O296" s="1161"/>
      <c r="P296" s="2043"/>
      <c r="Q296" s="1675"/>
      <c r="R296" s="1160"/>
      <c r="S296" s="1967"/>
      <c r="T296" s="1968"/>
      <c r="U296" s="1675"/>
      <c r="V296" s="1160"/>
      <c r="W296" s="1967"/>
      <c r="X296" s="1968"/>
      <c r="Y296" s="1675"/>
      <c r="Z296" s="1160"/>
      <c r="AA296" s="2079"/>
      <c r="AB296" s="1968"/>
      <c r="AC296" s="964"/>
      <c r="AD296" s="1040"/>
      <c r="AE296" s="1675"/>
      <c r="AF296" s="1160"/>
      <c r="AG296" s="1967"/>
      <c r="AH296" s="1968"/>
      <c r="AI296" s="1675"/>
      <c r="AJ296" s="1160"/>
      <c r="AK296" s="1967"/>
      <c r="AL296" s="1968"/>
      <c r="AM296" s="1161"/>
      <c r="AN296" s="2043"/>
      <c r="AO296" s="1869"/>
      <c r="AP296" s="1159"/>
      <c r="AQ296" s="1163"/>
      <c r="AR296" s="2133"/>
      <c r="AS296" s="1551"/>
      <c r="AT296" s="2133"/>
      <c r="AU296" s="1675"/>
      <c r="AV296" s="1160"/>
      <c r="AW296" s="1967"/>
      <c r="AX296" s="1968"/>
      <c r="AY296" s="965"/>
      <c r="AZ296" s="1040"/>
      <c r="BA296" s="1675"/>
      <c r="BB296" s="1160"/>
      <c r="BC296" s="1967"/>
      <c r="BD296" s="1968"/>
      <c r="BE296" s="965"/>
      <c r="BF296" s="1040"/>
      <c r="BG296" s="1675"/>
      <c r="BH296" s="1160"/>
      <c r="BI296" s="1967"/>
      <c r="BJ296" s="1968"/>
      <c r="BK296" s="1675"/>
      <c r="BL296" s="1160"/>
      <c r="BM296" s="1967"/>
      <c r="BN296" s="1968"/>
      <c r="BO296" s="1161"/>
      <c r="BP296" s="2015"/>
      <c r="BQ296" s="1161"/>
      <c r="BR296" s="2043"/>
      <c r="BS296" s="1675"/>
      <c r="BT296" s="1160"/>
      <c r="BU296" s="1967"/>
      <c r="BV296" s="1968"/>
      <c r="BW296" s="1161"/>
      <c r="BX296" s="2043"/>
      <c r="BY296" s="1675"/>
      <c r="BZ296" s="1160"/>
      <c r="CA296" s="1967"/>
      <c r="CB296" s="1968"/>
      <c r="CC296" s="1766"/>
      <c r="CD296" s="2180"/>
      <c r="CE296" s="965"/>
      <c r="CF296" s="1040"/>
      <c r="CG296" s="1675"/>
      <c r="CH296" s="1160"/>
      <c r="CI296" s="1967"/>
      <c r="CJ296" s="1968"/>
      <c r="CK296" s="1021">
        <v>22</v>
      </c>
      <c r="CL296" s="1168" t="s">
        <v>1743</v>
      </c>
      <c r="CM296" s="1675"/>
      <c r="CN296" s="1160"/>
      <c r="CO296" s="1967"/>
      <c r="CP296" s="1968"/>
      <c r="CQ296" s="1675"/>
      <c r="CR296" s="1160"/>
      <c r="CS296" s="1967"/>
      <c r="CT296" s="1968"/>
      <c r="CU296" s="1675"/>
      <c r="CV296" s="1160"/>
      <c r="CW296" s="1967"/>
      <c r="CX296" s="1968"/>
      <c r="CY296" s="1675"/>
      <c r="CZ296" s="1160"/>
      <c r="DA296" s="1967"/>
      <c r="DB296" s="1968"/>
      <c r="DC296" s="1161"/>
      <c r="DD296" s="2043"/>
      <c r="DE296" s="1675"/>
      <c r="DF296" s="1160"/>
      <c r="DG296" s="1967"/>
      <c r="DH296" s="1968"/>
      <c r="DI296" s="964"/>
      <c r="DJ296" s="1037"/>
      <c r="DK296" s="1161"/>
      <c r="DL296" s="2015"/>
      <c r="DM296" s="1161"/>
      <c r="DN296" s="2015"/>
      <c r="DO296" s="1161"/>
      <c r="DP296" s="2043"/>
      <c r="DQ296" s="965"/>
      <c r="DR296" s="1042"/>
      <c r="DS296" s="1675"/>
      <c r="DT296" s="1160"/>
      <c r="DU296" s="1967"/>
      <c r="DV296" s="1968"/>
      <c r="DW296" s="965"/>
      <c r="DX296" s="1040"/>
      <c r="DY296" s="1675"/>
      <c r="DZ296" s="1160"/>
      <c r="EA296" s="1967"/>
      <c r="EB296" s="1968"/>
      <c r="EC296" s="1161"/>
      <c r="ED296" s="2043"/>
      <c r="EE296" s="965"/>
      <c r="EF296" s="1040"/>
      <c r="EG296" s="1161"/>
      <c r="EH296" s="2043"/>
      <c r="EI296" s="1841"/>
      <c r="EJ296" s="1842"/>
      <c r="EK296" s="2239"/>
      <c r="EL296" s="2200"/>
      <c r="EM296" s="2202">
        <f t="shared" si="478"/>
        <v>0</v>
      </c>
      <c r="EN296" s="1585">
        <f t="shared" si="479"/>
        <v>0</v>
      </c>
      <c r="EO296" s="1585">
        <f t="shared" si="480"/>
        <v>0</v>
      </c>
      <c r="EP296" s="1596">
        <f t="shared" si="461"/>
        <v>0</v>
      </c>
      <c r="EQ296" s="1729">
        <f t="shared" si="430"/>
        <v>0</v>
      </c>
      <c r="ER296" s="1797">
        <f t="shared" si="431"/>
        <v>0</v>
      </c>
      <c r="ES296" s="1797">
        <f t="shared" si="432"/>
        <v>0</v>
      </c>
      <c r="ET296" s="1798">
        <f t="shared" si="465"/>
        <v>0</v>
      </c>
    </row>
    <row r="297" spans="1:150" ht="26.4" x14ac:dyDescent="0.25">
      <c r="A297" s="965"/>
      <c r="B297" s="1040"/>
      <c r="C297" s="1675"/>
      <c r="D297" s="1160"/>
      <c r="E297" s="1967"/>
      <c r="F297" s="1968"/>
      <c r="G297" s="1161"/>
      <c r="H297" s="2015"/>
      <c r="I297" s="1161"/>
      <c r="J297" s="2015"/>
      <c r="K297" s="1161"/>
      <c r="L297" s="2043"/>
      <c r="M297" s="965"/>
      <c r="N297" s="1040"/>
      <c r="O297" s="1161"/>
      <c r="P297" s="2043"/>
      <c r="Q297" s="1675"/>
      <c r="R297" s="1160"/>
      <c r="S297" s="1967"/>
      <c r="T297" s="1968"/>
      <c r="U297" s="1675"/>
      <c r="V297" s="1160"/>
      <c r="W297" s="1967"/>
      <c r="X297" s="1968"/>
      <c r="Y297" s="1675"/>
      <c r="Z297" s="1160"/>
      <c r="AA297" s="2079"/>
      <c r="AB297" s="1968"/>
      <c r="AC297" s="964"/>
      <c r="AD297" s="1040"/>
      <c r="AE297" s="1675"/>
      <c r="AF297" s="1160"/>
      <c r="AG297" s="1967"/>
      <c r="AH297" s="1968"/>
      <c r="AI297" s="1675"/>
      <c r="AJ297" s="1160"/>
      <c r="AK297" s="1967"/>
      <c r="AL297" s="1968"/>
      <c r="AM297" s="1161"/>
      <c r="AN297" s="2043"/>
      <c r="AO297" s="1869"/>
      <c r="AP297" s="1159"/>
      <c r="AQ297" s="1163"/>
      <c r="AR297" s="2133"/>
      <c r="AS297" s="1551"/>
      <c r="AT297" s="2133"/>
      <c r="AU297" s="1675"/>
      <c r="AV297" s="1160"/>
      <c r="AW297" s="1967"/>
      <c r="AX297" s="1968"/>
      <c r="AY297" s="965"/>
      <c r="AZ297" s="1040"/>
      <c r="BA297" s="1675"/>
      <c r="BB297" s="1160"/>
      <c r="BC297" s="1967"/>
      <c r="BD297" s="1968"/>
      <c r="BE297" s="965"/>
      <c r="BF297" s="1040"/>
      <c r="BG297" s="1675"/>
      <c r="BH297" s="1160"/>
      <c r="BI297" s="1967"/>
      <c r="BJ297" s="1968"/>
      <c r="BK297" s="1675"/>
      <c r="BL297" s="1160"/>
      <c r="BM297" s="1967"/>
      <c r="BN297" s="1968"/>
      <c r="BO297" s="1161"/>
      <c r="BP297" s="2015"/>
      <c r="BQ297" s="1161"/>
      <c r="BR297" s="2043"/>
      <c r="BS297" s="1675"/>
      <c r="BT297" s="1160"/>
      <c r="BU297" s="1967"/>
      <c r="BV297" s="1968"/>
      <c r="BW297" s="1161"/>
      <c r="BX297" s="2043"/>
      <c r="BY297" s="1675"/>
      <c r="BZ297" s="1160"/>
      <c r="CA297" s="1967"/>
      <c r="CB297" s="1968"/>
      <c r="CC297" s="1766"/>
      <c r="CD297" s="2180"/>
      <c r="CE297" s="965"/>
      <c r="CF297" s="1040"/>
      <c r="CG297" s="1675"/>
      <c r="CH297" s="1160"/>
      <c r="CI297" s="1963"/>
      <c r="CJ297" s="1964"/>
      <c r="CK297" s="1017">
        <v>23</v>
      </c>
      <c r="CL297" s="1169" t="s">
        <v>1744</v>
      </c>
      <c r="CM297" s="1675"/>
      <c r="CN297" s="1160"/>
      <c r="CO297" s="1967"/>
      <c r="CP297" s="1968"/>
      <c r="CQ297" s="1675"/>
      <c r="CR297" s="1160"/>
      <c r="CS297" s="1967"/>
      <c r="CT297" s="1968"/>
      <c r="CU297" s="1675"/>
      <c r="CV297" s="1160"/>
      <c r="CW297" s="1967"/>
      <c r="CX297" s="1968"/>
      <c r="CY297" s="1675"/>
      <c r="CZ297" s="1160"/>
      <c r="DA297" s="1967"/>
      <c r="DB297" s="1968"/>
      <c r="DC297" s="1161"/>
      <c r="DD297" s="2043"/>
      <c r="DE297" s="1675"/>
      <c r="DF297" s="1160"/>
      <c r="DG297" s="1967"/>
      <c r="DH297" s="1968"/>
      <c r="DI297" s="964"/>
      <c r="DJ297" s="1037"/>
      <c r="DK297" s="1161"/>
      <c r="DL297" s="2015"/>
      <c r="DM297" s="1161"/>
      <c r="DN297" s="2015"/>
      <c r="DO297" s="1161"/>
      <c r="DP297" s="2043"/>
      <c r="DQ297" s="965"/>
      <c r="DR297" s="1042"/>
      <c r="DS297" s="1675"/>
      <c r="DT297" s="1160"/>
      <c r="DU297" s="1967"/>
      <c r="DV297" s="1968"/>
      <c r="DW297" s="965"/>
      <c r="DX297" s="1040"/>
      <c r="DY297" s="1675"/>
      <c r="DZ297" s="1160"/>
      <c r="EA297" s="1967"/>
      <c r="EB297" s="1968"/>
      <c r="EC297" s="1161"/>
      <c r="ED297" s="2043"/>
      <c r="EE297" s="965"/>
      <c r="EF297" s="1040"/>
      <c r="EG297" s="1161"/>
      <c r="EH297" s="2043"/>
      <c r="EI297" s="1673"/>
      <c r="EJ297" s="1141"/>
      <c r="EK297" s="2235"/>
      <c r="EL297" s="1964"/>
      <c r="EM297" s="2202">
        <f t="shared" si="478"/>
        <v>0</v>
      </c>
      <c r="EN297" s="1585">
        <f t="shared" si="479"/>
        <v>0</v>
      </c>
      <c r="EO297" s="1585">
        <f t="shared" si="480"/>
        <v>0</v>
      </c>
      <c r="EP297" s="1584">
        <f t="shared" si="461"/>
        <v>0</v>
      </c>
      <c r="EQ297" s="1829">
        <f t="shared" si="430"/>
        <v>0</v>
      </c>
      <c r="ER297" s="1830">
        <f t="shared" si="431"/>
        <v>0</v>
      </c>
      <c r="ES297" s="1830">
        <f t="shared" si="432"/>
        <v>0</v>
      </c>
      <c r="ET297" s="1831">
        <f t="shared" si="465"/>
        <v>0</v>
      </c>
    </row>
    <row r="298" spans="1:150" x14ac:dyDescent="0.25">
      <c r="A298" s="965"/>
      <c r="B298" s="1040"/>
      <c r="C298" s="1675"/>
      <c r="D298" s="1160"/>
      <c r="E298" s="1967"/>
      <c r="F298" s="1968"/>
      <c r="G298" s="1161"/>
      <c r="H298" s="2015"/>
      <c r="I298" s="1161"/>
      <c r="J298" s="2015"/>
      <c r="K298" s="1161"/>
      <c r="L298" s="2043"/>
      <c r="M298" s="965"/>
      <c r="N298" s="1040"/>
      <c r="O298" s="1161"/>
      <c r="P298" s="2043"/>
      <c r="Q298" s="1675"/>
      <c r="R298" s="1160"/>
      <c r="S298" s="1967"/>
      <c r="T298" s="1968"/>
      <c r="U298" s="1675"/>
      <c r="V298" s="1160"/>
      <c r="W298" s="1967"/>
      <c r="X298" s="1968"/>
      <c r="Y298" s="1675"/>
      <c r="Z298" s="1160"/>
      <c r="AA298" s="2079"/>
      <c r="AB298" s="1968"/>
      <c r="AC298" s="964"/>
      <c r="AD298" s="1040"/>
      <c r="AE298" s="1675"/>
      <c r="AF298" s="1160"/>
      <c r="AG298" s="1967"/>
      <c r="AH298" s="1968"/>
      <c r="AI298" s="1675"/>
      <c r="AJ298" s="1160"/>
      <c r="AK298" s="1967"/>
      <c r="AL298" s="1968"/>
      <c r="AM298" s="1161"/>
      <c r="AN298" s="2043"/>
      <c r="AO298" s="1869"/>
      <c r="AP298" s="1159"/>
      <c r="AQ298" s="1163"/>
      <c r="AR298" s="2133"/>
      <c r="AS298" s="1551"/>
      <c r="AT298" s="2133"/>
      <c r="AU298" s="1675"/>
      <c r="AV298" s="1160"/>
      <c r="AW298" s="1967"/>
      <c r="AX298" s="1968"/>
      <c r="AY298" s="965"/>
      <c r="AZ298" s="1040"/>
      <c r="BA298" s="1675"/>
      <c r="BB298" s="1160"/>
      <c r="BC298" s="1967"/>
      <c r="BD298" s="1968"/>
      <c r="BE298" s="965"/>
      <c r="BF298" s="1040"/>
      <c r="BG298" s="1675"/>
      <c r="BH298" s="1160"/>
      <c r="BI298" s="1967"/>
      <c r="BJ298" s="1968"/>
      <c r="BK298" s="1675"/>
      <c r="BL298" s="1160"/>
      <c r="BM298" s="1967"/>
      <c r="BN298" s="1968"/>
      <c r="BO298" s="1161"/>
      <c r="BP298" s="2015"/>
      <c r="BQ298" s="1161"/>
      <c r="BR298" s="2043"/>
      <c r="BS298" s="1675"/>
      <c r="BT298" s="1160"/>
      <c r="BU298" s="1967"/>
      <c r="BV298" s="1968"/>
      <c r="BW298" s="1161"/>
      <c r="BX298" s="2043"/>
      <c r="BY298" s="1675"/>
      <c r="BZ298" s="1160"/>
      <c r="CA298" s="1967"/>
      <c r="CB298" s="1968"/>
      <c r="CC298" s="1766"/>
      <c r="CD298" s="2180"/>
      <c r="CE298" s="965"/>
      <c r="CF298" s="1040"/>
      <c r="CG298" s="1675"/>
      <c r="CH298" s="1160"/>
      <c r="CI298" s="1967"/>
      <c r="CJ298" s="1968"/>
      <c r="CK298" s="952">
        <v>24</v>
      </c>
      <c r="CL298" s="1135" t="s">
        <v>1745</v>
      </c>
      <c r="CM298" s="1675"/>
      <c r="CN298" s="1160"/>
      <c r="CO298" s="1967"/>
      <c r="CP298" s="1968"/>
      <c r="CQ298" s="1675"/>
      <c r="CR298" s="1160"/>
      <c r="CS298" s="1967"/>
      <c r="CT298" s="1968"/>
      <c r="CU298" s="1675"/>
      <c r="CV298" s="1160"/>
      <c r="CW298" s="1967"/>
      <c r="CX298" s="1968"/>
      <c r="CY298" s="1675"/>
      <c r="CZ298" s="1160"/>
      <c r="DA298" s="1967"/>
      <c r="DB298" s="1968"/>
      <c r="DC298" s="1161"/>
      <c r="DD298" s="2043"/>
      <c r="DE298" s="1675"/>
      <c r="DF298" s="1160"/>
      <c r="DG298" s="1967"/>
      <c r="DH298" s="1968"/>
      <c r="DI298" s="964"/>
      <c r="DJ298" s="1037"/>
      <c r="DK298" s="1161"/>
      <c r="DL298" s="2015"/>
      <c r="DM298" s="1161"/>
      <c r="DN298" s="2015"/>
      <c r="DO298" s="1161"/>
      <c r="DP298" s="2043"/>
      <c r="DQ298" s="965"/>
      <c r="DR298" s="1042"/>
      <c r="DS298" s="1675"/>
      <c r="DT298" s="1160"/>
      <c r="DU298" s="1967"/>
      <c r="DV298" s="1968"/>
      <c r="DW298" s="965"/>
      <c r="DX298" s="1040"/>
      <c r="DY298" s="1675"/>
      <c r="DZ298" s="1160"/>
      <c r="EA298" s="1967"/>
      <c r="EB298" s="1968"/>
      <c r="EC298" s="1161"/>
      <c r="ED298" s="2043"/>
      <c r="EE298" s="965"/>
      <c r="EF298" s="1040"/>
      <c r="EG298" s="1161"/>
      <c r="EH298" s="2043"/>
      <c r="EI298" s="1675"/>
      <c r="EJ298" s="1160"/>
      <c r="EK298" s="2221"/>
      <c r="EL298" s="1968"/>
      <c r="EM298" s="2202">
        <f t="shared" si="478"/>
        <v>0</v>
      </c>
      <c r="EN298" s="1585">
        <f t="shared" si="479"/>
        <v>0</v>
      </c>
      <c r="EO298" s="1585">
        <f t="shared" si="480"/>
        <v>0</v>
      </c>
      <c r="EP298" s="1596">
        <f t="shared" si="461"/>
        <v>0</v>
      </c>
      <c r="EQ298" s="1729">
        <f t="shared" si="430"/>
        <v>0</v>
      </c>
      <c r="ER298" s="1797">
        <f t="shared" si="431"/>
        <v>0</v>
      </c>
      <c r="ES298" s="1797">
        <f t="shared" si="432"/>
        <v>0</v>
      </c>
      <c r="ET298" s="1798">
        <f t="shared" si="465"/>
        <v>0</v>
      </c>
    </row>
    <row r="299" spans="1:150" x14ac:dyDescent="0.25">
      <c r="A299" s="965"/>
      <c r="B299" s="1040"/>
      <c r="C299" s="1675"/>
      <c r="D299" s="1160"/>
      <c r="E299" s="1967"/>
      <c r="F299" s="1968"/>
      <c r="G299" s="1161"/>
      <c r="H299" s="2015"/>
      <c r="I299" s="1161"/>
      <c r="J299" s="2015"/>
      <c r="K299" s="1161"/>
      <c r="L299" s="2043"/>
      <c r="M299" s="965"/>
      <c r="N299" s="1040"/>
      <c r="O299" s="1161"/>
      <c r="P299" s="2043"/>
      <c r="Q299" s="1675"/>
      <c r="R299" s="1160"/>
      <c r="S299" s="1967"/>
      <c r="T299" s="1968"/>
      <c r="U299" s="1675"/>
      <c r="V299" s="1160"/>
      <c r="W299" s="1967"/>
      <c r="X299" s="1968"/>
      <c r="Y299" s="1675"/>
      <c r="Z299" s="1160"/>
      <c r="AA299" s="2079"/>
      <c r="AB299" s="1968"/>
      <c r="AC299" s="964"/>
      <c r="AD299" s="1040"/>
      <c r="AE299" s="1675"/>
      <c r="AF299" s="1160"/>
      <c r="AG299" s="1967"/>
      <c r="AH299" s="1968"/>
      <c r="AI299" s="1675"/>
      <c r="AJ299" s="1160"/>
      <c r="AK299" s="1967"/>
      <c r="AL299" s="1968"/>
      <c r="AM299" s="1161"/>
      <c r="AN299" s="2043"/>
      <c r="AO299" s="1869"/>
      <c r="AP299" s="1159"/>
      <c r="AQ299" s="1163"/>
      <c r="AR299" s="2133"/>
      <c r="AS299" s="1551"/>
      <c r="AT299" s="2133"/>
      <c r="AU299" s="1675"/>
      <c r="AV299" s="1160"/>
      <c r="AW299" s="1967"/>
      <c r="AX299" s="1968"/>
      <c r="AY299" s="965"/>
      <c r="AZ299" s="1040"/>
      <c r="BA299" s="1675"/>
      <c r="BB299" s="1160"/>
      <c r="BC299" s="1967"/>
      <c r="BD299" s="1968"/>
      <c r="BE299" s="965"/>
      <c r="BF299" s="1040"/>
      <c r="BG299" s="1675"/>
      <c r="BH299" s="1160"/>
      <c r="BI299" s="1967"/>
      <c r="BJ299" s="1968"/>
      <c r="BK299" s="1675"/>
      <c r="BL299" s="1160"/>
      <c r="BM299" s="1967"/>
      <c r="BN299" s="1968"/>
      <c r="BO299" s="1161"/>
      <c r="BP299" s="2015"/>
      <c r="BQ299" s="1161"/>
      <c r="BR299" s="2043"/>
      <c r="BS299" s="1675"/>
      <c r="BT299" s="1160"/>
      <c r="BU299" s="1967"/>
      <c r="BV299" s="1968"/>
      <c r="BW299" s="1161"/>
      <c r="BX299" s="2043"/>
      <c r="BY299" s="1675"/>
      <c r="BZ299" s="1160"/>
      <c r="CA299" s="1967"/>
      <c r="CB299" s="1968"/>
      <c r="CC299" s="1766"/>
      <c r="CD299" s="2180"/>
      <c r="CE299" s="965"/>
      <c r="CF299" s="1040"/>
      <c r="CG299" s="1675"/>
      <c r="CH299" s="1160"/>
      <c r="CI299" s="1963"/>
      <c r="CJ299" s="1964"/>
      <c r="CK299" s="1017">
        <v>25</v>
      </c>
      <c r="CL299" s="1135" t="s">
        <v>1746</v>
      </c>
      <c r="CM299" s="1675"/>
      <c r="CN299" s="1160"/>
      <c r="CO299" s="1967"/>
      <c r="CP299" s="1968"/>
      <c r="CQ299" s="1675"/>
      <c r="CR299" s="1160"/>
      <c r="CS299" s="1967"/>
      <c r="CT299" s="1968"/>
      <c r="CU299" s="1675"/>
      <c r="CV299" s="1160"/>
      <c r="CW299" s="1967"/>
      <c r="CX299" s="1968"/>
      <c r="CY299" s="1675"/>
      <c r="CZ299" s="1160"/>
      <c r="DA299" s="1967"/>
      <c r="DB299" s="1968"/>
      <c r="DC299" s="1161"/>
      <c r="DD299" s="2043"/>
      <c r="DE299" s="1675"/>
      <c r="DF299" s="1160"/>
      <c r="DG299" s="1967"/>
      <c r="DH299" s="1968"/>
      <c r="DI299" s="964"/>
      <c r="DJ299" s="1037"/>
      <c r="DK299" s="1161"/>
      <c r="DL299" s="2015"/>
      <c r="DM299" s="1161"/>
      <c r="DN299" s="2015"/>
      <c r="DO299" s="1161"/>
      <c r="DP299" s="2043"/>
      <c r="DQ299" s="965"/>
      <c r="DR299" s="1042"/>
      <c r="DS299" s="1675"/>
      <c r="DT299" s="1160"/>
      <c r="DU299" s="1967"/>
      <c r="DV299" s="1968"/>
      <c r="DW299" s="965"/>
      <c r="DX299" s="1040"/>
      <c r="DY299" s="1675"/>
      <c r="DZ299" s="1160"/>
      <c r="EA299" s="1967"/>
      <c r="EB299" s="1968"/>
      <c r="EC299" s="1161"/>
      <c r="ED299" s="2043"/>
      <c r="EE299" s="965"/>
      <c r="EF299" s="1040"/>
      <c r="EG299" s="1161"/>
      <c r="EH299" s="2043"/>
      <c r="EI299" s="1675"/>
      <c r="EJ299" s="1160"/>
      <c r="EK299" s="2221"/>
      <c r="EL299" s="1968"/>
      <c r="EM299" s="2202">
        <f t="shared" si="478"/>
        <v>0</v>
      </c>
      <c r="EN299" s="1585">
        <f t="shared" si="479"/>
        <v>0</v>
      </c>
      <c r="EO299" s="1585">
        <f t="shared" si="480"/>
        <v>0</v>
      </c>
      <c r="EP299" s="1596">
        <f t="shared" si="461"/>
        <v>0</v>
      </c>
      <c r="EQ299" s="1729">
        <f t="shared" si="430"/>
        <v>0</v>
      </c>
      <c r="ER299" s="1797">
        <f t="shared" si="431"/>
        <v>0</v>
      </c>
      <c r="ES299" s="1797">
        <f t="shared" si="432"/>
        <v>0</v>
      </c>
      <c r="ET299" s="1798">
        <f t="shared" si="465"/>
        <v>0</v>
      </c>
    </row>
    <row r="300" spans="1:150" x14ac:dyDescent="0.25">
      <c r="A300" s="965"/>
      <c r="B300" s="1040"/>
      <c r="C300" s="1675"/>
      <c r="D300" s="1160"/>
      <c r="E300" s="1967"/>
      <c r="F300" s="1968"/>
      <c r="G300" s="1161"/>
      <c r="H300" s="2015"/>
      <c r="I300" s="1161"/>
      <c r="J300" s="2015"/>
      <c r="K300" s="1161"/>
      <c r="L300" s="2043"/>
      <c r="M300" s="965"/>
      <c r="N300" s="1040"/>
      <c r="O300" s="1161"/>
      <c r="P300" s="2043"/>
      <c r="Q300" s="1675"/>
      <c r="R300" s="1160"/>
      <c r="S300" s="1967"/>
      <c r="T300" s="1968"/>
      <c r="U300" s="1675"/>
      <c r="V300" s="1160"/>
      <c r="W300" s="1967"/>
      <c r="X300" s="1968"/>
      <c r="Y300" s="1675"/>
      <c r="Z300" s="1160"/>
      <c r="AA300" s="2079"/>
      <c r="AB300" s="1968"/>
      <c r="AC300" s="964"/>
      <c r="AD300" s="1040"/>
      <c r="AE300" s="1675"/>
      <c r="AF300" s="1160"/>
      <c r="AG300" s="1967"/>
      <c r="AH300" s="1968"/>
      <c r="AI300" s="1675"/>
      <c r="AJ300" s="1160"/>
      <c r="AK300" s="1967"/>
      <c r="AL300" s="1968"/>
      <c r="AM300" s="1161"/>
      <c r="AN300" s="2043"/>
      <c r="AO300" s="1869"/>
      <c r="AP300" s="1159"/>
      <c r="AQ300" s="1163"/>
      <c r="AR300" s="2133"/>
      <c r="AS300" s="1551"/>
      <c r="AT300" s="2133"/>
      <c r="AU300" s="1675"/>
      <c r="AV300" s="1160"/>
      <c r="AW300" s="1967"/>
      <c r="AX300" s="1968"/>
      <c r="AY300" s="965"/>
      <c r="AZ300" s="1040"/>
      <c r="BA300" s="1675"/>
      <c r="BB300" s="1160"/>
      <c r="BC300" s="1967"/>
      <c r="BD300" s="1968"/>
      <c r="BE300" s="965"/>
      <c r="BF300" s="1040"/>
      <c r="BG300" s="1675"/>
      <c r="BH300" s="1160"/>
      <c r="BI300" s="1967"/>
      <c r="BJ300" s="1968"/>
      <c r="BK300" s="1675"/>
      <c r="BL300" s="1160"/>
      <c r="BM300" s="1967"/>
      <c r="BN300" s="1968"/>
      <c r="BO300" s="1161"/>
      <c r="BP300" s="2015"/>
      <c r="BQ300" s="1161"/>
      <c r="BR300" s="2043"/>
      <c r="BS300" s="1675"/>
      <c r="BT300" s="1160"/>
      <c r="BU300" s="1967"/>
      <c r="BV300" s="1968"/>
      <c r="BW300" s="1161"/>
      <c r="BX300" s="2043"/>
      <c r="BY300" s="1675"/>
      <c r="BZ300" s="1160"/>
      <c r="CA300" s="1967"/>
      <c r="CB300" s="1968"/>
      <c r="CC300" s="1766"/>
      <c r="CD300" s="2180"/>
      <c r="CE300" s="965"/>
      <c r="CF300" s="1040"/>
      <c r="CG300" s="1675"/>
      <c r="CH300" s="1160"/>
      <c r="CI300" s="1967"/>
      <c r="CJ300" s="1968"/>
      <c r="CK300" s="952">
        <v>26</v>
      </c>
      <c r="CL300" s="1170" t="s">
        <v>1719</v>
      </c>
      <c r="CM300" s="1675"/>
      <c r="CN300" s="1160"/>
      <c r="CO300" s="1967"/>
      <c r="CP300" s="1968"/>
      <c r="CQ300" s="1675"/>
      <c r="CR300" s="1160"/>
      <c r="CS300" s="1967"/>
      <c r="CT300" s="1968"/>
      <c r="CU300" s="1675"/>
      <c r="CV300" s="1160"/>
      <c r="CW300" s="1967"/>
      <c r="CX300" s="1968"/>
      <c r="CY300" s="1675"/>
      <c r="CZ300" s="1160"/>
      <c r="DA300" s="1967"/>
      <c r="DB300" s="1968"/>
      <c r="DC300" s="1161"/>
      <c r="DD300" s="2043"/>
      <c r="DE300" s="1675"/>
      <c r="DF300" s="1160"/>
      <c r="DG300" s="1967"/>
      <c r="DH300" s="1968"/>
      <c r="DI300" s="964"/>
      <c r="DJ300" s="1037"/>
      <c r="DK300" s="1161"/>
      <c r="DL300" s="2015"/>
      <c r="DM300" s="1161"/>
      <c r="DN300" s="2015"/>
      <c r="DO300" s="1161"/>
      <c r="DP300" s="2043"/>
      <c r="DQ300" s="965"/>
      <c r="DR300" s="1042"/>
      <c r="DS300" s="1675"/>
      <c r="DT300" s="1160"/>
      <c r="DU300" s="1967"/>
      <c r="DV300" s="1968"/>
      <c r="DW300" s="965"/>
      <c r="DX300" s="1040"/>
      <c r="DY300" s="1675"/>
      <c r="DZ300" s="1160"/>
      <c r="EA300" s="1967"/>
      <c r="EB300" s="1968"/>
      <c r="EC300" s="1161"/>
      <c r="ED300" s="2043"/>
      <c r="EE300" s="965"/>
      <c r="EF300" s="1040"/>
      <c r="EG300" s="1161"/>
      <c r="EH300" s="2043"/>
      <c r="EI300" s="1675"/>
      <c r="EJ300" s="1160"/>
      <c r="EK300" s="2221"/>
      <c r="EL300" s="1968"/>
      <c r="EM300" s="2202">
        <f t="shared" si="478"/>
        <v>0</v>
      </c>
      <c r="EN300" s="1585">
        <f t="shared" si="479"/>
        <v>0</v>
      </c>
      <c r="EO300" s="1585">
        <f t="shared" si="480"/>
        <v>0</v>
      </c>
      <c r="EP300" s="1596">
        <f t="shared" si="461"/>
        <v>0</v>
      </c>
      <c r="EQ300" s="1729">
        <f t="shared" si="430"/>
        <v>0</v>
      </c>
      <c r="ER300" s="1797">
        <f t="shared" si="431"/>
        <v>0</v>
      </c>
      <c r="ES300" s="1797">
        <f t="shared" si="432"/>
        <v>0</v>
      </c>
      <c r="ET300" s="1798">
        <f t="shared" si="465"/>
        <v>0</v>
      </c>
    </row>
    <row r="301" spans="1:150" ht="26.4" x14ac:dyDescent="0.25">
      <c r="A301" s="965"/>
      <c r="B301" s="1040"/>
      <c r="C301" s="1675"/>
      <c r="D301" s="1160"/>
      <c r="E301" s="1967"/>
      <c r="F301" s="1968"/>
      <c r="G301" s="1161"/>
      <c r="H301" s="2015"/>
      <c r="I301" s="1161"/>
      <c r="J301" s="2015"/>
      <c r="K301" s="1161"/>
      <c r="L301" s="2043"/>
      <c r="M301" s="965"/>
      <c r="N301" s="1040"/>
      <c r="O301" s="1161"/>
      <c r="P301" s="2043"/>
      <c r="Q301" s="1675"/>
      <c r="R301" s="1160"/>
      <c r="S301" s="1967"/>
      <c r="T301" s="1968"/>
      <c r="U301" s="1675"/>
      <c r="V301" s="1160"/>
      <c r="W301" s="1967"/>
      <c r="X301" s="1968"/>
      <c r="Y301" s="1675"/>
      <c r="Z301" s="1160"/>
      <c r="AA301" s="2079"/>
      <c r="AB301" s="1968"/>
      <c r="AC301" s="964"/>
      <c r="AD301" s="1040"/>
      <c r="AE301" s="1675"/>
      <c r="AF301" s="1160"/>
      <c r="AG301" s="1967"/>
      <c r="AH301" s="1968"/>
      <c r="AI301" s="1675"/>
      <c r="AJ301" s="1160"/>
      <c r="AK301" s="1967"/>
      <c r="AL301" s="1968"/>
      <c r="AM301" s="1161"/>
      <c r="AN301" s="2043"/>
      <c r="AO301" s="1869"/>
      <c r="AP301" s="1159"/>
      <c r="AQ301" s="1163"/>
      <c r="AR301" s="2133"/>
      <c r="AS301" s="1551"/>
      <c r="AT301" s="2133"/>
      <c r="AU301" s="1675"/>
      <c r="AV301" s="1160"/>
      <c r="AW301" s="1967"/>
      <c r="AX301" s="1968"/>
      <c r="AY301" s="965"/>
      <c r="AZ301" s="1040"/>
      <c r="BA301" s="1675"/>
      <c r="BB301" s="1160"/>
      <c r="BC301" s="1967"/>
      <c r="BD301" s="1968"/>
      <c r="BE301" s="965"/>
      <c r="BF301" s="1040"/>
      <c r="BG301" s="1675"/>
      <c r="BH301" s="1160"/>
      <c r="BI301" s="1967"/>
      <c r="BJ301" s="1968"/>
      <c r="BK301" s="1675"/>
      <c r="BL301" s="1160"/>
      <c r="BM301" s="1967"/>
      <c r="BN301" s="1968"/>
      <c r="BO301" s="1161"/>
      <c r="BP301" s="2015"/>
      <c r="BQ301" s="1161"/>
      <c r="BR301" s="2043"/>
      <c r="BS301" s="1675"/>
      <c r="BT301" s="1160"/>
      <c r="BU301" s="1967"/>
      <c r="BV301" s="1968"/>
      <c r="BW301" s="1161"/>
      <c r="BX301" s="2043"/>
      <c r="BY301" s="1675"/>
      <c r="BZ301" s="1160"/>
      <c r="CA301" s="1967"/>
      <c r="CB301" s="1968"/>
      <c r="CC301" s="1766"/>
      <c r="CD301" s="2180"/>
      <c r="CE301" s="965"/>
      <c r="CF301" s="1040"/>
      <c r="CG301" s="1675"/>
      <c r="CH301" s="1160"/>
      <c r="CI301" s="1963"/>
      <c r="CJ301" s="1964"/>
      <c r="CK301" s="1017">
        <v>27</v>
      </c>
      <c r="CL301" s="1171" t="s">
        <v>1747</v>
      </c>
      <c r="CM301" s="1675"/>
      <c r="CN301" s="1160"/>
      <c r="CO301" s="1967"/>
      <c r="CP301" s="1968"/>
      <c r="CQ301" s="1675"/>
      <c r="CR301" s="1160"/>
      <c r="CS301" s="1967"/>
      <c r="CT301" s="1968"/>
      <c r="CU301" s="1675"/>
      <c r="CV301" s="1160"/>
      <c r="CW301" s="1967"/>
      <c r="CX301" s="1968"/>
      <c r="CY301" s="1675"/>
      <c r="CZ301" s="1160"/>
      <c r="DA301" s="1967"/>
      <c r="DB301" s="1968"/>
      <c r="DC301" s="1161"/>
      <c r="DD301" s="2043"/>
      <c r="DE301" s="1675"/>
      <c r="DF301" s="1160"/>
      <c r="DG301" s="1967"/>
      <c r="DH301" s="1968"/>
      <c r="DI301" s="964"/>
      <c r="DJ301" s="1037"/>
      <c r="DK301" s="1161"/>
      <c r="DL301" s="2015"/>
      <c r="DM301" s="1161"/>
      <c r="DN301" s="2015"/>
      <c r="DO301" s="1161"/>
      <c r="DP301" s="2043"/>
      <c r="DQ301" s="965"/>
      <c r="DR301" s="1042"/>
      <c r="DS301" s="1675"/>
      <c r="DT301" s="1160"/>
      <c r="DU301" s="1967"/>
      <c r="DV301" s="1968"/>
      <c r="DW301" s="965"/>
      <c r="DX301" s="1040"/>
      <c r="DY301" s="1675"/>
      <c r="DZ301" s="1160"/>
      <c r="EA301" s="1967"/>
      <c r="EB301" s="1968"/>
      <c r="EC301" s="1161"/>
      <c r="ED301" s="2043"/>
      <c r="EE301" s="965"/>
      <c r="EF301" s="1040"/>
      <c r="EG301" s="1161"/>
      <c r="EH301" s="2043"/>
      <c r="EI301" s="1675"/>
      <c r="EJ301" s="1160"/>
      <c r="EK301" s="2221"/>
      <c r="EL301" s="1968"/>
      <c r="EM301" s="2202">
        <f t="shared" si="478"/>
        <v>0</v>
      </c>
      <c r="EN301" s="1585">
        <f t="shared" si="479"/>
        <v>0</v>
      </c>
      <c r="EO301" s="1585">
        <f t="shared" si="480"/>
        <v>0</v>
      </c>
      <c r="EP301" s="1596">
        <f t="shared" si="461"/>
        <v>0</v>
      </c>
      <c r="EQ301" s="1729">
        <f t="shared" si="430"/>
        <v>0</v>
      </c>
      <c r="ER301" s="1797">
        <f t="shared" si="431"/>
        <v>0</v>
      </c>
      <c r="ES301" s="1797">
        <f t="shared" si="432"/>
        <v>0</v>
      </c>
      <c r="ET301" s="1798">
        <f t="shared" si="465"/>
        <v>0</v>
      </c>
    </row>
    <row r="302" spans="1:150" ht="26.4" x14ac:dyDescent="0.25">
      <c r="A302" s="965"/>
      <c r="B302" s="1040"/>
      <c r="C302" s="1675"/>
      <c r="D302" s="1160"/>
      <c r="E302" s="1967"/>
      <c r="F302" s="1968"/>
      <c r="G302" s="1161"/>
      <c r="H302" s="2015"/>
      <c r="I302" s="1161"/>
      <c r="J302" s="2015"/>
      <c r="K302" s="1161"/>
      <c r="L302" s="2043"/>
      <c r="M302" s="965"/>
      <c r="N302" s="1040"/>
      <c r="O302" s="1161"/>
      <c r="P302" s="2043"/>
      <c r="Q302" s="1675"/>
      <c r="R302" s="1160"/>
      <c r="S302" s="1967"/>
      <c r="T302" s="1968"/>
      <c r="U302" s="1675"/>
      <c r="V302" s="1160"/>
      <c r="W302" s="1967"/>
      <c r="X302" s="1968"/>
      <c r="Y302" s="1675"/>
      <c r="Z302" s="1160"/>
      <c r="AA302" s="2079"/>
      <c r="AB302" s="1968"/>
      <c r="AC302" s="964"/>
      <c r="AD302" s="1040"/>
      <c r="AE302" s="1675"/>
      <c r="AF302" s="1160"/>
      <c r="AG302" s="1967"/>
      <c r="AH302" s="1968"/>
      <c r="AI302" s="1675"/>
      <c r="AJ302" s="1160"/>
      <c r="AK302" s="1967"/>
      <c r="AL302" s="1968"/>
      <c r="AM302" s="1161"/>
      <c r="AN302" s="2043"/>
      <c r="AO302" s="1869"/>
      <c r="AP302" s="1159"/>
      <c r="AQ302" s="1163"/>
      <c r="AR302" s="2133"/>
      <c r="AS302" s="1551"/>
      <c r="AT302" s="2133"/>
      <c r="AU302" s="1675"/>
      <c r="AV302" s="1160"/>
      <c r="AW302" s="1967"/>
      <c r="AX302" s="1968"/>
      <c r="AY302" s="965"/>
      <c r="AZ302" s="1040"/>
      <c r="BA302" s="1675"/>
      <c r="BB302" s="1160"/>
      <c r="BC302" s="1967"/>
      <c r="BD302" s="1968"/>
      <c r="BE302" s="965"/>
      <c r="BF302" s="1040"/>
      <c r="BG302" s="1675"/>
      <c r="BH302" s="1160"/>
      <c r="BI302" s="1967"/>
      <c r="BJ302" s="1968"/>
      <c r="BK302" s="1675"/>
      <c r="BL302" s="1160"/>
      <c r="BM302" s="1967"/>
      <c r="BN302" s="1968"/>
      <c r="BO302" s="1161"/>
      <c r="BP302" s="2015"/>
      <c r="BQ302" s="1161"/>
      <c r="BR302" s="2043"/>
      <c r="BS302" s="1675"/>
      <c r="BT302" s="1160"/>
      <c r="BU302" s="1967"/>
      <c r="BV302" s="1968"/>
      <c r="BW302" s="1161"/>
      <c r="BX302" s="2043"/>
      <c r="BY302" s="1675"/>
      <c r="BZ302" s="1160"/>
      <c r="CA302" s="1967"/>
      <c r="CB302" s="1968"/>
      <c r="CC302" s="1766"/>
      <c r="CD302" s="2180"/>
      <c r="CE302" s="965"/>
      <c r="CF302" s="1040"/>
      <c r="CG302" s="1675"/>
      <c r="CH302" s="1160"/>
      <c r="CI302" s="1967"/>
      <c r="CJ302" s="1968"/>
      <c r="CK302" s="952">
        <v>28</v>
      </c>
      <c r="CL302" s="1171" t="s">
        <v>1748</v>
      </c>
      <c r="CM302" s="1675"/>
      <c r="CN302" s="1160"/>
      <c r="CO302" s="1967"/>
      <c r="CP302" s="1968"/>
      <c r="CQ302" s="1675"/>
      <c r="CR302" s="1160"/>
      <c r="CS302" s="1967"/>
      <c r="CT302" s="1968"/>
      <c r="CU302" s="1675"/>
      <c r="CV302" s="1160"/>
      <c r="CW302" s="1967"/>
      <c r="CX302" s="1968"/>
      <c r="CY302" s="1675"/>
      <c r="CZ302" s="1160"/>
      <c r="DA302" s="1967"/>
      <c r="DB302" s="1968"/>
      <c r="DC302" s="1161"/>
      <c r="DD302" s="2043"/>
      <c r="DE302" s="1675"/>
      <c r="DF302" s="1160"/>
      <c r="DG302" s="1967"/>
      <c r="DH302" s="1968"/>
      <c r="DI302" s="964"/>
      <c r="DJ302" s="1037"/>
      <c r="DK302" s="1161"/>
      <c r="DL302" s="2015"/>
      <c r="DM302" s="1161"/>
      <c r="DN302" s="2015"/>
      <c r="DO302" s="1161"/>
      <c r="DP302" s="2043"/>
      <c r="DQ302" s="965"/>
      <c r="DR302" s="1042"/>
      <c r="DS302" s="1675"/>
      <c r="DT302" s="1160"/>
      <c r="DU302" s="1967"/>
      <c r="DV302" s="1968"/>
      <c r="DW302" s="965"/>
      <c r="DX302" s="1040"/>
      <c r="DY302" s="1675"/>
      <c r="DZ302" s="1160"/>
      <c r="EA302" s="1967"/>
      <c r="EB302" s="1968"/>
      <c r="EC302" s="1161"/>
      <c r="ED302" s="2043"/>
      <c r="EE302" s="965"/>
      <c r="EF302" s="1040"/>
      <c r="EG302" s="1161"/>
      <c r="EH302" s="2043"/>
      <c r="EI302" s="1675"/>
      <c r="EJ302" s="1160"/>
      <c r="EK302" s="2221"/>
      <c r="EL302" s="1968"/>
      <c r="EM302" s="2202">
        <f t="shared" si="478"/>
        <v>0</v>
      </c>
      <c r="EN302" s="1585">
        <f t="shared" si="479"/>
        <v>0</v>
      </c>
      <c r="EO302" s="1585">
        <f t="shared" si="480"/>
        <v>0</v>
      </c>
      <c r="EP302" s="1596">
        <f t="shared" si="461"/>
        <v>0</v>
      </c>
      <c r="EQ302" s="1729">
        <f t="shared" si="430"/>
        <v>0</v>
      </c>
      <c r="ER302" s="1797">
        <f t="shared" si="431"/>
        <v>0</v>
      </c>
      <c r="ES302" s="1797">
        <f t="shared" si="432"/>
        <v>0</v>
      </c>
      <c r="ET302" s="1798">
        <f t="shared" si="465"/>
        <v>0</v>
      </c>
    </row>
    <row r="303" spans="1:150" x14ac:dyDescent="0.25">
      <c r="A303" s="965"/>
      <c r="B303" s="1040"/>
      <c r="C303" s="1675"/>
      <c r="D303" s="1160"/>
      <c r="E303" s="1967"/>
      <c r="F303" s="1968"/>
      <c r="G303" s="1161"/>
      <c r="H303" s="2015"/>
      <c r="I303" s="1161"/>
      <c r="J303" s="2015"/>
      <c r="K303" s="1161"/>
      <c r="L303" s="2043"/>
      <c r="M303" s="965"/>
      <c r="N303" s="1040"/>
      <c r="O303" s="1161"/>
      <c r="P303" s="2043"/>
      <c r="Q303" s="1675"/>
      <c r="R303" s="1160"/>
      <c r="S303" s="1967"/>
      <c r="T303" s="1968"/>
      <c r="U303" s="1675"/>
      <c r="V303" s="1160"/>
      <c r="W303" s="1967"/>
      <c r="X303" s="1968"/>
      <c r="Y303" s="1675"/>
      <c r="Z303" s="1160"/>
      <c r="AA303" s="2079"/>
      <c r="AB303" s="1968"/>
      <c r="AC303" s="964"/>
      <c r="AD303" s="1040"/>
      <c r="AE303" s="1675"/>
      <c r="AF303" s="1160"/>
      <c r="AG303" s="1967"/>
      <c r="AH303" s="1968"/>
      <c r="AI303" s="1675"/>
      <c r="AJ303" s="1160"/>
      <c r="AK303" s="1967"/>
      <c r="AL303" s="1968"/>
      <c r="AM303" s="1161"/>
      <c r="AN303" s="2043"/>
      <c r="AO303" s="1869"/>
      <c r="AP303" s="1159"/>
      <c r="AQ303" s="1163"/>
      <c r="AR303" s="2133"/>
      <c r="AS303" s="1551"/>
      <c r="AT303" s="2133"/>
      <c r="AU303" s="1675"/>
      <c r="AV303" s="1160"/>
      <c r="AW303" s="1967"/>
      <c r="AX303" s="1968"/>
      <c r="AY303" s="965"/>
      <c r="AZ303" s="1040"/>
      <c r="BA303" s="1675"/>
      <c r="BB303" s="1160"/>
      <c r="BC303" s="1967"/>
      <c r="BD303" s="1968"/>
      <c r="BE303" s="965"/>
      <c r="BF303" s="1040"/>
      <c r="BG303" s="1675"/>
      <c r="BH303" s="1160"/>
      <c r="BI303" s="1967"/>
      <c r="BJ303" s="1968"/>
      <c r="BK303" s="1675"/>
      <c r="BL303" s="1160"/>
      <c r="BM303" s="1967"/>
      <c r="BN303" s="1968"/>
      <c r="BO303" s="1161"/>
      <c r="BP303" s="2015"/>
      <c r="BQ303" s="1161"/>
      <c r="BR303" s="2043"/>
      <c r="BS303" s="1675"/>
      <c r="BT303" s="1160"/>
      <c r="BU303" s="1967"/>
      <c r="BV303" s="1968"/>
      <c r="BW303" s="1161"/>
      <c r="BX303" s="2043"/>
      <c r="BY303" s="1675"/>
      <c r="BZ303" s="1160"/>
      <c r="CA303" s="1967"/>
      <c r="CB303" s="1968"/>
      <c r="CC303" s="1766"/>
      <c r="CD303" s="2180"/>
      <c r="CE303" s="965"/>
      <c r="CF303" s="1040"/>
      <c r="CG303" s="1675"/>
      <c r="CH303" s="1160"/>
      <c r="CI303" s="1963"/>
      <c r="CJ303" s="1964"/>
      <c r="CK303" s="1017">
        <v>29</v>
      </c>
      <c r="CL303" s="1171" t="s">
        <v>1749</v>
      </c>
      <c r="CM303" s="1675"/>
      <c r="CN303" s="1160"/>
      <c r="CO303" s="1967"/>
      <c r="CP303" s="1968"/>
      <c r="CQ303" s="1675"/>
      <c r="CR303" s="1160"/>
      <c r="CS303" s="1967"/>
      <c r="CT303" s="1968"/>
      <c r="CU303" s="1675"/>
      <c r="CV303" s="1160"/>
      <c r="CW303" s="1967"/>
      <c r="CX303" s="1968"/>
      <c r="CY303" s="1675"/>
      <c r="CZ303" s="1160"/>
      <c r="DA303" s="1967"/>
      <c r="DB303" s="1968"/>
      <c r="DC303" s="1161"/>
      <c r="DD303" s="2043"/>
      <c r="DE303" s="1675"/>
      <c r="DF303" s="1160"/>
      <c r="DG303" s="1967"/>
      <c r="DH303" s="1968"/>
      <c r="DI303" s="964"/>
      <c r="DJ303" s="1037"/>
      <c r="DK303" s="1161"/>
      <c r="DL303" s="2015"/>
      <c r="DM303" s="1161"/>
      <c r="DN303" s="2015"/>
      <c r="DO303" s="1161"/>
      <c r="DP303" s="2043"/>
      <c r="DQ303" s="965"/>
      <c r="DR303" s="1042"/>
      <c r="DS303" s="1675"/>
      <c r="DT303" s="1160"/>
      <c r="DU303" s="1967"/>
      <c r="DV303" s="1968"/>
      <c r="DW303" s="965"/>
      <c r="DX303" s="1040"/>
      <c r="DY303" s="1675"/>
      <c r="DZ303" s="1160"/>
      <c r="EA303" s="1967"/>
      <c r="EB303" s="1968"/>
      <c r="EC303" s="1161"/>
      <c r="ED303" s="2043"/>
      <c r="EE303" s="965"/>
      <c r="EF303" s="1040"/>
      <c r="EG303" s="1161"/>
      <c r="EH303" s="2043"/>
      <c r="EI303" s="1675"/>
      <c r="EJ303" s="1160"/>
      <c r="EK303" s="2221"/>
      <c r="EL303" s="1968"/>
      <c r="EM303" s="2202">
        <f t="shared" si="478"/>
        <v>0</v>
      </c>
      <c r="EN303" s="1585">
        <f t="shared" si="479"/>
        <v>0</v>
      </c>
      <c r="EO303" s="1585">
        <f t="shared" si="480"/>
        <v>0</v>
      </c>
      <c r="EP303" s="1596">
        <f t="shared" si="461"/>
        <v>0</v>
      </c>
      <c r="EQ303" s="1729">
        <f t="shared" si="430"/>
        <v>0</v>
      </c>
      <c r="ER303" s="1797">
        <f t="shared" si="431"/>
        <v>0</v>
      </c>
      <c r="ES303" s="1797">
        <f t="shared" si="432"/>
        <v>0</v>
      </c>
      <c r="ET303" s="1798">
        <f t="shared" si="465"/>
        <v>0</v>
      </c>
    </row>
    <row r="304" spans="1:150" x14ac:dyDescent="0.25">
      <c r="A304" s="965"/>
      <c r="B304" s="1040"/>
      <c r="C304" s="1675"/>
      <c r="D304" s="1160"/>
      <c r="E304" s="1967"/>
      <c r="F304" s="1968"/>
      <c r="G304" s="1161"/>
      <c r="H304" s="2015"/>
      <c r="I304" s="1161"/>
      <c r="J304" s="2015"/>
      <c r="K304" s="1161"/>
      <c r="L304" s="2043"/>
      <c r="M304" s="965"/>
      <c r="N304" s="1040"/>
      <c r="O304" s="1161"/>
      <c r="P304" s="2043"/>
      <c r="Q304" s="1675"/>
      <c r="R304" s="1160"/>
      <c r="S304" s="1967"/>
      <c r="T304" s="1968"/>
      <c r="U304" s="1675"/>
      <c r="V304" s="1160"/>
      <c r="W304" s="1967"/>
      <c r="X304" s="1968"/>
      <c r="Y304" s="1675"/>
      <c r="Z304" s="1160"/>
      <c r="AA304" s="2079"/>
      <c r="AB304" s="1968"/>
      <c r="AC304" s="964"/>
      <c r="AD304" s="1040"/>
      <c r="AE304" s="1675"/>
      <c r="AF304" s="1160"/>
      <c r="AG304" s="1967"/>
      <c r="AH304" s="1968"/>
      <c r="AI304" s="1675"/>
      <c r="AJ304" s="1160"/>
      <c r="AK304" s="1967"/>
      <c r="AL304" s="1968"/>
      <c r="AM304" s="1161"/>
      <c r="AN304" s="2043"/>
      <c r="AO304" s="1869"/>
      <c r="AP304" s="1159"/>
      <c r="AQ304" s="1163"/>
      <c r="AR304" s="2133"/>
      <c r="AS304" s="1551"/>
      <c r="AT304" s="2133"/>
      <c r="AU304" s="1675"/>
      <c r="AV304" s="1160"/>
      <c r="AW304" s="1967"/>
      <c r="AX304" s="1968"/>
      <c r="AY304" s="965"/>
      <c r="AZ304" s="1040"/>
      <c r="BA304" s="1675"/>
      <c r="BB304" s="1160"/>
      <c r="BC304" s="1967"/>
      <c r="BD304" s="1968"/>
      <c r="BE304" s="965"/>
      <c r="BF304" s="1040"/>
      <c r="BG304" s="1675"/>
      <c r="BH304" s="1160"/>
      <c r="BI304" s="1967"/>
      <c r="BJ304" s="1968"/>
      <c r="BK304" s="1675"/>
      <c r="BL304" s="1160"/>
      <c r="BM304" s="1967"/>
      <c r="BN304" s="1968"/>
      <c r="BO304" s="1161"/>
      <c r="BP304" s="2015"/>
      <c r="BQ304" s="1161"/>
      <c r="BR304" s="2043"/>
      <c r="BS304" s="1675"/>
      <c r="BT304" s="1160"/>
      <c r="BU304" s="1967"/>
      <c r="BV304" s="1968"/>
      <c r="BW304" s="1161"/>
      <c r="BX304" s="2043"/>
      <c r="BY304" s="1675"/>
      <c r="BZ304" s="1160"/>
      <c r="CA304" s="1967"/>
      <c r="CB304" s="1968"/>
      <c r="CC304" s="1766"/>
      <c r="CD304" s="2180"/>
      <c r="CE304" s="965"/>
      <c r="CF304" s="1040"/>
      <c r="CG304" s="1675"/>
      <c r="CH304" s="1160"/>
      <c r="CI304" s="1967"/>
      <c r="CJ304" s="1968"/>
      <c r="CK304" s="952">
        <v>30</v>
      </c>
      <c r="CL304" s="1171" t="s">
        <v>1750</v>
      </c>
      <c r="CM304" s="1675"/>
      <c r="CN304" s="1160"/>
      <c r="CO304" s="1967"/>
      <c r="CP304" s="1968"/>
      <c r="CQ304" s="1675"/>
      <c r="CR304" s="1160"/>
      <c r="CS304" s="1967"/>
      <c r="CT304" s="1968"/>
      <c r="CU304" s="1675"/>
      <c r="CV304" s="1160"/>
      <c r="CW304" s="1967"/>
      <c r="CX304" s="1968"/>
      <c r="CY304" s="1675"/>
      <c r="CZ304" s="1160"/>
      <c r="DA304" s="1967"/>
      <c r="DB304" s="1968"/>
      <c r="DC304" s="1161"/>
      <c r="DD304" s="2043"/>
      <c r="DE304" s="1675"/>
      <c r="DF304" s="1160"/>
      <c r="DG304" s="1967"/>
      <c r="DH304" s="1968"/>
      <c r="DI304" s="964"/>
      <c r="DJ304" s="1037"/>
      <c r="DK304" s="1161"/>
      <c r="DL304" s="2015"/>
      <c r="DM304" s="1161"/>
      <c r="DN304" s="2015"/>
      <c r="DO304" s="1161"/>
      <c r="DP304" s="2043"/>
      <c r="DQ304" s="965"/>
      <c r="DR304" s="1042"/>
      <c r="DS304" s="1675"/>
      <c r="DT304" s="1160"/>
      <c r="DU304" s="1967"/>
      <c r="DV304" s="1968"/>
      <c r="DW304" s="965"/>
      <c r="DX304" s="1040"/>
      <c r="DY304" s="1675"/>
      <c r="DZ304" s="1160"/>
      <c r="EA304" s="1967"/>
      <c r="EB304" s="1968"/>
      <c r="EC304" s="1161"/>
      <c r="ED304" s="2043"/>
      <c r="EE304" s="965"/>
      <c r="EF304" s="1040"/>
      <c r="EG304" s="1161"/>
      <c r="EH304" s="2043"/>
      <c r="EI304" s="1675"/>
      <c r="EJ304" s="1160"/>
      <c r="EK304" s="2221"/>
      <c r="EL304" s="1968"/>
      <c r="EM304" s="2202">
        <f t="shared" si="478"/>
        <v>0</v>
      </c>
      <c r="EN304" s="1585">
        <f t="shared" si="479"/>
        <v>0</v>
      </c>
      <c r="EO304" s="1585">
        <f t="shared" si="480"/>
        <v>0</v>
      </c>
      <c r="EP304" s="1596">
        <f t="shared" si="461"/>
        <v>0</v>
      </c>
      <c r="EQ304" s="1729">
        <f t="shared" si="430"/>
        <v>0</v>
      </c>
      <c r="ER304" s="1797">
        <f t="shared" si="431"/>
        <v>0</v>
      </c>
      <c r="ES304" s="1797">
        <f t="shared" si="432"/>
        <v>0</v>
      </c>
      <c r="ET304" s="1798">
        <f t="shared" si="465"/>
        <v>0</v>
      </c>
    </row>
    <row r="305" spans="1:150" x14ac:dyDescent="0.25">
      <c r="A305" s="965"/>
      <c r="B305" s="1040"/>
      <c r="C305" s="1675"/>
      <c r="D305" s="1160"/>
      <c r="E305" s="1967"/>
      <c r="F305" s="1968"/>
      <c r="G305" s="1161"/>
      <c r="H305" s="2015"/>
      <c r="I305" s="1161"/>
      <c r="J305" s="2015"/>
      <c r="K305" s="1161"/>
      <c r="L305" s="2043"/>
      <c r="M305" s="965"/>
      <c r="N305" s="1040"/>
      <c r="O305" s="1161"/>
      <c r="P305" s="2043"/>
      <c r="Q305" s="1675"/>
      <c r="R305" s="1160"/>
      <c r="S305" s="1967"/>
      <c r="T305" s="1968"/>
      <c r="U305" s="1675"/>
      <c r="V305" s="1160"/>
      <c r="W305" s="1967"/>
      <c r="X305" s="1968"/>
      <c r="Y305" s="1675"/>
      <c r="Z305" s="1160"/>
      <c r="AA305" s="2079"/>
      <c r="AB305" s="1968"/>
      <c r="AC305" s="964"/>
      <c r="AD305" s="1040"/>
      <c r="AE305" s="1675"/>
      <c r="AF305" s="1160"/>
      <c r="AG305" s="1967"/>
      <c r="AH305" s="1968"/>
      <c r="AI305" s="1675"/>
      <c r="AJ305" s="1160"/>
      <c r="AK305" s="1967"/>
      <c r="AL305" s="1968"/>
      <c r="AM305" s="1161"/>
      <c r="AN305" s="2043"/>
      <c r="AO305" s="1869"/>
      <c r="AP305" s="1159"/>
      <c r="AQ305" s="1163"/>
      <c r="AR305" s="2133"/>
      <c r="AS305" s="1551"/>
      <c r="AT305" s="2133"/>
      <c r="AU305" s="1675"/>
      <c r="AV305" s="1160"/>
      <c r="AW305" s="1967"/>
      <c r="AX305" s="1968"/>
      <c r="AY305" s="965"/>
      <c r="AZ305" s="1040"/>
      <c r="BA305" s="1675"/>
      <c r="BB305" s="1160"/>
      <c r="BC305" s="1967"/>
      <c r="BD305" s="1968"/>
      <c r="BE305" s="965"/>
      <c r="BF305" s="1040"/>
      <c r="BG305" s="1675"/>
      <c r="BH305" s="1160"/>
      <c r="BI305" s="1967"/>
      <c r="BJ305" s="1968"/>
      <c r="BK305" s="1675"/>
      <c r="BL305" s="1160"/>
      <c r="BM305" s="1967"/>
      <c r="BN305" s="1968"/>
      <c r="BO305" s="1161"/>
      <c r="BP305" s="2015"/>
      <c r="BQ305" s="1161"/>
      <c r="BR305" s="2043"/>
      <c r="BS305" s="1675"/>
      <c r="BT305" s="1160"/>
      <c r="BU305" s="1967"/>
      <c r="BV305" s="1968"/>
      <c r="BW305" s="1161"/>
      <c r="BX305" s="2043"/>
      <c r="BY305" s="1675"/>
      <c r="BZ305" s="1160"/>
      <c r="CA305" s="1967"/>
      <c r="CB305" s="1968"/>
      <c r="CC305" s="1766"/>
      <c r="CD305" s="2180"/>
      <c r="CE305" s="965"/>
      <c r="CF305" s="1040"/>
      <c r="CG305" s="1675"/>
      <c r="CH305" s="1160"/>
      <c r="CI305" s="1963"/>
      <c r="CJ305" s="1964"/>
      <c r="CK305" s="1017">
        <v>31</v>
      </c>
      <c r="CL305" s="1171" t="s">
        <v>1751</v>
      </c>
      <c r="CM305" s="1675"/>
      <c r="CN305" s="1160"/>
      <c r="CO305" s="1967"/>
      <c r="CP305" s="1968"/>
      <c r="CQ305" s="1675"/>
      <c r="CR305" s="1160"/>
      <c r="CS305" s="1967"/>
      <c r="CT305" s="1968"/>
      <c r="CU305" s="1675"/>
      <c r="CV305" s="1160"/>
      <c r="CW305" s="1967"/>
      <c r="CX305" s="1968"/>
      <c r="CY305" s="1675"/>
      <c r="CZ305" s="1160"/>
      <c r="DA305" s="1967"/>
      <c r="DB305" s="1968"/>
      <c r="DC305" s="1161"/>
      <c r="DD305" s="2043"/>
      <c r="DE305" s="1675"/>
      <c r="DF305" s="1160"/>
      <c r="DG305" s="1967"/>
      <c r="DH305" s="1968"/>
      <c r="DI305" s="964"/>
      <c r="DJ305" s="1037"/>
      <c r="DK305" s="1161"/>
      <c r="DL305" s="2015"/>
      <c r="DM305" s="1161"/>
      <c r="DN305" s="2015"/>
      <c r="DO305" s="1161"/>
      <c r="DP305" s="2043"/>
      <c r="DQ305" s="965"/>
      <c r="DR305" s="1042"/>
      <c r="DS305" s="1675"/>
      <c r="DT305" s="1160"/>
      <c r="DU305" s="1967"/>
      <c r="DV305" s="1968"/>
      <c r="DW305" s="965"/>
      <c r="DX305" s="1040"/>
      <c r="DY305" s="1675"/>
      <c r="DZ305" s="1160"/>
      <c r="EA305" s="1967"/>
      <c r="EB305" s="1968"/>
      <c r="EC305" s="1161"/>
      <c r="ED305" s="2043"/>
      <c r="EE305" s="965"/>
      <c r="EF305" s="1040"/>
      <c r="EG305" s="1161"/>
      <c r="EH305" s="2043"/>
      <c r="EI305" s="1675"/>
      <c r="EJ305" s="1160"/>
      <c r="EK305" s="2221"/>
      <c r="EL305" s="1968"/>
      <c r="EM305" s="2202">
        <f t="shared" si="478"/>
        <v>0</v>
      </c>
      <c r="EN305" s="1585">
        <f t="shared" si="479"/>
        <v>0</v>
      </c>
      <c r="EO305" s="1585">
        <f t="shared" si="480"/>
        <v>0</v>
      </c>
      <c r="EP305" s="1596">
        <f t="shared" si="461"/>
        <v>0</v>
      </c>
      <c r="EQ305" s="1729">
        <f t="shared" si="430"/>
        <v>0</v>
      </c>
      <c r="ER305" s="1797">
        <f t="shared" si="431"/>
        <v>0</v>
      </c>
      <c r="ES305" s="1797">
        <f t="shared" si="432"/>
        <v>0</v>
      </c>
      <c r="ET305" s="1798">
        <f t="shared" si="465"/>
        <v>0</v>
      </c>
    </row>
    <row r="306" spans="1:150" x14ac:dyDescent="0.25">
      <c r="A306" s="965"/>
      <c r="B306" s="1040"/>
      <c r="C306" s="1675"/>
      <c r="D306" s="1160"/>
      <c r="E306" s="1967"/>
      <c r="F306" s="1968"/>
      <c r="G306" s="1161"/>
      <c r="H306" s="2015"/>
      <c r="I306" s="1161"/>
      <c r="J306" s="2015"/>
      <c r="K306" s="1161"/>
      <c r="L306" s="2043"/>
      <c r="M306" s="965"/>
      <c r="N306" s="1040"/>
      <c r="O306" s="1161"/>
      <c r="P306" s="2043"/>
      <c r="Q306" s="1675"/>
      <c r="R306" s="1160"/>
      <c r="S306" s="1967"/>
      <c r="T306" s="1968"/>
      <c r="U306" s="1675"/>
      <c r="V306" s="1160"/>
      <c r="W306" s="1967"/>
      <c r="X306" s="1968"/>
      <c r="Y306" s="1675"/>
      <c r="Z306" s="1160"/>
      <c r="AA306" s="2079"/>
      <c r="AB306" s="1968"/>
      <c r="AC306" s="964"/>
      <c r="AD306" s="1040"/>
      <c r="AE306" s="1675"/>
      <c r="AF306" s="1160"/>
      <c r="AG306" s="1967"/>
      <c r="AH306" s="1968"/>
      <c r="AI306" s="1675"/>
      <c r="AJ306" s="1160"/>
      <c r="AK306" s="1967"/>
      <c r="AL306" s="1968"/>
      <c r="AM306" s="1161"/>
      <c r="AN306" s="2043"/>
      <c r="AO306" s="1869"/>
      <c r="AP306" s="1159"/>
      <c r="AQ306" s="1163"/>
      <c r="AR306" s="2133"/>
      <c r="AS306" s="1551"/>
      <c r="AT306" s="2133"/>
      <c r="AU306" s="1675"/>
      <c r="AV306" s="1160"/>
      <c r="AW306" s="1967"/>
      <c r="AX306" s="1968"/>
      <c r="AY306" s="965"/>
      <c r="AZ306" s="1040"/>
      <c r="BA306" s="1675"/>
      <c r="BB306" s="1160"/>
      <c r="BC306" s="1967"/>
      <c r="BD306" s="1968"/>
      <c r="BE306" s="965"/>
      <c r="BF306" s="1040"/>
      <c r="BG306" s="1675"/>
      <c r="BH306" s="1160"/>
      <c r="BI306" s="1967"/>
      <c r="BJ306" s="1968"/>
      <c r="BK306" s="1675"/>
      <c r="BL306" s="1160"/>
      <c r="BM306" s="1967"/>
      <c r="BN306" s="1968"/>
      <c r="BO306" s="1161"/>
      <c r="BP306" s="2015"/>
      <c r="BQ306" s="1161"/>
      <c r="BR306" s="2043"/>
      <c r="BS306" s="1675"/>
      <c r="BT306" s="1160"/>
      <c r="BU306" s="1967"/>
      <c r="BV306" s="1968"/>
      <c r="BW306" s="1161"/>
      <c r="BX306" s="2043"/>
      <c r="BY306" s="1675"/>
      <c r="BZ306" s="1160"/>
      <c r="CA306" s="1967"/>
      <c r="CB306" s="1968"/>
      <c r="CC306" s="1766"/>
      <c r="CD306" s="2180"/>
      <c r="CE306" s="965"/>
      <c r="CF306" s="1040"/>
      <c r="CG306" s="1675"/>
      <c r="CH306" s="1160"/>
      <c r="CI306" s="1967"/>
      <c r="CJ306" s="1968"/>
      <c r="CK306" s="952">
        <v>32</v>
      </c>
      <c r="CL306" s="1171" t="s">
        <v>1752</v>
      </c>
      <c r="CM306" s="1675"/>
      <c r="CN306" s="1160"/>
      <c r="CO306" s="1967"/>
      <c r="CP306" s="1968"/>
      <c r="CQ306" s="1675"/>
      <c r="CR306" s="1160"/>
      <c r="CS306" s="1967"/>
      <c r="CT306" s="1968"/>
      <c r="CU306" s="1675"/>
      <c r="CV306" s="1160"/>
      <c r="CW306" s="1967"/>
      <c r="CX306" s="1968"/>
      <c r="CY306" s="1675"/>
      <c r="CZ306" s="1160"/>
      <c r="DA306" s="1967"/>
      <c r="DB306" s="1968"/>
      <c r="DC306" s="1161"/>
      <c r="DD306" s="2043"/>
      <c r="DE306" s="1675"/>
      <c r="DF306" s="1160"/>
      <c r="DG306" s="1967"/>
      <c r="DH306" s="1968"/>
      <c r="DI306" s="964"/>
      <c r="DJ306" s="1037"/>
      <c r="DK306" s="1161"/>
      <c r="DL306" s="2015"/>
      <c r="DM306" s="1161"/>
      <c r="DN306" s="2015"/>
      <c r="DO306" s="1161"/>
      <c r="DP306" s="2043"/>
      <c r="DQ306" s="965"/>
      <c r="DR306" s="1042"/>
      <c r="DS306" s="1675"/>
      <c r="DT306" s="1160"/>
      <c r="DU306" s="1967"/>
      <c r="DV306" s="1968"/>
      <c r="DW306" s="965"/>
      <c r="DX306" s="1040"/>
      <c r="DY306" s="1675"/>
      <c r="DZ306" s="1160"/>
      <c r="EA306" s="1967"/>
      <c r="EB306" s="1968"/>
      <c r="EC306" s="1161"/>
      <c r="ED306" s="2043"/>
      <c r="EE306" s="965"/>
      <c r="EF306" s="1040"/>
      <c r="EG306" s="1161"/>
      <c r="EH306" s="2043"/>
      <c r="EI306" s="1675"/>
      <c r="EJ306" s="1160"/>
      <c r="EK306" s="2221"/>
      <c r="EL306" s="1968"/>
      <c r="EM306" s="2202">
        <f t="shared" si="478"/>
        <v>0</v>
      </c>
      <c r="EN306" s="1585">
        <f t="shared" si="479"/>
        <v>0</v>
      </c>
      <c r="EO306" s="1585">
        <f t="shared" si="480"/>
        <v>0</v>
      </c>
      <c r="EP306" s="1596">
        <f t="shared" si="461"/>
        <v>0</v>
      </c>
      <c r="EQ306" s="1729">
        <f t="shared" si="430"/>
        <v>0</v>
      </c>
      <c r="ER306" s="1797">
        <f t="shared" si="431"/>
        <v>0</v>
      </c>
      <c r="ES306" s="1797">
        <f t="shared" si="432"/>
        <v>0</v>
      </c>
      <c r="ET306" s="1798">
        <f t="shared" si="465"/>
        <v>0</v>
      </c>
    </row>
    <row r="307" spans="1:150" x14ac:dyDescent="0.25">
      <c r="A307" s="965"/>
      <c r="B307" s="1040"/>
      <c r="C307" s="1675"/>
      <c r="D307" s="1160"/>
      <c r="E307" s="1967"/>
      <c r="F307" s="1968"/>
      <c r="G307" s="1161"/>
      <c r="H307" s="2015"/>
      <c r="I307" s="1161"/>
      <c r="J307" s="2015"/>
      <c r="K307" s="1161"/>
      <c r="L307" s="2043"/>
      <c r="M307" s="965"/>
      <c r="N307" s="1040"/>
      <c r="O307" s="1161"/>
      <c r="P307" s="2043"/>
      <c r="Q307" s="1675"/>
      <c r="R307" s="1160"/>
      <c r="S307" s="1967"/>
      <c r="T307" s="1968"/>
      <c r="U307" s="1675"/>
      <c r="V307" s="1160"/>
      <c r="W307" s="1967"/>
      <c r="X307" s="1968"/>
      <c r="Y307" s="1675"/>
      <c r="Z307" s="1160"/>
      <c r="AA307" s="2079"/>
      <c r="AB307" s="1968"/>
      <c r="AC307" s="964"/>
      <c r="AD307" s="1040"/>
      <c r="AE307" s="1675"/>
      <c r="AF307" s="1160"/>
      <c r="AG307" s="1967"/>
      <c r="AH307" s="1968"/>
      <c r="AI307" s="1675"/>
      <c r="AJ307" s="1160"/>
      <c r="AK307" s="1967"/>
      <c r="AL307" s="1968"/>
      <c r="AM307" s="1161"/>
      <c r="AN307" s="2043"/>
      <c r="AO307" s="1869"/>
      <c r="AP307" s="1159"/>
      <c r="AQ307" s="1163"/>
      <c r="AR307" s="2133"/>
      <c r="AS307" s="1551"/>
      <c r="AT307" s="2133"/>
      <c r="AU307" s="1675"/>
      <c r="AV307" s="1160"/>
      <c r="AW307" s="1967"/>
      <c r="AX307" s="1968"/>
      <c r="AY307" s="965"/>
      <c r="AZ307" s="1040"/>
      <c r="BA307" s="1675"/>
      <c r="BB307" s="1160"/>
      <c r="BC307" s="1967"/>
      <c r="BD307" s="1968"/>
      <c r="BE307" s="965"/>
      <c r="BF307" s="1040"/>
      <c r="BG307" s="1675"/>
      <c r="BH307" s="1160"/>
      <c r="BI307" s="1967"/>
      <c r="BJ307" s="1968"/>
      <c r="BK307" s="1675"/>
      <c r="BL307" s="1160"/>
      <c r="BM307" s="1967"/>
      <c r="BN307" s="1968"/>
      <c r="BO307" s="1161"/>
      <c r="BP307" s="2015"/>
      <c r="BQ307" s="1161"/>
      <c r="BR307" s="2043"/>
      <c r="BS307" s="1675"/>
      <c r="BT307" s="1160"/>
      <c r="BU307" s="1967"/>
      <c r="BV307" s="1968"/>
      <c r="BW307" s="1161"/>
      <c r="BX307" s="2043"/>
      <c r="BY307" s="1675"/>
      <c r="BZ307" s="1160"/>
      <c r="CA307" s="1967"/>
      <c r="CB307" s="1968"/>
      <c r="CC307" s="1766"/>
      <c r="CD307" s="2180"/>
      <c r="CE307" s="965"/>
      <c r="CF307" s="1040"/>
      <c r="CG307" s="1675"/>
      <c r="CH307" s="1160"/>
      <c r="CI307" s="1963"/>
      <c r="CJ307" s="1964"/>
      <c r="CK307" s="1017">
        <v>33</v>
      </c>
      <c r="CL307" s="1171" t="s">
        <v>1753</v>
      </c>
      <c r="CM307" s="1675"/>
      <c r="CN307" s="1160"/>
      <c r="CO307" s="1967"/>
      <c r="CP307" s="1968"/>
      <c r="CQ307" s="1675"/>
      <c r="CR307" s="1160"/>
      <c r="CS307" s="1967"/>
      <c r="CT307" s="1968"/>
      <c r="CU307" s="1675"/>
      <c r="CV307" s="1160"/>
      <c r="CW307" s="1967"/>
      <c r="CX307" s="1968"/>
      <c r="CY307" s="1675"/>
      <c r="CZ307" s="1160"/>
      <c r="DA307" s="1967"/>
      <c r="DB307" s="1968"/>
      <c r="DC307" s="1161"/>
      <c r="DD307" s="2043"/>
      <c r="DE307" s="1675"/>
      <c r="DF307" s="1160"/>
      <c r="DG307" s="1967"/>
      <c r="DH307" s="1968"/>
      <c r="DI307" s="964"/>
      <c r="DJ307" s="1037"/>
      <c r="DK307" s="1161"/>
      <c r="DL307" s="2015"/>
      <c r="DM307" s="1161"/>
      <c r="DN307" s="2015"/>
      <c r="DO307" s="1161"/>
      <c r="DP307" s="2043"/>
      <c r="DQ307" s="965"/>
      <c r="DR307" s="1042"/>
      <c r="DS307" s="1675"/>
      <c r="DT307" s="1160"/>
      <c r="DU307" s="1967"/>
      <c r="DV307" s="1968"/>
      <c r="DW307" s="965"/>
      <c r="DX307" s="1040"/>
      <c r="DY307" s="1675"/>
      <c r="DZ307" s="1160"/>
      <c r="EA307" s="1967"/>
      <c r="EB307" s="1968"/>
      <c r="EC307" s="1161"/>
      <c r="ED307" s="2043"/>
      <c r="EE307" s="965"/>
      <c r="EF307" s="1040"/>
      <c r="EG307" s="1161"/>
      <c r="EH307" s="2043"/>
      <c r="EI307" s="1675"/>
      <c r="EJ307" s="1160"/>
      <c r="EK307" s="2221"/>
      <c r="EL307" s="1968"/>
      <c r="EM307" s="2202">
        <f t="shared" si="478"/>
        <v>0</v>
      </c>
      <c r="EN307" s="1585">
        <f t="shared" si="479"/>
        <v>0</v>
      </c>
      <c r="EO307" s="1585">
        <f t="shared" si="480"/>
        <v>0</v>
      </c>
      <c r="EP307" s="1596">
        <f t="shared" si="461"/>
        <v>0</v>
      </c>
      <c r="EQ307" s="1729">
        <f t="shared" si="430"/>
        <v>0</v>
      </c>
      <c r="ER307" s="1797">
        <f t="shared" si="431"/>
        <v>0</v>
      </c>
      <c r="ES307" s="1797">
        <f t="shared" si="432"/>
        <v>0</v>
      </c>
      <c r="ET307" s="1798">
        <f t="shared" si="465"/>
        <v>0</v>
      </c>
    </row>
    <row r="308" spans="1:150" x14ac:dyDescent="0.25">
      <c r="A308" s="965"/>
      <c r="B308" s="1040"/>
      <c r="C308" s="1675"/>
      <c r="D308" s="1160"/>
      <c r="E308" s="1967"/>
      <c r="F308" s="1968"/>
      <c r="G308" s="1161"/>
      <c r="H308" s="2015"/>
      <c r="I308" s="1161"/>
      <c r="J308" s="2015"/>
      <c r="K308" s="1161"/>
      <c r="L308" s="2043"/>
      <c r="M308" s="965"/>
      <c r="N308" s="1040"/>
      <c r="O308" s="1161"/>
      <c r="P308" s="2043"/>
      <c r="Q308" s="1675"/>
      <c r="R308" s="1160"/>
      <c r="S308" s="1967"/>
      <c r="T308" s="1968"/>
      <c r="U308" s="1675"/>
      <c r="V308" s="1160"/>
      <c r="W308" s="1967"/>
      <c r="X308" s="1968"/>
      <c r="Y308" s="1675"/>
      <c r="Z308" s="1160"/>
      <c r="AA308" s="2079"/>
      <c r="AB308" s="1968"/>
      <c r="AC308" s="964"/>
      <c r="AD308" s="1040"/>
      <c r="AE308" s="1675"/>
      <c r="AF308" s="1160"/>
      <c r="AG308" s="1967"/>
      <c r="AH308" s="1968"/>
      <c r="AI308" s="1675"/>
      <c r="AJ308" s="1160"/>
      <c r="AK308" s="1967"/>
      <c r="AL308" s="1968"/>
      <c r="AM308" s="1161"/>
      <c r="AN308" s="2043"/>
      <c r="AO308" s="1869"/>
      <c r="AP308" s="1159"/>
      <c r="AQ308" s="1163"/>
      <c r="AR308" s="2133"/>
      <c r="AS308" s="1551"/>
      <c r="AT308" s="2133"/>
      <c r="AU308" s="1675"/>
      <c r="AV308" s="1160"/>
      <c r="AW308" s="1967"/>
      <c r="AX308" s="1968"/>
      <c r="AY308" s="965"/>
      <c r="AZ308" s="1040"/>
      <c r="BA308" s="1675"/>
      <c r="BB308" s="1160"/>
      <c r="BC308" s="1967"/>
      <c r="BD308" s="1968"/>
      <c r="BE308" s="965"/>
      <c r="BF308" s="1040"/>
      <c r="BG308" s="1675"/>
      <c r="BH308" s="1160"/>
      <c r="BI308" s="1967"/>
      <c r="BJ308" s="1968"/>
      <c r="BK308" s="1675"/>
      <c r="BL308" s="1160"/>
      <c r="BM308" s="1967"/>
      <c r="BN308" s="1968"/>
      <c r="BO308" s="1161"/>
      <c r="BP308" s="2015"/>
      <c r="BQ308" s="1161"/>
      <c r="BR308" s="2043"/>
      <c r="BS308" s="1675"/>
      <c r="BT308" s="1160"/>
      <c r="BU308" s="1967"/>
      <c r="BV308" s="1968"/>
      <c r="BW308" s="1161"/>
      <c r="BX308" s="2043"/>
      <c r="BY308" s="1675"/>
      <c r="BZ308" s="1160"/>
      <c r="CA308" s="1967"/>
      <c r="CB308" s="1968"/>
      <c r="CC308" s="1766"/>
      <c r="CD308" s="2180"/>
      <c r="CE308" s="965"/>
      <c r="CF308" s="1040"/>
      <c r="CG308" s="1675"/>
      <c r="CH308" s="1160"/>
      <c r="CI308" s="1967"/>
      <c r="CJ308" s="1968"/>
      <c r="CK308" s="952">
        <v>34</v>
      </c>
      <c r="CL308" s="1171" t="s">
        <v>1754</v>
      </c>
      <c r="CM308" s="1675"/>
      <c r="CN308" s="1160"/>
      <c r="CO308" s="1967"/>
      <c r="CP308" s="1968"/>
      <c r="CQ308" s="1675"/>
      <c r="CR308" s="1160"/>
      <c r="CS308" s="1967"/>
      <c r="CT308" s="1968"/>
      <c r="CU308" s="1675"/>
      <c r="CV308" s="1160"/>
      <c r="CW308" s="1967"/>
      <c r="CX308" s="1968"/>
      <c r="CY308" s="1675"/>
      <c r="CZ308" s="1160"/>
      <c r="DA308" s="1967"/>
      <c r="DB308" s="1968"/>
      <c r="DC308" s="1161"/>
      <c r="DD308" s="2043"/>
      <c r="DE308" s="1675"/>
      <c r="DF308" s="1160"/>
      <c r="DG308" s="1967"/>
      <c r="DH308" s="1968"/>
      <c r="DI308" s="964"/>
      <c r="DJ308" s="1037"/>
      <c r="DK308" s="1161"/>
      <c r="DL308" s="2015"/>
      <c r="DM308" s="1161"/>
      <c r="DN308" s="2015"/>
      <c r="DO308" s="1161"/>
      <c r="DP308" s="2043"/>
      <c r="DQ308" s="965"/>
      <c r="DR308" s="1042"/>
      <c r="DS308" s="1675"/>
      <c r="DT308" s="1160"/>
      <c r="DU308" s="1967"/>
      <c r="DV308" s="1968"/>
      <c r="DW308" s="965"/>
      <c r="DX308" s="1040"/>
      <c r="DY308" s="1675"/>
      <c r="DZ308" s="1160"/>
      <c r="EA308" s="1967"/>
      <c r="EB308" s="1968"/>
      <c r="EC308" s="1161"/>
      <c r="ED308" s="2043"/>
      <c r="EE308" s="965"/>
      <c r="EF308" s="1040"/>
      <c r="EG308" s="1161"/>
      <c r="EH308" s="2043"/>
      <c r="EI308" s="1675"/>
      <c r="EJ308" s="1160"/>
      <c r="EK308" s="2221"/>
      <c r="EL308" s="1968"/>
      <c r="EM308" s="2202">
        <f t="shared" si="478"/>
        <v>0</v>
      </c>
      <c r="EN308" s="1585">
        <f t="shared" si="479"/>
        <v>0</v>
      </c>
      <c r="EO308" s="1585">
        <f t="shared" si="480"/>
        <v>0</v>
      </c>
      <c r="EP308" s="1596">
        <f t="shared" si="461"/>
        <v>0</v>
      </c>
      <c r="EQ308" s="1729">
        <f t="shared" si="430"/>
        <v>0</v>
      </c>
      <c r="ER308" s="1797">
        <f t="shared" si="431"/>
        <v>0</v>
      </c>
      <c r="ES308" s="1797">
        <f t="shared" si="432"/>
        <v>0</v>
      </c>
      <c r="ET308" s="1798">
        <f t="shared" si="465"/>
        <v>0</v>
      </c>
    </row>
    <row r="309" spans="1:150" x14ac:dyDescent="0.25">
      <c r="A309" s="965"/>
      <c r="B309" s="1040"/>
      <c r="C309" s="1675"/>
      <c r="D309" s="1160"/>
      <c r="E309" s="1967"/>
      <c r="F309" s="1968"/>
      <c r="G309" s="1161"/>
      <c r="H309" s="2015"/>
      <c r="I309" s="1161"/>
      <c r="J309" s="2015"/>
      <c r="K309" s="1161"/>
      <c r="L309" s="2043"/>
      <c r="M309" s="965"/>
      <c r="N309" s="1040"/>
      <c r="O309" s="1161"/>
      <c r="P309" s="2043"/>
      <c r="Q309" s="1675"/>
      <c r="R309" s="1160"/>
      <c r="S309" s="1967"/>
      <c r="T309" s="1968"/>
      <c r="U309" s="1675"/>
      <c r="V309" s="1160"/>
      <c r="W309" s="1967"/>
      <c r="X309" s="1968"/>
      <c r="Y309" s="1675"/>
      <c r="Z309" s="1160"/>
      <c r="AA309" s="2079"/>
      <c r="AB309" s="1968"/>
      <c r="AC309" s="964"/>
      <c r="AD309" s="1040"/>
      <c r="AE309" s="1675"/>
      <c r="AF309" s="1160"/>
      <c r="AG309" s="1967"/>
      <c r="AH309" s="1968"/>
      <c r="AI309" s="1675"/>
      <c r="AJ309" s="1160"/>
      <c r="AK309" s="1967"/>
      <c r="AL309" s="1968"/>
      <c r="AM309" s="1161"/>
      <c r="AN309" s="2043"/>
      <c r="AO309" s="1869"/>
      <c r="AP309" s="1159"/>
      <c r="AQ309" s="1163"/>
      <c r="AR309" s="2133"/>
      <c r="AS309" s="1551"/>
      <c r="AT309" s="2133"/>
      <c r="AU309" s="1675"/>
      <c r="AV309" s="1160"/>
      <c r="AW309" s="1967"/>
      <c r="AX309" s="1968"/>
      <c r="AY309" s="965"/>
      <c r="AZ309" s="1040"/>
      <c r="BA309" s="1675"/>
      <c r="BB309" s="1160"/>
      <c r="BC309" s="1967"/>
      <c r="BD309" s="1968"/>
      <c r="BE309" s="965"/>
      <c r="BF309" s="1040"/>
      <c r="BG309" s="1675"/>
      <c r="BH309" s="1160"/>
      <c r="BI309" s="1967"/>
      <c r="BJ309" s="1968"/>
      <c r="BK309" s="1675"/>
      <c r="BL309" s="1160"/>
      <c r="BM309" s="1967"/>
      <c r="BN309" s="1968"/>
      <c r="BO309" s="1161"/>
      <c r="BP309" s="2015"/>
      <c r="BQ309" s="1161"/>
      <c r="BR309" s="2043"/>
      <c r="BS309" s="1675"/>
      <c r="BT309" s="1160"/>
      <c r="BU309" s="1967"/>
      <c r="BV309" s="1968"/>
      <c r="BW309" s="1161"/>
      <c r="BX309" s="2043"/>
      <c r="BY309" s="1675"/>
      <c r="BZ309" s="1160"/>
      <c r="CA309" s="1967"/>
      <c r="CB309" s="1968"/>
      <c r="CC309" s="1766"/>
      <c r="CD309" s="2180"/>
      <c r="CE309" s="965"/>
      <c r="CF309" s="1040"/>
      <c r="CG309" s="1675"/>
      <c r="CH309" s="1160"/>
      <c r="CI309" s="1963"/>
      <c r="CJ309" s="1964"/>
      <c r="CK309" s="1017">
        <v>35</v>
      </c>
      <c r="CL309" s="1171" t="s">
        <v>1755</v>
      </c>
      <c r="CM309" s="1675"/>
      <c r="CN309" s="1160"/>
      <c r="CO309" s="1967"/>
      <c r="CP309" s="1968"/>
      <c r="CQ309" s="1675"/>
      <c r="CR309" s="1160"/>
      <c r="CS309" s="1967"/>
      <c r="CT309" s="1968"/>
      <c r="CU309" s="1675"/>
      <c r="CV309" s="1160"/>
      <c r="CW309" s="1967"/>
      <c r="CX309" s="1968"/>
      <c r="CY309" s="1675"/>
      <c r="CZ309" s="1160"/>
      <c r="DA309" s="1967"/>
      <c r="DB309" s="1968"/>
      <c r="DC309" s="1161"/>
      <c r="DD309" s="2043"/>
      <c r="DE309" s="1675"/>
      <c r="DF309" s="1160"/>
      <c r="DG309" s="1967"/>
      <c r="DH309" s="1968"/>
      <c r="DI309" s="964"/>
      <c r="DJ309" s="1037"/>
      <c r="DK309" s="1161"/>
      <c r="DL309" s="2015"/>
      <c r="DM309" s="1161"/>
      <c r="DN309" s="2015"/>
      <c r="DO309" s="1161"/>
      <c r="DP309" s="2043"/>
      <c r="DQ309" s="965"/>
      <c r="DR309" s="1042"/>
      <c r="DS309" s="1675"/>
      <c r="DT309" s="1160"/>
      <c r="DU309" s="1967"/>
      <c r="DV309" s="1968"/>
      <c r="DW309" s="965"/>
      <c r="DX309" s="1040"/>
      <c r="DY309" s="1675"/>
      <c r="DZ309" s="1160"/>
      <c r="EA309" s="1967"/>
      <c r="EB309" s="1968"/>
      <c r="EC309" s="1161"/>
      <c r="ED309" s="2043"/>
      <c r="EE309" s="965"/>
      <c r="EF309" s="1040"/>
      <c r="EG309" s="1161"/>
      <c r="EH309" s="2043"/>
      <c r="EI309" s="1675"/>
      <c r="EJ309" s="1160"/>
      <c r="EK309" s="2221"/>
      <c r="EL309" s="1968"/>
      <c r="EM309" s="2202">
        <f t="shared" si="478"/>
        <v>0</v>
      </c>
      <c r="EN309" s="1585">
        <f t="shared" si="479"/>
        <v>0</v>
      </c>
      <c r="EO309" s="1585">
        <f t="shared" si="480"/>
        <v>0</v>
      </c>
      <c r="EP309" s="1596">
        <f t="shared" si="461"/>
        <v>0</v>
      </c>
      <c r="EQ309" s="1729">
        <f t="shared" si="430"/>
        <v>0</v>
      </c>
      <c r="ER309" s="1797">
        <f t="shared" si="431"/>
        <v>0</v>
      </c>
      <c r="ES309" s="1797">
        <f t="shared" si="432"/>
        <v>0</v>
      </c>
      <c r="ET309" s="1798">
        <f t="shared" si="465"/>
        <v>0</v>
      </c>
    </row>
    <row r="310" spans="1:150" x14ac:dyDescent="0.25">
      <c r="A310" s="965"/>
      <c r="B310" s="1040"/>
      <c r="C310" s="1675"/>
      <c r="D310" s="1160"/>
      <c r="E310" s="1967"/>
      <c r="F310" s="1968"/>
      <c r="G310" s="1161"/>
      <c r="H310" s="2015"/>
      <c r="I310" s="1161"/>
      <c r="J310" s="2015"/>
      <c r="K310" s="1161"/>
      <c r="L310" s="2043"/>
      <c r="M310" s="965"/>
      <c r="N310" s="1040"/>
      <c r="O310" s="1161"/>
      <c r="P310" s="2043"/>
      <c r="Q310" s="1675"/>
      <c r="R310" s="1160"/>
      <c r="S310" s="1967"/>
      <c r="T310" s="1968"/>
      <c r="U310" s="1675"/>
      <c r="V310" s="1160"/>
      <c r="W310" s="1967"/>
      <c r="X310" s="1968"/>
      <c r="Y310" s="1675"/>
      <c r="Z310" s="1160"/>
      <c r="AA310" s="2079"/>
      <c r="AB310" s="1968"/>
      <c r="AC310" s="964"/>
      <c r="AD310" s="1040"/>
      <c r="AE310" s="1675"/>
      <c r="AF310" s="1160"/>
      <c r="AG310" s="1967"/>
      <c r="AH310" s="1968"/>
      <c r="AI310" s="1675"/>
      <c r="AJ310" s="1160"/>
      <c r="AK310" s="1967"/>
      <c r="AL310" s="1968"/>
      <c r="AM310" s="1161"/>
      <c r="AN310" s="2043"/>
      <c r="AO310" s="1869"/>
      <c r="AP310" s="1159"/>
      <c r="AQ310" s="1163"/>
      <c r="AR310" s="2133"/>
      <c r="AS310" s="1551"/>
      <c r="AT310" s="2133"/>
      <c r="AU310" s="1675"/>
      <c r="AV310" s="1160"/>
      <c r="AW310" s="1967"/>
      <c r="AX310" s="1968"/>
      <c r="AY310" s="965"/>
      <c r="AZ310" s="1040"/>
      <c r="BA310" s="1675"/>
      <c r="BB310" s="1160"/>
      <c r="BC310" s="1967"/>
      <c r="BD310" s="1968"/>
      <c r="BE310" s="965"/>
      <c r="BF310" s="1040"/>
      <c r="BG310" s="1675"/>
      <c r="BH310" s="1160"/>
      <c r="BI310" s="1967"/>
      <c r="BJ310" s="1968"/>
      <c r="BK310" s="1675"/>
      <c r="BL310" s="1160"/>
      <c r="BM310" s="1967"/>
      <c r="BN310" s="1968"/>
      <c r="BO310" s="1161"/>
      <c r="BP310" s="2015"/>
      <c r="BQ310" s="1161"/>
      <c r="BR310" s="2043"/>
      <c r="BS310" s="1675"/>
      <c r="BT310" s="1160"/>
      <c r="BU310" s="1967"/>
      <c r="BV310" s="1968"/>
      <c r="BW310" s="1161"/>
      <c r="BX310" s="2043"/>
      <c r="BY310" s="1675"/>
      <c r="BZ310" s="1160"/>
      <c r="CA310" s="1967"/>
      <c r="CB310" s="1968"/>
      <c r="CC310" s="1766"/>
      <c r="CD310" s="2180"/>
      <c r="CE310" s="965"/>
      <c r="CF310" s="1040"/>
      <c r="CG310" s="1675"/>
      <c r="CH310" s="1160"/>
      <c r="CI310" s="1967"/>
      <c r="CJ310" s="1968"/>
      <c r="CK310" s="952">
        <v>36</v>
      </c>
      <c r="CL310" s="1171" t="s">
        <v>1756</v>
      </c>
      <c r="CM310" s="1675"/>
      <c r="CN310" s="1160"/>
      <c r="CO310" s="1967"/>
      <c r="CP310" s="1968"/>
      <c r="CQ310" s="1675"/>
      <c r="CR310" s="1160"/>
      <c r="CS310" s="1967"/>
      <c r="CT310" s="1968"/>
      <c r="CU310" s="1675"/>
      <c r="CV310" s="1160"/>
      <c r="CW310" s="1967"/>
      <c r="CX310" s="1968"/>
      <c r="CY310" s="1675"/>
      <c r="CZ310" s="1160"/>
      <c r="DA310" s="1967"/>
      <c r="DB310" s="1968"/>
      <c r="DC310" s="1161"/>
      <c r="DD310" s="2043"/>
      <c r="DE310" s="1675"/>
      <c r="DF310" s="1160"/>
      <c r="DG310" s="1967"/>
      <c r="DH310" s="1968"/>
      <c r="DI310" s="964"/>
      <c r="DJ310" s="1037"/>
      <c r="DK310" s="1161"/>
      <c r="DL310" s="2015"/>
      <c r="DM310" s="1161"/>
      <c r="DN310" s="2015"/>
      <c r="DO310" s="1161"/>
      <c r="DP310" s="2043"/>
      <c r="DQ310" s="965"/>
      <c r="DR310" s="1042"/>
      <c r="DS310" s="1675"/>
      <c r="DT310" s="1160"/>
      <c r="DU310" s="1967"/>
      <c r="DV310" s="1968"/>
      <c r="DW310" s="965"/>
      <c r="DX310" s="1040"/>
      <c r="DY310" s="1675"/>
      <c r="DZ310" s="1160"/>
      <c r="EA310" s="1967"/>
      <c r="EB310" s="1968"/>
      <c r="EC310" s="1161"/>
      <c r="ED310" s="2043"/>
      <c r="EE310" s="965"/>
      <c r="EF310" s="1040"/>
      <c r="EG310" s="1161"/>
      <c r="EH310" s="2043"/>
      <c r="EI310" s="1675"/>
      <c r="EJ310" s="1160"/>
      <c r="EK310" s="2221"/>
      <c r="EL310" s="1968"/>
      <c r="EM310" s="2202">
        <f t="shared" si="478"/>
        <v>0</v>
      </c>
      <c r="EN310" s="1585">
        <f t="shared" si="479"/>
        <v>0</v>
      </c>
      <c r="EO310" s="1585">
        <f t="shared" si="480"/>
        <v>0</v>
      </c>
      <c r="EP310" s="1597">
        <f t="shared" si="461"/>
        <v>0</v>
      </c>
      <c r="EQ310" s="1162">
        <f t="shared" si="430"/>
        <v>0</v>
      </c>
      <c r="ER310" s="1785">
        <f t="shared" si="431"/>
        <v>0</v>
      </c>
      <c r="ES310" s="1785">
        <f t="shared" si="432"/>
        <v>0</v>
      </c>
      <c r="ET310" s="1070">
        <f t="shared" si="465"/>
        <v>0</v>
      </c>
    </row>
    <row r="311" spans="1:150" x14ac:dyDescent="0.25">
      <c r="A311" s="965"/>
      <c r="B311" s="1040"/>
      <c r="C311" s="1675"/>
      <c r="D311" s="1160"/>
      <c r="E311" s="1967"/>
      <c r="F311" s="1968"/>
      <c r="G311" s="1161"/>
      <c r="H311" s="2015"/>
      <c r="I311" s="1161"/>
      <c r="J311" s="2015"/>
      <c r="K311" s="1161"/>
      <c r="L311" s="2043"/>
      <c r="M311" s="965"/>
      <c r="N311" s="1040"/>
      <c r="O311" s="1161"/>
      <c r="P311" s="2043"/>
      <c r="Q311" s="1675"/>
      <c r="R311" s="1160"/>
      <c r="S311" s="1967"/>
      <c r="T311" s="1968"/>
      <c r="U311" s="1675"/>
      <c r="V311" s="1160"/>
      <c r="W311" s="1967"/>
      <c r="X311" s="1968"/>
      <c r="Y311" s="1675"/>
      <c r="Z311" s="1160"/>
      <c r="AA311" s="2079"/>
      <c r="AB311" s="1968"/>
      <c r="AC311" s="964"/>
      <c r="AD311" s="1040"/>
      <c r="AE311" s="1675"/>
      <c r="AF311" s="1160"/>
      <c r="AG311" s="1967"/>
      <c r="AH311" s="1968"/>
      <c r="AI311" s="1675"/>
      <c r="AJ311" s="1160"/>
      <c r="AK311" s="1967"/>
      <c r="AL311" s="1968"/>
      <c r="AM311" s="1161"/>
      <c r="AN311" s="2043"/>
      <c r="AO311" s="1869"/>
      <c r="AP311" s="1159"/>
      <c r="AQ311" s="1163"/>
      <c r="AR311" s="2133"/>
      <c r="AS311" s="1551"/>
      <c r="AT311" s="2133"/>
      <c r="AU311" s="1675"/>
      <c r="AV311" s="1160"/>
      <c r="AW311" s="1967"/>
      <c r="AX311" s="1968"/>
      <c r="AY311" s="965"/>
      <c r="AZ311" s="1040"/>
      <c r="BA311" s="1675"/>
      <c r="BB311" s="1160"/>
      <c r="BC311" s="1967"/>
      <c r="BD311" s="1968"/>
      <c r="BE311" s="965"/>
      <c r="BF311" s="1040"/>
      <c r="BG311" s="1675"/>
      <c r="BH311" s="1160"/>
      <c r="BI311" s="1967"/>
      <c r="BJ311" s="1968"/>
      <c r="BK311" s="1675"/>
      <c r="BL311" s="1160"/>
      <c r="BM311" s="1967"/>
      <c r="BN311" s="1968"/>
      <c r="BO311" s="1161"/>
      <c r="BP311" s="2015"/>
      <c r="BQ311" s="1161"/>
      <c r="BR311" s="2043"/>
      <c r="BS311" s="1675"/>
      <c r="BT311" s="1160"/>
      <c r="BU311" s="1967"/>
      <c r="BV311" s="1968"/>
      <c r="BW311" s="1161"/>
      <c r="BX311" s="2043"/>
      <c r="BY311" s="1675"/>
      <c r="BZ311" s="1160"/>
      <c r="CA311" s="1967"/>
      <c r="CB311" s="1968"/>
      <c r="CC311" s="1766"/>
      <c r="CD311" s="2180"/>
      <c r="CE311" s="965"/>
      <c r="CF311" s="1040"/>
      <c r="CG311" s="1675"/>
      <c r="CH311" s="1160"/>
      <c r="CI311" s="1963"/>
      <c r="CJ311" s="1964"/>
      <c r="CK311" s="1017">
        <v>37</v>
      </c>
      <c r="CL311" s="1037" t="s">
        <v>1757</v>
      </c>
      <c r="CM311" s="1675"/>
      <c r="CN311" s="1160"/>
      <c r="CO311" s="1967">
        <f>'bevétel 11601 cím '!B9</f>
        <v>86583</v>
      </c>
      <c r="CP311" s="1968">
        <f>'bevétel 11601 cím '!B15</f>
        <v>59379</v>
      </c>
      <c r="CQ311" s="1675"/>
      <c r="CR311" s="1160"/>
      <c r="CS311" s="1967"/>
      <c r="CT311" s="1968"/>
      <c r="CU311" s="1675"/>
      <c r="CV311" s="1160"/>
      <c r="CW311" s="1967"/>
      <c r="CX311" s="1968"/>
      <c r="CY311" s="1675"/>
      <c r="CZ311" s="1160"/>
      <c r="DA311" s="1967">
        <f>'bevétel 11602'!B24</f>
        <v>1940600</v>
      </c>
      <c r="DB311" s="1968">
        <f>'bevétel 11602'!B39</f>
        <v>66850</v>
      </c>
      <c r="DC311" s="1161"/>
      <c r="DD311" s="2043"/>
      <c r="DE311" s="1675"/>
      <c r="DF311" s="1160"/>
      <c r="DG311" s="1967"/>
      <c r="DH311" s="1968"/>
      <c r="DI311" s="964"/>
      <c r="DJ311" s="1037"/>
      <c r="DK311" s="1161"/>
      <c r="DL311" s="2015"/>
      <c r="DM311" s="1161"/>
      <c r="DN311" s="2015"/>
      <c r="DO311" s="1161"/>
      <c r="DP311" s="2043"/>
      <c r="DQ311" s="965"/>
      <c r="DR311" s="1042"/>
      <c r="DS311" s="1675"/>
      <c r="DT311" s="1160"/>
      <c r="DU311" s="1967"/>
      <c r="DV311" s="1968"/>
      <c r="DW311" s="965"/>
      <c r="DX311" s="1040"/>
      <c r="DY311" s="1675"/>
      <c r="DZ311" s="1160"/>
      <c r="EA311" s="1967"/>
      <c r="EB311" s="1968"/>
      <c r="EC311" s="1161"/>
      <c r="ED311" s="2043"/>
      <c r="EE311" s="965"/>
      <c r="EF311" s="1040"/>
      <c r="EG311" s="1161"/>
      <c r="EH311" s="2043"/>
      <c r="EI311" s="1675"/>
      <c r="EJ311" s="1160"/>
      <c r="EK311" s="2221"/>
      <c r="EL311" s="1968"/>
      <c r="EM311" s="2202">
        <f t="shared" si="478"/>
        <v>2027183</v>
      </c>
      <c r="EN311" s="1585">
        <f t="shared" si="479"/>
        <v>126229</v>
      </c>
      <c r="EO311" s="1585">
        <f t="shared" si="480"/>
        <v>0</v>
      </c>
      <c r="EP311" s="1597">
        <f t="shared" si="461"/>
        <v>2153412</v>
      </c>
      <c r="EQ311" s="1162">
        <f t="shared" si="430"/>
        <v>0</v>
      </c>
      <c r="ER311" s="1785">
        <f t="shared" si="431"/>
        <v>0</v>
      </c>
      <c r="ES311" s="1785">
        <f t="shared" si="432"/>
        <v>0</v>
      </c>
      <c r="ET311" s="1070">
        <f t="shared" si="465"/>
        <v>0</v>
      </c>
    </row>
    <row r="312" spans="1:150" ht="19.95" customHeight="1" thickBot="1" x14ac:dyDescent="0.3">
      <c r="A312" s="968"/>
      <c r="B312" s="969" t="s">
        <v>1758</v>
      </c>
      <c r="C312" s="1656">
        <f t="shared" ref="C312:L312" si="481">SUM(C275:C311)</f>
        <v>0</v>
      </c>
      <c r="D312" s="1642">
        <f t="shared" si="481"/>
        <v>0</v>
      </c>
      <c r="E312" s="1926">
        <f t="shared" si="481"/>
        <v>0</v>
      </c>
      <c r="F312" s="1927">
        <f t="shared" si="481"/>
        <v>0</v>
      </c>
      <c r="G312" s="1058">
        <f t="shared" si="481"/>
        <v>0</v>
      </c>
      <c r="H312" s="1992">
        <f t="shared" si="481"/>
        <v>0</v>
      </c>
      <c r="I312" s="1058">
        <f t="shared" si="481"/>
        <v>0</v>
      </c>
      <c r="J312" s="1992">
        <f t="shared" si="481"/>
        <v>0</v>
      </c>
      <c r="K312" s="1058">
        <f t="shared" si="481"/>
        <v>0</v>
      </c>
      <c r="L312" s="1992">
        <f t="shared" si="481"/>
        <v>0</v>
      </c>
      <c r="M312" s="968"/>
      <c r="N312" s="969" t="s">
        <v>1758</v>
      </c>
      <c r="O312" s="1058">
        <f t="shared" ref="O312:AB312" si="482">SUM(O275:O311)</f>
        <v>0</v>
      </c>
      <c r="P312" s="1992">
        <f t="shared" si="482"/>
        <v>0</v>
      </c>
      <c r="Q312" s="1656">
        <f t="shared" si="482"/>
        <v>0</v>
      </c>
      <c r="R312" s="1642">
        <f t="shared" si="482"/>
        <v>0</v>
      </c>
      <c r="S312" s="1926">
        <f t="shared" si="482"/>
        <v>0</v>
      </c>
      <c r="T312" s="1927">
        <f t="shared" si="482"/>
        <v>0</v>
      </c>
      <c r="U312" s="1656">
        <f t="shared" si="482"/>
        <v>5603</v>
      </c>
      <c r="V312" s="1642">
        <f t="shared" si="482"/>
        <v>0</v>
      </c>
      <c r="W312" s="1926">
        <f t="shared" si="482"/>
        <v>5698</v>
      </c>
      <c r="X312" s="1927">
        <f t="shared" si="482"/>
        <v>0</v>
      </c>
      <c r="Y312" s="1656">
        <f t="shared" si="482"/>
        <v>0</v>
      </c>
      <c r="Z312" s="1642">
        <f t="shared" si="482"/>
        <v>0</v>
      </c>
      <c r="AA312" s="1926">
        <f t="shared" si="482"/>
        <v>0</v>
      </c>
      <c r="AB312" s="1927">
        <f t="shared" si="482"/>
        <v>0</v>
      </c>
      <c r="AC312" s="970"/>
      <c r="AD312" s="969" t="s">
        <v>1758</v>
      </c>
      <c r="AE312" s="1656">
        <f t="shared" ref="AE312:AX312" si="483">SUM(AE275:AE311)</f>
        <v>0</v>
      </c>
      <c r="AF312" s="1642">
        <f t="shared" si="483"/>
        <v>0</v>
      </c>
      <c r="AG312" s="1926">
        <f t="shared" si="483"/>
        <v>0</v>
      </c>
      <c r="AH312" s="1927">
        <f t="shared" si="483"/>
        <v>0</v>
      </c>
      <c r="AI312" s="1656">
        <f t="shared" si="483"/>
        <v>0</v>
      </c>
      <c r="AJ312" s="1642">
        <f t="shared" si="483"/>
        <v>0</v>
      </c>
      <c r="AK312" s="1926">
        <f t="shared" si="483"/>
        <v>0</v>
      </c>
      <c r="AL312" s="1927">
        <f t="shared" si="483"/>
        <v>0</v>
      </c>
      <c r="AM312" s="1058">
        <f t="shared" si="483"/>
        <v>0</v>
      </c>
      <c r="AN312" s="1992">
        <f t="shared" si="483"/>
        <v>0</v>
      </c>
      <c r="AO312" s="1656">
        <f t="shared" si="483"/>
        <v>0</v>
      </c>
      <c r="AP312" s="1854">
        <f t="shared" si="483"/>
        <v>0</v>
      </c>
      <c r="AQ312" s="1030">
        <f t="shared" si="483"/>
        <v>0</v>
      </c>
      <c r="AR312" s="1926">
        <f t="shared" si="483"/>
        <v>0</v>
      </c>
      <c r="AS312" s="2096">
        <f t="shared" si="483"/>
        <v>0</v>
      </c>
      <c r="AT312" s="2097">
        <f t="shared" si="483"/>
        <v>0</v>
      </c>
      <c r="AU312" s="1656">
        <f t="shared" si="483"/>
        <v>0</v>
      </c>
      <c r="AV312" s="1642">
        <f t="shared" si="483"/>
        <v>0</v>
      </c>
      <c r="AW312" s="1926">
        <f t="shared" si="483"/>
        <v>0</v>
      </c>
      <c r="AX312" s="1927">
        <f t="shared" si="483"/>
        <v>0</v>
      </c>
      <c r="AY312" s="968"/>
      <c r="AZ312" s="969" t="s">
        <v>1758</v>
      </c>
      <c r="BA312" s="1656">
        <f t="shared" ref="BA312:BD312" si="484">SUM(BA275:BA311)</f>
        <v>0</v>
      </c>
      <c r="BB312" s="1642">
        <f t="shared" si="484"/>
        <v>0</v>
      </c>
      <c r="BC312" s="1926">
        <f t="shared" si="484"/>
        <v>0</v>
      </c>
      <c r="BD312" s="1927">
        <f t="shared" si="484"/>
        <v>0</v>
      </c>
      <c r="BE312" s="968"/>
      <c r="BF312" s="969" t="s">
        <v>1758</v>
      </c>
      <c r="BG312" s="1656">
        <f t="shared" ref="BG312:CD312" si="485">SUM(BG275:BG311)</f>
        <v>1529011</v>
      </c>
      <c r="BH312" s="1642">
        <f t="shared" si="485"/>
        <v>0</v>
      </c>
      <c r="BI312" s="1926">
        <f t="shared" si="485"/>
        <v>1315610</v>
      </c>
      <c r="BJ312" s="1927">
        <f t="shared" si="485"/>
        <v>334000</v>
      </c>
      <c r="BK312" s="1656">
        <f t="shared" si="485"/>
        <v>269000</v>
      </c>
      <c r="BL312" s="1642">
        <f t="shared" si="485"/>
        <v>0</v>
      </c>
      <c r="BM312" s="1926">
        <f t="shared" si="485"/>
        <v>300000</v>
      </c>
      <c r="BN312" s="1927">
        <f t="shared" si="485"/>
        <v>0</v>
      </c>
      <c r="BO312" s="1058">
        <f t="shared" si="485"/>
        <v>0</v>
      </c>
      <c r="BP312" s="1992">
        <f t="shared" si="485"/>
        <v>0</v>
      </c>
      <c r="BQ312" s="1058">
        <f t="shared" si="485"/>
        <v>0</v>
      </c>
      <c r="BR312" s="1992">
        <f t="shared" si="485"/>
        <v>0</v>
      </c>
      <c r="BS312" s="1656">
        <f t="shared" si="485"/>
        <v>58944</v>
      </c>
      <c r="BT312" s="1642">
        <f t="shared" si="485"/>
        <v>0</v>
      </c>
      <c r="BU312" s="1926">
        <f t="shared" si="485"/>
        <v>71954</v>
      </c>
      <c r="BV312" s="1927">
        <f t="shared" si="485"/>
        <v>0</v>
      </c>
      <c r="BW312" s="1058">
        <f t="shared" si="485"/>
        <v>0</v>
      </c>
      <c r="BX312" s="1992">
        <f t="shared" si="485"/>
        <v>0</v>
      </c>
      <c r="BY312" s="1656">
        <f t="shared" si="485"/>
        <v>0</v>
      </c>
      <c r="BZ312" s="1642">
        <f t="shared" si="485"/>
        <v>0</v>
      </c>
      <c r="CA312" s="1926">
        <f t="shared" si="485"/>
        <v>0</v>
      </c>
      <c r="CB312" s="1927">
        <f t="shared" si="485"/>
        <v>0</v>
      </c>
      <c r="CC312" s="1705">
        <f t="shared" si="485"/>
        <v>0</v>
      </c>
      <c r="CD312" s="2159">
        <f t="shared" si="485"/>
        <v>0</v>
      </c>
      <c r="CE312" s="968"/>
      <c r="CF312" s="969" t="s">
        <v>1758</v>
      </c>
      <c r="CG312" s="1656">
        <f t="shared" ref="CG312:CJ312" si="486">SUM(CG275:CG311)</f>
        <v>1300</v>
      </c>
      <c r="CH312" s="1642">
        <f t="shared" si="486"/>
        <v>0</v>
      </c>
      <c r="CI312" s="1926">
        <f t="shared" si="486"/>
        <v>0</v>
      </c>
      <c r="CJ312" s="1927">
        <f t="shared" si="486"/>
        <v>0</v>
      </c>
      <c r="CK312" s="968"/>
      <c r="CL312" s="969" t="s">
        <v>1758</v>
      </c>
      <c r="CM312" s="1656">
        <f t="shared" ref="CM312:DH312" si="487">SUM(CM275:CM311)</f>
        <v>0</v>
      </c>
      <c r="CN312" s="1642">
        <f t="shared" si="487"/>
        <v>0</v>
      </c>
      <c r="CO312" s="1926">
        <f t="shared" si="487"/>
        <v>86583</v>
      </c>
      <c r="CP312" s="1927">
        <f t="shared" si="487"/>
        <v>59379</v>
      </c>
      <c r="CQ312" s="1656">
        <f t="shared" si="487"/>
        <v>0</v>
      </c>
      <c r="CR312" s="1642">
        <f t="shared" si="487"/>
        <v>0</v>
      </c>
      <c r="CS312" s="1926">
        <f t="shared" si="487"/>
        <v>0</v>
      </c>
      <c r="CT312" s="1927">
        <f t="shared" si="487"/>
        <v>0</v>
      </c>
      <c r="CU312" s="1656">
        <f t="shared" si="487"/>
        <v>0</v>
      </c>
      <c r="CV312" s="1642">
        <f t="shared" si="487"/>
        <v>0</v>
      </c>
      <c r="CW312" s="1926">
        <f t="shared" si="487"/>
        <v>0</v>
      </c>
      <c r="CX312" s="1927">
        <f t="shared" si="487"/>
        <v>0</v>
      </c>
      <c r="CY312" s="1656">
        <f t="shared" si="487"/>
        <v>0</v>
      </c>
      <c r="CZ312" s="1642">
        <f t="shared" si="487"/>
        <v>0</v>
      </c>
      <c r="DA312" s="1926">
        <f t="shared" si="487"/>
        <v>1940600</v>
      </c>
      <c r="DB312" s="1927">
        <f t="shared" si="487"/>
        <v>66850</v>
      </c>
      <c r="DC312" s="1058">
        <f t="shared" si="487"/>
        <v>0</v>
      </c>
      <c r="DD312" s="1992">
        <f t="shared" si="487"/>
        <v>0</v>
      </c>
      <c r="DE312" s="1656">
        <f t="shared" si="487"/>
        <v>0</v>
      </c>
      <c r="DF312" s="1642">
        <f t="shared" si="487"/>
        <v>0</v>
      </c>
      <c r="DG312" s="1926">
        <f t="shared" si="487"/>
        <v>0</v>
      </c>
      <c r="DH312" s="1927">
        <f t="shared" si="487"/>
        <v>0</v>
      </c>
      <c r="DI312" s="970"/>
      <c r="DJ312" s="969" t="s">
        <v>1758</v>
      </c>
      <c r="DK312" s="1058">
        <f t="shared" ref="DK312:DL312" si="488">SUM(DK275:DK311)</f>
        <v>0</v>
      </c>
      <c r="DL312" s="1992">
        <f t="shared" si="488"/>
        <v>0</v>
      </c>
      <c r="DM312" s="1058">
        <f t="shared" ref="DM312:DP312" si="489">SUM(DM275:DM311)</f>
        <v>0</v>
      </c>
      <c r="DN312" s="1992">
        <f t="shared" si="489"/>
        <v>0</v>
      </c>
      <c r="DO312" s="1058">
        <f t="shared" si="489"/>
        <v>0</v>
      </c>
      <c r="DP312" s="1992">
        <f t="shared" si="489"/>
        <v>0</v>
      </c>
      <c r="DQ312" s="968"/>
      <c r="DR312" s="972" t="s">
        <v>1758</v>
      </c>
      <c r="DS312" s="1656">
        <f t="shared" ref="DS312:DV312" si="490">SUM(DS275:DS311)</f>
        <v>0</v>
      </c>
      <c r="DT312" s="1642">
        <f t="shared" si="490"/>
        <v>0</v>
      </c>
      <c r="DU312" s="1926">
        <f t="shared" si="490"/>
        <v>0</v>
      </c>
      <c r="DV312" s="1927">
        <f t="shared" si="490"/>
        <v>0</v>
      </c>
      <c r="DW312" s="968"/>
      <c r="DX312" s="969" t="s">
        <v>1758</v>
      </c>
      <c r="DY312" s="1656">
        <f t="shared" ref="DY312:ED312" si="491">SUM(DY275:DY311)</f>
        <v>15000</v>
      </c>
      <c r="DZ312" s="1642">
        <f t="shared" si="491"/>
        <v>0</v>
      </c>
      <c r="EA312" s="1926">
        <f t="shared" si="491"/>
        <v>76446</v>
      </c>
      <c r="EB312" s="1927">
        <f t="shared" si="491"/>
        <v>0</v>
      </c>
      <c r="EC312" s="1058">
        <f t="shared" si="491"/>
        <v>0</v>
      </c>
      <c r="ED312" s="1992">
        <f t="shared" si="491"/>
        <v>0</v>
      </c>
      <c r="EE312" s="968"/>
      <c r="EF312" s="969" t="s">
        <v>1758</v>
      </c>
      <c r="EG312" s="1058">
        <f t="shared" ref="EG312:EO312" si="492">SUM(EG275:EG311)</f>
        <v>0</v>
      </c>
      <c r="EH312" s="1992">
        <f t="shared" si="492"/>
        <v>0</v>
      </c>
      <c r="EI312" s="1656">
        <f t="shared" si="492"/>
        <v>0</v>
      </c>
      <c r="EJ312" s="1642">
        <f t="shared" si="492"/>
        <v>0</v>
      </c>
      <c r="EK312" s="1926">
        <f t="shared" si="492"/>
        <v>0</v>
      </c>
      <c r="EL312" s="1927">
        <f t="shared" si="492"/>
        <v>0</v>
      </c>
      <c r="EM312" s="1927">
        <f t="shared" si="492"/>
        <v>3796891</v>
      </c>
      <c r="EN312" s="1927">
        <f t="shared" si="492"/>
        <v>460229</v>
      </c>
      <c r="EO312" s="1927">
        <f t="shared" si="492"/>
        <v>0</v>
      </c>
      <c r="EP312" s="1962">
        <f t="shared" si="461"/>
        <v>4257120</v>
      </c>
      <c r="EQ312" s="1707">
        <f t="shared" si="430"/>
        <v>1878858</v>
      </c>
      <c r="ER312" s="1786">
        <f t="shared" si="431"/>
        <v>0</v>
      </c>
      <c r="ES312" s="1786">
        <f t="shared" si="432"/>
        <v>0</v>
      </c>
      <c r="ET312" s="1061">
        <f t="shared" si="465"/>
        <v>1878858</v>
      </c>
    </row>
    <row r="313" spans="1:150" ht="19.95" customHeight="1" x14ac:dyDescent="0.25">
      <c r="A313" s="948"/>
      <c r="B313" s="949" t="s">
        <v>1759</v>
      </c>
      <c r="C313" s="1649"/>
      <c r="D313" s="1626"/>
      <c r="E313" s="1908"/>
      <c r="F313" s="1909"/>
      <c r="G313" s="1679"/>
      <c r="H313" s="1984"/>
      <c r="I313" s="1679"/>
      <c r="J313" s="1984"/>
      <c r="K313" s="1679"/>
      <c r="L313" s="2021"/>
      <c r="M313" s="948"/>
      <c r="N313" s="949" t="s">
        <v>1759</v>
      </c>
      <c r="O313" s="1679"/>
      <c r="P313" s="2021"/>
      <c r="Q313" s="1649"/>
      <c r="R313" s="1626"/>
      <c r="S313" s="1908"/>
      <c r="T313" s="1909"/>
      <c r="U313" s="1649"/>
      <c r="V313" s="1626"/>
      <c r="W313" s="1908"/>
      <c r="X313" s="1909"/>
      <c r="Y313" s="1649"/>
      <c r="Z313" s="1626"/>
      <c r="AA313" s="2052"/>
      <c r="AB313" s="1909"/>
      <c r="AC313" s="950"/>
      <c r="AD313" s="949" t="s">
        <v>1759</v>
      </c>
      <c r="AE313" s="1649"/>
      <c r="AF313" s="1626"/>
      <c r="AG313" s="1908"/>
      <c r="AH313" s="1909"/>
      <c r="AI313" s="1649"/>
      <c r="AJ313" s="1626"/>
      <c r="AK313" s="1908"/>
      <c r="AL313" s="1909"/>
      <c r="AM313" s="1679"/>
      <c r="AN313" s="2021"/>
      <c r="AO313" s="1863"/>
      <c r="AP313" s="1711"/>
      <c r="AQ313" s="1712"/>
      <c r="AR313" s="2087"/>
      <c r="AS313" s="2088"/>
      <c r="AT313" s="2087"/>
      <c r="AU313" s="1649"/>
      <c r="AV313" s="1626"/>
      <c r="AW313" s="1908"/>
      <c r="AX313" s="1909"/>
      <c r="AY313" s="948"/>
      <c r="AZ313" s="949" t="s">
        <v>1759</v>
      </c>
      <c r="BA313" s="1649"/>
      <c r="BB313" s="1626"/>
      <c r="BC313" s="1908"/>
      <c r="BD313" s="1909"/>
      <c r="BE313" s="948"/>
      <c r="BF313" s="949" t="s">
        <v>1759</v>
      </c>
      <c r="BG313" s="1649"/>
      <c r="BH313" s="1626"/>
      <c r="BI313" s="1908"/>
      <c r="BJ313" s="1909"/>
      <c r="BK313" s="1649"/>
      <c r="BL313" s="1626"/>
      <c r="BM313" s="1908"/>
      <c r="BN313" s="1909"/>
      <c r="BO313" s="1679"/>
      <c r="BP313" s="1984"/>
      <c r="BQ313" s="1679"/>
      <c r="BR313" s="2021"/>
      <c r="BS313" s="1649"/>
      <c r="BT313" s="1626"/>
      <c r="BU313" s="1908"/>
      <c r="BV313" s="1909"/>
      <c r="BW313" s="1679"/>
      <c r="BX313" s="2021"/>
      <c r="BY313" s="1649"/>
      <c r="BZ313" s="1626"/>
      <c r="CA313" s="1908"/>
      <c r="CB313" s="1909"/>
      <c r="CC313" s="1742"/>
      <c r="CD313" s="2149"/>
      <c r="CE313" s="948"/>
      <c r="CF313" s="949" t="s">
        <v>1759</v>
      </c>
      <c r="CG313" s="1649"/>
      <c r="CH313" s="1626"/>
      <c r="CI313" s="1908"/>
      <c r="CJ313" s="1909"/>
      <c r="CK313" s="948"/>
      <c r="CL313" s="949" t="s">
        <v>1760</v>
      </c>
      <c r="CM313" s="1649"/>
      <c r="CN313" s="1626"/>
      <c r="CO313" s="1908"/>
      <c r="CP313" s="1909"/>
      <c r="CQ313" s="1649"/>
      <c r="CR313" s="1626"/>
      <c r="CS313" s="1908"/>
      <c r="CT313" s="1909"/>
      <c r="CU313" s="1649"/>
      <c r="CV313" s="1626"/>
      <c r="CW313" s="1908"/>
      <c r="CX313" s="1909"/>
      <c r="CY313" s="1649"/>
      <c r="CZ313" s="1626"/>
      <c r="DA313" s="1908"/>
      <c r="DB313" s="1909"/>
      <c r="DC313" s="1679"/>
      <c r="DD313" s="2021"/>
      <c r="DE313" s="1649"/>
      <c r="DF313" s="1626"/>
      <c r="DG313" s="1908"/>
      <c r="DH313" s="1909"/>
      <c r="DI313" s="950"/>
      <c r="DJ313" s="949" t="s">
        <v>1759</v>
      </c>
      <c r="DK313" s="1679"/>
      <c r="DL313" s="1984"/>
      <c r="DM313" s="1679"/>
      <c r="DN313" s="1984"/>
      <c r="DO313" s="1679"/>
      <c r="DP313" s="2021"/>
      <c r="DQ313" s="948"/>
      <c r="DR313" s="951" t="s">
        <v>1759</v>
      </c>
      <c r="DS313" s="1649"/>
      <c r="DT313" s="1626"/>
      <c r="DU313" s="1908"/>
      <c r="DV313" s="1909"/>
      <c r="DW313" s="948"/>
      <c r="DX313" s="949" t="s">
        <v>1759</v>
      </c>
      <c r="DY313" s="1649"/>
      <c r="DZ313" s="1626"/>
      <c r="EA313" s="1908"/>
      <c r="EB313" s="1909"/>
      <c r="EC313" s="1679"/>
      <c r="ED313" s="2021"/>
      <c r="EE313" s="948"/>
      <c r="EF313" s="949" t="s">
        <v>1759</v>
      </c>
      <c r="EG313" s="1679">
        <v>0</v>
      </c>
      <c r="EH313" s="2021"/>
      <c r="EI313" s="1649"/>
      <c r="EJ313" s="1626"/>
      <c r="EK313" s="2240"/>
      <c r="EL313" s="1909"/>
      <c r="EM313" s="2241"/>
      <c r="EN313" s="2242"/>
      <c r="EO313" s="2242"/>
      <c r="EP313" s="2242">
        <f t="shared" si="461"/>
        <v>0</v>
      </c>
      <c r="EQ313" s="1800">
        <f t="shared" si="430"/>
        <v>0</v>
      </c>
      <c r="ER313" s="1801">
        <f t="shared" si="431"/>
        <v>0</v>
      </c>
      <c r="ES313" s="1801">
        <f t="shared" si="432"/>
        <v>0</v>
      </c>
      <c r="ET313" s="1802">
        <f t="shared" si="465"/>
        <v>0</v>
      </c>
    </row>
    <row r="314" spans="1:150" ht="26.4" x14ac:dyDescent="0.25">
      <c r="A314" s="952">
        <v>1</v>
      </c>
      <c r="B314" s="956"/>
      <c r="C314" s="1659"/>
      <c r="D314" s="1046"/>
      <c r="E314" s="1934"/>
      <c r="F314" s="1935"/>
      <c r="G314" s="1047"/>
      <c r="H314" s="1996"/>
      <c r="I314" s="1047"/>
      <c r="J314" s="1996"/>
      <c r="K314" s="1047"/>
      <c r="L314" s="2031"/>
      <c r="M314" s="952">
        <v>1</v>
      </c>
      <c r="N314" s="956"/>
      <c r="O314" s="1047"/>
      <c r="P314" s="2031"/>
      <c r="Q314" s="1659"/>
      <c r="R314" s="1046"/>
      <c r="S314" s="1934"/>
      <c r="T314" s="1935"/>
      <c r="U314" s="1659"/>
      <c r="V314" s="1046"/>
      <c r="W314" s="1934"/>
      <c r="X314" s="1935"/>
      <c r="Y314" s="1659"/>
      <c r="Z314" s="1046"/>
      <c r="AA314" s="2065"/>
      <c r="AB314" s="1935"/>
      <c r="AC314" s="955">
        <v>1</v>
      </c>
      <c r="AD314" s="956"/>
      <c r="AE314" s="1659"/>
      <c r="AF314" s="1046"/>
      <c r="AG314" s="1934"/>
      <c r="AH314" s="1935"/>
      <c r="AI314" s="1659"/>
      <c r="AJ314" s="1046"/>
      <c r="AK314" s="1934"/>
      <c r="AL314" s="1935"/>
      <c r="AM314" s="1047"/>
      <c r="AN314" s="2031"/>
      <c r="AO314" s="1871"/>
      <c r="AP314" s="1048"/>
      <c r="AQ314" s="1049"/>
      <c r="AR314" s="2101"/>
      <c r="AS314" s="1553"/>
      <c r="AT314" s="2101"/>
      <c r="AU314" s="1659"/>
      <c r="AV314" s="1046"/>
      <c r="AW314" s="1934"/>
      <c r="AX314" s="1935"/>
      <c r="AY314" s="952">
        <v>1</v>
      </c>
      <c r="AZ314" s="956"/>
      <c r="BA314" s="1659"/>
      <c r="BB314" s="1046"/>
      <c r="BC314" s="1934"/>
      <c r="BD314" s="1935"/>
      <c r="BE314" s="952">
        <v>1</v>
      </c>
      <c r="BF314" s="956"/>
      <c r="BG314" s="1659"/>
      <c r="BH314" s="1046"/>
      <c r="BI314" s="1934"/>
      <c r="BJ314" s="1935"/>
      <c r="BK314" s="1659"/>
      <c r="BL314" s="1046"/>
      <c r="BM314" s="1934"/>
      <c r="BN314" s="1935"/>
      <c r="BO314" s="1047"/>
      <c r="BP314" s="1996"/>
      <c r="BQ314" s="1047"/>
      <c r="BR314" s="2031"/>
      <c r="BS314" s="1659"/>
      <c r="BT314" s="1046"/>
      <c r="BU314" s="1934"/>
      <c r="BV314" s="1935"/>
      <c r="BW314" s="1047"/>
      <c r="BX314" s="2031"/>
      <c r="BY314" s="1659"/>
      <c r="BZ314" s="1046"/>
      <c r="CA314" s="1934"/>
      <c r="CB314" s="1935"/>
      <c r="CC314" s="1753"/>
      <c r="CD314" s="2161"/>
      <c r="CE314" s="952">
        <v>1</v>
      </c>
      <c r="CF314" s="956"/>
      <c r="CG314" s="1659"/>
      <c r="CH314" s="1046"/>
      <c r="CI314" s="1934"/>
      <c r="CJ314" s="1935"/>
      <c r="CK314" s="952">
        <v>1</v>
      </c>
      <c r="CL314" s="954" t="s">
        <v>1761</v>
      </c>
      <c r="CM314" s="1659"/>
      <c r="CN314" s="1046"/>
      <c r="CO314" s="1934"/>
      <c r="CP314" s="1935"/>
      <c r="CQ314" s="1650"/>
      <c r="CR314" s="960">
        <v>20000</v>
      </c>
      <c r="CS314" s="1910">
        <v>25000</v>
      </c>
      <c r="CT314" s="1911"/>
      <c r="CU314" s="1650">
        <v>100000</v>
      </c>
      <c r="CV314" s="960"/>
      <c r="CW314" s="1934">
        <v>110000</v>
      </c>
      <c r="CX314" s="1935"/>
      <c r="CY314" s="1659"/>
      <c r="CZ314" s="1046"/>
      <c r="DA314" s="1934"/>
      <c r="DB314" s="1935"/>
      <c r="DC314" s="1047"/>
      <c r="DD314" s="2031"/>
      <c r="DE314" s="1659"/>
      <c r="DF314" s="1046"/>
      <c r="DG314" s="1934"/>
      <c r="DH314" s="1935"/>
      <c r="DI314" s="955">
        <v>1</v>
      </c>
      <c r="DJ314" s="956"/>
      <c r="DK314" s="1047"/>
      <c r="DL314" s="1996"/>
      <c r="DM314" s="1047"/>
      <c r="DN314" s="1996"/>
      <c r="DO314" s="1047"/>
      <c r="DP314" s="2031"/>
      <c r="DQ314" s="952">
        <v>1</v>
      </c>
      <c r="DR314" s="958"/>
      <c r="DS314" s="1659"/>
      <c r="DT314" s="1046"/>
      <c r="DU314" s="1934"/>
      <c r="DV314" s="1935"/>
      <c r="DW314" s="952">
        <v>1</v>
      </c>
      <c r="DX314" s="956"/>
      <c r="DY314" s="1659"/>
      <c r="DZ314" s="1046"/>
      <c r="EA314" s="1934"/>
      <c r="EB314" s="1935"/>
      <c r="EC314" s="1047"/>
      <c r="ED314" s="2031"/>
      <c r="EE314" s="952">
        <v>1</v>
      </c>
      <c r="EF314" s="954" t="s">
        <v>1762</v>
      </c>
      <c r="EG314" s="1047"/>
      <c r="EH314" s="2031"/>
      <c r="EI314" s="1895"/>
      <c r="EJ314" s="960">
        <v>35000</v>
      </c>
      <c r="EK314" s="2243"/>
      <c r="EL314" s="2191">
        <v>100000</v>
      </c>
      <c r="EM314" s="2202">
        <f t="shared" ref="EM314:EM316" si="493">E314+S314+W314+AA314+AG314+AK314+AN314+AR314+AW314+BC314+BI314+BM314+BR314+BU314+CA314+CD314+CI314+CO314+CS314+CW314+DA314+DG314+DU314+EA314+EK314</f>
        <v>135000</v>
      </c>
      <c r="EN314" s="1585">
        <f t="shared" ref="EN314:EN316" si="494">F314+H314+J314+L314+P314+T314+X314+AB314+AH314+AL314+AS314+AX314+BD314+BJ314+BN314+BP314+BV314+BX314+CB314+CJ314+CP314+CT314+CX314+DB314+DD314+DH314+DN314+DP314+DV314+EB314+ED314+EH314+EL314+DL314</f>
        <v>100000</v>
      </c>
      <c r="EO314" s="1585">
        <f t="shared" ref="EO314:EO316" si="495">AQ314</f>
        <v>0</v>
      </c>
      <c r="EP314" s="1590">
        <f t="shared" si="461"/>
        <v>235000</v>
      </c>
      <c r="EQ314" s="1716">
        <f t="shared" si="430"/>
        <v>100000</v>
      </c>
      <c r="ER314" s="1780">
        <f t="shared" si="431"/>
        <v>55000</v>
      </c>
      <c r="ES314" s="1780">
        <f t="shared" si="432"/>
        <v>0</v>
      </c>
      <c r="ET314" s="1781">
        <f t="shared" si="465"/>
        <v>155000</v>
      </c>
    </row>
    <row r="315" spans="1:150" x14ac:dyDescent="0.25">
      <c r="A315" s="952">
        <v>2</v>
      </c>
      <c r="B315" s="956"/>
      <c r="C315" s="1659"/>
      <c r="D315" s="1046"/>
      <c r="E315" s="1934"/>
      <c r="F315" s="1935"/>
      <c r="G315" s="1047"/>
      <c r="H315" s="1996"/>
      <c r="I315" s="1047"/>
      <c r="J315" s="1996"/>
      <c r="K315" s="1047"/>
      <c r="L315" s="2031"/>
      <c r="M315" s="952">
        <v>2</v>
      </c>
      <c r="N315" s="956"/>
      <c r="O315" s="1047"/>
      <c r="P315" s="2031"/>
      <c r="Q315" s="1659"/>
      <c r="R315" s="1046"/>
      <c r="S315" s="1934"/>
      <c r="T315" s="1935"/>
      <c r="U315" s="1659"/>
      <c r="V315" s="1046"/>
      <c r="W315" s="1934"/>
      <c r="X315" s="1935"/>
      <c r="Y315" s="1659"/>
      <c r="Z315" s="1046"/>
      <c r="AA315" s="2065"/>
      <c r="AB315" s="1935"/>
      <c r="AC315" s="955">
        <v>2</v>
      </c>
      <c r="AD315" s="956"/>
      <c r="AE315" s="1659"/>
      <c r="AF315" s="1046"/>
      <c r="AG315" s="1934"/>
      <c r="AH315" s="1935"/>
      <c r="AI315" s="1659"/>
      <c r="AJ315" s="1046"/>
      <c r="AK315" s="1934"/>
      <c r="AL315" s="1935"/>
      <c r="AM315" s="1047"/>
      <c r="AN315" s="2031"/>
      <c r="AO315" s="1871"/>
      <c r="AP315" s="1048"/>
      <c r="AQ315" s="1049"/>
      <c r="AR315" s="2101"/>
      <c r="AS315" s="1553"/>
      <c r="AT315" s="2101"/>
      <c r="AU315" s="1659"/>
      <c r="AV315" s="1046"/>
      <c r="AW315" s="1934"/>
      <c r="AX315" s="1935"/>
      <c r="AY315" s="952">
        <v>2</v>
      </c>
      <c r="AZ315" s="956"/>
      <c r="BA315" s="1659"/>
      <c r="BB315" s="1046"/>
      <c r="BC315" s="1934"/>
      <c r="BD315" s="1935"/>
      <c r="BE315" s="952">
        <v>2</v>
      </c>
      <c r="BF315" s="956"/>
      <c r="BG315" s="1659"/>
      <c r="BH315" s="1046"/>
      <c r="BI315" s="1934"/>
      <c r="BJ315" s="1935"/>
      <c r="BK315" s="1659"/>
      <c r="BL315" s="1046"/>
      <c r="BM315" s="1934"/>
      <c r="BN315" s="1935"/>
      <c r="BO315" s="1047"/>
      <c r="BP315" s="1996"/>
      <c r="BQ315" s="1047"/>
      <c r="BR315" s="2031"/>
      <c r="BS315" s="1659"/>
      <c r="BT315" s="1046"/>
      <c r="BU315" s="1934"/>
      <c r="BV315" s="1935"/>
      <c r="BW315" s="1047"/>
      <c r="BX315" s="2031"/>
      <c r="BY315" s="1659"/>
      <c r="BZ315" s="1046"/>
      <c r="CA315" s="1934"/>
      <c r="CB315" s="1935"/>
      <c r="CC315" s="1753"/>
      <c r="CD315" s="2161"/>
      <c r="CE315" s="952">
        <v>2</v>
      </c>
      <c r="CF315" s="956"/>
      <c r="CG315" s="1659"/>
      <c r="CH315" s="1046"/>
      <c r="CI315" s="1934"/>
      <c r="CJ315" s="1935"/>
      <c r="CK315" s="952">
        <v>2</v>
      </c>
      <c r="CL315" s="954"/>
      <c r="CM315" s="1659"/>
      <c r="CN315" s="1046"/>
      <c r="CO315" s="1934"/>
      <c r="CP315" s="1935"/>
      <c r="CQ315" s="1650"/>
      <c r="CR315" s="960"/>
      <c r="CS315" s="1910"/>
      <c r="CT315" s="1911"/>
      <c r="CU315" s="1650"/>
      <c r="CV315" s="960"/>
      <c r="CW315" s="1934"/>
      <c r="CX315" s="1935"/>
      <c r="CY315" s="1659"/>
      <c r="CZ315" s="1046"/>
      <c r="DA315" s="1934"/>
      <c r="DB315" s="1935"/>
      <c r="DC315" s="1047"/>
      <c r="DD315" s="2031"/>
      <c r="DE315" s="1659"/>
      <c r="DF315" s="1046"/>
      <c r="DG315" s="1934"/>
      <c r="DH315" s="1935"/>
      <c r="DI315" s="955">
        <v>2</v>
      </c>
      <c r="DJ315" s="956"/>
      <c r="DK315" s="1047"/>
      <c r="DL315" s="1996"/>
      <c r="DM315" s="1047"/>
      <c r="DN315" s="1996"/>
      <c r="DO315" s="1047"/>
      <c r="DP315" s="2031"/>
      <c r="DQ315" s="952">
        <v>2</v>
      </c>
      <c r="DR315" s="958"/>
      <c r="DS315" s="1659"/>
      <c r="DT315" s="1046"/>
      <c r="DU315" s="1934"/>
      <c r="DV315" s="1935"/>
      <c r="DW315" s="952">
        <v>2</v>
      </c>
      <c r="DX315" s="956"/>
      <c r="DY315" s="1659"/>
      <c r="DZ315" s="1046"/>
      <c r="EA315" s="1934"/>
      <c r="EB315" s="1935"/>
      <c r="EC315" s="1047"/>
      <c r="ED315" s="2031"/>
      <c r="EE315" s="952">
        <v>2</v>
      </c>
      <c r="EF315" s="956"/>
      <c r="EG315" s="1047"/>
      <c r="EH315" s="2031"/>
      <c r="EI315" s="1895"/>
      <c r="EJ315" s="1862"/>
      <c r="EK315" s="2243"/>
      <c r="EL315" s="2191"/>
      <c r="EM315" s="2202">
        <f t="shared" si="493"/>
        <v>0</v>
      </c>
      <c r="EN315" s="1585">
        <f t="shared" si="494"/>
        <v>0</v>
      </c>
      <c r="EO315" s="1585">
        <f t="shared" si="495"/>
        <v>0</v>
      </c>
      <c r="EP315" s="1590">
        <f t="shared" si="461"/>
        <v>0</v>
      </c>
      <c r="EQ315" s="1716">
        <f t="shared" si="430"/>
        <v>0</v>
      </c>
      <c r="ER315" s="1780">
        <f t="shared" si="431"/>
        <v>0</v>
      </c>
      <c r="ES315" s="1780">
        <f t="shared" si="432"/>
        <v>0</v>
      </c>
      <c r="ET315" s="1781">
        <f t="shared" si="465"/>
        <v>0</v>
      </c>
    </row>
    <row r="316" spans="1:150" x14ac:dyDescent="0.25">
      <c r="A316" s="952">
        <v>3</v>
      </c>
      <c r="B316" s="961"/>
      <c r="C316" s="1660"/>
      <c r="D316" s="1051"/>
      <c r="E316" s="1936"/>
      <c r="F316" s="1937"/>
      <c r="G316" s="1052"/>
      <c r="H316" s="1997"/>
      <c r="I316" s="1052"/>
      <c r="J316" s="1997"/>
      <c r="K316" s="1052"/>
      <c r="L316" s="2032"/>
      <c r="M316" s="952">
        <v>3</v>
      </c>
      <c r="N316" s="961"/>
      <c r="O316" s="1052"/>
      <c r="P316" s="2032"/>
      <c r="Q316" s="1660"/>
      <c r="R316" s="1051"/>
      <c r="S316" s="1936"/>
      <c r="T316" s="1937"/>
      <c r="U316" s="1660"/>
      <c r="V316" s="1051"/>
      <c r="W316" s="1936"/>
      <c r="X316" s="1937"/>
      <c r="Y316" s="1660"/>
      <c r="Z316" s="1051"/>
      <c r="AA316" s="2066"/>
      <c r="AB316" s="1937"/>
      <c r="AC316" s="955">
        <v>3</v>
      </c>
      <c r="AD316" s="961"/>
      <c r="AE316" s="1660"/>
      <c r="AF316" s="1051"/>
      <c r="AG316" s="1936"/>
      <c r="AH316" s="1937"/>
      <c r="AI316" s="1660"/>
      <c r="AJ316" s="1051"/>
      <c r="AK316" s="1936"/>
      <c r="AL316" s="1937"/>
      <c r="AM316" s="1052"/>
      <c r="AN316" s="2032"/>
      <c r="AO316" s="1872"/>
      <c r="AP316" s="1101"/>
      <c r="AQ316" s="1053"/>
      <c r="AR316" s="2102"/>
      <c r="AS316" s="1554"/>
      <c r="AT316" s="2102"/>
      <c r="AU316" s="1660"/>
      <c r="AV316" s="1051"/>
      <c r="AW316" s="1936"/>
      <c r="AX316" s="1937"/>
      <c r="AY316" s="952">
        <v>3</v>
      </c>
      <c r="AZ316" s="961"/>
      <c r="BA316" s="1660"/>
      <c r="BB316" s="1051"/>
      <c r="BC316" s="1936"/>
      <c r="BD316" s="1937"/>
      <c r="BE316" s="952">
        <v>3</v>
      </c>
      <c r="BF316" s="961"/>
      <c r="BG316" s="1660"/>
      <c r="BH316" s="1051"/>
      <c r="BI316" s="1936"/>
      <c r="BJ316" s="1937"/>
      <c r="BK316" s="1660"/>
      <c r="BL316" s="1051"/>
      <c r="BM316" s="1936"/>
      <c r="BN316" s="1937"/>
      <c r="BO316" s="1052"/>
      <c r="BP316" s="1997"/>
      <c r="BQ316" s="1052"/>
      <c r="BR316" s="2032"/>
      <c r="BS316" s="1660"/>
      <c r="BT316" s="1051"/>
      <c r="BU316" s="1936"/>
      <c r="BV316" s="1937"/>
      <c r="BW316" s="1052"/>
      <c r="BX316" s="2032"/>
      <c r="BY316" s="1660"/>
      <c r="BZ316" s="1051"/>
      <c r="CA316" s="1936"/>
      <c r="CB316" s="1937"/>
      <c r="CC316" s="1754"/>
      <c r="CD316" s="2162"/>
      <c r="CE316" s="952">
        <v>3</v>
      </c>
      <c r="CF316" s="961"/>
      <c r="CG316" s="1660"/>
      <c r="CH316" s="1051"/>
      <c r="CI316" s="1936"/>
      <c r="CJ316" s="1937"/>
      <c r="CK316" s="952">
        <v>3</v>
      </c>
      <c r="CL316" s="959"/>
      <c r="CM316" s="1660"/>
      <c r="CN316" s="1051"/>
      <c r="CO316" s="1936"/>
      <c r="CP316" s="1937"/>
      <c r="CQ316" s="1651"/>
      <c r="CR316" s="1026"/>
      <c r="CS316" s="1912"/>
      <c r="CT316" s="1913"/>
      <c r="CU316" s="1651"/>
      <c r="CV316" s="1026"/>
      <c r="CW316" s="1936"/>
      <c r="CX316" s="1937"/>
      <c r="CY316" s="1660"/>
      <c r="CZ316" s="1051"/>
      <c r="DA316" s="1936"/>
      <c r="DB316" s="1937"/>
      <c r="DC316" s="1052"/>
      <c r="DD316" s="2032"/>
      <c r="DE316" s="1660"/>
      <c r="DF316" s="1051"/>
      <c r="DG316" s="1936"/>
      <c r="DH316" s="1937"/>
      <c r="DI316" s="955">
        <v>3</v>
      </c>
      <c r="DJ316" s="961"/>
      <c r="DK316" s="1052"/>
      <c r="DL316" s="1997"/>
      <c r="DM316" s="1052"/>
      <c r="DN316" s="1997"/>
      <c r="DO316" s="1052"/>
      <c r="DP316" s="2032"/>
      <c r="DQ316" s="952">
        <v>3</v>
      </c>
      <c r="DR316" s="1083"/>
      <c r="DS316" s="1660"/>
      <c r="DT316" s="1051"/>
      <c r="DU316" s="1936"/>
      <c r="DV316" s="1937"/>
      <c r="DW316" s="952">
        <v>3</v>
      </c>
      <c r="DX316" s="961"/>
      <c r="DY316" s="1660"/>
      <c r="DZ316" s="1051"/>
      <c r="EA316" s="1936"/>
      <c r="EB316" s="1937"/>
      <c r="EC316" s="1052"/>
      <c r="ED316" s="2032"/>
      <c r="EE316" s="952">
        <v>3</v>
      </c>
      <c r="EF316" s="961"/>
      <c r="EG316" s="1052"/>
      <c r="EH316" s="2032"/>
      <c r="EI316" s="1896"/>
      <c r="EJ316" s="1861"/>
      <c r="EK316" s="2244"/>
      <c r="EL316" s="2193"/>
      <c r="EM316" s="2202">
        <f t="shared" si="493"/>
        <v>0</v>
      </c>
      <c r="EN316" s="1585">
        <f t="shared" si="494"/>
        <v>0</v>
      </c>
      <c r="EO316" s="1585">
        <f t="shared" si="495"/>
        <v>0</v>
      </c>
      <c r="EP316" s="1591">
        <f t="shared" si="461"/>
        <v>0</v>
      </c>
      <c r="EQ316" s="1803">
        <f t="shared" si="430"/>
        <v>0</v>
      </c>
      <c r="ER316" s="1804">
        <f t="shared" si="431"/>
        <v>0</v>
      </c>
      <c r="ES316" s="1804">
        <f t="shared" si="432"/>
        <v>0</v>
      </c>
      <c r="ET316" s="1805">
        <f t="shared" si="465"/>
        <v>0</v>
      </c>
    </row>
    <row r="317" spans="1:150" ht="19.95" customHeight="1" thickBot="1" x14ac:dyDescent="0.3">
      <c r="A317" s="968"/>
      <c r="B317" s="969" t="s">
        <v>1763</v>
      </c>
      <c r="C317" s="1656">
        <f t="shared" ref="C317:L317" si="496">SUM(C313:C316)</f>
        <v>0</v>
      </c>
      <c r="D317" s="1642">
        <f t="shared" si="496"/>
        <v>0</v>
      </c>
      <c r="E317" s="1926">
        <f t="shared" si="496"/>
        <v>0</v>
      </c>
      <c r="F317" s="1927">
        <f t="shared" si="496"/>
        <v>0</v>
      </c>
      <c r="G317" s="1058">
        <f t="shared" si="496"/>
        <v>0</v>
      </c>
      <c r="H317" s="1992">
        <f t="shared" si="496"/>
        <v>0</v>
      </c>
      <c r="I317" s="1058">
        <f t="shared" si="496"/>
        <v>0</v>
      </c>
      <c r="J317" s="1992">
        <f t="shared" si="496"/>
        <v>0</v>
      </c>
      <c r="K317" s="1058">
        <f t="shared" si="496"/>
        <v>0</v>
      </c>
      <c r="L317" s="1992">
        <f t="shared" si="496"/>
        <v>0</v>
      </c>
      <c r="M317" s="968"/>
      <c r="N317" s="969" t="s">
        <v>1763</v>
      </c>
      <c r="O317" s="1058">
        <f t="shared" ref="O317:AB317" si="497">SUM(O313:O316)</f>
        <v>0</v>
      </c>
      <c r="P317" s="1992">
        <f t="shared" si="497"/>
        <v>0</v>
      </c>
      <c r="Q317" s="1656">
        <f t="shared" si="497"/>
        <v>0</v>
      </c>
      <c r="R317" s="1642">
        <f t="shared" si="497"/>
        <v>0</v>
      </c>
      <c r="S317" s="1926">
        <f t="shared" si="497"/>
        <v>0</v>
      </c>
      <c r="T317" s="1927">
        <f t="shared" si="497"/>
        <v>0</v>
      </c>
      <c r="U317" s="1656">
        <f t="shared" si="497"/>
        <v>0</v>
      </c>
      <c r="V317" s="1642">
        <f t="shared" si="497"/>
        <v>0</v>
      </c>
      <c r="W317" s="1926">
        <f t="shared" si="497"/>
        <v>0</v>
      </c>
      <c r="X317" s="1927">
        <f t="shared" si="497"/>
        <v>0</v>
      </c>
      <c r="Y317" s="1656">
        <f t="shared" si="497"/>
        <v>0</v>
      </c>
      <c r="Z317" s="1642">
        <f t="shared" si="497"/>
        <v>0</v>
      </c>
      <c r="AA317" s="1926">
        <f t="shared" si="497"/>
        <v>0</v>
      </c>
      <c r="AB317" s="1927">
        <f t="shared" si="497"/>
        <v>0</v>
      </c>
      <c r="AC317" s="970"/>
      <c r="AD317" s="969" t="s">
        <v>1763</v>
      </c>
      <c r="AE317" s="1656">
        <f t="shared" ref="AE317:AX317" si="498">SUM(AE313:AE316)</f>
        <v>0</v>
      </c>
      <c r="AF317" s="1642">
        <f t="shared" si="498"/>
        <v>0</v>
      </c>
      <c r="AG317" s="1926">
        <f t="shared" si="498"/>
        <v>0</v>
      </c>
      <c r="AH317" s="1927">
        <f t="shared" si="498"/>
        <v>0</v>
      </c>
      <c r="AI317" s="1656">
        <f t="shared" si="498"/>
        <v>0</v>
      </c>
      <c r="AJ317" s="1642">
        <f t="shared" si="498"/>
        <v>0</v>
      </c>
      <c r="AK317" s="1926">
        <f t="shared" si="498"/>
        <v>0</v>
      </c>
      <c r="AL317" s="1927">
        <f t="shared" si="498"/>
        <v>0</v>
      </c>
      <c r="AM317" s="1058">
        <f t="shared" si="498"/>
        <v>0</v>
      </c>
      <c r="AN317" s="1992">
        <f t="shared" si="498"/>
        <v>0</v>
      </c>
      <c r="AO317" s="1043">
        <f t="shared" si="498"/>
        <v>0</v>
      </c>
      <c r="AP317" s="1858">
        <f t="shared" si="498"/>
        <v>0</v>
      </c>
      <c r="AQ317" s="1041">
        <f t="shared" si="498"/>
        <v>0</v>
      </c>
      <c r="AR317" s="2029">
        <f t="shared" si="498"/>
        <v>0</v>
      </c>
      <c r="AS317" s="2124">
        <f t="shared" si="498"/>
        <v>0</v>
      </c>
      <c r="AT317" s="2125">
        <f t="shared" si="498"/>
        <v>0</v>
      </c>
      <c r="AU317" s="1656">
        <f t="shared" si="498"/>
        <v>0</v>
      </c>
      <c r="AV317" s="1642">
        <f t="shared" si="498"/>
        <v>0</v>
      </c>
      <c r="AW317" s="1926">
        <f t="shared" si="498"/>
        <v>0</v>
      </c>
      <c r="AX317" s="1927">
        <f t="shared" si="498"/>
        <v>0</v>
      </c>
      <c r="AY317" s="968"/>
      <c r="AZ317" s="969" t="s">
        <v>1763</v>
      </c>
      <c r="BA317" s="1656">
        <f t="shared" ref="BA317:BD317" si="499">SUM(BA313:BA316)</f>
        <v>0</v>
      </c>
      <c r="BB317" s="1642">
        <f t="shared" si="499"/>
        <v>0</v>
      </c>
      <c r="BC317" s="1926">
        <f t="shared" si="499"/>
        <v>0</v>
      </c>
      <c r="BD317" s="1927">
        <f t="shared" si="499"/>
        <v>0</v>
      </c>
      <c r="BE317" s="968"/>
      <c r="BF317" s="969" t="s">
        <v>1763</v>
      </c>
      <c r="BG317" s="1656">
        <f t="shared" ref="BG317:CD317" si="500">SUM(BG313:BG316)</f>
        <v>0</v>
      </c>
      <c r="BH317" s="1642">
        <f t="shared" si="500"/>
        <v>0</v>
      </c>
      <c r="BI317" s="1926">
        <f t="shared" si="500"/>
        <v>0</v>
      </c>
      <c r="BJ317" s="1927">
        <f t="shared" si="500"/>
        <v>0</v>
      </c>
      <c r="BK317" s="1656">
        <f t="shared" si="500"/>
        <v>0</v>
      </c>
      <c r="BL317" s="1642">
        <f t="shared" si="500"/>
        <v>0</v>
      </c>
      <c r="BM317" s="1926">
        <f t="shared" si="500"/>
        <v>0</v>
      </c>
      <c r="BN317" s="1927">
        <f t="shared" si="500"/>
        <v>0</v>
      </c>
      <c r="BO317" s="1058">
        <f t="shared" si="500"/>
        <v>0</v>
      </c>
      <c r="BP317" s="1992">
        <f t="shared" si="500"/>
        <v>0</v>
      </c>
      <c r="BQ317" s="1058">
        <f t="shared" si="500"/>
        <v>0</v>
      </c>
      <c r="BR317" s="1992">
        <f t="shared" si="500"/>
        <v>0</v>
      </c>
      <c r="BS317" s="1656">
        <f t="shared" si="500"/>
        <v>0</v>
      </c>
      <c r="BT317" s="1642">
        <f t="shared" si="500"/>
        <v>0</v>
      </c>
      <c r="BU317" s="1926">
        <f t="shared" si="500"/>
        <v>0</v>
      </c>
      <c r="BV317" s="1927">
        <f t="shared" si="500"/>
        <v>0</v>
      </c>
      <c r="BW317" s="1058">
        <f t="shared" si="500"/>
        <v>0</v>
      </c>
      <c r="BX317" s="1992">
        <f t="shared" si="500"/>
        <v>0</v>
      </c>
      <c r="BY317" s="1656">
        <f t="shared" si="500"/>
        <v>0</v>
      </c>
      <c r="BZ317" s="1642">
        <f t="shared" si="500"/>
        <v>0</v>
      </c>
      <c r="CA317" s="1926">
        <f t="shared" si="500"/>
        <v>0</v>
      </c>
      <c r="CB317" s="1927">
        <f t="shared" si="500"/>
        <v>0</v>
      </c>
      <c r="CC317" s="1705">
        <f t="shared" si="500"/>
        <v>0</v>
      </c>
      <c r="CD317" s="2159">
        <f t="shared" si="500"/>
        <v>0</v>
      </c>
      <c r="CE317" s="968"/>
      <c r="CF317" s="969" t="s">
        <v>1763</v>
      </c>
      <c r="CG317" s="1656">
        <f t="shared" ref="CG317:CJ317" si="501">SUM(CG313:CG316)</f>
        <v>0</v>
      </c>
      <c r="CH317" s="1642">
        <f t="shared" si="501"/>
        <v>0</v>
      </c>
      <c r="CI317" s="1926">
        <f t="shared" si="501"/>
        <v>0</v>
      </c>
      <c r="CJ317" s="1927">
        <f t="shared" si="501"/>
        <v>0</v>
      </c>
      <c r="CK317" s="968"/>
      <c r="CL317" s="969" t="s">
        <v>1763</v>
      </c>
      <c r="CM317" s="1656">
        <f t="shared" ref="CM317:DH317" si="502">SUM(CM313:CM316)</f>
        <v>0</v>
      </c>
      <c r="CN317" s="1642">
        <f t="shared" si="502"/>
        <v>0</v>
      </c>
      <c r="CO317" s="1926">
        <f t="shared" si="502"/>
        <v>0</v>
      </c>
      <c r="CP317" s="1927">
        <f t="shared" si="502"/>
        <v>0</v>
      </c>
      <c r="CQ317" s="1656">
        <f t="shared" si="502"/>
        <v>0</v>
      </c>
      <c r="CR317" s="1642">
        <f t="shared" si="502"/>
        <v>20000</v>
      </c>
      <c r="CS317" s="1926">
        <f t="shared" si="502"/>
        <v>25000</v>
      </c>
      <c r="CT317" s="1927">
        <f t="shared" si="502"/>
        <v>0</v>
      </c>
      <c r="CU317" s="1656">
        <f t="shared" si="502"/>
        <v>100000</v>
      </c>
      <c r="CV317" s="1642">
        <f t="shared" si="502"/>
        <v>0</v>
      </c>
      <c r="CW317" s="1926">
        <f t="shared" si="502"/>
        <v>110000</v>
      </c>
      <c r="CX317" s="1927">
        <f t="shared" si="502"/>
        <v>0</v>
      </c>
      <c r="CY317" s="1656">
        <f t="shared" si="502"/>
        <v>0</v>
      </c>
      <c r="CZ317" s="1642">
        <f t="shared" si="502"/>
        <v>0</v>
      </c>
      <c r="DA317" s="1926">
        <f t="shared" si="502"/>
        <v>0</v>
      </c>
      <c r="DB317" s="1927">
        <f t="shared" si="502"/>
        <v>0</v>
      </c>
      <c r="DC317" s="1058">
        <f t="shared" si="502"/>
        <v>0</v>
      </c>
      <c r="DD317" s="1992">
        <f t="shared" si="502"/>
        <v>0</v>
      </c>
      <c r="DE317" s="1656">
        <f t="shared" si="502"/>
        <v>0</v>
      </c>
      <c r="DF317" s="1642">
        <f t="shared" si="502"/>
        <v>0</v>
      </c>
      <c r="DG317" s="1926">
        <f t="shared" si="502"/>
        <v>0</v>
      </c>
      <c r="DH317" s="1927">
        <f t="shared" si="502"/>
        <v>0</v>
      </c>
      <c r="DI317" s="970"/>
      <c r="DJ317" s="969" t="s">
        <v>1763</v>
      </c>
      <c r="DK317" s="1058">
        <f t="shared" ref="DK317:DL317" si="503">SUM(DK313:DK316)</f>
        <v>0</v>
      </c>
      <c r="DL317" s="1992">
        <f t="shared" si="503"/>
        <v>0</v>
      </c>
      <c r="DM317" s="1058">
        <f t="shared" ref="DM317:DP317" si="504">SUM(DM313:DM316)</f>
        <v>0</v>
      </c>
      <c r="DN317" s="1992">
        <f t="shared" si="504"/>
        <v>0</v>
      </c>
      <c r="DO317" s="1058">
        <f t="shared" si="504"/>
        <v>0</v>
      </c>
      <c r="DP317" s="1992">
        <f t="shared" si="504"/>
        <v>0</v>
      </c>
      <c r="DQ317" s="968"/>
      <c r="DR317" s="972" t="s">
        <v>1763</v>
      </c>
      <c r="DS317" s="1656">
        <f t="shared" ref="DS317:DV317" si="505">SUM(DS313:DS316)</f>
        <v>0</v>
      </c>
      <c r="DT317" s="1642">
        <f t="shared" si="505"/>
        <v>0</v>
      </c>
      <c r="DU317" s="1926">
        <f t="shared" si="505"/>
        <v>0</v>
      </c>
      <c r="DV317" s="1927">
        <f t="shared" si="505"/>
        <v>0</v>
      </c>
      <c r="DW317" s="968"/>
      <c r="DX317" s="969" t="s">
        <v>1763</v>
      </c>
      <c r="DY317" s="1656">
        <f t="shared" ref="DY317:ED317" si="506">SUM(DY313:DY316)</f>
        <v>0</v>
      </c>
      <c r="DZ317" s="1642">
        <f t="shared" si="506"/>
        <v>0</v>
      </c>
      <c r="EA317" s="1926">
        <f t="shared" si="506"/>
        <v>0</v>
      </c>
      <c r="EB317" s="1927">
        <f t="shared" si="506"/>
        <v>0</v>
      </c>
      <c r="EC317" s="1058">
        <f t="shared" si="506"/>
        <v>0</v>
      </c>
      <c r="ED317" s="1992">
        <f t="shared" si="506"/>
        <v>0</v>
      </c>
      <c r="EE317" s="968"/>
      <c r="EF317" s="969" t="s">
        <v>1763</v>
      </c>
      <c r="EG317" s="1058">
        <f t="shared" ref="EG317:EO317" si="507">SUM(EG313:EG316)</f>
        <v>0</v>
      </c>
      <c r="EH317" s="1992">
        <f t="shared" si="507"/>
        <v>0</v>
      </c>
      <c r="EI317" s="1656">
        <f t="shared" si="507"/>
        <v>0</v>
      </c>
      <c r="EJ317" s="1642">
        <f t="shared" si="507"/>
        <v>35000</v>
      </c>
      <c r="EK317" s="1926">
        <f t="shared" si="507"/>
        <v>0</v>
      </c>
      <c r="EL317" s="1927">
        <f t="shared" si="507"/>
        <v>100000</v>
      </c>
      <c r="EM317" s="1927">
        <f t="shared" si="507"/>
        <v>135000</v>
      </c>
      <c r="EN317" s="1927">
        <f t="shared" si="507"/>
        <v>100000</v>
      </c>
      <c r="EO317" s="1927">
        <f t="shared" si="507"/>
        <v>0</v>
      </c>
      <c r="EP317" s="1962">
        <f t="shared" si="461"/>
        <v>235000</v>
      </c>
      <c r="EQ317" s="1708">
        <f t="shared" si="430"/>
        <v>100000</v>
      </c>
      <c r="ER317" s="1784">
        <f t="shared" si="431"/>
        <v>55000</v>
      </c>
      <c r="ES317" s="1784">
        <f t="shared" si="432"/>
        <v>0</v>
      </c>
      <c r="ET317" s="1647">
        <f t="shared" si="465"/>
        <v>155000</v>
      </c>
    </row>
    <row r="318" spans="1:150" ht="13.8" thickBot="1" x14ac:dyDescent="0.3">
      <c r="A318" s="2545" t="s">
        <v>1764</v>
      </c>
      <c r="B318" s="2546"/>
      <c r="C318" s="1640">
        <f t="shared" ref="C318:L318" si="508">SUM(C317+C312+C274+C263+C251+C256)</f>
        <v>0</v>
      </c>
      <c r="D318" s="1389">
        <f t="shared" si="508"/>
        <v>0</v>
      </c>
      <c r="E318" s="1953">
        <f t="shared" si="508"/>
        <v>0</v>
      </c>
      <c r="F318" s="1594">
        <f t="shared" si="508"/>
        <v>0</v>
      </c>
      <c r="G318" s="1100">
        <f t="shared" si="508"/>
        <v>0</v>
      </c>
      <c r="H318" s="2007">
        <f t="shared" si="508"/>
        <v>0</v>
      </c>
      <c r="I318" s="1100">
        <f t="shared" si="508"/>
        <v>0</v>
      </c>
      <c r="J318" s="2007">
        <f t="shared" si="508"/>
        <v>0</v>
      </c>
      <c r="K318" s="1100">
        <f t="shared" si="508"/>
        <v>0</v>
      </c>
      <c r="L318" s="2007">
        <f t="shared" si="508"/>
        <v>0</v>
      </c>
      <c r="M318" s="2545" t="s">
        <v>1764</v>
      </c>
      <c r="N318" s="2546"/>
      <c r="O318" s="1100">
        <f t="shared" ref="O318:AB318" si="509">SUM(O317+O312+O274+O263+O251+O256)</f>
        <v>0</v>
      </c>
      <c r="P318" s="2007">
        <f t="shared" si="509"/>
        <v>0</v>
      </c>
      <c r="Q318" s="1640">
        <f t="shared" si="509"/>
        <v>0</v>
      </c>
      <c r="R318" s="1389">
        <f t="shared" si="509"/>
        <v>0</v>
      </c>
      <c r="S318" s="1953">
        <f t="shared" si="509"/>
        <v>0</v>
      </c>
      <c r="T318" s="1594">
        <f t="shared" si="509"/>
        <v>0</v>
      </c>
      <c r="U318" s="1640">
        <f t="shared" si="509"/>
        <v>5603</v>
      </c>
      <c r="V318" s="1389">
        <f t="shared" si="509"/>
        <v>0</v>
      </c>
      <c r="W318" s="1953">
        <f t="shared" si="509"/>
        <v>5698</v>
      </c>
      <c r="X318" s="1594">
        <f t="shared" si="509"/>
        <v>0</v>
      </c>
      <c r="Y318" s="1640">
        <f t="shared" si="509"/>
        <v>0</v>
      </c>
      <c r="Z318" s="1389">
        <f t="shared" si="509"/>
        <v>0</v>
      </c>
      <c r="AA318" s="1953">
        <f t="shared" si="509"/>
        <v>0</v>
      </c>
      <c r="AB318" s="1594">
        <f t="shared" si="509"/>
        <v>0</v>
      </c>
      <c r="AC318" s="2547" t="s">
        <v>1764</v>
      </c>
      <c r="AD318" s="2546"/>
      <c r="AE318" s="1640">
        <f t="shared" ref="AE318:AX318" si="510">SUM(AE317+AE312+AE274+AE263+AE251+AE256)</f>
        <v>0</v>
      </c>
      <c r="AF318" s="1389">
        <f t="shared" si="510"/>
        <v>0</v>
      </c>
      <c r="AG318" s="1953">
        <f t="shared" si="510"/>
        <v>0</v>
      </c>
      <c r="AH318" s="1594">
        <f t="shared" si="510"/>
        <v>0</v>
      </c>
      <c r="AI318" s="1640">
        <f t="shared" si="510"/>
        <v>0</v>
      </c>
      <c r="AJ318" s="1389">
        <f t="shared" si="510"/>
        <v>0</v>
      </c>
      <c r="AK318" s="1953">
        <f t="shared" si="510"/>
        <v>0</v>
      </c>
      <c r="AL318" s="1594">
        <f t="shared" si="510"/>
        <v>0</v>
      </c>
      <c r="AM318" s="1100">
        <f t="shared" si="510"/>
        <v>7807000</v>
      </c>
      <c r="AN318" s="2007">
        <f t="shared" si="510"/>
        <v>8835936</v>
      </c>
      <c r="AO318" s="1640">
        <f t="shared" si="510"/>
        <v>0</v>
      </c>
      <c r="AP318" s="1375">
        <f t="shared" si="510"/>
        <v>8467</v>
      </c>
      <c r="AQ318" s="1623">
        <f t="shared" si="510"/>
        <v>0</v>
      </c>
      <c r="AR318" s="1953">
        <f t="shared" si="510"/>
        <v>2020372.764</v>
      </c>
      <c r="AS318" s="1429">
        <f t="shared" si="510"/>
        <v>9879</v>
      </c>
      <c r="AT318" s="2117">
        <f t="shared" si="510"/>
        <v>0</v>
      </c>
      <c r="AU318" s="1640">
        <f t="shared" si="510"/>
        <v>0</v>
      </c>
      <c r="AV318" s="1389">
        <f t="shared" si="510"/>
        <v>0</v>
      </c>
      <c r="AW318" s="1953">
        <f t="shared" si="510"/>
        <v>0</v>
      </c>
      <c r="AX318" s="1594">
        <f t="shared" si="510"/>
        <v>0</v>
      </c>
      <c r="AY318" s="2545" t="s">
        <v>1764</v>
      </c>
      <c r="AZ318" s="2546"/>
      <c r="BA318" s="1640">
        <f t="shared" ref="BA318:BD318" si="511">SUM(BA317+BA312+BA274+BA263+BA251+BA256)</f>
        <v>4000</v>
      </c>
      <c r="BB318" s="1389">
        <f t="shared" si="511"/>
        <v>0</v>
      </c>
      <c r="BC318" s="1953">
        <f t="shared" si="511"/>
        <v>4000</v>
      </c>
      <c r="BD318" s="1594">
        <f t="shared" si="511"/>
        <v>0</v>
      </c>
      <c r="BE318" s="2545" t="s">
        <v>1764</v>
      </c>
      <c r="BF318" s="2546"/>
      <c r="BG318" s="1640">
        <f t="shared" ref="BG318:CD318" si="512">SUM(BG317+BG312+BG274+BG263+BG251+BG256)</f>
        <v>1529011</v>
      </c>
      <c r="BH318" s="1389">
        <f t="shared" si="512"/>
        <v>0</v>
      </c>
      <c r="BI318" s="1953">
        <f t="shared" si="512"/>
        <v>1315610</v>
      </c>
      <c r="BJ318" s="1594">
        <f t="shared" si="512"/>
        <v>334000</v>
      </c>
      <c r="BK318" s="1640">
        <f t="shared" si="512"/>
        <v>269000</v>
      </c>
      <c r="BL318" s="1389">
        <f t="shared" si="512"/>
        <v>0</v>
      </c>
      <c r="BM318" s="1953">
        <f t="shared" si="512"/>
        <v>300000</v>
      </c>
      <c r="BN318" s="1594">
        <f t="shared" si="512"/>
        <v>0</v>
      </c>
      <c r="BO318" s="1100">
        <f t="shared" si="512"/>
        <v>0</v>
      </c>
      <c r="BP318" s="2007">
        <f t="shared" si="512"/>
        <v>0</v>
      </c>
      <c r="BQ318" s="1100">
        <f t="shared" si="512"/>
        <v>0</v>
      </c>
      <c r="BR318" s="2007">
        <f t="shared" si="512"/>
        <v>0</v>
      </c>
      <c r="BS318" s="1640">
        <f t="shared" si="512"/>
        <v>58944</v>
      </c>
      <c r="BT318" s="1389">
        <f t="shared" si="512"/>
        <v>0</v>
      </c>
      <c r="BU318" s="1953">
        <f t="shared" si="512"/>
        <v>71954</v>
      </c>
      <c r="BV318" s="1594">
        <f t="shared" si="512"/>
        <v>0</v>
      </c>
      <c r="BW318" s="1100">
        <f t="shared" si="512"/>
        <v>0</v>
      </c>
      <c r="BX318" s="2007">
        <f t="shared" si="512"/>
        <v>0</v>
      </c>
      <c r="BY318" s="1640">
        <f t="shared" si="512"/>
        <v>0</v>
      </c>
      <c r="BZ318" s="1389">
        <f t="shared" si="512"/>
        <v>0</v>
      </c>
      <c r="CA318" s="1953">
        <f t="shared" si="512"/>
        <v>0</v>
      </c>
      <c r="CB318" s="1594">
        <f t="shared" si="512"/>
        <v>0</v>
      </c>
      <c r="CC318" s="1397">
        <f t="shared" si="512"/>
        <v>0</v>
      </c>
      <c r="CD318" s="2176">
        <f t="shared" si="512"/>
        <v>0</v>
      </c>
      <c r="CE318" s="2545" t="s">
        <v>1764</v>
      </c>
      <c r="CF318" s="2546"/>
      <c r="CG318" s="1640">
        <f t="shared" ref="CG318:CJ318" si="513">SUM(CG317+CG312+CG274+CG263+CG251+CG256)</f>
        <v>1300</v>
      </c>
      <c r="CH318" s="1389">
        <f t="shared" si="513"/>
        <v>0</v>
      </c>
      <c r="CI318" s="1953">
        <f t="shared" si="513"/>
        <v>0</v>
      </c>
      <c r="CJ318" s="1594">
        <f t="shared" si="513"/>
        <v>0</v>
      </c>
      <c r="CK318" s="2545" t="s">
        <v>1764</v>
      </c>
      <c r="CL318" s="2546"/>
      <c r="CM318" s="1640">
        <f t="shared" ref="CM318:DH318" si="514">SUM(CM317+CM312+CM274+CM263+CM251+CM256)</f>
        <v>0</v>
      </c>
      <c r="CN318" s="1389">
        <f t="shared" si="514"/>
        <v>0</v>
      </c>
      <c r="CO318" s="1953">
        <f t="shared" si="514"/>
        <v>86583</v>
      </c>
      <c r="CP318" s="1594">
        <f t="shared" si="514"/>
        <v>59379</v>
      </c>
      <c r="CQ318" s="1640">
        <f t="shared" si="514"/>
        <v>0</v>
      </c>
      <c r="CR318" s="1389">
        <f t="shared" si="514"/>
        <v>20000</v>
      </c>
      <c r="CS318" s="1953">
        <f t="shared" si="514"/>
        <v>25000</v>
      </c>
      <c r="CT318" s="1594">
        <f t="shared" si="514"/>
        <v>0</v>
      </c>
      <c r="CU318" s="1640">
        <f t="shared" si="514"/>
        <v>100000</v>
      </c>
      <c r="CV318" s="1389">
        <f t="shared" si="514"/>
        <v>0</v>
      </c>
      <c r="CW318" s="1953">
        <f t="shared" si="514"/>
        <v>110000</v>
      </c>
      <c r="CX318" s="1594">
        <f t="shared" si="514"/>
        <v>0</v>
      </c>
      <c r="CY318" s="1640">
        <f t="shared" si="514"/>
        <v>0</v>
      </c>
      <c r="CZ318" s="1389">
        <f t="shared" si="514"/>
        <v>0</v>
      </c>
      <c r="DA318" s="1953">
        <f t="shared" si="514"/>
        <v>1940600</v>
      </c>
      <c r="DB318" s="1594">
        <f t="shared" si="514"/>
        <v>66850</v>
      </c>
      <c r="DC318" s="1100">
        <f t="shared" si="514"/>
        <v>0</v>
      </c>
      <c r="DD318" s="2007">
        <f t="shared" si="514"/>
        <v>0</v>
      </c>
      <c r="DE318" s="1640">
        <f t="shared" si="514"/>
        <v>0</v>
      </c>
      <c r="DF318" s="1389">
        <f t="shared" si="514"/>
        <v>0</v>
      </c>
      <c r="DG318" s="1953">
        <f t="shared" si="514"/>
        <v>0</v>
      </c>
      <c r="DH318" s="1594">
        <f t="shared" si="514"/>
        <v>0</v>
      </c>
      <c r="DI318" s="2547" t="s">
        <v>1764</v>
      </c>
      <c r="DJ318" s="2546"/>
      <c r="DK318" s="1100">
        <f t="shared" ref="DK318:DL318" si="515">SUM(DK317+DK312+DK274+DK263+DK251+DK256)</f>
        <v>0</v>
      </c>
      <c r="DL318" s="2007">
        <f t="shared" si="515"/>
        <v>0</v>
      </c>
      <c r="DM318" s="1100">
        <f t="shared" ref="DM318:DP318" si="516">SUM(DM317+DM312+DM274+DM263+DM251+DM256)</f>
        <v>0</v>
      </c>
      <c r="DN318" s="2007">
        <f t="shared" si="516"/>
        <v>0</v>
      </c>
      <c r="DO318" s="1100">
        <f t="shared" si="516"/>
        <v>0</v>
      </c>
      <c r="DP318" s="2007">
        <f t="shared" si="516"/>
        <v>0</v>
      </c>
      <c r="DQ318" s="2545" t="s">
        <v>1764</v>
      </c>
      <c r="DR318" s="2547"/>
      <c r="DS318" s="1640">
        <f t="shared" ref="DS318:DV318" si="517">SUM(DS317+DS312+DS274+DS263+DS251+DS256)</f>
        <v>0</v>
      </c>
      <c r="DT318" s="1389">
        <f t="shared" si="517"/>
        <v>0</v>
      </c>
      <c r="DU318" s="1953">
        <f t="shared" si="517"/>
        <v>0</v>
      </c>
      <c r="DV318" s="1594">
        <f t="shared" si="517"/>
        <v>0</v>
      </c>
      <c r="DW318" s="2545" t="s">
        <v>1764</v>
      </c>
      <c r="DX318" s="2546"/>
      <c r="DY318" s="1640">
        <f>SUM(DY317+DY312+DY274+DY263+DY251+DY256)</f>
        <v>15000</v>
      </c>
      <c r="DZ318" s="1389">
        <f>SUM(DZ317+DZ312+DZ274+DZ263+DZ251+DZ256)</f>
        <v>0</v>
      </c>
      <c r="EA318" s="1953">
        <f>SUM(EA317+EA312+EA274+EA263+EA251+EA256)</f>
        <v>76446</v>
      </c>
      <c r="EB318" s="1594">
        <f>SUM(EB317+EB312+EB274+EB263+EB251+EB256)</f>
        <v>0</v>
      </c>
      <c r="EC318" s="1100">
        <f t="shared" ref="EC318:ED318" si="518">SUM(EC317+EC312+EC274+EC263+EC251+EC256)</f>
        <v>0</v>
      </c>
      <c r="ED318" s="2007">
        <f t="shared" si="518"/>
        <v>0</v>
      </c>
      <c r="EE318" s="2545" t="s">
        <v>1764</v>
      </c>
      <c r="EF318" s="2546"/>
      <c r="EG318" s="1100">
        <f t="shared" ref="EG318:EO318" si="519">SUM(EG317+EG312+EG274+EG263+EG251+EG256)</f>
        <v>0</v>
      </c>
      <c r="EH318" s="2007">
        <f t="shared" si="519"/>
        <v>0</v>
      </c>
      <c r="EI318" s="1640">
        <f t="shared" si="519"/>
        <v>0</v>
      </c>
      <c r="EJ318" s="1389">
        <f t="shared" si="519"/>
        <v>35000</v>
      </c>
      <c r="EK318" s="1953">
        <f t="shared" si="519"/>
        <v>0</v>
      </c>
      <c r="EL318" s="1594">
        <f t="shared" si="519"/>
        <v>100000</v>
      </c>
      <c r="EM318" s="1594">
        <f t="shared" si="519"/>
        <v>14792199.764</v>
      </c>
      <c r="EN318" s="1594">
        <f t="shared" si="519"/>
        <v>570108</v>
      </c>
      <c r="EO318" s="1594">
        <f t="shared" si="519"/>
        <v>0</v>
      </c>
      <c r="EP318" s="2223">
        <f t="shared" si="461"/>
        <v>15362307.764</v>
      </c>
      <c r="EQ318" s="1791">
        <f t="shared" ref="EQ318:EQ381" si="520">SUM(C318+Q318+U318+Y318+AE318+AI318+AM318+AO318+AU318+BA318+BG318+BK318+BQ318+BS318+CC318+CG318+CM318+CQ318+CU318+CY318+DE318+DS318+DY318+EI318)</f>
        <v>9789858</v>
      </c>
      <c r="ER318" s="1770">
        <f t="shared" ref="ER318:ER381" si="521">SUM(D318+I318+K318+O318+R318+V318+Z318+AF318+AJ318+AP318+AV318+BB318+BH318+BL318+BO318+BT318+BW318+CH318+CN318+CR318+CV318+CZ318+DC318+DF318+DM318+DO318+DT318+DZ318+EC318+EG318+EJ318+G318)</f>
        <v>63467</v>
      </c>
      <c r="ES318" s="1770">
        <f t="shared" ref="ES318:ES381" si="522">SUM(AQ318)</f>
        <v>0</v>
      </c>
      <c r="ET318" s="1417">
        <f t="shared" si="465"/>
        <v>9853325</v>
      </c>
    </row>
    <row r="319" spans="1:150" ht="30" customHeight="1" x14ac:dyDescent="0.25">
      <c r="A319" s="1172"/>
      <c r="B319" s="1173" t="s">
        <v>1765</v>
      </c>
      <c r="C319" s="1670"/>
      <c r="D319" s="1633"/>
      <c r="E319" s="1956"/>
      <c r="F319" s="1957"/>
      <c r="G319" s="1694"/>
      <c r="H319" s="2009"/>
      <c r="I319" s="1694"/>
      <c r="J319" s="2009"/>
      <c r="K319" s="1694"/>
      <c r="L319" s="2039"/>
      <c r="M319" s="1172"/>
      <c r="N319" s="1173" t="s">
        <v>1765</v>
      </c>
      <c r="O319" s="1694"/>
      <c r="P319" s="2039"/>
      <c r="Q319" s="1670"/>
      <c r="R319" s="1633"/>
      <c r="S319" s="1956"/>
      <c r="T319" s="1957"/>
      <c r="U319" s="1670"/>
      <c r="V319" s="1633"/>
      <c r="W319" s="1956"/>
      <c r="X319" s="1957"/>
      <c r="Y319" s="1670"/>
      <c r="Z319" s="1633"/>
      <c r="AA319" s="2073"/>
      <c r="AB319" s="1957"/>
      <c r="AC319" s="2298"/>
      <c r="AD319" s="1173" t="s">
        <v>1765</v>
      </c>
      <c r="AE319" s="1670"/>
      <c r="AF319" s="1633"/>
      <c r="AG319" s="1956"/>
      <c r="AH319" s="1957"/>
      <c r="AI319" s="1670"/>
      <c r="AJ319" s="1633"/>
      <c r="AK319" s="1956"/>
      <c r="AL319" s="1957"/>
      <c r="AM319" s="1694"/>
      <c r="AN319" s="2039"/>
      <c r="AO319" s="1878"/>
      <c r="AP319" s="1726"/>
      <c r="AQ319" s="1727"/>
      <c r="AR319" s="2120"/>
      <c r="AS319" s="2121"/>
      <c r="AT319" s="2120"/>
      <c r="AU319" s="1670"/>
      <c r="AV319" s="1633"/>
      <c r="AW319" s="1956"/>
      <c r="AX319" s="1957"/>
      <c r="AY319" s="1172"/>
      <c r="AZ319" s="1173" t="s">
        <v>1765</v>
      </c>
      <c r="BA319" s="1670"/>
      <c r="BB319" s="1633"/>
      <c r="BC319" s="1956"/>
      <c r="BD319" s="1957"/>
      <c r="BE319" s="1172"/>
      <c r="BF319" s="1173" t="s">
        <v>1765</v>
      </c>
      <c r="BG319" s="1670"/>
      <c r="BH319" s="1633"/>
      <c r="BI319" s="1956"/>
      <c r="BJ319" s="1957"/>
      <c r="BK319" s="1670"/>
      <c r="BL319" s="1633"/>
      <c r="BM319" s="1956"/>
      <c r="BN319" s="1957"/>
      <c r="BO319" s="1694"/>
      <c r="BP319" s="2009"/>
      <c r="BQ319" s="1694"/>
      <c r="BR319" s="2039"/>
      <c r="BS319" s="1670"/>
      <c r="BT319" s="1633"/>
      <c r="BU319" s="1956"/>
      <c r="BV319" s="1957"/>
      <c r="BW319" s="1694"/>
      <c r="BX319" s="2039"/>
      <c r="BY319" s="1670"/>
      <c r="BZ319" s="1633"/>
      <c r="CA319" s="1956"/>
      <c r="CB319" s="1957"/>
      <c r="CC319" s="1762"/>
      <c r="CD319" s="2172"/>
      <c r="CE319" s="1172"/>
      <c r="CF319" s="1173" t="s">
        <v>1765</v>
      </c>
      <c r="CG319" s="1670"/>
      <c r="CH319" s="1633"/>
      <c r="CI319" s="1956"/>
      <c r="CJ319" s="1957"/>
      <c r="CK319" s="1172"/>
      <c r="CL319" s="1173" t="s">
        <v>1765</v>
      </c>
      <c r="CM319" s="1670"/>
      <c r="CN319" s="1633"/>
      <c r="CO319" s="1956"/>
      <c r="CP319" s="1957"/>
      <c r="CQ319" s="1670"/>
      <c r="CR319" s="1633"/>
      <c r="CS319" s="1956"/>
      <c r="CT319" s="1957"/>
      <c r="CU319" s="1670"/>
      <c r="CV319" s="1633"/>
      <c r="CW319" s="1956"/>
      <c r="CX319" s="1957"/>
      <c r="CY319" s="1670"/>
      <c r="CZ319" s="1633"/>
      <c r="DA319" s="1956"/>
      <c r="DB319" s="1957"/>
      <c r="DC319" s="1694"/>
      <c r="DD319" s="2039"/>
      <c r="DE319" s="1670"/>
      <c r="DF319" s="1633"/>
      <c r="DG319" s="1956"/>
      <c r="DH319" s="1957"/>
      <c r="DI319" s="2298"/>
      <c r="DJ319" s="1173" t="s">
        <v>1765</v>
      </c>
      <c r="DK319" s="1694"/>
      <c r="DL319" s="2009"/>
      <c r="DM319" s="1694"/>
      <c r="DN319" s="2009"/>
      <c r="DO319" s="1694"/>
      <c r="DP319" s="2039"/>
      <c r="DQ319" s="1172"/>
      <c r="DR319" s="1174" t="s">
        <v>1765</v>
      </c>
      <c r="DS319" s="1670"/>
      <c r="DT319" s="1633"/>
      <c r="DU319" s="1956"/>
      <c r="DV319" s="1957"/>
      <c r="DW319" s="1172"/>
      <c r="DX319" s="1173" t="s">
        <v>1765</v>
      </c>
      <c r="DY319" s="1670"/>
      <c r="DZ319" s="1633"/>
      <c r="EA319" s="1956"/>
      <c r="EB319" s="1957"/>
      <c r="EC319" s="1694"/>
      <c r="ED319" s="2039"/>
      <c r="EE319" s="1172"/>
      <c r="EF319" s="1173" t="s">
        <v>1765</v>
      </c>
      <c r="EG319" s="1694"/>
      <c r="EH319" s="2039"/>
      <c r="EI319" s="1670"/>
      <c r="EJ319" s="1633"/>
      <c r="EK319" s="2245"/>
      <c r="EL319" s="1957"/>
      <c r="EM319" s="2246"/>
      <c r="EN319" s="2247"/>
      <c r="EO319" s="2247"/>
      <c r="EP319" s="2247">
        <f t="shared" si="461"/>
        <v>0</v>
      </c>
      <c r="EQ319" s="1806">
        <f t="shared" si="520"/>
        <v>0</v>
      </c>
      <c r="ER319" s="1807">
        <f t="shared" si="521"/>
        <v>0</v>
      </c>
      <c r="ES319" s="1807">
        <f t="shared" si="522"/>
        <v>0</v>
      </c>
      <c r="ET319" s="1808">
        <f t="shared" si="465"/>
        <v>0</v>
      </c>
    </row>
    <row r="320" spans="1:150" x14ac:dyDescent="0.25">
      <c r="A320" s="1044">
        <v>1</v>
      </c>
      <c r="B320" s="1175"/>
      <c r="C320" s="1672"/>
      <c r="D320" s="1634"/>
      <c r="E320" s="1958"/>
      <c r="F320" s="1959"/>
      <c r="G320" s="1696"/>
      <c r="H320" s="2010"/>
      <c r="I320" s="1696"/>
      <c r="J320" s="2010"/>
      <c r="K320" s="1696"/>
      <c r="L320" s="2033"/>
      <c r="M320" s="1044">
        <v>1</v>
      </c>
      <c r="N320" s="1175"/>
      <c r="O320" s="1696"/>
      <c r="P320" s="2040"/>
      <c r="Q320" s="1672"/>
      <c r="R320" s="1634"/>
      <c r="S320" s="1958"/>
      <c r="T320" s="1959"/>
      <c r="U320" s="1672"/>
      <c r="V320" s="1634"/>
      <c r="W320" s="1958"/>
      <c r="X320" s="1959"/>
      <c r="Y320" s="1672"/>
      <c r="Z320" s="1634"/>
      <c r="AA320" s="2067"/>
      <c r="AB320" s="1939"/>
      <c r="AC320" s="1118">
        <v>1</v>
      </c>
      <c r="AD320" s="1175"/>
      <c r="AE320" s="1672"/>
      <c r="AF320" s="1634"/>
      <c r="AG320" s="1958"/>
      <c r="AH320" s="1959"/>
      <c r="AI320" s="1672"/>
      <c r="AJ320" s="1634"/>
      <c r="AK320" s="1958"/>
      <c r="AL320" s="1959"/>
      <c r="AM320" s="1696"/>
      <c r="AN320" s="2040"/>
      <c r="AO320" s="1879"/>
      <c r="AP320" s="1262"/>
      <c r="AQ320" s="1728"/>
      <c r="AR320" s="2122"/>
      <c r="AS320" s="1552"/>
      <c r="AT320" s="2122"/>
      <c r="AU320" s="1672"/>
      <c r="AV320" s="1634"/>
      <c r="AW320" s="1938"/>
      <c r="AX320" s="1939"/>
      <c r="AY320" s="1044">
        <v>1</v>
      </c>
      <c r="AZ320" s="1117"/>
      <c r="BA320" s="1672"/>
      <c r="BB320" s="1634"/>
      <c r="BC320" s="1938"/>
      <c r="BD320" s="1939"/>
      <c r="BE320" s="1044">
        <v>1</v>
      </c>
      <c r="BF320" s="1175"/>
      <c r="BG320" s="1672"/>
      <c r="BH320" s="1634"/>
      <c r="BI320" s="1958"/>
      <c r="BJ320" s="1959"/>
      <c r="BK320" s="1672"/>
      <c r="BL320" s="1634"/>
      <c r="BM320" s="1958"/>
      <c r="BN320" s="1959"/>
      <c r="BO320" s="1696"/>
      <c r="BP320" s="2010"/>
      <c r="BQ320" s="1696"/>
      <c r="BR320" s="2040"/>
      <c r="BS320" s="1672"/>
      <c r="BT320" s="1634"/>
      <c r="BU320" s="1958"/>
      <c r="BV320" s="1959"/>
      <c r="BW320" s="1696"/>
      <c r="BX320" s="2040"/>
      <c r="BY320" s="1672"/>
      <c r="BZ320" s="1634"/>
      <c r="CA320" s="1958"/>
      <c r="CB320" s="1959"/>
      <c r="CC320" s="1755"/>
      <c r="CD320" s="2163"/>
      <c r="CE320" s="1044">
        <v>1</v>
      </c>
      <c r="CF320" s="1117" t="s">
        <v>1766</v>
      </c>
      <c r="CG320" s="1672"/>
      <c r="CH320" s="1634"/>
      <c r="CI320" s="1938"/>
      <c r="CJ320" s="1939"/>
      <c r="CK320" s="1044">
        <v>1</v>
      </c>
      <c r="CL320" s="1175"/>
      <c r="CM320" s="1672"/>
      <c r="CN320" s="1634"/>
      <c r="CO320" s="1958"/>
      <c r="CP320" s="1959"/>
      <c r="CQ320" s="1672"/>
      <c r="CR320" s="1634"/>
      <c r="CS320" s="1958"/>
      <c r="CT320" s="1959"/>
      <c r="CU320" s="1672"/>
      <c r="CV320" s="1634"/>
      <c r="CW320" s="1958"/>
      <c r="CX320" s="1959"/>
      <c r="CY320" s="1672"/>
      <c r="CZ320" s="1634"/>
      <c r="DA320" s="1958"/>
      <c r="DB320" s="1959"/>
      <c r="DC320" s="1696"/>
      <c r="DD320" s="2040"/>
      <c r="DE320" s="1672"/>
      <c r="DF320" s="1634"/>
      <c r="DG320" s="1938"/>
      <c r="DH320" s="1939"/>
      <c r="DI320" s="1118">
        <v>1</v>
      </c>
      <c r="DJ320" s="1175"/>
      <c r="DK320" s="1696"/>
      <c r="DL320" s="2010"/>
      <c r="DM320" s="1696"/>
      <c r="DN320" s="2010"/>
      <c r="DO320" s="1696"/>
      <c r="DP320" s="2033"/>
      <c r="DQ320" s="1044">
        <v>1</v>
      </c>
      <c r="DR320" s="1122"/>
      <c r="DS320" s="1672"/>
      <c r="DT320" s="1634"/>
      <c r="DU320" s="1938"/>
      <c r="DV320" s="1939"/>
      <c r="DW320" s="1044"/>
      <c r="DX320" s="1176" t="s">
        <v>1767</v>
      </c>
      <c r="DY320" s="1672"/>
      <c r="DZ320" s="1634"/>
      <c r="EA320" s="1958"/>
      <c r="EB320" s="1959"/>
      <c r="EC320" s="1696"/>
      <c r="ED320" s="2033"/>
      <c r="EE320" s="1044">
        <v>1</v>
      </c>
      <c r="EF320" s="1175"/>
      <c r="EG320" s="1696"/>
      <c r="EH320" s="2040"/>
      <c r="EI320" s="1672"/>
      <c r="EJ320" s="1634"/>
      <c r="EK320" s="2232"/>
      <c r="EL320" s="1959"/>
      <c r="EM320" s="2202">
        <f t="shared" ref="EM320:EM322" si="523">E320+S320+W320+AA320+AG320+AK320+AN320+AR320+AW320+BC320+BI320+BM320+BR320+BU320+CA320+CD320+CI320+CO320+CS320+CW320+DA320+DG320+DU320+EA320+EK320</f>
        <v>0</v>
      </c>
      <c r="EN320" s="1585">
        <f t="shared" ref="EN320:EN322" si="524">F320+H320+J320+L320+P320+T320+X320+AB320+AH320+AL320+AS320+AX320+BD320+BJ320+BN320+BP320+BV320+BX320+CB320+CJ320+CP320+CT320+CX320+DB320+DD320+DH320+DN320+DP320+DV320+EB320+ED320+EH320+EL320+DL320</f>
        <v>0</v>
      </c>
      <c r="EO320" s="1585">
        <f t="shared" ref="EO320:EO322" si="525">AQ320</f>
        <v>0</v>
      </c>
      <c r="EP320" s="2248">
        <f t="shared" si="461"/>
        <v>0</v>
      </c>
      <c r="EQ320" s="1809">
        <f t="shared" si="520"/>
        <v>0</v>
      </c>
      <c r="ER320" s="1810">
        <f t="shared" si="521"/>
        <v>0</v>
      </c>
      <c r="ES320" s="1810">
        <f t="shared" si="522"/>
        <v>0</v>
      </c>
      <c r="ET320" s="1811">
        <f t="shared" si="465"/>
        <v>0</v>
      </c>
    </row>
    <row r="321" spans="1:150" x14ac:dyDescent="0.25">
      <c r="A321" s="1044">
        <v>2</v>
      </c>
      <c r="B321" s="1175"/>
      <c r="C321" s="1672"/>
      <c r="D321" s="1634"/>
      <c r="E321" s="1958"/>
      <c r="F321" s="1959"/>
      <c r="G321" s="1696"/>
      <c r="H321" s="2010"/>
      <c r="I321" s="1696"/>
      <c r="J321" s="2010"/>
      <c r="K321" s="1696"/>
      <c r="L321" s="2033"/>
      <c r="M321" s="1044">
        <v>2</v>
      </c>
      <c r="N321" s="1175"/>
      <c r="O321" s="1696"/>
      <c r="P321" s="2040"/>
      <c r="Q321" s="1672"/>
      <c r="R321" s="1634"/>
      <c r="S321" s="1958"/>
      <c r="T321" s="1959"/>
      <c r="U321" s="1672"/>
      <c r="V321" s="1634"/>
      <c r="W321" s="1958"/>
      <c r="X321" s="1959"/>
      <c r="Y321" s="1672"/>
      <c r="Z321" s="1634"/>
      <c r="AA321" s="2067"/>
      <c r="AB321" s="1939"/>
      <c r="AC321" s="1118">
        <v>2</v>
      </c>
      <c r="AD321" s="1175"/>
      <c r="AE321" s="1672"/>
      <c r="AF321" s="1634"/>
      <c r="AG321" s="1958"/>
      <c r="AH321" s="1959"/>
      <c r="AI321" s="1672"/>
      <c r="AJ321" s="1634"/>
      <c r="AK321" s="1958"/>
      <c r="AL321" s="1959"/>
      <c r="AM321" s="1696"/>
      <c r="AN321" s="2040"/>
      <c r="AO321" s="1879"/>
      <c r="AP321" s="1262"/>
      <c r="AQ321" s="1728"/>
      <c r="AR321" s="2122"/>
      <c r="AS321" s="1552"/>
      <c r="AT321" s="2122"/>
      <c r="AU321" s="1672"/>
      <c r="AV321" s="1634"/>
      <c r="AW321" s="1938"/>
      <c r="AX321" s="1939"/>
      <c r="AY321" s="1044">
        <v>2</v>
      </c>
      <c r="AZ321" s="1177"/>
      <c r="BA321" s="1672"/>
      <c r="BB321" s="1634"/>
      <c r="BC321" s="1938"/>
      <c r="BD321" s="1939"/>
      <c r="BE321" s="1044">
        <v>2</v>
      </c>
      <c r="BF321" s="1175"/>
      <c r="BG321" s="1672"/>
      <c r="BH321" s="1634"/>
      <c r="BI321" s="1958"/>
      <c r="BJ321" s="1959"/>
      <c r="BK321" s="1672"/>
      <c r="BL321" s="1634"/>
      <c r="BM321" s="1958"/>
      <c r="BN321" s="1959"/>
      <c r="BO321" s="1696"/>
      <c r="BP321" s="2010"/>
      <c r="BQ321" s="1696"/>
      <c r="BR321" s="2040"/>
      <c r="BS321" s="1672"/>
      <c r="BT321" s="1634"/>
      <c r="BU321" s="1958"/>
      <c r="BV321" s="1959"/>
      <c r="BW321" s="1696"/>
      <c r="BX321" s="2040"/>
      <c r="BY321" s="1672"/>
      <c r="BZ321" s="1634"/>
      <c r="CA321" s="1958"/>
      <c r="CB321" s="1959"/>
      <c r="CC321" s="1755"/>
      <c r="CD321" s="2163"/>
      <c r="CE321" s="1044">
        <v>2</v>
      </c>
      <c r="CF321" s="1177"/>
      <c r="CG321" s="1672"/>
      <c r="CH321" s="1634"/>
      <c r="CI321" s="1938"/>
      <c r="CJ321" s="1939"/>
      <c r="CK321" s="1044">
        <v>2</v>
      </c>
      <c r="CL321" s="1175"/>
      <c r="CM321" s="1672"/>
      <c r="CN321" s="1634"/>
      <c r="CO321" s="1958"/>
      <c r="CP321" s="1959"/>
      <c r="CQ321" s="1672"/>
      <c r="CR321" s="1634"/>
      <c r="CS321" s="1958"/>
      <c r="CT321" s="1959"/>
      <c r="CU321" s="1672"/>
      <c r="CV321" s="1634"/>
      <c r="CW321" s="1958"/>
      <c r="CX321" s="1959"/>
      <c r="CY321" s="1672"/>
      <c r="CZ321" s="1634"/>
      <c r="DA321" s="1958"/>
      <c r="DB321" s="1959"/>
      <c r="DC321" s="1696"/>
      <c r="DD321" s="2040"/>
      <c r="DE321" s="1672"/>
      <c r="DF321" s="1634"/>
      <c r="DG321" s="1938"/>
      <c r="DH321" s="1939"/>
      <c r="DI321" s="1118">
        <v>2</v>
      </c>
      <c r="DJ321" s="1175"/>
      <c r="DK321" s="1696"/>
      <c r="DL321" s="2010"/>
      <c r="DM321" s="1696"/>
      <c r="DN321" s="2010"/>
      <c r="DO321" s="1696"/>
      <c r="DP321" s="2033"/>
      <c r="DQ321" s="1044">
        <v>2</v>
      </c>
      <c r="DR321" s="1122"/>
      <c r="DS321" s="1672"/>
      <c r="DT321" s="1634"/>
      <c r="DU321" s="1938"/>
      <c r="DV321" s="1939"/>
      <c r="DW321" s="1044">
        <v>1</v>
      </c>
      <c r="DX321" s="1178" t="s">
        <v>1768</v>
      </c>
      <c r="DY321" s="1672"/>
      <c r="DZ321" s="1634"/>
      <c r="EA321" s="1958"/>
      <c r="EB321" s="1959"/>
      <c r="EC321" s="1696"/>
      <c r="ED321" s="2033"/>
      <c r="EE321" s="1044">
        <v>2</v>
      </c>
      <c r="EF321" s="1175"/>
      <c r="EG321" s="1696"/>
      <c r="EH321" s="2040"/>
      <c r="EI321" s="1672"/>
      <c r="EJ321" s="1634"/>
      <c r="EK321" s="2232"/>
      <c r="EL321" s="1959"/>
      <c r="EM321" s="2202">
        <f t="shared" si="523"/>
        <v>0</v>
      </c>
      <c r="EN321" s="1585">
        <f t="shared" si="524"/>
        <v>0</v>
      </c>
      <c r="EO321" s="1585">
        <f t="shared" si="525"/>
        <v>0</v>
      </c>
      <c r="EP321" s="2248">
        <f t="shared" si="461"/>
        <v>0</v>
      </c>
      <c r="EQ321" s="1809">
        <f t="shared" si="520"/>
        <v>0</v>
      </c>
      <c r="ER321" s="1810">
        <f t="shared" si="521"/>
        <v>0</v>
      </c>
      <c r="ES321" s="1810">
        <f t="shared" si="522"/>
        <v>0</v>
      </c>
      <c r="ET321" s="1811">
        <f t="shared" si="465"/>
        <v>0</v>
      </c>
    </row>
    <row r="322" spans="1:150" x14ac:dyDescent="0.25">
      <c r="A322" s="1179"/>
      <c r="B322" s="1131"/>
      <c r="C322" s="1043"/>
      <c r="D322" s="1039"/>
      <c r="E322" s="1930"/>
      <c r="F322" s="1931"/>
      <c r="G322" s="1072"/>
      <c r="H322" s="1994"/>
      <c r="I322" s="1072"/>
      <c r="J322" s="1994"/>
      <c r="K322" s="1072"/>
      <c r="L322" s="1975"/>
      <c r="M322" s="1179"/>
      <c r="N322" s="1131"/>
      <c r="O322" s="1072"/>
      <c r="P322" s="2029"/>
      <c r="Q322" s="1043"/>
      <c r="R322" s="1039"/>
      <c r="S322" s="1930"/>
      <c r="T322" s="1931"/>
      <c r="U322" s="1043"/>
      <c r="V322" s="1039"/>
      <c r="W322" s="1930"/>
      <c r="X322" s="1931"/>
      <c r="Y322" s="1043"/>
      <c r="Z322" s="1039"/>
      <c r="AA322" s="2062"/>
      <c r="AB322" s="1929"/>
      <c r="AC322" s="1180"/>
      <c r="AD322" s="1131"/>
      <c r="AE322" s="1043"/>
      <c r="AF322" s="1039"/>
      <c r="AG322" s="1930"/>
      <c r="AH322" s="1931"/>
      <c r="AI322" s="1043"/>
      <c r="AJ322" s="1039"/>
      <c r="AK322" s="1930"/>
      <c r="AL322" s="1931"/>
      <c r="AM322" s="1072"/>
      <c r="AN322" s="2029"/>
      <c r="AO322" s="1718"/>
      <c r="AP322" s="1075"/>
      <c r="AQ322" s="1076"/>
      <c r="AR322" s="2099"/>
      <c r="AS322" s="1444"/>
      <c r="AT322" s="2099"/>
      <c r="AU322" s="1043"/>
      <c r="AV322" s="1039"/>
      <c r="AW322" s="1928"/>
      <c r="AX322" s="1929"/>
      <c r="AY322" s="1179"/>
      <c r="AZ322" s="1181"/>
      <c r="BA322" s="1043"/>
      <c r="BB322" s="1039"/>
      <c r="BC322" s="1928"/>
      <c r="BD322" s="1929"/>
      <c r="BE322" s="1179"/>
      <c r="BF322" s="1131"/>
      <c r="BG322" s="1043"/>
      <c r="BH322" s="1039"/>
      <c r="BI322" s="1930"/>
      <c r="BJ322" s="1931"/>
      <c r="BK322" s="1043"/>
      <c r="BL322" s="1039"/>
      <c r="BM322" s="1930"/>
      <c r="BN322" s="1931"/>
      <c r="BO322" s="1072"/>
      <c r="BP322" s="1994"/>
      <c r="BQ322" s="1072"/>
      <c r="BR322" s="2029"/>
      <c r="BS322" s="1043"/>
      <c r="BT322" s="1039"/>
      <c r="BU322" s="1930"/>
      <c r="BV322" s="1931"/>
      <c r="BW322" s="1072"/>
      <c r="BX322" s="2029"/>
      <c r="BY322" s="1043"/>
      <c r="BZ322" s="1039"/>
      <c r="CA322" s="1930"/>
      <c r="CB322" s="1931"/>
      <c r="CC322" s="1749"/>
      <c r="CD322" s="2156"/>
      <c r="CE322" s="1179"/>
      <c r="CF322" s="1181"/>
      <c r="CG322" s="1043"/>
      <c r="CH322" s="1039"/>
      <c r="CI322" s="1928"/>
      <c r="CJ322" s="1929"/>
      <c r="CK322" s="1179"/>
      <c r="CL322" s="1131"/>
      <c r="CM322" s="1043"/>
      <c r="CN322" s="1039"/>
      <c r="CO322" s="1930"/>
      <c r="CP322" s="1931"/>
      <c r="CQ322" s="1043"/>
      <c r="CR322" s="1039"/>
      <c r="CS322" s="1930"/>
      <c r="CT322" s="1931"/>
      <c r="CU322" s="1043"/>
      <c r="CV322" s="1039"/>
      <c r="CW322" s="1930"/>
      <c r="CX322" s="1931"/>
      <c r="CY322" s="1043"/>
      <c r="CZ322" s="1039"/>
      <c r="DA322" s="1930"/>
      <c r="DB322" s="1931"/>
      <c r="DC322" s="1072"/>
      <c r="DD322" s="2029"/>
      <c r="DE322" s="1043"/>
      <c r="DF322" s="1039"/>
      <c r="DG322" s="1928"/>
      <c r="DH322" s="1929"/>
      <c r="DI322" s="1180"/>
      <c r="DJ322" s="1131"/>
      <c r="DK322" s="1072"/>
      <c r="DL322" s="1994"/>
      <c r="DM322" s="1072"/>
      <c r="DN322" s="1994"/>
      <c r="DO322" s="1072"/>
      <c r="DP322" s="1975"/>
      <c r="DQ322" s="1179"/>
      <c r="DR322" s="1182"/>
      <c r="DS322" s="1043"/>
      <c r="DT322" s="1039"/>
      <c r="DU322" s="1928"/>
      <c r="DV322" s="1929"/>
      <c r="DW322" s="1044">
        <v>2</v>
      </c>
      <c r="DX322" s="1175"/>
      <c r="DY322" s="1043"/>
      <c r="DZ322" s="1039"/>
      <c r="EA322" s="1930"/>
      <c r="EB322" s="1931"/>
      <c r="EC322" s="1072"/>
      <c r="ED322" s="1975"/>
      <c r="EE322" s="1179"/>
      <c r="EF322" s="1131"/>
      <c r="EG322" s="1072"/>
      <c r="EH322" s="2029"/>
      <c r="EI322" s="1043"/>
      <c r="EJ322" s="1039"/>
      <c r="EK322" s="2217"/>
      <c r="EL322" s="1931"/>
      <c r="EM322" s="2202">
        <f t="shared" si="523"/>
        <v>0</v>
      </c>
      <c r="EN322" s="1585">
        <f t="shared" si="524"/>
        <v>0</v>
      </c>
      <c r="EO322" s="1585">
        <f t="shared" si="525"/>
        <v>0</v>
      </c>
      <c r="EP322" s="2249">
        <f t="shared" si="461"/>
        <v>0</v>
      </c>
      <c r="EQ322" s="1731">
        <f t="shared" si="520"/>
        <v>0</v>
      </c>
      <c r="ER322" s="1812">
        <f t="shared" si="521"/>
        <v>0</v>
      </c>
      <c r="ES322" s="1812">
        <f t="shared" si="522"/>
        <v>0</v>
      </c>
      <c r="ET322" s="1813">
        <f t="shared" si="465"/>
        <v>0</v>
      </c>
    </row>
    <row r="323" spans="1:150" ht="30" customHeight="1" thickBot="1" x14ac:dyDescent="0.3">
      <c r="A323" s="1124"/>
      <c r="B323" s="1125" t="s">
        <v>1769</v>
      </c>
      <c r="C323" s="1656">
        <f t="shared" ref="C323:L323" si="526">SUM(C319:C322)</f>
        <v>0</v>
      </c>
      <c r="D323" s="1642">
        <f t="shared" si="526"/>
        <v>0</v>
      </c>
      <c r="E323" s="1926">
        <f t="shared" si="526"/>
        <v>0</v>
      </c>
      <c r="F323" s="1927">
        <f t="shared" si="526"/>
        <v>0</v>
      </c>
      <c r="G323" s="1058">
        <f t="shared" si="526"/>
        <v>0</v>
      </c>
      <c r="H323" s="1992">
        <f t="shared" si="526"/>
        <v>0</v>
      </c>
      <c r="I323" s="1058">
        <f t="shared" si="526"/>
        <v>0</v>
      </c>
      <c r="J323" s="1992">
        <f t="shared" si="526"/>
        <v>0</v>
      </c>
      <c r="K323" s="1058">
        <f t="shared" si="526"/>
        <v>0</v>
      </c>
      <c r="L323" s="1992">
        <f t="shared" si="526"/>
        <v>0</v>
      </c>
      <c r="M323" s="1124"/>
      <c r="N323" s="1125" t="s">
        <v>1769</v>
      </c>
      <c r="O323" s="1058">
        <f t="shared" ref="O323:AB323" si="527">SUM(O319:O322)</f>
        <v>0</v>
      </c>
      <c r="P323" s="1992">
        <f t="shared" si="527"/>
        <v>0</v>
      </c>
      <c r="Q323" s="1656">
        <f t="shared" si="527"/>
        <v>0</v>
      </c>
      <c r="R323" s="1642">
        <f t="shared" si="527"/>
        <v>0</v>
      </c>
      <c r="S323" s="1926">
        <f t="shared" si="527"/>
        <v>0</v>
      </c>
      <c r="T323" s="1927">
        <f t="shared" si="527"/>
        <v>0</v>
      </c>
      <c r="U323" s="1656">
        <f t="shared" si="527"/>
        <v>0</v>
      </c>
      <c r="V323" s="1642">
        <f t="shared" si="527"/>
        <v>0</v>
      </c>
      <c r="W323" s="1926">
        <f t="shared" si="527"/>
        <v>0</v>
      </c>
      <c r="X323" s="1927">
        <f t="shared" si="527"/>
        <v>0</v>
      </c>
      <c r="Y323" s="1656">
        <f t="shared" si="527"/>
        <v>0</v>
      </c>
      <c r="Z323" s="1642">
        <f t="shared" si="527"/>
        <v>0</v>
      </c>
      <c r="AA323" s="1926">
        <f t="shared" si="527"/>
        <v>0</v>
      </c>
      <c r="AB323" s="1927">
        <f t="shared" si="527"/>
        <v>0</v>
      </c>
      <c r="AC323" s="1126"/>
      <c r="AD323" s="1125" t="s">
        <v>1769</v>
      </c>
      <c r="AE323" s="1656">
        <f t="shared" ref="AE323:AX323" si="528">SUM(AE319:AE322)</f>
        <v>0</v>
      </c>
      <c r="AF323" s="1642">
        <f t="shared" si="528"/>
        <v>0</v>
      </c>
      <c r="AG323" s="1926">
        <f t="shared" si="528"/>
        <v>0</v>
      </c>
      <c r="AH323" s="1927">
        <f t="shared" si="528"/>
        <v>0</v>
      </c>
      <c r="AI323" s="1656">
        <f t="shared" si="528"/>
        <v>0</v>
      </c>
      <c r="AJ323" s="1642">
        <f t="shared" si="528"/>
        <v>0</v>
      </c>
      <c r="AK323" s="1926">
        <f t="shared" si="528"/>
        <v>0</v>
      </c>
      <c r="AL323" s="1927">
        <f t="shared" si="528"/>
        <v>0</v>
      </c>
      <c r="AM323" s="1058">
        <f t="shared" si="528"/>
        <v>0</v>
      </c>
      <c r="AN323" s="1992">
        <f t="shared" si="528"/>
        <v>0</v>
      </c>
      <c r="AO323" s="1656">
        <f t="shared" si="528"/>
        <v>0</v>
      </c>
      <c r="AP323" s="1854">
        <f t="shared" si="528"/>
        <v>0</v>
      </c>
      <c r="AQ323" s="1030">
        <f t="shared" si="528"/>
        <v>0</v>
      </c>
      <c r="AR323" s="1926">
        <f t="shared" si="528"/>
        <v>0</v>
      </c>
      <c r="AS323" s="2096">
        <f t="shared" si="528"/>
        <v>0</v>
      </c>
      <c r="AT323" s="2097">
        <f t="shared" si="528"/>
        <v>0</v>
      </c>
      <c r="AU323" s="1656">
        <f t="shared" si="528"/>
        <v>0</v>
      </c>
      <c r="AV323" s="1642">
        <f t="shared" si="528"/>
        <v>0</v>
      </c>
      <c r="AW323" s="1926">
        <f t="shared" si="528"/>
        <v>0</v>
      </c>
      <c r="AX323" s="1927">
        <f t="shared" si="528"/>
        <v>0</v>
      </c>
      <c r="AY323" s="1124"/>
      <c r="AZ323" s="1125" t="s">
        <v>1769</v>
      </c>
      <c r="BA323" s="1656">
        <f t="shared" ref="BA323:BD323" si="529">SUM(BA319:BA322)</f>
        <v>0</v>
      </c>
      <c r="BB323" s="1642">
        <f t="shared" si="529"/>
        <v>0</v>
      </c>
      <c r="BC323" s="1926">
        <f t="shared" si="529"/>
        <v>0</v>
      </c>
      <c r="BD323" s="1927">
        <f t="shared" si="529"/>
        <v>0</v>
      </c>
      <c r="BE323" s="1124"/>
      <c r="BF323" s="1125" t="s">
        <v>1769</v>
      </c>
      <c r="BG323" s="1656">
        <f t="shared" ref="BG323:CD323" si="530">SUM(BG319:BG322)</f>
        <v>0</v>
      </c>
      <c r="BH323" s="1642">
        <f t="shared" si="530"/>
        <v>0</v>
      </c>
      <c r="BI323" s="1926">
        <f t="shared" si="530"/>
        <v>0</v>
      </c>
      <c r="BJ323" s="1927">
        <f t="shared" si="530"/>
        <v>0</v>
      </c>
      <c r="BK323" s="1656">
        <f t="shared" si="530"/>
        <v>0</v>
      </c>
      <c r="BL323" s="1642">
        <f t="shared" si="530"/>
        <v>0</v>
      </c>
      <c r="BM323" s="1926">
        <f t="shared" si="530"/>
        <v>0</v>
      </c>
      <c r="BN323" s="1927">
        <f t="shared" si="530"/>
        <v>0</v>
      </c>
      <c r="BO323" s="1058">
        <f t="shared" si="530"/>
        <v>0</v>
      </c>
      <c r="BP323" s="1992">
        <f t="shared" si="530"/>
        <v>0</v>
      </c>
      <c r="BQ323" s="1058">
        <f t="shared" si="530"/>
        <v>0</v>
      </c>
      <c r="BR323" s="1992">
        <f t="shared" si="530"/>
        <v>0</v>
      </c>
      <c r="BS323" s="1656">
        <f t="shared" si="530"/>
        <v>0</v>
      </c>
      <c r="BT323" s="1642">
        <f t="shared" si="530"/>
        <v>0</v>
      </c>
      <c r="BU323" s="1926">
        <f t="shared" si="530"/>
        <v>0</v>
      </c>
      <c r="BV323" s="1927">
        <f t="shared" si="530"/>
        <v>0</v>
      </c>
      <c r="BW323" s="1058">
        <f t="shared" si="530"/>
        <v>0</v>
      </c>
      <c r="BX323" s="1992">
        <f t="shared" si="530"/>
        <v>0</v>
      </c>
      <c r="BY323" s="1656">
        <f t="shared" si="530"/>
        <v>0</v>
      </c>
      <c r="BZ323" s="1642">
        <f t="shared" si="530"/>
        <v>0</v>
      </c>
      <c r="CA323" s="1926">
        <f t="shared" si="530"/>
        <v>0</v>
      </c>
      <c r="CB323" s="1927">
        <f t="shared" si="530"/>
        <v>0</v>
      </c>
      <c r="CC323" s="1705">
        <f t="shared" si="530"/>
        <v>0</v>
      </c>
      <c r="CD323" s="2159">
        <f t="shared" si="530"/>
        <v>0</v>
      </c>
      <c r="CE323" s="1124"/>
      <c r="CF323" s="1125" t="s">
        <v>1769</v>
      </c>
      <c r="CG323" s="1656">
        <f t="shared" ref="CG323:CJ323" si="531">SUM(CG319:CG322)</f>
        <v>0</v>
      </c>
      <c r="CH323" s="1642">
        <f t="shared" si="531"/>
        <v>0</v>
      </c>
      <c r="CI323" s="1926">
        <f t="shared" si="531"/>
        <v>0</v>
      </c>
      <c r="CJ323" s="1927">
        <f t="shared" si="531"/>
        <v>0</v>
      </c>
      <c r="CK323" s="1124"/>
      <c r="CL323" s="1125" t="s">
        <v>1769</v>
      </c>
      <c r="CM323" s="1656">
        <f t="shared" ref="CM323:DH323" si="532">SUM(CM319:CM322)</f>
        <v>0</v>
      </c>
      <c r="CN323" s="1642">
        <f t="shared" si="532"/>
        <v>0</v>
      </c>
      <c r="CO323" s="1926">
        <f t="shared" si="532"/>
        <v>0</v>
      </c>
      <c r="CP323" s="1927">
        <f t="shared" si="532"/>
        <v>0</v>
      </c>
      <c r="CQ323" s="1656">
        <f t="shared" si="532"/>
        <v>0</v>
      </c>
      <c r="CR323" s="1642">
        <f t="shared" si="532"/>
        <v>0</v>
      </c>
      <c r="CS323" s="1926">
        <f t="shared" si="532"/>
        <v>0</v>
      </c>
      <c r="CT323" s="1927">
        <f t="shared" si="532"/>
        <v>0</v>
      </c>
      <c r="CU323" s="1656">
        <f t="shared" si="532"/>
        <v>0</v>
      </c>
      <c r="CV323" s="1642">
        <f t="shared" si="532"/>
        <v>0</v>
      </c>
      <c r="CW323" s="1926">
        <f t="shared" si="532"/>
        <v>0</v>
      </c>
      <c r="CX323" s="1927">
        <f t="shared" si="532"/>
        <v>0</v>
      </c>
      <c r="CY323" s="1656">
        <f t="shared" si="532"/>
        <v>0</v>
      </c>
      <c r="CZ323" s="1642">
        <f t="shared" si="532"/>
        <v>0</v>
      </c>
      <c r="DA323" s="1926">
        <f t="shared" si="532"/>
        <v>0</v>
      </c>
      <c r="DB323" s="1927">
        <f t="shared" si="532"/>
        <v>0</v>
      </c>
      <c r="DC323" s="1058">
        <f t="shared" si="532"/>
        <v>0</v>
      </c>
      <c r="DD323" s="1992">
        <f t="shared" si="532"/>
        <v>0</v>
      </c>
      <c r="DE323" s="1656">
        <f t="shared" si="532"/>
        <v>0</v>
      </c>
      <c r="DF323" s="1642">
        <f t="shared" si="532"/>
        <v>0</v>
      </c>
      <c r="DG323" s="1926">
        <f t="shared" si="532"/>
        <v>0</v>
      </c>
      <c r="DH323" s="1927">
        <f t="shared" si="532"/>
        <v>0</v>
      </c>
      <c r="DI323" s="1126"/>
      <c r="DJ323" s="1125" t="s">
        <v>1769</v>
      </c>
      <c r="DK323" s="1058">
        <f t="shared" ref="DK323:DL323" si="533">SUM(DK319:DK322)</f>
        <v>0</v>
      </c>
      <c r="DL323" s="1992">
        <f t="shared" si="533"/>
        <v>0</v>
      </c>
      <c r="DM323" s="1058">
        <f t="shared" ref="DM323:DP323" si="534">SUM(DM319:DM322)</f>
        <v>0</v>
      </c>
      <c r="DN323" s="1992">
        <f t="shared" si="534"/>
        <v>0</v>
      </c>
      <c r="DO323" s="1058">
        <f t="shared" si="534"/>
        <v>0</v>
      </c>
      <c r="DP323" s="1992">
        <f t="shared" si="534"/>
        <v>0</v>
      </c>
      <c r="DQ323" s="1124"/>
      <c r="DR323" s="1127" t="s">
        <v>1769</v>
      </c>
      <c r="DS323" s="1656">
        <f t="shared" ref="DS323:DV323" si="535">SUM(DS319:DS322)</f>
        <v>0</v>
      </c>
      <c r="DT323" s="1642">
        <f t="shared" si="535"/>
        <v>0</v>
      </c>
      <c r="DU323" s="1926">
        <f t="shared" si="535"/>
        <v>0</v>
      </c>
      <c r="DV323" s="1927">
        <f t="shared" si="535"/>
        <v>0</v>
      </c>
      <c r="DW323" s="1124"/>
      <c r="DX323" s="1125" t="s">
        <v>1769</v>
      </c>
      <c r="DY323" s="1656">
        <f t="shared" ref="DY323:ED323" si="536">SUM(DY319:DY322)</f>
        <v>0</v>
      </c>
      <c r="DZ323" s="1642">
        <f t="shared" si="536"/>
        <v>0</v>
      </c>
      <c r="EA323" s="1926">
        <f t="shared" si="536"/>
        <v>0</v>
      </c>
      <c r="EB323" s="1927">
        <f t="shared" si="536"/>
        <v>0</v>
      </c>
      <c r="EC323" s="1058">
        <f t="shared" si="536"/>
        <v>0</v>
      </c>
      <c r="ED323" s="1992">
        <f t="shared" si="536"/>
        <v>0</v>
      </c>
      <c r="EE323" s="1124"/>
      <c r="EF323" s="1125" t="s">
        <v>1769</v>
      </c>
      <c r="EG323" s="1058">
        <f t="shared" ref="EG323:EO323" si="537">SUM(EG319:EG322)</f>
        <v>0</v>
      </c>
      <c r="EH323" s="1992">
        <f t="shared" si="537"/>
        <v>0</v>
      </c>
      <c r="EI323" s="1656">
        <f t="shared" si="537"/>
        <v>0</v>
      </c>
      <c r="EJ323" s="1642">
        <f t="shared" si="537"/>
        <v>0</v>
      </c>
      <c r="EK323" s="1926">
        <f t="shared" si="537"/>
        <v>0</v>
      </c>
      <c r="EL323" s="1927">
        <f t="shared" si="537"/>
        <v>0</v>
      </c>
      <c r="EM323" s="1927">
        <f t="shared" si="537"/>
        <v>0</v>
      </c>
      <c r="EN323" s="1927">
        <f t="shared" si="537"/>
        <v>0</v>
      </c>
      <c r="EO323" s="1927">
        <f t="shared" si="537"/>
        <v>0</v>
      </c>
      <c r="EP323" s="2214">
        <f t="shared" si="461"/>
        <v>0</v>
      </c>
      <c r="EQ323" s="1708">
        <f t="shared" si="520"/>
        <v>0</v>
      </c>
      <c r="ER323" s="1784">
        <f t="shared" si="521"/>
        <v>0</v>
      </c>
      <c r="ES323" s="1784">
        <f t="shared" si="522"/>
        <v>0</v>
      </c>
      <c r="ET323" s="1647">
        <f t="shared" si="465"/>
        <v>0</v>
      </c>
    </row>
    <row r="324" spans="1:150" ht="30" customHeight="1" x14ac:dyDescent="0.25">
      <c r="A324" s="1179"/>
      <c r="B324" s="1096" t="s">
        <v>1582</v>
      </c>
      <c r="C324" s="1657"/>
      <c r="D324" s="1034"/>
      <c r="E324" s="1928"/>
      <c r="F324" s="1929"/>
      <c r="G324" s="1152"/>
      <c r="H324" s="1993"/>
      <c r="I324" s="1152"/>
      <c r="J324" s="1993"/>
      <c r="K324" s="1152"/>
      <c r="L324" s="1975"/>
      <c r="M324" s="1179"/>
      <c r="N324" s="1096" t="s">
        <v>1582</v>
      </c>
      <c r="O324" s="1152"/>
      <c r="P324" s="1975"/>
      <c r="Q324" s="1657"/>
      <c r="R324" s="1034"/>
      <c r="S324" s="1928"/>
      <c r="T324" s="1929"/>
      <c r="U324" s="1657"/>
      <c r="V324" s="1034"/>
      <c r="W324" s="1928"/>
      <c r="X324" s="1929"/>
      <c r="Y324" s="1657"/>
      <c r="Z324" s="1034"/>
      <c r="AA324" s="2062"/>
      <c r="AB324" s="1929"/>
      <c r="AC324" s="1180"/>
      <c r="AD324" s="1096" t="s">
        <v>1582</v>
      </c>
      <c r="AE324" s="1657"/>
      <c r="AF324" s="1034"/>
      <c r="AG324" s="1928"/>
      <c r="AH324" s="1929"/>
      <c r="AI324" s="1657"/>
      <c r="AJ324" s="1034"/>
      <c r="AK324" s="1928"/>
      <c r="AL324" s="1929"/>
      <c r="AM324" s="1152"/>
      <c r="AN324" s="1975"/>
      <c r="AO324" s="1702"/>
      <c r="AP324" s="1154"/>
      <c r="AQ324" s="1155"/>
      <c r="AR324" s="2098"/>
      <c r="AS324" s="1421"/>
      <c r="AT324" s="2098"/>
      <c r="AU324" s="1657"/>
      <c r="AV324" s="1034"/>
      <c r="AW324" s="1928"/>
      <c r="AX324" s="1929"/>
      <c r="AY324" s="1179"/>
      <c r="AZ324" s="1096" t="s">
        <v>1582</v>
      </c>
      <c r="BA324" s="1657"/>
      <c r="BB324" s="1034"/>
      <c r="BC324" s="1928"/>
      <c r="BD324" s="1929"/>
      <c r="BE324" s="1179"/>
      <c r="BF324" s="1096" t="s">
        <v>1582</v>
      </c>
      <c r="BG324" s="1657"/>
      <c r="BH324" s="1034"/>
      <c r="BI324" s="1928"/>
      <c r="BJ324" s="1929"/>
      <c r="BK324" s="1657"/>
      <c r="BL324" s="1034"/>
      <c r="BM324" s="1928"/>
      <c r="BN324" s="1929"/>
      <c r="BO324" s="1152"/>
      <c r="BP324" s="1993"/>
      <c r="BQ324" s="1152"/>
      <c r="BR324" s="1975"/>
      <c r="BS324" s="1657"/>
      <c r="BT324" s="1034"/>
      <c r="BU324" s="1928"/>
      <c r="BV324" s="1929"/>
      <c r="BW324" s="1152"/>
      <c r="BX324" s="1975"/>
      <c r="BY324" s="1657"/>
      <c r="BZ324" s="1034"/>
      <c r="CA324" s="1928"/>
      <c r="CB324" s="1929"/>
      <c r="CC324" s="1749"/>
      <c r="CD324" s="2156"/>
      <c r="CE324" s="1179"/>
      <c r="CF324" s="1096" t="s">
        <v>1582</v>
      </c>
      <c r="CG324" s="1657"/>
      <c r="CH324" s="1034"/>
      <c r="CI324" s="1928"/>
      <c r="CJ324" s="1929"/>
      <c r="CK324" s="1179"/>
      <c r="CL324" s="1096" t="s">
        <v>1582</v>
      </c>
      <c r="CM324" s="1657"/>
      <c r="CN324" s="1034"/>
      <c r="CO324" s="1928"/>
      <c r="CP324" s="1929"/>
      <c r="CQ324" s="1657"/>
      <c r="CR324" s="1034"/>
      <c r="CS324" s="1928"/>
      <c r="CT324" s="1929"/>
      <c r="CU324" s="1657"/>
      <c r="CV324" s="1034"/>
      <c r="CW324" s="1928"/>
      <c r="CX324" s="1929"/>
      <c r="CY324" s="1657"/>
      <c r="CZ324" s="1034"/>
      <c r="DA324" s="1928"/>
      <c r="DB324" s="1929"/>
      <c r="DC324" s="1152"/>
      <c r="DD324" s="1975"/>
      <c r="DE324" s="1657"/>
      <c r="DF324" s="1034"/>
      <c r="DG324" s="1928"/>
      <c r="DH324" s="1929"/>
      <c r="DI324" s="1180"/>
      <c r="DJ324" s="1096" t="s">
        <v>1582</v>
      </c>
      <c r="DK324" s="1152"/>
      <c r="DL324" s="1993"/>
      <c r="DM324" s="1152"/>
      <c r="DN324" s="1993"/>
      <c r="DO324" s="1152"/>
      <c r="DP324" s="1975"/>
      <c r="DQ324" s="1179"/>
      <c r="DR324" s="1096" t="s">
        <v>1582</v>
      </c>
      <c r="DS324" s="1657"/>
      <c r="DT324" s="1034"/>
      <c r="DU324" s="1928"/>
      <c r="DV324" s="1929"/>
      <c r="DW324" s="1179"/>
      <c r="DX324" s="1096" t="s">
        <v>1582</v>
      </c>
      <c r="DY324" s="1657"/>
      <c r="DZ324" s="1034"/>
      <c r="EA324" s="1928"/>
      <c r="EB324" s="1929"/>
      <c r="EC324" s="1152"/>
      <c r="ED324" s="1975"/>
      <c r="EE324" s="1179"/>
      <c r="EF324" s="1096" t="s">
        <v>1582</v>
      </c>
      <c r="EG324" s="1152"/>
      <c r="EH324" s="1975"/>
      <c r="EI324" s="1657"/>
      <c r="EJ324" s="1034"/>
      <c r="EK324" s="2215"/>
      <c r="EL324" s="1929"/>
      <c r="EM324" s="2250"/>
      <c r="EN324" s="2251"/>
      <c r="EO324" s="2251"/>
      <c r="EP324" s="2251">
        <f t="shared" si="461"/>
        <v>0</v>
      </c>
      <c r="EQ324" s="1814">
        <f t="shared" si="520"/>
        <v>0</v>
      </c>
      <c r="ER324" s="1815">
        <f t="shared" si="521"/>
        <v>0</v>
      </c>
      <c r="ES324" s="1815">
        <f t="shared" si="522"/>
        <v>0</v>
      </c>
      <c r="ET324" s="1816">
        <f t="shared" si="465"/>
        <v>0</v>
      </c>
    </row>
    <row r="325" spans="1:150" s="1840" customFormat="1" x14ac:dyDescent="0.25">
      <c r="A325" s="1120">
        <v>3</v>
      </c>
      <c r="B325" s="1095"/>
      <c r="C325" s="1672"/>
      <c r="D325" s="1634"/>
      <c r="E325" s="1958"/>
      <c r="F325" s="1959"/>
      <c r="G325" s="1696"/>
      <c r="H325" s="2010"/>
      <c r="I325" s="1696"/>
      <c r="J325" s="2010"/>
      <c r="K325" s="1696"/>
      <c r="L325" s="2040"/>
      <c r="M325" s="1120">
        <v>3</v>
      </c>
      <c r="N325" s="1095"/>
      <c r="O325" s="1696"/>
      <c r="P325" s="2040"/>
      <c r="Q325" s="1672"/>
      <c r="R325" s="1634"/>
      <c r="S325" s="1958"/>
      <c r="T325" s="1959"/>
      <c r="U325" s="1672"/>
      <c r="V325" s="1634"/>
      <c r="W325" s="1958"/>
      <c r="X325" s="1959"/>
      <c r="Y325" s="1672"/>
      <c r="Z325" s="1634"/>
      <c r="AA325" s="2074"/>
      <c r="AB325" s="1959"/>
      <c r="AC325" s="1121">
        <v>3</v>
      </c>
      <c r="AD325" s="1095"/>
      <c r="AE325" s="1672"/>
      <c r="AF325" s="1634"/>
      <c r="AG325" s="1958"/>
      <c r="AH325" s="1959"/>
      <c r="AI325" s="1672"/>
      <c r="AJ325" s="1634"/>
      <c r="AK325" s="1958"/>
      <c r="AL325" s="1959"/>
      <c r="AM325" s="1696"/>
      <c r="AN325" s="2040"/>
      <c r="AO325" s="1879"/>
      <c r="AP325" s="1262"/>
      <c r="AQ325" s="1728"/>
      <c r="AR325" s="2122"/>
      <c r="AS325" s="1552"/>
      <c r="AT325" s="2122"/>
      <c r="AU325" s="1672"/>
      <c r="AV325" s="1634"/>
      <c r="AW325" s="1958"/>
      <c r="AX325" s="1959"/>
      <c r="AY325" s="1120">
        <v>3</v>
      </c>
      <c r="AZ325" s="1095"/>
      <c r="BA325" s="1672"/>
      <c r="BB325" s="1634"/>
      <c r="BC325" s="1958"/>
      <c r="BD325" s="1959"/>
      <c r="BE325" s="1120">
        <v>3</v>
      </c>
      <c r="BF325" s="1095"/>
      <c r="BG325" s="1672"/>
      <c r="BH325" s="1634"/>
      <c r="BI325" s="1958"/>
      <c r="BJ325" s="1959"/>
      <c r="BK325" s="1672"/>
      <c r="BL325" s="1634"/>
      <c r="BM325" s="1958"/>
      <c r="BN325" s="1959"/>
      <c r="BO325" s="1696"/>
      <c r="BP325" s="2010"/>
      <c r="BQ325" s="1696"/>
      <c r="BR325" s="2040"/>
      <c r="BS325" s="1672"/>
      <c r="BT325" s="1634"/>
      <c r="BU325" s="1958"/>
      <c r="BV325" s="1959"/>
      <c r="BW325" s="1696"/>
      <c r="BX325" s="2040"/>
      <c r="BY325" s="1672"/>
      <c r="BZ325" s="1634"/>
      <c r="CA325" s="1958"/>
      <c r="CB325" s="1959"/>
      <c r="CC325" s="1763"/>
      <c r="CD325" s="2174"/>
      <c r="CE325" s="1120">
        <v>3</v>
      </c>
      <c r="CF325" s="1095"/>
      <c r="CG325" s="1672"/>
      <c r="CH325" s="1634"/>
      <c r="CI325" s="1958"/>
      <c r="CJ325" s="1959"/>
      <c r="CK325" s="1120">
        <v>3</v>
      </c>
      <c r="CL325" s="1095"/>
      <c r="CM325" s="1672"/>
      <c r="CN325" s="1634"/>
      <c r="CO325" s="1958"/>
      <c r="CP325" s="1959"/>
      <c r="CQ325" s="1672"/>
      <c r="CR325" s="1634"/>
      <c r="CS325" s="1958"/>
      <c r="CT325" s="1959"/>
      <c r="CU325" s="1672"/>
      <c r="CV325" s="1634"/>
      <c r="CW325" s="1958"/>
      <c r="CX325" s="1959"/>
      <c r="CY325" s="1672"/>
      <c r="CZ325" s="1634"/>
      <c r="DA325" s="1958"/>
      <c r="DB325" s="1959"/>
      <c r="DC325" s="1696"/>
      <c r="DD325" s="2040"/>
      <c r="DE325" s="1672"/>
      <c r="DF325" s="1634"/>
      <c r="DG325" s="1958"/>
      <c r="DH325" s="1959"/>
      <c r="DI325" s="1121">
        <v>3</v>
      </c>
      <c r="DJ325" s="1095"/>
      <c r="DK325" s="1696"/>
      <c r="DL325" s="2010"/>
      <c r="DM325" s="1696"/>
      <c r="DN325" s="2010"/>
      <c r="DO325" s="1696"/>
      <c r="DP325" s="2040"/>
      <c r="DQ325" s="1120">
        <v>3</v>
      </c>
      <c r="DR325" s="1095"/>
      <c r="DS325" s="1672"/>
      <c r="DT325" s="1634"/>
      <c r="DU325" s="1958"/>
      <c r="DV325" s="1959"/>
      <c r="DW325" s="1120">
        <v>3</v>
      </c>
      <c r="DX325" s="1095"/>
      <c r="DY325" s="1672"/>
      <c r="DZ325" s="1634"/>
      <c r="EA325" s="1958"/>
      <c r="EB325" s="1959"/>
      <c r="EC325" s="1696"/>
      <c r="ED325" s="2040"/>
      <c r="EE325" s="1120">
        <v>3</v>
      </c>
      <c r="EF325" s="1095"/>
      <c r="EG325" s="1696"/>
      <c r="EH325" s="2040"/>
      <c r="EI325" s="1672"/>
      <c r="EJ325" s="1634"/>
      <c r="EK325" s="2232"/>
      <c r="EL325" s="1959"/>
      <c r="EM325" s="2202">
        <f t="shared" ref="EM325:EM326" si="538">E325+S325+W325+AA325+AG325+AK325+AN325+AR325+AW325+BC325+BI325+BM325+BR325+BU325+CA325+CD325+CI325+CO325+CS325+CW325+DA325+DG325+DU325+EA325+EK325</f>
        <v>0</v>
      </c>
      <c r="EN325" s="1585">
        <f t="shared" ref="EN325:EN326" si="539">F325+H325+J325+L325+P325+T325+X325+AB325+AH325+AL325+AS325+AX325+BD325+BJ325+BN325+BP325+BV325+BX325+CB325+CJ325+CP325+CT325+CX325+DB325+DD325+DH325+DN325+DP325+DV325+EB325+ED325+EH325+EL325+DL325</f>
        <v>0</v>
      </c>
      <c r="EO325" s="1585">
        <f t="shared" ref="EO325:EO326" si="540">AQ325</f>
        <v>0</v>
      </c>
      <c r="EP325" s="2248">
        <f t="shared" si="461"/>
        <v>0</v>
      </c>
      <c r="EQ325" s="1809">
        <f t="shared" si="520"/>
        <v>0</v>
      </c>
      <c r="ER325" s="1810">
        <f t="shared" si="521"/>
        <v>0</v>
      </c>
      <c r="ES325" s="1810">
        <f t="shared" si="522"/>
        <v>0</v>
      </c>
      <c r="ET325" s="1811">
        <f t="shared" si="465"/>
        <v>0</v>
      </c>
    </row>
    <row r="326" spans="1:150" s="1840" customFormat="1" x14ac:dyDescent="0.25">
      <c r="A326" s="1120">
        <v>4</v>
      </c>
      <c r="B326" s="1095"/>
      <c r="C326" s="1672"/>
      <c r="D326" s="1634"/>
      <c r="E326" s="1958"/>
      <c r="F326" s="1959"/>
      <c r="G326" s="1696"/>
      <c r="H326" s="2010"/>
      <c r="I326" s="1696"/>
      <c r="J326" s="2010"/>
      <c r="K326" s="1696"/>
      <c r="L326" s="2040"/>
      <c r="M326" s="1120">
        <v>4</v>
      </c>
      <c r="N326" s="1095"/>
      <c r="O326" s="1696"/>
      <c r="P326" s="2040"/>
      <c r="Q326" s="1672"/>
      <c r="R326" s="1634"/>
      <c r="S326" s="1958"/>
      <c r="T326" s="1959"/>
      <c r="U326" s="1672"/>
      <c r="V326" s="1634"/>
      <c r="W326" s="1958"/>
      <c r="X326" s="1959"/>
      <c r="Y326" s="1672"/>
      <c r="Z326" s="1634"/>
      <c r="AA326" s="2074"/>
      <c r="AB326" s="1959"/>
      <c r="AC326" s="1121">
        <v>4</v>
      </c>
      <c r="AD326" s="1095"/>
      <c r="AE326" s="1672"/>
      <c r="AF326" s="1634"/>
      <c r="AG326" s="1958"/>
      <c r="AH326" s="1959"/>
      <c r="AI326" s="1672"/>
      <c r="AJ326" s="1634"/>
      <c r="AK326" s="1958"/>
      <c r="AL326" s="1959"/>
      <c r="AM326" s="1696"/>
      <c r="AN326" s="2040"/>
      <c r="AO326" s="1879"/>
      <c r="AP326" s="1262"/>
      <c r="AQ326" s="1728"/>
      <c r="AR326" s="2122"/>
      <c r="AS326" s="1552"/>
      <c r="AT326" s="2122"/>
      <c r="AU326" s="1672"/>
      <c r="AV326" s="1634"/>
      <c r="AW326" s="1958"/>
      <c r="AX326" s="1959"/>
      <c r="AY326" s="1120">
        <v>4</v>
      </c>
      <c r="AZ326" s="1095"/>
      <c r="BA326" s="1672"/>
      <c r="BB326" s="1634"/>
      <c r="BC326" s="1958"/>
      <c r="BD326" s="1959"/>
      <c r="BE326" s="1120">
        <v>4</v>
      </c>
      <c r="BF326" s="1095"/>
      <c r="BG326" s="1672"/>
      <c r="BH326" s="1634"/>
      <c r="BI326" s="1958"/>
      <c r="BJ326" s="1959"/>
      <c r="BK326" s="1672"/>
      <c r="BL326" s="1634"/>
      <c r="BM326" s="1958"/>
      <c r="BN326" s="1959"/>
      <c r="BO326" s="1696"/>
      <c r="BP326" s="2010"/>
      <c r="BQ326" s="1696"/>
      <c r="BR326" s="2040"/>
      <c r="BS326" s="1672"/>
      <c r="BT326" s="1634"/>
      <c r="BU326" s="1958"/>
      <c r="BV326" s="1959"/>
      <c r="BW326" s="1696"/>
      <c r="BX326" s="2040"/>
      <c r="BY326" s="1672"/>
      <c r="BZ326" s="1634"/>
      <c r="CA326" s="1958"/>
      <c r="CB326" s="1959"/>
      <c r="CC326" s="1763"/>
      <c r="CD326" s="2174"/>
      <c r="CE326" s="1120">
        <v>4</v>
      </c>
      <c r="CF326" s="1095"/>
      <c r="CG326" s="1672"/>
      <c r="CH326" s="1634"/>
      <c r="CI326" s="1958"/>
      <c r="CJ326" s="1959"/>
      <c r="CK326" s="1120">
        <v>4</v>
      </c>
      <c r="CL326" s="1095"/>
      <c r="CM326" s="1672"/>
      <c r="CN326" s="1634"/>
      <c r="CO326" s="1958"/>
      <c r="CP326" s="1959"/>
      <c r="CQ326" s="1672"/>
      <c r="CR326" s="1634"/>
      <c r="CS326" s="1958"/>
      <c r="CT326" s="1959"/>
      <c r="CU326" s="1672"/>
      <c r="CV326" s="1634"/>
      <c r="CW326" s="1958"/>
      <c r="CX326" s="1959"/>
      <c r="CY326" s="1672"/>
      <c r="CZ326" s="1634"/>
      <c r="DA326" s="1958"/>
      <c r="DB326" s="1959"/>
      <c r="DC326" s="1696"/>
      <c r="DD326" s="2040"/>
      <c r="DE326" s="1672"/>
      <c r="DF326" s="1634"/>
      <c r="DG326" s="1958"/>
      <c r="DH326" s="1959"/>
      <c r="DI326" s="1121">
        <v>4</v>
      </c>
      <c r="DJ326" s="1095"/>
      <c r="DK326" s="1696"/>
      <c r="DL326" s="2010"/>
      <c r="DM326" s="1696"/>
      <c r="DN326" s="2010"/>
      <c r="DO326" s="1696"/>
      <c r="DP326" s="2040"/>
      <c r="DQ326" s="1120">
        <v>4</v>
      </c>
      <c r="DR326" s="1095"/>
      <c r="DS326" s="1672"/>
      <c r="DT326" s="1634"/>
      <c r="DU326" s="1958"/>
      <c r="DV326" s="1959"/>
      <c r="DW326" s="1120">
        <v>4</v>
      </c>
      <c r="DX326" s="1095"/>
      <c r="DY326" s="1672"/>
      <c r="DZ326" s="1634"/>
      <c r="EA326" s="1958"/>
      <c r="EB326" s="1959"/>
      <c r="EC326" s="1696"/>
      <c r="ED326" s="2040"/>
      <c r="EE326" s="1120">
        <v>4</v>
      </c>
      <c r="EF326" s="1095"/>
      <c r="EG326" s="1696"/>
      <c r="EH326" s="2040"/>
      <c r="EI326" s="1672"/>
      <c r="EJ326" s="1634"/>
      <c r="EK326" s="2232"/>
      <c r="EL326" s="1959"/>
      <c r="EM326" s="2202">
        <f t="shared" si="538"/>
        <v>0</v>
      </c>
      <c r="EN326" s="1585">
        <f t="shared" si="539"/>
        <v>0</v>
      </c>
      <c r="EO326" s="1585">
        <f t="shared" si="540"/>
        <v>0</v>
      </c>
      <c r="EP326" s="2248">
        <f t="shared" si="461"/>
        <v>0</v>
      </c>
      <c r="EQ326" s="1809">
        <f t="shared" si="520"/>
        <v>0</v>
      </c>
      <c r="ER326" s="1810">
        <f t="shared" si="521"/>
        <v>0</v>
      </c>
      <c r="ES326" s="1810">
        <f t="shared" si="522"/>
        <v>0</v>
      </c>
      <c r="ET326" s="1811">
        <f t="shared" si="465"/>
        <v>0</v>
      </c>
    </row>
    <row r="327" spans="1:150" ht="19.95" customHeight="1" thickBot="1" x14ac:dyDescent="0.3">
      <c r="A327" s="1179"/>
      <c r="B327" s="1090" t="s">
        <v>1583</v>
      </c>
      <c r="C327" s="1838">
        <f t="shared" ref="C327:L327" si="541">SUM(C324:C326)</f>
        <v>0</v>
      </c>
      <c r="D327" s="1414">
        <f t="shared" si="541"/>
        <v>0</v>
      </c>
      <c r="E327" s="1960">
        <f t="shared" si="541"/>
        <v>0</v>
      </c>
      <c r="F327" s="1617">
        <f t="shared" si="541"/>
        <v>0</v>
      </c>
      <c r="G327" s="1839">
        <f t="shared" si="541"/>
        <v>0</v>
      </c>
      <c r="H327" s="2011">
        <f t="shared" si="541"/>
        <v>0</v>
      </c>
      <c r="I327" s="1839">
        <f t="shared" si="541"/>
        <v>0</v>
      </c>
      <c r="J327" s="2011">
        <f t="shared" si="541"/>
        <v>0</v>
      </c>
      <c r="K327" s="1839">
        <f t="shared" si="541"/>
        <v>0</v>
      </c>
      <c r="L327" s="2011">
        <f t="shared" si="541"/>
        <v>0</v>
      </c>
      <c r="M327" s="1179"/>
      <c r="N327" s="1090" t="s">
        <v>1583</v>
      </c>
      <c r="O327" s="1839">
        <f t="shared" ref="O327:AB327" si="542">SUM(O324:O326)</f>
        <v>0</v>
      </c>
      <c r="P327" s="2011">
        <f t="shared" si="542"/>
        <v>0</v>
      </c>
      <c r="Q327" s="1838">
        <f t="shared" si="542"/>
        <v>0</v>
      </c>
      <c r="R327" s="1414">
        <f t="shared" si="542"/>
        <v>0</v>
      </c>
      <c r="S327" s="1960">
        <f t="shared" si="542"/>
        <v>0</v>
      </c>
      <c r="T327" s="1617">
        <f t="shared" si="542"/>
        <v>0</v>
      </c>
      <c r="U327" s="1838">
        <f t="shared" si="542"/>
        <v>0</v>
      </c>
      <c r="V327" s="1414">
        <f t="shared" si="542"/>
        <v>0</v>
      </c>
      <c r="W327" s="1960">
        <f t="shared" si="542"/>
        <v>0</v>
      </c>
      <c r="X327" s="1617">
        <f t="shared" si="542"/>
        <v>0</v>
      </c>
      <c r="Y327" s="1838">
        <f t="shared" si="542"/>
        <v>0</v>
      </c>
      <c r="Z327" s="1414">
        <f t="shared" si="542"/>
        <v>0</v>
      </c>
      <c r="AA327" s="1960">
        <f t="shared" si="542"/>
        <v>0</v>
      </c>
      <c r="AB327" s="1617">
        <f t="shared" si="542"/>
        <v>0</v>
      </c>
      <c r="AC327" s="1180"/>
      <c r="AD327" s="1090" t="s">
        <v>1583</v>
      </c>
      <c r="AE327" s="1838">
        <f t="shared" ref="AE327:AX327" si="543">SUM(AE324:AE326)</f>
        <v>0</v>
      </c>
      <c r="AF327" s="1414">
        <f t="shared" si="543"/>
        <v>0</v>
      </c>
      <c r="AG327" s="1960">
        <f t="shared" si="543"/>
        <v>0</v>
      </c>
      <c r="AH327" s="1617">
        <f t="shared" si="543"/>
        <v>0</v>
      </c>
      <c r="AI327" s="1838">
        <f t="shared" si="543"/>
        <v>0</v>
      </c>
      <c r="AJ327" s="1414">
        <f t="shared" si="543"/>
        <v>0</v>
      </c>
      <c r="AK327" s="1960">
        <f t="shared" si="543"/>
        <v>0</v>
      </c>
      <c r="AL327" s="1617">
        <f t="shared" si="543"/>
        <v>0</v>
      </c>
      <c r="AM327" s="1839">
        <f t="shared" si="543"/>
        <v>0</v>
      </c>
      <c r="AN327" s="2011">
        <f t="shared" si="543"/>
        <v>0</v>
      </c>
      <c r="AO327" s="1838">
        <f t="shared" si="543"/>
        <v>0</v>
      </c>
      <c r="AP327" s="1325">
        <f t="shared" si="543"/>
        <v>0</v>
      </c>
      <c r="AQ327" s="1773">
        <f t="shared" si="543"/>
        <v>0</v>
      </c>
      <c r="AR327" s="1960">
        <f t="shared" si="543"/>
        <v>0</v>
      </c>
      <c r="AS327" s="1446">
        <f t="shared" si="543"/>
        <v>0</v>
      </c>
      <c r="AT327" s="2123">
        <f t="shared" si="543"/>
        <v>0</v>
      </c>
      <c r="AU327" s="1838">
        <f t="shared" si="543"/>
        <v>0</v>
      </c>
      <c r="AV327" s="1414">
        <f t="shared" si="543"/>
        <v>0</v>
      </c>
      <c r="AW327" s="1960">
        <f t="shared" si="543"/>
        <v>0</v>
      </c>
      <c r="AX327" s="1617">
        <f t="shared" si="543"/>
        <v>0</v>
      </c>
      <c r="AY327" s="1179"/>
      <c r="AZ327" s="1090" t="s">
        <v>1583</v>
      </c>
      <c r="BA327" s="1838">
        <f t="shared" ref="BA327:BD327" si="544">SUM(BA324:BA326)</f>
        <v>0</v>
      </c>
      <c r="BB327" s="1414">
        <f t="shared" si="544"/>
        <v>0</v>
      </c>
      <c r="BC327" s="1960">
        <f t="shared" si="544"/>
        <v>0</v>
      </c>
      <c r="BD327" s="1617">
        <f t="shared" si="544"/>
        <v>0</v>
      </c>
      <c r="BE327" s="1179"/>
      <c r="BF327" s="1090" t="s">
        <v>1583</v>
      </c>
      <c r="BG327" s="1838">
        <f t="shared" ref="BG327:CB327" si="545">SUM(BG324:BG326)</f>
        <v>0</v>
      </c>
      <c r="BH327" s="1414">
        <f t="shared" si="545"/>
        <v>0</v>
      </c>
      <c r="BI327" s="1960">
        <f t="shared" si="545"/>
        <v>0</v>
      </c>
      <c r="BJ327" s="1617">
        <f t="shared" si="545"/>
        <v>0</v>
      </c>
      <c r="BK327" s="1838">
        <f t="shared" si="545"/>
        <v>0</v>
      </c>
      <c r="BL327" s="1414">
        <f t="shared" si="545"/>
        <v>0</v>
      </c>
      <c r="BM327" s="1960">
        <f t="shared" si="545"/>
        <v>0</v>
      </c>
      <c r="BN327" s="1617">
        <f t="shared" si="545"/>
        <v>0</v>
      </c>
      <c r="BO327" s="1839">
        <f t="shared" si="545"/>
        <v>0</v>
      </c>
      <c r="BP327" s="2011">
        <f t="shared" si="545"/>
        <v>0</v>
      </c>
      <c r="BQ327" s="1839">
        <f t="shared" si="545"/>
        <v>0</v>
      </c>
      <c r="BR327" s="2011">
        <f t="shared" si="545"/>
        <v>0</v>
      </c>
      <c r="BS327" s="1838">
        <f t="shared" si="545"/>
        <v>0</v>
      </c>
      <c r="BT327" s="1414">
        <f t="shared" si="545"/>
        <v>0</v>
      </c>
      <c r="BU327" s="1960">
        <f t="shared" si="545"/>
        <v>0</v>
      </c>
      <c r="BV327" s="1617">
        <f t="shared" si="545"/>
        <v>0</v>
      </c>
      <c r="BW327" s="1839">
        <f t="shared" si="545"/>
        <v>0</v>
      </c>
      <c r="BX327" s="2011">
        <f t="shared" si="545"/>
        <v>0</v>
      </c>
      <c r="BY327" s="1838">
        <f t="shared" si="545"/>
        <v>0</v>
      </c>
      <c r="BZ327" s="1414">
        <f t="shared" si="545"/>
        <v>0</v>
      </c>
      <c r="CA327" s="1960">
        <f t="shared" si="545"/>
        <v>0</v>
      </c>
      <c r="CB327" s="1617">
        <f t="shared" si="545"/>
        <v>0</v>
      </c>
      <c r="CC327" s="1704">
        <f t="shared" ref="CC327:CD327" si="546">SUM(CC323:CC326)</f>
        <v>0</v>
      </c>
      <c r="CD327" s="2181">
        <f t="shared" si="546"/>
        <v>0</v>
      </c>
      <c r="CE327" s="1179"/>
      <c r="CF327" s="1090" t="s">
        <v>1583</v>
      </c>
      <c r="CG327" s="1838">
        <f t="shared" ref="CG327:CJ327" si="547">SUM(CG323:CG326)</f>
        <v>0</v>
      </c>
      <c r="CH327" s="1414">
        <f t="shared" si="547"/>
        <v>0</v>
      </c>
      <c r="CI327" s="1960">
        <f t="shared" si="547"/>
        <v>0</v>
      </c>
      <c r="CJ327" s="1617">
        <f t="shared" si="547"/>
        <v>0</v>
      </c>
      <c r="CK327" s="1179"/>
      <c r="CL327" s="1090" t="s">
        <v>1583</v>
      </c>
      <c r="CM327" s="1838">
        <f t="shared" ref="CM327:DH327" si="548">SUM(CM323:CM326)</f>
        <v>0</v>
      </c>
      <c r="CN327" s="1414">
        <f t="shared" si="548"/>
        <v>0</v>
      </c>
      <c r="CO327" s="1960">
        <f t="shared" si="548"/>
        <v>0</v>
      </c>
      <c r="CP327" s="1617">
        <f t="shared" si="548"/>
        <v>0</v>
      </c>
      <c r="CQ327" s="1838">
        <f t="shared" si="548"/>
        <v>0</v>
      </c>
      <c r="CR327" s="1414">
        <f t="shared" si="548"/>
        <v>0</v>
      </c>
      <c r="CS327" s="1960">
        <f t="shared" si="548"/>
        <v>0</v>
      </c>
      <c r="CT327" s="1617">
        <f t="shared" si="548"/>
        <v>0</v>
      </c>
      <c r="CU327" s="1838">
        <f t="shared" si="548"/>
        <v>0</v>
      </c>
      <c r="CV327" s="1414">
        <f t="shared" si="548"/>
        <v>0</v>
      </c>
      <c r="CW327" s="1960">
        <f t="shared" si="548"/>
        <v>0</v>
      </c>
      <c r="CX327" s="1617">
        <f t="shared" si="548"/>
        <v>0</v>
      </c>
      <c r="CY327" s="1838">
        <f t="shared" si="548"/>
        <v>0</v>
      </c>
      <c r="CZ327" s="1414">
        <f t="shared" si="548"/>
        <v>0</v>
      </c>
      <c r="DA327" s="1960">
        <f t="shared" si="548"/>
        <v>0</v>
      </c>
      <c r="DB327" s="1617">
        <f t="shared" si="548"/>
        <v>0</v>
      </c>
      <c r="DC327" s="1839">
        <f t="shared" si="548"/>
        <v>0</v>
      </c>
      <c r="DD327" s="2011">
        <f t="shared" si="548"/>
        <v>0</v>
      </c>
      <c r="DE327" s="1838">
        <f t="shared" si="548"/>
        <v>0</v>
      </c>
      <c r="DF327" s="1414">
        <f t="shared" si="548"/>
        <v>0</v>
      </c>
      <c r="DG327" s="1960">
        <f t="shared" si="548"/>
        <v>0</v>
      </c>
      <c r="DH327" s="1617">
        <f t="shared" si="548"/>
        <v>0</v>
      </c>
      <c r="DI327" s="1180"/>
      <c r="DJ327" s="1090" t="s">
        <v>1583</v>
      </c>
      <c r="DK327" s="1839">
        <f t="shared" ref="DK327:DL327" si="549">SUM(DK323:DK326)</f>
        <v>0</v>
      </c>
      <c r="DL327" s="2011">
        <f t="shared" si="549"/>
        <v>0</v>
      </c>
      <c r="DM327" s="1839">
        <f t="shared" ref="DM327:DP327" si="550">SUM(DM323:DM326)</f>
        <v>0</v>
      </c>
      <c r="DN327" s="2011">
        <f t="shared" si="550"/>
        <v>0</v>
      </c>
      <c r="DO327" s="1839">
        <f t="shared" si="550"/>
        <v>0</v>
      </c>
      <c r="DP327" s="2011">
        <f t="shared" si="550"/>
        <v>0</v>
      </c>
      <c r="DQ327" s="1179"/>
      <c r="DR327" s="1090" t="s">
        <v>1583</v>
      </c>
      <c r="DS327" s="1838">
        <f t="shared" ref="DS327:DV327" si="551">SUM(DS323:DS326)</f>
        <v>0</v>
      </c>
      <c r="DT327" s="1414">
        <f t="shared" si="551"/>
        <v>0</v>
      </c>
      <c r="DU327" s="1960">
        <f t="shared" si="551"/>
        <v>0</v>
      </c>
      <c r="DV327" s="1617">
        <f t="shared" si="551"/>
        <v>0</v>
      </c>
      <c r="DW327" s="1179"/>
      <c r="DX327" s="1090" t="s">
        <v>1583</v>
      </c>
      <c r="DY327" s="1838">
        <f t="shared" ref="DY327:ED327" si="552">SUM(DY323:DY326)</f>
        <v>0</v>
      </c>
      <c r="DZ327" s="1414">
        <f t="shared" si="552"/>
        <v>0</v>
      </c>
      <c r="EA327" s="1960">
        <f t="shared" si="552"/>
        <v>0</v>
      </c>
      <c r="EB327" s="1617">
        <f t="shared" si="552"/>
        <v>0</v>
      </c>
      <c r="EC327" s="1839">
        <f t="shared" si="552"/>
        <v>0</v>
      </c>
      <c r="ED327" s="2011">
        <f t="shared" si="552"/>
        <v>0</v>
      </c>
      <c r="EE327" s="1179"/>
      <c r="EF327" s="1090" t="s">
        <v>1583</v>
      </c>
      <c r="EG327" s="1839">
        <f t="shared" ref="EG327:EO327" si="553">SUM(EG323:EG326)</f>
        <v>0</v>
      </c>
      <c r="EH327" s="2011">
        <f t="shared" si="553"/>
        <v>0</v>
      </c>
      <c r="EI327" s="1838">
        <f t="shared" si="553"/>
        <v>0</v>
      </c>
      <c r="EJ327" s="1414">
        <f t="shared" si="553"/>
        <v>0</v>
      </c>
      <c r="EK327" s="1960">
        <f t="shared" si="553"/>
        <v>0</v>
      </c>
      <c r="EL327" s="1617">
        <f t="shared" si="553"/>
        <v>0</v>
      </c>
      <c r="EM327" s="1617">
        <f t="shared" si="553"/>
        <v>0</v>
      </c>
      <c r="EN327" s="1617">
        <f t="shared" si="553"/>
        <v>0</v>
      </c>
      <c r="EO327" s="1617">
        <f t="shared" si="553"/>
        <v>0</v>
      </c>
      <c r="EP327" s="2252">
        <f t="shared" si="461"/>
        <v>0</v>
      </c>
      <c r="EQ327" s="1817">
        <f t="shared" si="520"/>
        <v>0</v>
      </c>
      <c r="ER327" s="1818">
        <f t="shared" si="521"/>
        <v>0</v>
      </c>
      <c r="ES327" s="1818">
        <f t="shared" si="522"/>
        <v>0</v>
      </c>
      <c r="ET327" s="1819">
        <f t="shared" si="465"/>
        <v>0</v>
      </c>
    </row>
    <row r="328" spans="1:150" ht="19.95" customHeight="1" x14ac:dyDescent="0.25">
      <c r="A328" s="1172"/>
      <c r="B328" s="1183" t="s">
        <v>2266</v>
      </c>
      <c r="C328" s="1649"/>
      <c r="D328" s="1626"/>
      <c r="E328" s="1908"/>
      <c r="F328" s="1909"/>
      <c r="G328" s="1679"/>
      <c r="H328" s="1984"/>
      <c r="I328" s="1679"/>
      <c r="J328" s="1984"/>
      <c r="K328" s="1679"/>
      <c r="L328" s="2021"/>
      <c r="M328" s="1172"/>
      <c r="N328" s="1183" t="s">
        <v>1770</v>
      </c>
      <c r="O328" s="1679"/>
      <c r="P328" s="2021"/>
      <c r="Q328" s="1649"/>
      <c r="R328" s="1626"/>
      <c r="S328" s="1908"/>
      <c r="T328" s="1909"/>
      <c r="U328" s="1649"/>
      <c r="V328" s="1626"/>
      <c r="W328" s="1908"/>
      <c r="X328" s="1909"/>
      <c r="Y328" s="1649"/>
      <c r="Z328" s="1626"/>
      <c r="AA328" s="2052"/>
      <c r="AB328" s="1909"/>
      <c r="AC328" s="2298"/>
      <c r="AD328" s="1183" t="s">
        <v>1770</v>
      </c>
      <c r="AE328" s="1649"/>
      <c r="AF328" s="1626"/>
      <c r="AG328" s="1908"/>
      <c r="AH328" s="1909"/>
      <c r="AI328" s="1649"/>
      <c r="AJ328" s="1626"/>
      <c r="AK328" s="1908"/>
      <c r="AL328" s="1909"/>
      <c r="AM328" s="1679"/>
      <c r="AN328" s="2021"/>
      <c r="AO328" s="1878"/>
      <c r="AP328" s="1711"/>
      <c r="AQ328" s="1712"/>
      <c r="AR328" s="2087"/>
      <c r="AS328" s="2088"/>
      <c r="AT328" s="2087"/>
      <c r="AU328" s="1649"/>
      <c r="AV328" s="1626"/>
      <c r="AW328" s="1908"/>
      <c r="AX328" s="1909"/>
      <c r="AY328" s="1172"/>
      <c r="AZ328" s="1183" t="s">
        <v>1770</v>
      </c>
      <c r="BA328" s="1649"/>
      <c r="BB328" s="1626"/>
      <c r="BC328" s="1908"/>
      <c r="BD328" s="1909"/>
      <c r="BE328" s="1172"/>
      <c r="BF328" s="1183" t="s">
        <v>1770</v>
      </c>
      <c r="BG328" s="1649"/>
      <c r="BH328" s="1626"/>
      <c r="BI328" s="1908"/>
      <c r="BJ328" s="1909"/>
      <c r="BK328" s="1649"/>
      <c r="BL328" s="1626"/>
      <c r="BM328" s="1908"/>
      <c r="BN328" s="1909"/>
      <c r="BO328" s="1679"/>
      <c r="BP328" s="1984"/>
      <c r="BQ328" s="1679"/>
      <c r="BR328" s="2021"/>
      <c r="BS328" s="1649"/>
      <c r="BT328" s="1626"/>
      <c r="BU328" s="1908"/>
      <c r="BV328" s="1909"/>
      <c r="BW328" s="1679"/>
      <c r="BX328" s="2021"/>
      <c r="BY328" s="1649"/>
      <c r="BZ328" s="1626"/>
      <c r="CA328" s="1908"/>
      <c r="CB328" s="1909"/>
      <c r="CC328" s="1762"/>
      <c r="CD328" s="2172"/>
      <c r="CE328" s="1172"/>
      <c r="CF328" s="1183" t="s">
        <v>1770</v>
      </c>
      <c r="CG328" s="1649"/>
      <c r="CH328" s="1626"/>
      <c r="CI328" s="1908"/>
      <c r="CJ328" s="1909"/>
      <c r="CK328" s="1172"/>
      <c r="CL328" s="1183" t="s">
        <v>1770</v>
      </c>
      <c r="CM328" s="1649"/>
      <c r="CN328" s="1626"/>
      <c r="CO328" s="1908"/>
      <c r="CP328" s="1909"/>
      <c r="CQ328" s="1649"/>
      <c r="CR328" s="1626"/>
      <c r="CS328" s="1908"/>
      <c r="CT328" s="1909"/>
      <c r="CU328" s="1649"/>
      <c r="CV328" s="1626"/>
      <c r="CW328" s="1908"/>
      <c r="CX328" s="1909"/>
      <c r="CY328" s="1649"/>
      <c r="CZ328" s="1626"/>
      <c r="DA328" s="1908"/>
      <c r="DB328" s="1909"/>
      <c r="DC328" s="1679"/>
      <c r="DD328" s="2021"/>
      <c r="DE328" s="1649"/>
      <c r="DF328" s="1626"/>
      <c r="DG328" s="1908"/>
      <c r="DH328" s="1909"/>
      <c r="DI328" s="2298"/>
      <c r="DJ328" s="1183" t="s">
        <v>1770</v>
      </c>
      <c r="DK328" s="1679"/>
      <c r="DL328" s="1984"/>
      <c r="DM328" s="1679"/>
      <c r="DN328" s="1984"/>
      <c r="DO328" s="1679"/>
      <c r="DP328" s="2021"/>
      <c r="DQ328" s="1172"/>
      <c r="DR328" s="1184" t="s">
        <v>1770</v>
      </c>
      <c r="DS328" s="1649"/>
      <c r="DT328" s="1626"/>
      <c r="DU328" s="1908"/>
      <c r="DV328" s="1909"/>
      <c r="DW328" s="1172"/>
      <c r="DX328" s="1183" t="s">
        <v>1770</v>
      </c>
      <c r="DY328" s="1649"/>
      <c r="DZ328" s="1626"/>
      <c r="EA328" s="1908"/>
      <c r="EB328" s="1909"/>
      <c r="EC328" s="1679"/>
      <c r="ED328" s="2021"/>
      <c r="EE328" s="1172"/>
      <c r="EF328" s="1183" t="s">
        <v>1770</v>
      </c>
      <c r="EG328" s="1679"/>
      <c r="EH328" s="2021"/>
      <c r="EI328" s="1649"/>
      <c r="EJ328" s="1626"/>
      <c r="EK328" s="2240"/>
      <c r="EL328" s="1909"/>
      <c r="EM328" s="2246"/>
      <c r="EN328" s="2247"/>
      <c r="EO328" s="2247"/>
      <c r="EP328" s="2247">
        <f t="shared" ref="EP328:EP391" si="554">SUM(EM328:EO328)</f>
        <v>0</v>
      </c>
      <c r="EQ328" s="1806">
        <f t="shared" si="520"/>
        <v>0</v>
      </c>
      <c r="ER328" s="1807">
        <f t="shared" si="521"/>
        <v>0</v>
      </c>
      <c r="ES328" s="1807">
        <f t="shared" si="522"/>
        <v>0</v>
      </c>
      <c r="ET328" s="1808">
        <f t="shared" si="465"/>
        <v>0</v>
      </c>
    </row>
    <row r="329" spans="1:150" x14ac:dyDescent="0.25">
      <c r="A329" s="1044">
        <v>1</v>
      </c>
      <c r="B329" s="1175"/>
      <c r="C329" s="1672"/>
      <c r="D329" s="1634"/>
      <c r="E329" s="1958"/>
      <c r="F329" s="1959"/>
      <c r="G329" s="1696"/>
      <c r="H329" s="2010"/>
      <c r="I329" s="1696"/>
      <c r="J329" s="2010"/>
      <c r="K329" s="1696"/>
      <c r="L329" s="2033"/>
      <c r="M329" s="1044">
        <v>1</v>
      </c>
      <c r="N329" s="1175"/>
      <c r="O329" s="1696"/>
      <c r="P329" s="2040"/>
      <c r="Q329" s="1672"/>
      <c r="R329" s="1634"/>
      <c r="S329" s="1958"/>
      <c r="T329" s="1959"/>
      <c r="U329" s="1672"/>
      <c r="V329" s="1634"/>
      <c r="W329" s="1958"/>
      <c r="X329" s="1959"/>
      <c r="Y329" s="1672"/>
      <c r="Z329" s="1634"/>
      <c r="AA329" s="2067"/>
      <c r="AB329" s="1939"/>
      <c r="AC329" s="1118">
        <v>1</v>
      </c>
      <c r="AD329" s="1176" t="s">
        <v>1771</v>
      </c>
      <c r="AE329" s="1672"/>
      <c r="AF329" s="1634"/>
      <c r="AG329" s="1958"/>
      <c r="AH329" s="1959"/>
      <c r="AI329" s="1672"/>
      <c r="AJ329" s="1634"/>
      <c r="AK329" s="1958"/>
      <c r="AL329" s="1959"/>
      <c r="AM329" s="1696"/>
      <c r="AN329" s="2040"/>
      <c r="AO329" s="1879"/>
      <c r="AP329" s="1262"/>
      <c r="AQ329" s="1728"/>
      <c r="AR329" s="2122"/>
      <c r="AS329" s="1552"/>
      <c r="AT329" s="2122"/>
      <c r="AU329" s="1672"/>
      <c r="AV329" s="1634"/>
      <c r="AW329" s="1973">
        <f>'címrend kötelező'!K66</f>
        <v>621074</v>
      </c>
      <c r="AX329" s="1974">
        <f>'címrend önként'!K66</f>
        <v>167891</v>
      </c>
      <c r="AY329" s="1044">
        <v>1</v>
      </c>
      <c r="AZ329" s="1175"/>
      <c r="BA329" s="1672"/>
      <c r="BB329" s="1634"/>
      <c r="BC329" s="1938"/>
      <c r="BD329" s="1939"/>
      <c r="BE329" s="1044">
        <v>1</v>
      </c>
      <c r="BF329" s="1175"/>
      <c r="BG329" s="1672"/>
      <c r="BH329" s="1634"/>
      <c r="BI329" s="1958"/>
      <c r="BJ329" s="1959"/>
      <c r="BK329" s="1672"/>
      <c r="BL329" s="1634"/>
      <c r="BM329" s="1958"/>
      <c r="BN329" s="1959"/>
      <c r="BO329" s="1696"/>
      <c r="BP329" s="2010"/>
      <c r="BQ329" s="1696"/>
      <c r="BR329" s="2040"/>
      <c r="BS329" s="1672"/>
      <c r="BT329" s="1634"/>
      <c r="BU329" s="1958"/>
      <c r="BV329" s="1959"/>
      <c r="BW329" s="1696"/>
      <c r="BX329" s="2040"/>
      <c r="BY329" s="1672"/>
      <c r="BZ329" s="1634"/>
      <c r="CA329" s="1958"/>
      <c r="CB329" s="1959"/>
      <c r="CC329" s="1755"/>
      <c r="CD329" s="2163"/>
      <c r="CE329" s="1044">
        <v>1</v>
      </c>
      <c r="CF329" s="1175"/>
      <c r="CG329" s="1672"/>
      <c r="CH329" s="1634"/>
      <c r="CI329" s="1938"/>
      <c r="CJ329" s="1939"/>
      <c r="CK329" s="1044">
        <v>1</v>
      </c>
      <c r="CL329" s="1175"/>
      <c r="CM329" s="1672"/>
      <c r="CN329" s="1634"/>
      <c r="CO329" s="1958"/>
      <c r="CP329" s="1959"/>
      <c r="CQ329" s="1672"/>
      <c r="CR329" s="1634"/>
      <c r="CS329" s="1958"/>
      <c r="CT329" s="1959"/>
      <c r="CU329" s="1672"/>
      <c r="CV329" s="1634"/>
      <c r="CW329" s="1958"/>
      <c r="CX329" s="1959"/>
      <c r="CY329" s="1672"/>
      <c r="CZ329" s="1634"/>
      <c r="DA329" s="1958"/>
      <c r="DB329" s="1959"/>
      <c r="DC329" s="1696"/>
      <c r="DD329" s="2040"/>
      <c r="DE329" s="1672"/>
      <c r="DF329" s="1634"/>
      <c r="DG329" s="1938"/>
      <c r="DH329" s="1939"/>
      <c r="DI329" s="1118">
        <v>1</v>
      </c>
      <c r="DJ329" s="1175"/>
      <c r="DK329" s="1696"/>
      <c r="DL329" s="2010"/>
      <c r="DM329" s="1696"/>
      <c r="DN329" s="2010"/>
      <c r="DO329" s="1696"/>
      <c r="DP329" s="2033"/>
      <c r="DQ329" s="1044">
        <v>1</v>
      </c>
      <c r="DR329" s="1122"/>
      <c r="DS329" s="1672"/>
      <c r="DT329" s="1634"/>
      <c r="DU329" s="1938"/>
      <c r="DV329" s="1939"/>
      <c r="DW329" s="1044">
        <v>1</v>
      </c>
      <c r="DX329" s="1175"/>
      <c r="DY329" s="1672"/>
      <c r="DZ329" s="1634"/>
      <c r="EA329" s="1958"/>
      <c r="EB329" s="1959"/>
      <c r="EC329" s="1696"/>
      <c r="ED329" s="2033"/>
      <c r="EE329" s="1044">
        <v>1</v>
      </c>
      <c r="EF329" s="1175"/>
      <c r="EG329" s="1696"/>
      <c r="EH329" s="2040"/>
      <c r="EI329" s="1672"/>
      <c r="EJ329" s="1634"/>
      <c r="EK329" s="2232"/>
      <c r="EL329" s="1959"/>
      <c r="EM329" s="2202">
        <f t="shared" ref="EM329:EM330" si="555">E329+S329+W329+AA329+AG329+AK329+AN329+AR329+AW329+BC329+BI329+BM329+BR329+BU329+CA329+CD329+CI329+CO329+CS329+CW329+DA329+DG329+DU329+EA329+EK329</f>
        <v>621074</v>
      </c>
      <c r="EN329" s="1585">
        <f t="shared" ref="EN329:EN330" si="556">F329+H329+J329+L329+P329+T329+X329+AB329+AH329+AL329+AS329+AX329+BD329+BJ329+BN329+BP329+BV329+BX329+CB329+CJ329+CP329+CT329+CX329+DB329+DD329+DH329+DN329+DP329+DV329+EB329+ED329+EH329+EL329+DL329</f>
        <v>167891</v>
      </c>
      <c r="EO329" s="2248"/>
      <c r="EP329" s="2248">
        <f t="shared" si="554"/>
        <v>788965</v>
      </c>
      <c r="EQ329" s="1809">
        <f t="shared" si="520"/>
        <v>0</v>
      </c>
      <c r="ER329" s="1810">
        <f t="shared" si="521"/>
        <v>0</v>
      </c>
      <c r="ES329" s="1810">
        <f t="shared" si="522"/>
        <v>0</v>
      </c>
      <c r="ET329" s="1811">
        <f t="shared" ref="ET329:ET392" si="557">SUM(EQ329:ES329)</f>
        <v>0</v>
      </c>
    </row>
    <row r="330" spans="1:150" x14ac:dyDescent="0.25">
      <c r="A330" s="1044">
        <v>2</v>
      </c>
      <c r="B330" s="1175"/>
      <c r="C330" s="1672"/>
      <c r="D330" s="1634"/>
      <c r="E330" s="1958"/>
      <c r="F330" s="1959"/>
      <c r="G330" s="1696"/>
      <c r="H330" s="2010"/>
      <c r="I330" s="1696"/>
      <c r="J330" s="2010"/>
      <c r="K330" s="1696"/>
      <c r="L330" s="2033"/>
      <c r="M330" s="1044">
        <v>2</v>
      </c>
      <c r="N330" s="1175"/>
      <c r="O330" s="1696"/>
      <c r="P330" s="2040"/>
      <c r="Q330" s="1672"/>
      <c r="R330" s="1634"/>
      <c r="S330" s="1958"/>
      <c r="T330" s="1959"/>
      <c r="U330" s="1672"/>
      <c r="V330" s="1634"/>
      <c r="W330" s="1958"/>
      <c r="X330" s="1959"/>
      <c r="Y330" s="1672"/>
      <c r="Z330" s="1634"/>
      <c r="AA330" s="2067"/>
      <c r="AB330" s="1939"/>
      <c r="AC330" s="1118">
        <v>2</v>
      </c>
      <c r="AD330" s="1178" t="s">
        <v>1772</v>
      </c>
      <c r="AE330" s="1672"/>
      <c r="AF330" s="1634"/>
      <c r="AG330" s="1958"/>
      <c r="AH330" s="1959"/>
      <c r="AI330" s="1672"/>
      <c r="AJ330" s="1634"/>
      <c r="AK330" s="1958"/>
      <c r="AL330" s="1959"/>
      <c r="AM330" s="1696"/>
      <c r="AN330" s="2040"/>
      <c r="AO330" s="1879"/>
      <c r="AP330" s="1262"/>
      <c r="AQ330" s="1728"/>
      <c r="AR330" s="2122"/>
      <c r="AS330" s="1552"/>
      <c r="AT330" s="2122"/>
      <c r="AU330" s="1672"/>
      <c r="AV330" s="1634"/>
      <c r="AW330" s="1938"/>
      <c r="AX330" s="1939"/>
      <c r="AY330" s="1044">
        <v>2</v>
      </c>
      <c r="AZ330" s="1175"/>
      <c r="BA330" s="1672"/>
      <c r="BB330" s="1634"/>
      <c r="BC330" s="1938"/>
      <c r="BD330" s="1939"/>
      <c r="BE330" s="1044">
        <v>2</v>
      </c>
      <c r="BF330" s="1175"/>
      <c r="BG330" s="1672"/>
      <c r="BH330" s="1634"/>
      <c r="BI330" s="1958"/>
      <c r="BJ330" s="1959"/>
      <c r="BK330" s="1672"/>
      <c r="BL330" s="1634"/>
      <c r="BM330" s="1958"/>
      <c r="BN330" s="1959"/>
      <c r="BO330" s="1696"/>
      <c r="BP330" s="2010"/>
      <c r="BQ330" s="1696"/>
      <c r="BR330" s="2040"/>
      <c r="BS330" s="1672"/>
      <c r="BT330" s="1634"/>
      <c r="BU330" s="1958"/>
      <c r="BV330" s="1959"/>
      <c r="BW330" s="1696"/>
      <c r="BX330" s="2040"/>
      <c r="BY330" s="1672"/>
      <c r="BZ330" s="1634"/>
      <c r="CA330" s="1958"/>
      <c r="CB330" s="1959"/>
      <c r="CC330" s="1755"/>
      <c r="CD330" s="2163"/>
      <c r="CE330" s="1044">
        <v>2</v>
      </c>
      <c r="CF330" s="1175"/>
      <c r="CG330" s="1672"/>
      <c r="CH330" s="1634"/>
      <c r="CI330" s="1938"/>
      <c r="CJ330" s="1939"/>
      <c r="CK330" s="1044">
        <v>2</v>
      </c>
      <c r="CL330" s="1175"/>
      <c r="CM330" s="1672"/>
      <c r="CN330" s="1634"/>
      <c r="CO330" s="1958"/>
      <c r="CP330" s="1959"/>
      <c r="CQ330" s="1672"/>
      <c r="CR330" s="1634"/>
      <c r="CS330" s="1958"/>
      <c r="CT330" s="1959"/>
      <c r="CU330" s="1672"/>
      <c r="CV330" s="1634"/>
      <c r="CW330" s="1958"/>
      <c r="CX330" s="1959"/>
      <c r="CY330" s="1672"/>
      <c r="CZ330" s="1634"/>
      <c r="DA330" s="1958"/>
      <c r="DB330" s="1959"/>
      <c r="DC330" s="1696"/>
      <c r="DD330" s="2040"/>
      <c r="DE330" s="1672"/>
      <c r="DF330" s="1634"/>
      <c r="DG330" s="1938"/>
      <c r="DH330" s="1939"/>
      <c r="DI330" s="1118">
        <v>2</v>
      </c>
      <c r="DJ330" s="1175"/>
      <c r="DK330" s="1696"/>
      <c r="DL330" s="2010"/>
      <c r="DM330" s="1696"/>
      <c r="DN330" s="2010"/>
      <c r="DO330" s="1696"/>
      <c r="DP330" s="2033"/>
      <c r="DQ330" s="1044">
        <v>2</v>
      </c>
      <c r="DR330" s="1122"/>
      <c r="DS330" s="1672"/>
      <c r="DT330" s="1634"/>
      <c r="DU330" s="1938"/>
      <c r="DV330" s="1939"/>
      <c r="DW330" s="1044">
        <v>2</v>
      </c>
      <c r="DX330" s="1175"/>
      <c r="DY330" s="1672"/>
      <c r="DZ330" s="1634"/>
      <c r="EA330" s="1958"/>
      <c r="EB330" s="1959"/>
      <c r="EC330" s="1696"/>
      <c r="ED330" s="2033"/>
      <c r="EE330" s="1044">
        <v>2</v>
      </c>
      <c r="EF330" s="1175"/>
      <c r="EG330" s="1696"/>
      <c r="EH330" s="2040"/>
      <c r="EI330" s="1672"/>
      <c r="EJ330" s="1634"/>
      <c r="EK330" s="2232"/>
      <c r="EL330" s="1959"/>
      <c r="EM330" s="2202">
        <f t="shared" si="555"/>
        <v>0</v>
      </c>
      <c r="EN330" s="1585">
        <f t="shared" si="556"/>
        <v>0</v>
      </c>
      <c r="EO330" s="1596"/>
      <c r="EP330" s="1596">
        <f t="shared" si="554"/>
        <v>0</v>
      </c>
      <c r="EQ330" s="1729">
        <f t="shared" si="520"/>
        <v>0</v>
      </c>
      <c r="ER330" s="1797">
        <f t="shared" si="521"/>
        <v>0</v>
      </c>
      <c r="ES330" s="1797">
        <f t="shared" si="522"/>
        <v>0</v>
      </c>
      <c r="ET330" s="1798">
        <f t="shared" si="557"/>
        <v>0</v>
      </c>
    </row>
    <row r="331" spans="1:150" ht="19.95" customHeight="1" thickBot="1" x14ac:dyDescent="0.3">
      <c r="A331" s="1124"/>
      <c r="B331" s="1125" t="s">
        <v>161</v>
      </c>
      <c r="C331" s="1656">
        <f t="shared" ref="C331:L331" si="558">SUM(C328:C330)</f>
        <v>0</v>
      </c>
      <c r="D331" s="1642">
        <f t="shared" si="558"/>
        <v>0</v>
      </c>
      <c r="E331" s="1926">
        <f t="shared" si="558"/>
        <v>0</v>
      </c>
      <c r="F331" s="1927">
        <f t="shared" si="558"/>
        <v>0</v>
      </c>
      <c r="G331" s="1058">
        <f t="shared" si="558"/>
        <v>0</v>
      </c>
      <c r="H331" s="1992">
        <f t="shared" si="558"/>
        <v>0</v>
      </c>
      <c r="I331" s="1058">
        <f t="shared" si="558"/>
        <v>0</v>
      </c>
      <c r="J331" s="1992">
        <f t="shared" si="558"/>
        <v>0</v>
      </c>
      <c r="K331" s="1058">
        <f t="shared" si="558"/>
        <v>0</v>
      </c>
      <c r="L331" s="1992">
        <f t="shared" si="558"/>
        <v>0</v>
      </c>
      <c r="M331" s="1124"/>
      <c r="N331" s="1125" t="s">
        <v>1773</v>
      </c>
      <c r="O331" s="1058">
        <f t="shared" ref="O331:AB331" si="559">SUM(O328:O330)</f>
        <v>0</v>
      </c>
      <c r="P331" s="1992">
        <f t="shared" si="559"/>
        <v>0</v>
      </c>
      <c r="Q331" s="1656">
        <f t="shared" si="559"/>
        <v>0</v>
      </c>
      <c r="R331" s="1642">
        <f t="shared" si="559"/>
        <v>0</v>
      </c>
      <c r="S331" s="1926">
        <f t="shared" si="559"/>
        <v>0</v>
      </c>
      <c r="T331" s="1927">
        <f t="shared" si="559"/>
        <v>0</v>
      </c>
      <c r="U331" s="1656">
        <f t="shared" si="559"/>
        <v>0</v>
      </c>
      <c r="V331" s="1642">
        <f t="shared" si="559"/>
        <v>0</v>
      </c>
      <c r="W331" s="1926">
        <f t="shared" si="559"/>
        <v>0</v>
      </c>
      <c r="X331" s="1927">
        <f t="shared" si="559"/>
        <v>0</v>
      </c>
      <c r="Y331" s="1656">
        <f t="shared" si="559"/>
        <v>0</v>
      </c>
      <c r="Z331" s="1642">
        <f t="shared" si="559"/>
        <v>0</v>
      </c>
      <c r="AA331" s="1926">
        <f t="shared" si="559"/>
        <v>0</v>
      </c>
      <c r="AB331" s="1927">
        <f t="shared" si="559"/>
        <v>0</v>
      </c>
      <c r="AC331" s="1126"/>
      <c r="AD331" s="1125" t="s">
        <v>1773</v>
      </c>
      <c r="AE331" s="1656">
        <f t="shared" ref="AE331:AX331" si="560">SUM(AE328:AE330)</f>
        <v>0</v>
      </c>
      <c r="AF331" s="1642">
        <f t="shared" si="560"/>
        <v>0</v>
      </c>
      <c r="AG331" s="1926">
        <f t="shared" si="560"/>
        <v>0</v>
      </c>
      <c r="AH331" s="1927">
        <f t="shared" si="560"/>
        <v>0</v>
      </c>
      <c r="AI331" s="1656">
        <f t="shared" si="560"/>
        <v>0</v>
      </c>
      <c r="AJ331" s="1642">
        <f t="shared" si="560"/>
        <v>0</v>
      </c>
      <c r="AK331" s="1926">
        <f t="shared" si="560"/>
        <v>0</v>
      </c>
      <c r="AL331" s="1927">
        <f t="shared" si="560"/>
        <v>0</v>
      </c>
      <c r="AM331" s="1058">
        <f t="shared" si="560"/>
        <v>0</v>
      </c>
      <c r="AN331" s="1992">
        <f t="shared" si="560"/>
        <v>0</v>
      </c>
      <c r="AO331" s="1656">
        <f t="shared" si="560"/>
        <v>0</v>
      </c>
      <c r="AP331" s="1854">
        <f t="shared" si="560"/>
        <v>0</v>
      </c>
      <c r="AQ331" s="1030">
        <f t="shared" si="560"/>
        <v>0</v>
      </c>
      <c r="AR331" s="1926">
        <f t="shared" si="560"/>
        <v>0</v>
      </c>
      <c r="AS331" s="2096">
        <f t="shared" si="560"/>
        <v>0</v>
      </c>
      <c r="AT331" s="2097">
        <f t="shared" si="560"/>
        <v>0</v>
      </c>
      <c r="AU331" s="1656">
        <f t="shared" si="560"/>
        <v>0</v>
      </c>
      <c r="AV331" s="1642">
        <f t="shared" si="560"/>
        <v>0</v>
      </c>
      <c r="AW331" s="1926">
        <f t="shared" si="560"/>
        <v>621074</v>
      </c>
      <c r="AX331" s="1927">
        <f t="shared" si="560"/>
        <v>167891</v>
      </c>
      <c r="AY331" s="1124"/>
      <c r="AZ331" s="1125" t="s">
        <v>1773</v>
      </c>
      <c r="BA331" s="1656">
        <f t="shared" ref="BA331:BD331" si="561">SUM(BA328:BA330)</f>
        <v>0</v>
      </c>
      <c r="BB331" s="1642">
        <f t="shared" si="561"/>
        <v>0</v>
      </c>
      <c r="BC331" s="1926">
        <f t="shared" si="561"/>
        <v>0</v>
      </c>
      <c r="BD331" s="1927">
        <f t="shared" si="561"/>
        <v>0</v>
      </c>
      <c r="BE331" s="1124"/>
      <c r="BF331" s="1125" t="s">
        <v>1773</v>
      </c>
      <c r="BG331" s="1656">
        <f t="shared" ref="BG331:CD331" si="562">SUM(BG328:BG330)</f>
        <v>0</v>
      </c>
      <c r="BH331" s="1642">
        <f t="shared" si="562"/>
        <v>0</v>
      </c>
      <c r="BI331" s="1926">
        <f t="shared" si="562"/>
        <v>0</v>
      </c>
      <c r="BJ331" s="1927">
        <f t="shared" si="562"/>
        <v>0</v>
      </c>
      <c r="BK331" s="1656">
        <f t="shared" si="562"/>
        <v>0</v>
      </c>
      <c r="BL331" s="1642">
        <f t="shared" si="562"/>
        <v>0</v>
      </c>
      <c r="BM331" s="1926">
        <f t="shared" si="562"/>
        <v>0</v>
      </c>
      <c r="BN331" s="1927">
        <f t="shared" si="562"/>
        <v>0</v>
      </c>
      <c r="BO331" s="1058">
        <f t="shared" si="562"/>
        <v>0</v>
      </c>
      <c r="BP331" s="1992">
        <f t="shared" si="562"/>
        <v>0</v>
      </c>
      <c r="BQ331" s="1058">
        <f t="shared" si="562"/>
        <v>0</v>
      </c>
      <c r="BR331" s="1992">
        <f t="shared" si="562"/>
        <v>0</v>
      </c>
      <c r="BS331" s="1656">
        <f t="shared" si="562"/>
        <v>0</v>
      </c>
      <c r="BT331" s="1642">
        <f t="shared" si="562"/>
        <v>0</v>
      </c>
      <c r="BU331" s="1926">
        <f t="shared" si="562"/>
        <v>0</v>
      </c>
      <c r="BV331" s="1927">
        <f t="shared" si="562"/>
        <v>0</v>
      </c>
      <c r="BW331" s="1058">
        <f t="shared" si="562"/>
        <v>0</v>
      </c>
      <c r="BX331" s="1992">
        <f t="shared" si="562"/>
        <v>0</v>
      </c>
      <c r="BY331" s="1656">
        <f t="shared" si="562"/>
        <v>0</v>
      </c>
      <c r="BZ331" s="1642">
        <f t="shared" si="562"/>
        <v>0</v>
      </c>
      <c r="CA331" s="1926">
        <f t="shared" si="562"/>
        <v>0</v>
      </c>
      <c r="CB331" s="1927">
        <f t="shared" si="562"/>
        <v>0</v>
      </c>
      <c r="CC331" s="1705">
        <f t="shared" si="562"/>
        <v>0</v>
      </c>
      <c r="CD331" s="2159">
        <f t="shared" si="562"/>
        <v>0</v>
      </c>
      <c r="CE331" s="1124"/>
      <c r="CF331" s="1125" t="s">
        <v>1773</v>
      </c>
      <c r="CG331" s="1656">
        <f t="shared" ref="CG331:CJ331" si="563">SUM(CG328:CG330)</f>
        <v>0</v>
      </c>
      <c r="CH331" s="1642">
        <f t="shared" si="563"/>
        <v>0</v>
      </c>
      <c r="CI331" s="1926">
        <f t="shared" si="563"/>
        <v>0</v>
      </c>
      <c r="CJ331" s="1927">
        <f t="shared" si="563"/>
        <v>0</v>
      </c>
      <c r="CK331" s="1124"/>
      <c r="CL331" s="1125" t="s">
        <v>1773</v>
      </c>
      <c r="CM331" s="1656">
        <f t="shared" ref="CM331:DH331" si="564">SUM(CM328:CM330)</f>
        <v>0</v>
      </c>
      <c r="CN331" s="1642">
        <f t="shared" si="564"/>
        <v>0</v>
      </c>
      <c r="CO331" s="1926">
        <f t="shared" si="564"/>
        <v>0</v>
      </c>
      <c r="CP331" s="1927">
        <f t="shared" si="564"/>
        <v>0</v>
      </c>
      <c r="CQ331" s="1656">
        <f t="shared" si="564"/>
        <v>0</v>
      </c>
      <c r="CR331" s="1642">
        <f t="shared" si="564"/>
        <v>0</v>
      </c>
      <c r="CS331" s="1926">
        <f t="shared" si="564"/>
        <v>0</v>
      </c>
      <c r="CT331" s="1927">
        <f t="shared" si="564"/>
        <v>0</v>
      </c>
      <c r="CU331" s="1656">
        <f t="shared" si="564"/>
        <v>0</v>
      </c>
      <c r="CV331" s="1642">
        <f t="shared" si="564"/>
        <v>0</v>
      </c>
      <c r="CW331" s="1926">
        <f t="shared" si="564"/>
        <v>0</v>
      </c>
      <c r="CX331" s="1927">
        <f t="shared" si="564"/>
        <v>0</v>
      </c>
      <c r="CY331" s="1656">
        <f t="shared" si="564"/>
        <v>0</v>
      </c>
      <c r="CZ331" s="1642">
        <f t="shared" si="564"/>
        <v>0</v>
      </c>
      <c r="DA331" s="1926">
        <f t="shared" si="564"/>
        <v>0</v>
      </c>
      <c r="DB331" s="1927">
        <f t="shared" si="564"/>
        <v>0</v>
      </c>
      <c r="DC331" s="1058">
        <f t="shared" si="564"/>
        <v>0</v>
      </c>
      <c r="DD331" s="1992">
        <f t="shared" si="564"/>
        <v>0</v>
      </c>
      <c r="DE331" s="1656">
        <f t="shared" si="564"/>
        <v>0</v>
      </c>
      <c r="DF331" s="1642">
        <f t="shared" si="564"/>
        <v>0</v>
      </c>
      <c r="DG331" s="1926">
        <f t="shared" si="564"/>
        <v>0</v>
      </c>
      <c r="DH331" s="1927">
        <f t="shared" si="564"/>
        <v>0</v>
      </c>
      <c r="DI331" s="1126"/>
      <c r="DJ331" s="1125" t="s">
        <v>1773</v>
      </c>
      <c r="DK331" s="1058">
        <f t="shared" ref="DK331:DL331" si="565">SUM(DK328:DK330)</f>
        <v>0</v>
      </c>
      <c r="DL331" s="1992">
        <f t="shared" si="565"/>
        <v>0</v>
      </c>
      <c r="DM331" s="1058">
        <f t="shared" ref="DM331:DP331" si="566">SUM(DM328:DM330)</f>
        <v>0</v>
      </c>
      <c r="DN331" s="1992">
        <f t="shared" si="566"/>
        <v>0</v>
      </c>
      <c r="DO331" s="1058">
        <f t="shared" si="566"/>
        <v>0</v>
      </c>
      <c r="DP331" s="1992">
        <f t="shared" si="566"/>
        <v>0</v>
      </c>
      <c r="DQ331" s="1124"/>
      <c r="DR331" s="1127" t="s">
        <v>1773</v>
      </c>
      <c r="DS331" s="1656">
        <f t="shared" ref="DS331:DV331" si="567">SUM(DS328:DS330)</f>
        <v>0</v>
      </c>
      <c r="DT331" s="1642">
        <f t="shared" si="567"/>
        <v>0</v>
      </c>
      <c r="DU331" s="1926">
        <f t="shared" si="567"/>
        <v>0</v>
      </c>
      <c r="DV331" s="1927">
        <f t="shared" si="567"/>
        <v>0</v>
      </c>
      <c r="DW331" s="1124"/>
      <c r="DX331" s="1125" t="s">
        <v>1773</v>
      </c>
      <c r="DY331" s="1656">
        <f t="shared" ref="DY331:ED331" si="568">SUM(DY328:DY330)</f>
        <v>0</v>
      </c>
      <c r="DZ331" s="1642">
        <f t="shared" si="568"/>
        <v>0</v>
      </c>
      <c r="EA331" s="1926">
        <f t="shared" si="568"/>
        <v>0</v>
      </c>
      <c r="EB331" s="1927">
        <f t="shared" si="568"/>
        <v>0</v>
      </c>
      <c r="EC331" s="1058">
        <f t="shared" si="568"/>
        <v>0</v>
      </c>
      <c r="ED331" s="1992">
        <f t="shared" si="568"/>
        <v>0</v>
      </c>
      <c r="EE331" s="1124"/>
      <c r="EF331" s="1125" t="s">
        <v>1773</v>
      </c>
      <c r="EG331" s="1058">
        <f t="shared" ref="EG331:EO331" si="569">SUM(EG328:EG330)</f>
        <v>0</v>
      </c>
      <c r="EH331" s="1992">
        <f t="shared" si="569"/>
        <v>0</v>
      </c>
      <c r="EI331" s="1656">
        <f t="shared" si="569"/>
        <v>0</v>
      </c>
      <c r="EJ331" s="1642">
        <f t="shared" si="569"/>
        <v>0</v>
      </c>
      <c r="EK331" s="1926">
        <f t="shared" si="569"/>
        <v>0</v>
      </c>
      <c r="EL331" s="1927">
        <f t="shared" si="569"/>
        <v>0</v>
      </c>
      <c r="EM331" s="1927">
        <f t="shared" si="569"/>
        <v>621074</v>
      </c>
      <c r="EN331" s="1927">
        <f t="shared" si="569"/>
        <v>167891</v>
      </c>
      <c r="EO331" s="1927">
        <f t="shared" si="569"/>
        <v>0</v>
      </c>
      <c r="EP331" s="1962">
        <f t="shared" si="554"/>
        <v>788965</v>
      </c>
      <c r="EQ331" s="1707">
        <f t="shared" si="520"/>
        <v>0</v>
      </c>
      <c r="ER331" s="1786">
        <f t="shared" si="521"/>
        <v>0</v>
      </c>
      <c r="ES331" s="1786">
        <f t="shared" si="522"/>
        <v>0</v>
      </c>
      <c r="ET331" s="1061">
        <f t="shared" si="557"/>
        <v>0</v>
      </c>
    </row>
    <row r="332" spans="1:150" ht="19.95" customHeight="1" x14ac:dyDescent="0.25">
      <c r="A332" s="1172"/>
      <c r="B332" s="1183" t="s">
        <v>1774</v>
      </c>
      <c r="C332" s="1670"/>
      <c r="D332" s="1633"/>
      <c r="E332" s="1956"/>
      <c r="F332" s="1957"/>
      <c r="G332" s="1694"/>
      <c r="H332" s="2009"/>
      <c r="I332" s="1694"/>
      <c r="J332" s="2009"/>
      <c r="K332" s="1694"/>
      <c r="L332" s="2039"/>
      <c r="M332" s="1172"/>
      <c r="N332" s="1183" t="s">
        <v>1774</v>
      </c>
      <c r="O332" s="1694"/>
      <c r="P332" s="2039"/>
      <c r="Q332" s="1670"/>
      <c r="R332" s="1633"/>
      <c r="S332" s="1956"/>
      <c r="T332" s="1957"/>
      <c r="U332" s="1670"/>
      <c r="V332" s="1633"/>
      <c r="W332" s="1956"/>
      <c r="X332" s="1957"/>
      <c r="Y332" s="1670"/>
      <c r="Z332" s="1633"/>
      <c r="AA332" s="2073"/>
      <c r="AB332" s="1957"/>
      <c r="AC332" s="2298"/>
      <c r="AD332" s="1183" t="s">
        <v>1774</v>
      </c>
      <c r="AE332" s="1670"/>
      <c r="AF332" s="1633"/>
      <c r="AG332" s="1956"/>
      <c r="AH332" s="1957"/>
      <c r="AI332" s="1670"/>
      <c r="AJ332" s="1633"/>
      <c r="AK332" s="1956"/>
      <c r="AL332" s="1957"/>
      <c r="AM332" s="1694"/>
      <c r="AN332" s="2039"/>
      <c r="AO332" s="1878"/>
      <c r="AP332" s="1726"/>
      <c r="AQ332" s="1727"/>
      <c r="AR332" s="2120"/>
      <c r="AS332" s="2121"/>
      <c r="AT332" s="2120"/>
      <c r="AU332" s="1670"/>
      <c r="AV332" s="1633"/>
      <c r="AW332" s="1956"/>
      <c r="AX332" s="1957"/>
      <c r="AY332" s="1172"/>
      <c r="AZ332" s="1183" t="s">
        <v>1774</v>
      </c>
      <c r="BA332" s="1670"/>
      <c r="BB332" s="1633"/>
      <c r="BC332" s="1956"/>
      <c r="BD332" s="1957"/>
      <c r="BE332" s="1172"/>
      <c r="BF332" s="1183" t="s">
        <v>1774</v>
      </c>
      <c r="BG332" s="1670"/>
      <c r="BH332" s="1633"/>
      <c r="BI332" s="1956"/>
      <c r="BJ332" s="1957"/>
      <c r="BK332" s="1670"/>
      <c r="BL332" s="1633"/>
      <c r="BM332" s="1956"/>
      <c r="BN332" s="1957"/>
      <c r="BO332" s="1694"/>
      <c r="BP332" s="2009"/>
      <c r="BQ332" s="1694"/>
      <c r="BR332" s="2039"/>
      <c r="BS332" s="1670"/>
      <c r="BT332" s="1633"/>
      <c r="BU332" s="1956"/>
      <c r="BV332" s="1957"/>
      <c r="BW332" s="1694"/>
      <c r="BX332" s="2039"/>
      <c r="BY332" s="1670"/>
      <c r="BZ332" s="1633"/>
      <c r="CA332" s="1956"/>
      <c r="CB332" s="1957"/>
      <c r="CC332" s="1762"/>
      <c r="CD332" s="2172"/>
      <c r="CE332" s="1172"/>
      <c r="CF332" s="1183" t="s">
        <v>1774</v>
      </c>
      <c r="CG332" s="1670"/>
      <c r="CH332" s="1633"/>
      <c r="CI332" s="1956"/>
      <c r="CJ332" s="1957"/>
      <c r="CK332" s="1172"/>
      <c r="CL332" s="1183" t="s">
        <v>1774</v>
      </c>
      <c r="CM332" s="1670"/>
      <c r="CN332" s="1633"/>
      <c r="CO332" s="1956"/>
      <c r="CP332" s="1957"/>
      <c r="CQ332" s="1670"/>
      <c r="CR332" s="1633"/>
      <c r="CS332" s="1956"/>
      <c r="CT332" s="1957"/>
      <c r="CU332" s="1670"/>
      <c r="CV332" s="1633"/>
      <c r="CW332" s="1956"/>
      <c r="CX332" s="1957"/>
      <c r="CY332" s="1670"/>
      <c r="CZ332" s="1633"/>
      <c r="DA332" s="1956"/>
      <c r="DB332" s="1957"/>
      <c r="DC332" s="1694"/>
      <c r="DD332" s="2039"/>
      <c r="DE332" s="1670"/>
      <c r="DF332" s="1633"/>
      <c r="DG332" s="1956"/>
      <c r="DH332" s="1957"/>
      <c r="DI332" s="2298"/>
      <c r="DJ332" s="1183" t="s">
        <v>1774</v>
      </c>
      <c r="DK332" s="1694"/>
      <c r="DL332" s="2009"/>
      <c r="DM332" s="1694"/>
      <c r="DN332" s="2009"/>
      <c r="DO332" s="1694"/>
      <c r="DP332" s="2039"/>
      <c r="DQ332" s="1172"/>
      <c r="DR332" s="1184" t="s">
        <v>1774</v>
      </c>
      <c r="DS332" s="1670"/>
      <c r="DT332" s="1633"/>
      <c r="DU332" s="1956"/>
      <c r="DV332" s="1957"/>
      <c r="DW332" s="1172"/>
      <c r="DX332" s="1183" t="s">
        <v>1774</v>
      </c>
      <c r="DY332" s="1670"/>
      <c r="DZ332" s="1633"/>
      <c r="EA332" s="1956"/>
      <c r="EB332" s="1957"/>
      <c r="EC332" s="1694"/>
      <c r="ED332" s="2039"/>
      <c r="EE332" s="1172"/>
      <c r="EF332" s="1183" t="s">
        <v>1774</v>
      </c>
      <c r="EG332" s="1694"/>
      <c r="EH332" s="2039"/>
      <c r="EI332" s="1670"/>
      <c r="EJ332" s="1633"/>
      <c r="EK332" s="2245"/>
      <c r="EL332" s="1957"/>
      <c r="EM332" s="2253"/>
      <c r="EN332" s="2254"/>
      <c r="EO332" s="2254"/>
      <c r="EP332" s="2254">
        <f t="shared" si="554"/>
        <v>0</v>
      </c>
      <c r="EQ332" s="1710">
        <f t="shared" si="520"/>
        <v>0</v>
      </c>
      <c r="ER332" s="1820">
        <f t="shared" si="521"/>
        <v>0</v>
      </c>
      <c r="ES332" s="1820">
        <f t="shared" si="522"/>
        <v>0</v>
      </c>
      <c r="ET332" s="1821">
        <f t="shared" si="557"/>
        <v>0</v>
      </c>
    </row>
    <row r="333" spans="1:150" x14ac:dyDescent="0.25">
      <c r="A333" s="1120">
        <v>1</v>
      </c>
      <c r="B333" s="1121"/>
      <c r="C333" s="1672"/>
      <c r="D333" s="1634"/>
      <c r="E333" s="1958"/>
      <c r="F333" s="1959"/>
      <c r="G333" s="1696"/>
      <c r="H333" s="2010"/>
      <c r="I333" s="1696"/>
      <c r="J333" s="2010"/>
      <c r="K333" s="1696"/>
      <c r="L333" s="2040"/>
      <c r="M333" s="1120">
        <v>1</v>
      </c>
      <c r="N333" s="1121"/>
      <c r="O333" s="1696"/>
      <c r="P333" s="2040"/>
      <c r="Q333" s="1672"/>
      <c r="R333" s="1634"/>
      <c r="S333" s="1958"/>
      <c r="T333" s="1959"/>
      <c r="U333" s="1672"/>
      <c r="V333" s="1634"/>
      <c r="W333" s="1958"/>
      <c r="X333" s="1959"/>
      <c r="Y333" s="1672"/>
      <c r="Z333" s="1634"/>
      <c r="AA333" s="2074"/>
      <c r="AB333" s="1959"/>
      <c r="AC333" s="1121">
        <v>1</v>
      </c>
      <c r="AD333" s="1176" t="s">
        <v>1771</v>
      </c>
      <c r="AE333" s="1672"/>
      <c r="AF333" s="1634"/>
      <c r="AG333" s="1958"/>
      <c r="AH333" s="1959"/>
      <c r="AI333" s="1672"/>
      <c r="AJ333" s="1634"/>
      <c r="AK333" s="1958"/>
      <c r="AL333" s="1959"/>
      <c r="AM333" s="1696"/>
      <c r="AN333" s="2040"/>
      <c r="AO333" s="1879"/>
      <c r="AP333" s="1262"/>
      <c r="AQ333" s="1728"/>
      <c r="AR333" s="2122"/>
      <c r="AS333" s="1552"/>
      <c r="AT333" s="2122"/>
      <c r="AU333" s="1672"/>
      <c r="AV333" s="1634"/>
      <c r="AW333" s="1958"/>
      <c r="AX333" s="1959"/>
      <c r="AY333" s="1120">
        <v>1</v>
      </c>
      <c r="AZ333" s="1121"/>
      <c r="BA333" s="1672"/>
      <c r="BB333" s="1634"/>
      <c r="BC333" s="1958"/>
      <c r="BD333" s="1959"/>
      <c r="BE333" s="1120">
        <v>1</v>
      </c>
      <c r="BF333" s="1121"/>
      <c r="BG333" s="1672"/>
      <c r="BH333" s="1634"/>
      <c r="BI333" s="1958"/>
      <c r="BJ333" s="1959"/>
      <c r="BK333" s="1672"/>
      <c r="BL333" s="1634"/>
      <c r="BM333" s="1958"/>
      <c r="BN333" s="1959"/>
      <c r="BO333" s="1696"/>
      <c r="BP333" s="2010"/>
      <c r="BQ333" s="1696"/>
      <c r="BR333" s="2040"/>
      <c r="BS333" s="1672"/>
      <c r="BT333" s="1634"/>
      <c r="BU333" s="1958"/>
      <c r="BV333" s="1959"/>
      <c r="BW333" s="1696"/>
      <c r="BX333" s="2040"/>
      <c r="BY333" s="1672"/>
      <c r="BZ333" s="1634"/>
      <c r="CA333" s="1958"/>
      <c r="CB333" s="1959"/>
      <c r="CC333" s="1763"/>
      <c r="CD333" s="2174"/>
      <c r="CE333" s="1120">
        <v>1</v>
      </c>
      <c r="CF333" s="1121"/>
      <c r="CG333" s="1672"/>
      <c r="CH333" s="1634"/>
      <c r="CI333" s="1958"/>
      <c r="CJ333" s="1959"/>
      <c r="CK333" s="1120">
        <v>1</v>
      </c>
      <c r="CL333" s="1121"/>
      <c r="CM333" s="1672"/>
      <c r="CN333" s="1634"/>
      <c r="CO333" s="1958"/>
      <c r="CP333" s="1959"/>
      <c r="CQ333" s="1672"/>
      <c r="CR333" s="1634"/>
      <c r="CS333" s="1958"/>
      <c r="CT333" s="1959"/>
      <c r="CU333" s="1672"/>
      <c r="CV333" s="1634"/>
      <c r="CW333" s="1958"/>
      <c r="CX333" s="1959"/>
      <c r="CY333" s="1672"/>
      <c r="CZ333" s="1634"/>
      <c r="DA333" s="1958"/>
      <c r="DB333" s="1959"/>
      <c r="DC333" s="1696"/>
      <c r="DD333" s="2040"/>
      <c r="DE333" s="1672"/>
      <c r="DF333" s="1634"/>
      <c r="DG333" s="1958"/>
      <c r="DH333" s="1959"/>
      <c r="DI333" s="1121">
        <v>1</v>
      </c>
      <c r="DJ333" s="1121"/>
      <c r="DK333" s="1696"/>
      <c r="DL333" s="2010"/>
      <c r="DM333" s="1696"/>
      <c r="DN333" s="2010"/>
      <c r="DO333" s="1696"/>
      <c r="DP333" s="2040"/>
      <c r="DQ333" s="1120">
        <v>1</v>
      </c>
      <c r="DR333" s="1123"/>
      <c r="DS333" s="1672"/>
      <c r="DT333" s="1634"/>
      <c r="DU333" s="1958"/>
      <c r="DV333" s="1959"/>
      <c r="DW333" s="1120">
        <v>1</v>
      </c>
      <c r="DX333" s="1121"/>
      <c r="DY333" s="1672"/>
      <c r="DZ333" s="1634"/>
      <c r="EA333" s="1958"/>
      <c r="EB333" s="1959"/>
      <c r="EC333" s="1696"/>
      <c r="ED333" s="2040"/>
      <c r="EE333" s="1120">
        <v>1</v>
      </c>
      <c r="EF333" s="1121"/>
      <c r="EG333" s="1696"/>
      <c r="EH333" s="2040"/>
      <c r="EI333" s="1672"/>
      <c r="EJ333" s="1634"/>
      <c r="EK333" s="2232"/>
      <c r="EL333" s="1959"/>
      <c r="EM333" s="2202">
        <f t="shared" ref="EM333:EM334" si="570">E333+S333+W333+AA333+AG333+AK333+AN333+AR333+AW333+BC333+BI333+BM333+BR333+BU333+CA333+CD333+CI333+CO333+CS333+CW333+DA333+DG333+DU333+EA333+EK333</f>
        <v>0</v>
      </c>
      <c r="EN333" s="1585">
        <f t="shared" ref="EN333:EN334" si="571">F333+H333+J333+L333+P333+T333+X333+AB333+AH333+AL333+AS333+AX333+BD333+BJ333+BN333+BP333+BV333+BX333+CB333+CJ333+CP333+CT333+CX333+DB333+DD333+DH333+DN333+DP333+DV333+EB333+ED333+EH333+EL333+DL333</f>
        <v>0</v>
      </c>
      <c r="EO333" s="1585">
        <f t="shared" ref="EO333:EO334" si="572">AQ333</f>
        <v>0</v>
      </c>
      <c r="EP333" s="1596">
        <f t="shared" si="554"/>
        <v>0</v>
      </c>
      <c r="EQ333" s="1729">
        <f t="shared" si="520"/>
        <v>0</v>
      </c>
      <c r="ER333" s="1797">
        <f t="shared" si="521"/>
        <v>0</v>
      </c>
      <c r="ES333" s="1797">
        <f t="shared" si="522"/>
        <v>0</v>
      </c>
      <c r="ET333" s="1798">
        <f t="shared" si="557"/>
        <v>0</v>
      </c>
    </row>
    <row r="334" spans="1:150" x14ac:dyDescent="0.25">
      <c r="A334" s="1120">
        <v>2</v>
      </c>
      <c r="B334" s="1121"/>
      <c r="C334" s="1672"/>
      <c r="D334" s="1634"/>
      <c r="E334" s="1958"/>
      <c r="F334" s="1959"/>
      <c r="G334" s="1696"/>
      <c r="H334" s="2010"/>
      <c r="I334" s="1696"/>
      <c r="J334" s="2010"/>
      <c r="K334" s="1696"/>
      <c r="L334" s="2040"/>
      <c r="M334" s="1120">
        <v>2</v>
      </c>
      <c r="N334" s="1121"/>
      <c r="O334" s="1696"/>
      <c r="P334" s="2040"/>
      <c r="Q334" s="1672"/>
      <c r="R334" s="1634"/>
      <c r="S334" s="1958"/>
      <c r="T334" s="1959"/>
      <c r="U334" s="1672"/>
      <c r="V334" s="1634"/>
      <c r="W334" s="1958"/>
      <c r="X334" s="1959"/>
      <c r="Y334" s="1672"/>
      <c r="Z334" s="1634"/>
      <c r="AA334" s="2074"/>
      <c r="AB334" s="1959"/>
      <c r="AC334" s="1121">
        <v>2</v>
      </c>
      <c r="AD334" s="1178" t="s">
        <v>1775</v>
      </c>
      <c r="AE334" s="1672"/>
      <c r="AF334" s="1634"/>
      <c r="AG334" s="1958"/>
      <c r="AH334" s="1959"/>
      <c r="AI334" s="1672"/>
      <c r="AJ334" s="1634"/>
      <c r="AK334" s="1958"/>
      <c r="AL334" s="1959"/>
      <c r="AM334" s="1696"/>
      <c r="AN334" s="2040"/>
      <c r="AO334" s="1879"/>
      <c r="AP334" s="1262"/>
      <c r="AQ334" s="1728"/>
      <c r="AR334" s="2122"/>
      <c r="AS334" s="1552"/>
      <c r="AT334" s="2122"/>
      <c r="AU334" s="1672"/>
      <c r="AV334" s="1634"/>
      <c r="AW334" s="1958"/>
      <c r="AX334" s="1959"/>
      <c r="AY334" s="1120">
        <v>2</v>
      </c>
      <c r="AZ334" s="1121"/>
      <c r="BA334" s="1672"/>
      <c r="BB334" s="1634"/>
      <c r="BC334" s="1958"/>
      <c r="BD334" s="1959"/>
      <c r="BE334" s="1120">
        <v>2</v>
      </c>
      <c r="BF334" s="1121"/>
      <c r="BG334" s="1672"/>
      <c r="BH334" s="1634"/>
      <c r="BI334" s="1958"/>
      <c r="BJ334" s="1959"/>
      <c r="BK334" s="1672"/>
      <c r="BL334" s="1634"/>
      <c r="BM334" s="1958"/>
      <c r="BN334" s="1959"/>
      <c r="BO334" s="1696"/>
      <c r="BP334" s="2010"/>
      <c r="BQ334" s="1696"/>
      <c r="BR334" s="2040"/>
      <c r="BS334" s="1672"/>
      <c r="BT334" s="1634"/>
      <c r="BU334" s="1958"/>
      <c r="BV334" s="1959"/>
      <c r="BW334" s="1696"/>
      <c r="BX334" s="2040"/>
      <c r="BY334" s="1672"/>
      <c r="BZ334" s="1634"/>
      <c r="CA334" s="1958"/>
      <c r="CB334" s="1959"/>
      <c r="CC334" s="1763"/>
      <c r="CD334" s="2174"/>
      <c r="CE334" s="1120">
        <v>2</v>
      </c>
      <c r="CF334" s="1121"/>
      <c r="CG334" s="1672"/>
      <c r="CH334" s="1634"/>
      <c r="CI334" s="1958"/>
      <c r="CJ334" s="1959"/>
      <c r="CK334" s="1120">
        <v>2</v>
      </c>
      <c r="CL334" s="1121"/>
      <c r="CM334" s="1672"/>
      <c r="CN334" s="1634"/>
      <c r="CO334" s="1958"/>
      <c r="CP334" s="1959"/>
      <c r="CQ334" s="1672"/>
      <c r="CR334" s="1634"/>
      <c r="CS334" s="1958"/>
      <c r="CT334" s="1959"/>
      <c r="CU334" s="1672"/>
      <c r="CV334" s="1634"/>
      <c r="CW334" s="1958"/>
      <c r="CX334" s="1959"/>
      <c r="CY334" s="1672"/>
      <c r="CZ334" s="1634"/>
      <c r="DA334" s="1958"/>
      <c r="DB334" s="1959"/>
      <c r="DC334" s="1696"/>
      <c r="DD334" s="2040"/>
      <c r="DE334" s="1672"/>
      <c r="DF334" s="1634"/>
      <c r="DG334" s="1958"/>
      <c r="DH334" s="1959"/>
      <c r="DI334" s="1121">
        <v>2</v>
      </c>
      <c r="DJ334" s="1121"/>
      <c r="DK334" s="1696"/>
      <c r="DL334" s="2010"/>
      <c r="DM334" s="1696"/>
      <c r="DN334" s="2010"/>
      <c r="DO334" s="1696"/>
      <c r="DP334" s="2040"/>
      <c r="DQ334" s="1120">
        <v>2</v>
      </c>
      <c r="DR334" s="1123"/>
      <c r="DS334" s="1672"/>
      <c r="DT334" s="1634"/>
      <c r="DU334" s="1958"/>
      <c r="DV334" s="1959"/>
      <c r="DW334" s="1120">
        <v>2</v>
      </c>
      <c r="DX334" s="1121"/>
      <c r="DY334" s="1672"/>
      <c r="DZ334" s="1634"/>
      <c r="EA334" s="1958"/>
      <c r="EB334" s="1959"/>
      <c r="EC334" s="1696"/>
      <c r="ED334" s="2040"/>
      <c r="EE334" s="1120">
        <v>2</v>
      </c>
      <c r="EF334" s="1121"/>
      <c r="EG334" s="1696"/>
      <c r="EH334" s="2040"/>
      <c r="EI334" s="1672"/>
      <c r="EJ334" s="1634"/>
      <c r="EK334" s="2232"/>
      <c r="EL334" s="1959"/>
      <c r="EM334" s="2202">
        <f t="shared" si="570"/>
        <v>0</v>
      </c>
      <c r="EN334" s="1585">
        <f t="shared" si="571"/>
        <v>0</v>
      </c>
      <c r="EO334" s="1585">
        <f t="shared" si="572"/>
        <v>0</v>
      </c>
      <c r="EP334" s="1596">
        <f t="shared" si="554"/>
        <v>0</v>
      </c>
      <c r="EQ334" s="1729">
        <f t="shared" si="520"/>
        <v>0</v>
      </c>
      <c r="ER334" s="1797">
        <f t="shared" si="521"/>
        <v>0</v>
      </c>
      <c r="ES334" s="1797">
        <f t="shared" si="522"/>
        <v>0</v>
      </c>
      <c r="ET334" s="1798">
        <f t="shared" si="557"/>
        <v>0</v>
      </c>
    </row>
    <row r="335" spans="1:150" ht="19.95" customHeight="1" thickBot="1" x14ac:dyDescent="0.3">
      <c r="A335" s="1124"/>
      <c r="B335" s="1125" t="s">
        <v>1776</v>
      </c>
      <c r="C335" s="1656">
        <f t="shared" ref="C335:L335" si="573">SUM(C332:C334)</f>
        <v>0</v>
      </c>
      <c r="D335" s="1642">
        <f t="shared" si="573"/>
        <v>0</v>
      </c>
      <c r="E335" s="1926">
        <f t="shared" si="573"/>
        <v>0</v>
      </c>
      <c r="F335" s="1927">
        <f t="shared" si="573"/>
        <v>0</v>
      </c>
      <c r="G335" s="1058">
        <f t="shared" si="573"/>
        <v>0</v>
      </c>
      <c r="H335" s="1992">
        <f t="shared" si="573"/>
        <v>0</v>
      </c>
      <c r="I335" s="1058">
        <f t="shared" si="573"/>
        <v>0</v>
      </c>
      <c r="J335" s="1992">
        <f t="shared" si="573"/>
        <v>0</v>
      </c>
      <c r="K335" s="1058">
        <f t="shared" si="573"/>
        <v>0</v>
      </c>
      <c r="L335" s="1992">
        <f t="shared" si="573"/>
        <v>0</v>
      </c>
      <c r="M335" s="1124"/>
      <c r="N335" s="1125" t="s">
        <v>1776</v>
      </c>
      <c r="O335" s="1058">
        <f t="shared" ref="O335:AB335" si="574">SUM(O332:O334)</f>
        <v>0</v>
      </c>
      <c r="P335" s="1992">
        <f t="shared" si="574"/>
        <v>0</v>
      </c>
      <c r="Q335" s="1656">
        <f t="shared" si="574"/>
        <v>0</v>
      </c>
      <c r="R335" s="1642">
        <f t="shared" si="574"/>
        <v>0</v>
      </c>
      <c r="S335" s="1926">
        <f t="shared" si="574"/>
        <v>0</v>
      </c>
      <c r="T335" s="1927">
        <f t="shared" si="574"/>
        <v>0</v>
      </c>
      <c r="U335" s="1656">
        <f t="shared" si="574"/>
        <v>0</v>
      </c>
      <c r="V335" s="1642">
        <f t="shared" si="574"/>
        <v>0</v>
      </c>
      <c r="W335" s="1926">
        <f t="shared" si="574"/>
        <v>0</v>
      </c>
      <c r="X335" s="1927">
        <f t="shared" si="574"/>
        <v>0</v>
      </c>
      <c r="Y335" s="1656">
        <f t="shared" si="574"/>
        <v>0</v>
      </c>
      <c r="Z335" s="1642">
        <f t="shared" si="574"/>
        <v>0</v>
      </c>
      <c r="AA335" s="1926">
        <f t="shared" si="574"/>
        <v>0</v>
      </c>
      <c r="AB335" s="1927">
        <f t="shared" si="574"/>
        <v>0</v>
      </c>
      <c r="AC335" s="1126"/>
      <c r="AD335" s="1125" t="s">
        <v>1776</v>
      </c>
      <c r="AE335" s="1656">
        <f t="shared" ref="AE335:AX335" si="575">SUM(AE332:AE334)</f>
        <v>0</v>
      </c>
      <c r="AF335" s="1642">
        <f t="shared" si="575"/>
        <v>0</v>
      </c>
      <c r="AG335" s="1926">
        <f t="shared" si="575"/>
        <v>0</v>
      </c>
      <c r="AH335" s="1927">
        <f t="shared" si="575"/>
        <v>0</v>
      </c>
      <c r="AI335" s="1656">
        <f t="shared" si="575"/>
        <v>0</v>
      </c>
      <c r="AJ335" s="1642">
        <f t="shared" si="575"/>
        <v>0</v>
      </c>
      <c r="AK335" s="1926">
        <f t="shared" si="575"/>
        <v>0</v>
      </c>
      <c r="AL335" s="1927">
        <f t="shared" si="575"/>
        <v>0</v>
      </c>
      <c r="AM335" s="1058">
        <f t="shared" si="575"/>
        <v>0</v>
      </c>
      <c r="AN335" s="1992">
        <f t="shared" si="575"/>
        <v>0</v>
      </c>
      <c r="AO335" s="1656">
        <f t="shared" si="575"/>
        <v>0</v>
      </c>
      <c r="AP335" s="1854">
        <f t="shared" si="575"/>
        <v>0</v>
      </c>
      <c r="AQ335" s="1030">
        <f t="shared" si="575"/>
        <v>0</v>
      </c>
      <c r="AR335" s="1926">
        <f t="shared" si="575"/>
        <v>0</v>
      </c>
      <c r="AS335" s="2096">
        <f t="shared" si="575"/>
        <v>0</v>
      </c>
      <c r="AT335" s="2097">
        <f t="shared" si="575"/>
        <v>0</v>
      </c>
      <c r="AU335" s="1656">
        <f t="shared" si="575"/>
        <v>0</v>
      </c>
      <c r="AV335" s="1642">
        <f t="shared" si="575"/>
        <v>0</v>
      </c>
      <c r="AW335" s="1926">
        <f t="shared" si="575"/>
        <v>0</v>
      </c>
      <c r="AX335" s="1927">
        <f t="shared" si="575"/>
        <v>0</v>
      </c>
      <c r="AY335" s="1124"/>
      <c r="AZ335" s="1125" t="s">
        <v>1776</v>
      </c>
      <c r="BA335" s="1656">
        <f t="shared" ref="BA335:BD335" si="576">SUM(BA332:BA334)</f>
        <v>0</v>
      </c>
      <c r="BB335" s="1642">
        <f t="shared" si="576"/>
        <v>0</v>
      </c>
      <c r="BC335" s="1926">
        <f t="shared" si="576"/>
        <v>0</v>
      </c>
      <c r="BD335" s="1927">
        <f t="shared" si="576"/>
        <v>0</v>
      </c>
      <c r="BE335" s="1124"/>
      <c r="BF335" s="1125" t="s">
        <v>1776</v>
      </c>
      <c r="BG335" s="1656">
        <f t="shared" ref="BG335:CD335" si="577">SUM(BG332:BG334)</f>
        <v>0</v>
      </c>
      <c r="BH335" s="1642">
        <f t="shared" si="577"/>
        <v>0</v>
      </c>
      <c r="BI335" s="1926">
        <f t="shared" si="577"/>
        <v>0</v>
      </c>
      <c r="BJ335" s="1927">
        <f t="shared" si="577"/>
        <v>0</v>
      </c>
      <c r="BK335" s="1656">
        <f t="shared" si="577"/>
        <v>0</v>
      </c>
      <c r="BL335" s="1642">
        <f t="shared" si="577"/>
        <v>0</v>
      </c>
      <c r="BM335" s="1926">
        <f t="shared" si="577"/>
        <v>0</v>
      </c>
      <c r="BN335" s="1927">
        <f t="shared" si="577"/>
        <v>0</v>
      </c>
      <c r="BO335" s="1058">
        <f t="shared" si="577"/>
        <v>0</v>
      </c>
      <c r="BP335" s="1992">
        <f t="shared" si="577"/>
        <v>0</v>
      </c>
      <c r="BQ335" s="1058">
        <f t="shared" si="577"/>
        <v>0</v>
      </c>
      <c r="BR335" s="1992">
        <f t="shared" si="577"/>
        <v>0</v>
      </c>
      <c r="BS335" s="1656">
        <f t="shared" si="577"/>
        <v>0</v>
      </c>
      <c r="BT335" s="1642">
        <f t="shared" si="577"/>
        <v>0</v>
      </c>
      <c r="BU335" s="1926">
        <f t="shared" si="577"/>
        <v>0</v>
      </c>
      <c r="BV335" s="1927">
        <f t="shared" si="577"/>
        <v>0</v>
      </c>
      <c r="BW335" s="1058">
        <f t="shared" si="577"/>
        <v>0</v>
      </c>
      <c r="BX335" s="1992">
        <f t="shared" si="577"/>
        <v>0</v>
      </c>
      <c r="BY335" s="1656">
        <f t="shared" si="577"/>
        <v>0</v>
      </c>
      <c r="BZ335" s="1642">
        <f t="shared" si="577"/>
        <v>0</v>
      </c>
      <c r="CA335" s="1926">
        <f t="shared" si="577"/>
        <v>0</v>
      </c>
      <c r="CB335" s="1927">
        <f t="shared" si="577"/>
        <v>0</v>
      </c>
      <c r="CC335" s="1705">
        <f t="shared" si="577"/>
        <v>0</v>
      </c>
      <c r="CD335" s="2159">
        <f t="shared" si="577"/>
        <v>0</v>
      </c>
      <c r="CE335" s="1124"/>
      <c r="CF335" s="1125" t="s">
        <v>1776</v>
      </c>
      <c r="CG335" s="1656">
        <f t="shared" ref="CG335:CJ335" si="578">SUM(CG332:CG334)</f>
        <v>0</v>
      </c>
      <c r="CH335" s="1642">
        <f t="shared" si="578"/>
        <v>0</v>
      </c>
      <c r="CI335" s="1926">
        <f t="shared" si="578"/>
        <v>0</v>
      </c>
      <c r="CJ335" s="1927">
        <f t="shared" si="578"/>
        <v>0</v>
      </c>
      <c r="CK335" s="1124"/>
      <c r="CL335" s="1125" t="s">
        <v>1776</v>
      </c>
      <c r="CM335" s="1656">
        <f t="shared" ref="CM335:DH335" si="579">SUM(CM332:CM334)</f>
        <v>0</v>
      </c>
      <c r="CN335" s="1642">
        <f t="shared" si="579"/>
        <v>0</v>
      </c>
      <c r="CO335" s="1926">
        <f t="shared" si="579"/>
        <v>0</v>
      </c>
      <c r="CP335" s="1927">
        <f t="shared" si="579"/>
        <v>0</v>
      </c>
      <c r="CQ335" s="1656">
        <f t="shared" si="579"/>
        <v>0</v>
      </c>
      <c r="CR335" s="1642">
        <f t="shared" si="579"/>
        <v>0</v>
      </c>
      <c r="CS335" s="1926">
        <f t="shared" si="579"/>
        <v>0</v>
      </c>
      <c r="CT335" s="1927">
        <f t="shared" si="579"/>
        <v>0</v>
      </c>
      <c r="CU335" s="1656">
        <f t="shared" si="579"/>
        <v>0</v>
      </c>
      <c r="CV335" s="1642">
        <f t="shared" si="579"/>
        <v>0</v>
      </c>
      <c r="CW335" s="1926">
        <f t="shared" si="579"/>
        <v>0</v>
      </c>
      <c r="CX335" s="1927">
        <f t="shared" si="579"/>
        <v>0</v>
      </c>
      <c r="CY335" s="1656">
        <f t="shared" si="579"/>
        <v>0</v>
      </c>
      <c r="CZ335" s="1642">
        <f t="shared" si="579"/>
        <v>0</v>
      </c>
      <c r="DA335" s="1926">
        <f t="shared" si="579"/>
        <v>0</v>
      </c>
      <c r="DB335" s="1927">
        <f t="shared" si="579"/>
        <v>0</v>
      </c>
      <c r="DC335" s="1058">
        <f t="shared" si="579"/>
        <v>0</v>
      </c>
      <c r="DD335" s="1992">
        <f t="shared" si="579"/>
        <v>0</v>
      </c>
      <c r="DE335" s="1656">
        <f t="shared" si="579"/>
        <v>0</v>
      </c>
      <c r="DF335" s="1642">
        <f t="shared" si="579"/>
        <v>0</v>
      </c>
      <c r="DG335" s="1926">
        <f t="shared" si="579"/>
        <v>0</v>
      </c>
      <c r="DH335" s="1927">
        <f t="shared" si="579"/>
        <v>0</v>
      </c>
      <c r="DI335" s="1126"/>
      <c r="DJ335" s="1125" t="s">
        <v>1776</v>
      </c>
      <c r="DK335" s="1058">
        <f t="shared" ref="DK335:DL335" si="580">SUM(DK332:DK334)</f>
        <v>0</v>
      </c>
      <c r="DL335" s="1992">
        <f t="shared" si="580"/>
        <v>0</v>
      </c>
      <c r="DM335" s="1058">
        <f t="shared" ref="DM335:DP335" si="581">SUM(DM332:DM334)</f>
        <v>0</v>
      </c>
      <c r="DN335" s="1992">
        <f t="shared" si="581"/>
        <v>0</v>
      </c>
      <c r="DO335" s="1058">
        <f t="shared" si="581"/>
        <v>0</v>
      </c>
      <c r="DP335" s="1992">
        <f t="shared" si="581"/>
        <v>0</v>
      </c>
      <c r="DQ335" s="1124"/>
      <c r="DR335" s="1127" t="s">
        <v>1776</v>
      </c>
      <c r="DS335" s="1656">
        <f t="shared" ref="DS335:DV335" si="582">SUM(DS332:DS334)</f>
        <v>0</v>
      </c>
      <c r="DT335" s="1642">
        <f t="shared" si="582"/>
        <v>0</v>
      </c>
      <c r="DU335" s="1926">
        <f t="shared" si="582"/>
        <v>0</v>
      </c>
      <c r="DV335" s="1927">
        <f t="shared" si="582"/>
        <v>0</v>
      </c>
      <c r="DW335" s="1124"/>
      <c r="DX335" s="1125" t="s">
        <v>1776</v>
      </c>
      <c r="DY335" s="1656">
        <f t="shared" ref="DY335:ED335" si="583">SUM(DY332:DY334)</f>
        <v>0</v>
      </c>
      <c r="DZ335" s="1642">
        <f t="shared" si="583"/>
        <v>0</v>
      </c>
      <c r="EA335" s="1926">
        <f t="shared" si="583"/>
        <v>0</v>
      </c>
      <c r="EB335" s="1927">
        <f t="shared" si="583"/>
        <v>0</v>
      </c>
      <c r="EC335" s="1058">
        <f t="shared" si="583"/>
        <v>0</v>
      </c>
      <c r="ED335" s="1992">
        <f t="shared" si="583"/>
        <v>0</v>
      </c>
      <c r="EE335" s="1124"/>
      <c r="EF335" s="1125" t="s">
        <v>1776</v>
      </c>
      <c r="EG335" s="1058">
        <f t="shared" ref="EG335:EO335" si="584">SUM(EG332:EG334)</f>
        <v>0</v>
      </c>
      <c r="EH335" s="1992">
        <f t="shared" si="584"/>
        <v>0</v>
      </c>
      <c r="EI335" s="1656">
        <f t="shared" si="584"/>
        <v>0</v>
      </c>
      <c r="EJ335" s="1642">
        <f t="shared" si="584"/>
        <v>0</v>
      </c>
      <c r="EK335" s="1926">
        <f t="shared" si="584"/>
        <v>0</v>
      </c>
      <c r="EL335" s="1927">
        <f t="shared" si="584"/>
        <v>0</v>
      </c>
      <c r="EM335" s="1927">
        <f t="shared" si="584"/>
        <v>0</v>
      </c>
      <c r="EN335" s="1927">
        <f t="shared" si="584"/>
        <v>0</v>
      </c>
      <c r="EO335" s="1927">
        <f t="shared" si="584"/>
        <v>0</v>
      </c>
      <c r="EP335" s="1962">
        <f t="shared" si="554"/>
        <v>0</v>
      </c>
      <c r="EQ335" s="1707">
        <f t="shared" si="520"/>
        <v>0</v>
      </c>
      <c r="ER335" s="1786">
        <f t="shared" si="521"/>
        <v>0</v>
      </c>
      <c r="ES335" s="1786">
        <f t="shared" si="522"/>
        <v>0</v>
      </c>
      <c r="ET335" s="1061">
        <f t="shared" si="557"/>
        <v>0</v>
      </c>
    </row>
    <row r="336" spans="1:150" ht="13.8" thickBot="1" x14ac:dyDescent="0.3">
      <c r="A336" s="2545" t="s">
        <v>1777</v>
      </c>
      <c r="B336" s="2546"/>
      <c r="C336" s="1640">
        <f t="shared" ref="C336:L336" si="585">C335+C331+C323+C327</f>
        <v>0</v>
      </c>
      <c r="D336" s="1389">
        <f t="shared" si="585"/>
        <v>0</v>
      </c>
      <c r="E336" s="1953">
        <f t="shared" si="585"/>
        <v>0</v>
      </c>
      <c r="F336" s="1594">
        <f t="shared" si="585"/>
        <v>0</v>
      </c>
      <c r="G336" s="1100">
        <f t="shared" si="585"/>
        <v>0</v>
      </c>
      <c r="H336" s="2007">
        <f t="shared" si="585"/>
        <v>0</v>
      </c>
      <c r="I336" s="1100">
        <f t="shared" si="585"/>
        <v>0</v>
      </c>
      <c r="J336" s="2007">
        <f t="shared" si="585"/>
        <v>0</v>
      </c>
      <c r="K336" s="1100">
        <f t="shared" si="585"/>
        <v>0</v>
      </c>
      <c r="L336" s="2007">
        <f t="shared" si="585"/>
        <v>0</v>
      </c>
      <c r="M336" s="2545" t="s">
        <v>1777</v>
      </c>
      <c r="N336" s="2546"/>
      <c r="O336" s="1100">
        <f t="shared" ref="O336:AB336" si="586">O335+O331+O323+O327</f>
        <v>0</v>
      </c>
      <c r="P336" s="2007">
        <f t="shared" si="586"/>
        <v>0</v>
      </c>
      <c r="Q336" s="1640">
        <f t="shared" si="586"/>
        <v>0</v>
      </c>
      <c r="R336" s="1389">
        <f t="shared" si="586"/>
        <v>0</v>
      </c>
      <c r="S336" s="1953">
        <f t="shared" si="586"/>
        <v>0</v>
      </c>
      <c r="T336" s="1594">
        <f t="shared" si="586"/>
        <v>0</v>
      </c>
      <c r="U336" s="1640">
        <f t="shared" si="586"/>
        <v>0</v>
      </c>
      <c r="V336" s="1389">
        <f t="shared" si="586"/>
        <v>0</v>
      </c>
      <c r="W336" s="1953">
        <f t="shared" si="586"/>
        <v>0</v>
      </c>
      <c r="X336" s="1594">
        <f t="shared" si="586"/>
        <v>0</v>
      </c>
      <c r="Y336" s="1640">
        <f t="shared" si="586"/>
        <v>0</v>
      </c>
      <c r="Z336" s="1389">
        <f t="shared" si="586"/>
        <v>0</v>
      </c>
      <c r="AA336" s="1953">
        <f t="shared" si="586"/>
        <v>0</v>
      </c>
      <c r="AB336" s="1594">
        <f t="shared" si="586"/>
        <v>0</v>
      </c>
      <c r="AC336" s="2547" t="s">
        <v>1777</v>
      </c>
      <c r="AD336" s="2546"/>
      <c r="AE336" s="1640">
        <f t="shared" ref="AE336:AX336" si="587">AE335+AE331+AE323+AE327</f>
        <v>0</v>
      </c>
      <c r="AF336" s="1389">
        <f t="shared" si="587"/>
        <v>0</v>
      </c>
      <c r="AG336" s="1953">
        <f t="shared" si="587"/>
        <v>0</v>
      </c>
      <c r="AH336" s="1594">
        <f t="shared" si="587"/>
        <v>0</v>
      </c>
      <c r="AI336" s="1640">
        <f t="shared" si="587"/>
        <v>0</v>
      </c>
      <c r="AJ336" s="1389">
        <f t="shared" si="587"/>
        <v>0</v>
      </c>
      <c r="AK336" s="1953">
        <f t="shared" si="587"/>
        <v>0</v>
      </c>
      <c r="AL336" s="1594">
        <f t="shared" si="587"/>
        <v>0</v>
      </c>
      <c r="AM336" s="1100">
        <f t="shared" si="587"/>
        <v>0</v>
      </c>
      <c r="AN336" s="2007">
        <f t="shared" si="587"/>
        <v>0</v>
      </c>
      <c r="AO336" s="1640">
        <f t="shared" si="587"/>
        <v>0</v>
      </c>
      <c r="AP336" s="1375">
        <f t="shared" si="587"/>
        <v>0</v>
      </c>
      <c r="AQ336" s="1623">
        <f t="shared" si="587"/>
        <v>0</v>
      </c>
      <c r="AR336" s="1953">
        <f t="shared" si="587"/>
        <v>0</v>
      </c>
      <c r="AS336" s="1429">
        <f t="shared" si="587"/>
        <v>0</v>
      </c>
      <c r="AT336" s="2117">
        <f t="shared" si="587"/>
        <v>0</v>
      </c>
      <c r="AU336" s="1640">
        <f t="shared" si="587"/>
        <v>0</v>
      </c>
      <c r="AV336" s="1389">
        <f t="shared" si="587"/>
        <v>0</v>
      </c>
      <c r="AW336" s="1953">
        <f t="shared" si="587"/>
        <v>621074</v>
      </c>
      <c r="AX336" s="1594">
        <f t="shared" si="587"/>
        <v>167891</v>
      </c>
      <c r="AY336" s="2545" t="s">
        <v>1777</v>
      </c>
      <c r="AZ336" s="2546"/>
      <c r="BA336" s="1640">
        <f t="shared" ref="BA336:BD336" si="588">BA335+BA331+BA323+BA327</f>
        <v>0</v>
      </c>
      <c r="BB336" s="1389">
        <f t="shared" si="588"/>
        <v>0</v>
      </c>
      <c r="BC336" s="1953">
        <f t="shared" si="588"/>
        <v>0</v>
      </c>
      <c r="BD336" s="1594">
        <f t="shared" si="588"/>
        <v>0</v>
      </c>
      <c r="BE336" s="2545" t="s">
        <v>1777</v>
      </c>
      <c r="BF336" s="2546"/>
      <c r="BG336" s="1640">
        <f t="shared" ref="BG336:CD336" si="589">BG335+BG331+BG323+BG327</f>
        <v>0</v>
      </c>
      <c r="BH336" s="1389">
        <f t="shared" si="589"/>
        <v>0</v>
      </c>
      <c r="BI336" s="1953">
        <f t="shared" si="589"/>
        <v>0</v>
      </c>
      <c r="BJ336" s="1594">
        <f t="shared" si="589"/>
        <v>0</v>
      </c>
      <c r="BK336" s="1640">
        <f t="shared" si="589"/>
        <v>0</v>
      </c>
      <c r="BL336" s="1389">
        <f t="shared" si="589"/>
        <v>0</v>
      </c>
      <c r="BM336" s="1953">
        <f t="shared" si="589"/>
        <v>0</v>
      </c>
      <c r="BN336" s="1594">
        <f t="shared" si="589"/>
        <v>0</v>
      </c>
      <c r="BO336" s="1100">
        <f t="shared" si="589"/>
        <v>0</v>
      </c>
      <c r="BP336" s="2007">
        <f t="shared" si="589"/>
        <v>0</v>
      </c>
      <c r="BQ336" s="1100">
        <f t="shared" si="589"/>
        <v>0</v>
      </c>
      <c r="BR336" s="2007">
        <f t="shared" si="589"/>
        <v>0</v>
      </c>
      <c r="BS336" s="1640">
        <f t="shared" si="589"/>
        <v>0</v>
      </c>
      <c r="BT336" s="1389">
        <f t="shared" si="589"/>
        <v>0</v>
      </c>
      <c r="BU336" s="1953">
        <f t="shared" si="589"/>
        <v>0</v>
      </c>
      <c r="BV336" s="1594">
        <f t="shared" si="589"/>
        <v>0</v>
      </c>
      <c r="BW336" s="1100">
        <f t="shared" si="589"/>
        <v>0</v>
      </c>
      <c r="BX336" s="2007">
        <f t="shared" si="589"/>
        <v>0</v>
      </c>
      <c r="BY336" s="1640">
        <f t="shared" si="589"/>
        <v>0</v>
      </c>
      <c r="BZ336" s="1389">
        <f t="shared" si="589"/>
        <v>0</v>
      </c>
      <c r="CA336" s="1953">
        <f t="shared" si="589"/>
        <v>0</v>
      </c>
      <c r="CB336" s="1594">
        <f t="shared" si="589"/>
        <v>0</v>
      </c>
      <c r="CC336" s="1397">
        <f t="shared" si="589"/>
        <v>0</v>
      </c>
      <c r="CD336" s="2176">
        <f t="shared" si="589"/>
        <v>0</v>
      </c>
      <c r="CE336" s="2545" t="s">
        <v>1777</v>
      </c>
      <c r="CF336" s="2546"/>
      <c r="CG336" s="1640">
        <f t="shared" ref="CG336:CJ336" si="590">CG335+CG331+CG323+CG327</f>
        <v>0</v>
      </c>
      <c r="CH336" s="1389">
        <f t="shared" si="590"/>
        <v>0</v>
      </c>
      <c r="CI336" s="1953">
        <f t="shared" si="590"/>
        <v>0</v>
      </c>
      <c r="CJ336" s="1594">
        <f t="shared" si="590"/>
        <v>0</v>
      </c>
      <c r="CK336" s="2545" t="s">
        <v>1777</v>
      </c>
      <c r="CL336" s="2546"/>
      <c r="CM336" s="1640">
        <f t="shared" ref="CM336:DH336" si="591">CM335+CM331+CM323+CM327</f>
        <v>0</v>
      </c>
      <c r="CN336" s="1389">
        <f t="shared" si="591"/>
        <v>0</v>
      </c>
      <c r="CO336" s="1953">
        <f t="shared" si="591"/>
        <v>0</v>
      </c>
      <c r="CP336" s="1594">
        <f t="shared" si="591"/>
        <v>0</v>
      </c>
      <c r="CQ336" s="1640">
        <f t="shared" si="591"/>
        <v>0</v>
      </c>
      <c r="CR336" s="1389">
        <f t="shared" si="591"/>
        <v>0</v>
      </c>
      <c r="CS336" s="1953">
        <f t="shared" si="591"/>
        <v>0</v>
      </c>
      <c r="CT336" s="1594">
        <f t="shared" si="591"/>
        <v>0</v>
      </c>
      <c r="CU336" s="1640">
        <f t="shared" si="591"/>
        <v>0</v>
      </c>
      <c r="CV336" s="1389">
        <f t="shared" si="591"/>
        <v>0</v>
      </c>
      <c r="CW336" s="1953">
        <f t="shared" si="591"/>
        <v>0</v>
      </c>
      <c r="CX336" s="1594">
        <f t="shared" si="591"/>
        <v>0</v>
      </c>
      <c r="CY336" s="1640">
        <f t="shared" si="591"/>
        <v>0</v>
      </c>
      <c r="CZ336" s="1389">
        <f t="shared" si="591"/>
        <v>0</v>
      </c>
      <c r="DA336" s="1953">
        <f t="shared" si="591"/>
        <v>0</v>
      </c>
      <c r="DB336" s="1594">
        <f t="shared" si="591"/>
        <v>0</v>
      </c>
      <c r="DC336" s="1100">
        <f t="shared" si="591"/>
        <v>0</v>
      </c>
      <c r="DD336" s="2007">
        <f t="shared" si="591"/>
        <v>0</v>
      </c>
      <c r="DE336" s="1640">
        <f t="shared" si="591"/>
        <v>0</v>
      </c>
      <c r="DF336" s="1389">
        <f t="shared" si="591"/>
        <v>0</v>
      </c>
      <c r="DG336" s="1953">
        <f t="shared" si="591"/>
        <v>0</v>
      </c>
      <c r="DH336" s="1594">
        <f t="shared" si="591"/>
        <v>0</v>
      </c>
      <c r="DI336" s="2547" t="s">
        <v>1777</v>
      </c>
      <c r="DJ336" s="2546"/>
      <c r="DK336" s="1100">
        <f t="shared" ref="DK336:DL336" si="592">DK335+DK331+DK323+DK327</f>
        <v>0</v>
      </c>
      <c r="DL336" s="2007">
        <f t="shared" si="592"/>
        <v>0</v>
      </c>
      <c r="DM336" s="1100">
        <f t="shared" ref="DM336:DP336" si="593">DM335+DM331+DM323+DM327</f>
        <v>0</v>
      </c>
      <c r="DN336" s="2007">
        <f t="shared" si="593"/>
        <v>0</v>
      </c>
      <c r="DO336" s="1100">
        <f t="shared" si="593"/>
        <v>0</v>
      </c>
      <c r="DP336" s="2007">
        <f t="shared" si="593"/>
        <v>0</v>
      </c>
      <c r="DQ336" s="2545" t="s">
        <v>1777</v>
      </c>
      <c r="DR336" s="2547"/>
      <c r="DS336" s="1640">
        <f t="shared" ref="DS336:DV336" si="594">DS335+DS331+DS323+DS327</f>
        <v>0</v>
      </c>
      <c r="DT336" s="1389">
        <f t="shared" si="594"/>
        <v>0</v>
      </c>
      <c r="DU336" s="1953">
        <f t="shared" si="594"/>
        <v>0</v>
      </c>
      <c r="DV336" s="1594">
        <f t="shared" si="594"/>
        <v>0</v>
      </c>
      <c r="DW336" s="2545" t="s">
        <v>1777</v>
      </c>
      <c r="DX336" s="2546"/>
      <c r="DY336" s="1640">
        <f t="shared" ref="DY336:ED336" si="595">DY335+DY331+DY323+DY327</f>
        <v>0</v>
      </c>
      <c r="DZ336" s="1389">
        <f t="shared" si="595"/>
        <v>0</v>
      </c>
      <c r="EA336" s="1953">
        <f t="shared" si="595"/>
        <v>0</v>
      </c>
      <c r="EB336" s="1594">
        <f t="shared" si="595"/>
        <v>0</v>
      </c>
      <c r="EC336" s="1100">
        <f t="shared" si="595"/>
        <v>0</v>
      </c>
      <c r="ED336" s="2007">
        <f t="shared" si="595"/>
        <v>0</v>
      </c>
      <c r="EE336" s="2545" t="s">
        <v>1777</v>
      </c>
      <c r="EF336" s="2546"/>
      <c r="EG336" s="1100">
        <f t="shared" ref="EG336:EO336" si="596">EG335+EG331+EG323+EG327</f>
        <v>0</v>
      </c>
      <c r="EH336" s="2007">
        <f t="shared" si="596"/>
        <v>0</v>
      </c>
      <c r="EI336" s="1640">
        <f t="shared" si="596"/>
        <v>0</v>
      </c>
      <c r="EJ336" s="1389">
        <f t="shared" si="596"/>
        <v>0</v>
      </c>
      <c r="EK336" s="1953">
        <f t="shared" si="596"/>
        <v>0</v>
      </c>
      <c r="EL336" s="1594">
        <f t="shared" si="596"/>
        <v>0</v>
      </c>
      <c r="EM336" s="1594">
        <f t="shared" si="596"/>
        <v>621074</v>
      </c>
      <c r="EN336" s="1594">
        <f t="shared" si="596"/>
        <v>167891</v>
      </c>
      <c r="EO336" s="1594">
        <f t="shared" si="596"/>
        <v>0</v>
      </c>
      <c r="EP336" s="1601">
        <f t="shared" si="554"/>
        <v>788965</v>
      </c>
      <c r="EQ336" s="1398">
        <f t="shared" si="520"/>
        <v>0</v>
      </c>
      <c r="ER336" s="1796">
        <f t="shared" si="521"/>
        <v>0</v>
      </c>
      <c r="ES336" s="1796">
        <f t="shared" si="522"/>
        <v>0</v>
      </c>
      <c r="ET336" s="1400">
        <f t="shared" si="557"/>
        <v>0</v>
      </c>
    </row>
    <row r="337" spans="1:150" ht="45" customHeight="1" x14ac:dyDescent="0.25">
      <c r="A337" s="1185"/>
      <c r="B337" s="1107" t="s">
        <v>1689</v>
      </c>
      <c r="C337" s="1676"/>
      <c r="D337" s="1636"/>
      <c r="E337" s="1969"/>
      <c r="F337" s="1970"/>
      <c r="G337" s="1698"/>
      <c r="H337" s="2016"/>
      <c r="I337" s="1698"/>
      <c r="J337" s="2016"/>
      <c r="K337" s="1698"/>
      <c r="L337" s="2044"/>
      <c r="M337" s="1185"/>
      <c r="N337" s="1107" t="s">
        <v>1689</v>
      </c>
      <c r="O337" s="1698"/>
      <c r="P337" s="2044"/>
      <c r="Q337" s="1676"/>
      <c r="R337" s="1636"/>
      <c r="S337" s="1969"/>
      <c r="T337" s="1970"/>
      <c r="U337" s="1676"/>
      <c r="V337" s="1636"/>
      <c r="W337" s="1969"/>
      <c r="X337" s="1970"/>
      <c r="Y337" s="1676"/>
      <c r="Z337" s="1636"/>
      <c r="AA337" s="2080"/>
      <c r="AB337" s="1970"/>
      <c r="AC337" s="1186"/>
      <c r="AD337" s="1107" t="s">
        <v>1689</v>
      </c>
      <c r="AE337" s="1676"/>
      <c r="AF337" s="1636"/>
      <c r="AG337" s="1969"/>
      <c r="AH337" s="1970"/>
      <c r="AI337" s="1676"/>
      <c r="AJ337" s="1636"/>
      <c r="AK337" s="1969"/>
      <c r="AL337" s="1970"/>
      <c r="AM337" s="1698"/>
      <c r="AN337" s="2044"/>
      <c r="AO337" s="1886"/>
      <c r="AP337" s="1734"/>
      <c r="AQ337" s="1735"/>
      <c r="AR337" s="2134"/>
      <c r="AS337" s="2135"/>
      <c r="AT337" s="2134"/>
      <c r="AU337" s="1676"/>
      <c r="AV337" s="1636"/>
      <c r="AW337" s="1969"/>
      <c r="AX337" s="1970"/>
      <c r="AY337" s="1185"/>
      <c r="AZ337" s="1107" t="s">
        <v>1689</v>
      </c>
      <c r="BA337" s="1676"/>
      <c r="BB337" s="1636"/>
      <c r="BC337" s="1969"/>
      <c r="BD337" s="1970"/>
      <c r="BE337" s="1185"/>
      <c r="BF337" s="1107" t="s">
        <v>1689</v>
      </c>
      <c r="BG337" s="1676"/>
      <c r="BH337" s="1636"/>
      <c r="BI337" s="1969"/>
      <c r="BJ337" s="1970"/>
      <c r="BK337" s="1676"/>
      <c r="BL337" s="1636"/>
      <c r="BM337" s="1969"/>
      <c r="BN337" s="1970"/>
      <c r="BO337" s="1698"/>
      <c r="BP337" s="2016"/>
      <c r="BQ337" s="1698"/>
      <c r="BR337" s="2044"/>
      <c r="BS337" s="1676"/>
      <c r="BT337" s="1636"/>
      <c r="BU337" s="1969"/>
      <c r="BV337" s="1970"/>
      <c r="BW337" s="1698"/>
      <c r="BX337" s="2044"/>
      <c r="BY337" s="1676"/>
      <c r="BZ337" s="1636"/>
      <c r="CA337" s="1969"/>
      <c r="CB337" s="1970"/>
      <c r="CC337" s="1767"/>
      <c r="CD337" s="2182"/>
      <c r="CE337" s="1185"/>
      <c r="CF337" s="1107" t="s">
        <v>1689</v>
      </c>
      <c r="CG337" s="1676"/>
      <c r="CH337" s="1636"/>
      <c r="CI337" s="1969"/>
      <c r="CJ337" s="1970"/>
      <c r="CK337" s="1185"/>
      <c r="CL337" s="1107" t="s">
        <v>1689</v>
      </c>
      <c r="CM337" s="1676"/>
      <c r="CN337" s="1636"/>
      <c r="CO337" s="1969"/>
      <c r="CP337" s="1970"/>
      <c r="CQ337" s="1676"/>
      <c r="CR337" s="1636"/>
      <c r="CS337" s="1969"/>
      <c r="CT337" s="1970"/>
      <c r="CU337" s="1676"/>
      <c r="CV337" s="1636"/>
      <c r="CW337" s="1969"/>
      <c r="CX337" s="1970"/>
      <c r="CY337" s="1676"/>
      <c r="CZ337" s="1636"/>
      <c r="DA337" s="1969"/>
      <c r="DB337" s="1970"/>
      <c r="DC337" s="1698"/>
      <c r="DD337" s="2044"/>
      <c r="DE337" s="1676"/>
      <c r="DF337" s="1636"/>
      <c r="DG337" s="1969"/>
      <c r="DH337" s="1970"/>
      <c r="DI337" s="1186"/>
      <c r="DJ337" s="1107" t="s">
        <v>1689</v>
      </c>
      <c r="DK337" s="1698"/>
      <c r="DL337" s="2016"/>
      <c r="DM337" s="1698"/>
      <c r="DN337" s="2016"/>
      <c r="DO337" s="1698"/>
      <c r="DP337" s="2044"/>
      <c r="DQ337" s="1185"/>
      <c r="DR337" s="1108" t="s">
        <v>1689</v>
      </c>
      <c r="DS337" s="1676"/>
      <c r="DT337" s="1636"/>
      <c r="DU337" s="1969"/>
      <c r="DV337" s="1970"/>
      <c r="DW337" s="1185"/>
      <c r="DX337" s="1107" t="s">
        <v>1689</v>
      </c>
      <c r="DY337" s="1676"/>
      <c r="DZ337" s="1636"/>
      <c r="EA337" s="1969"/>
      <c r="EB337" s="1970"/>
      <c r="EC337" s="1698"/>
      <c r="ED337" s="2044"/>
      <c r="EE337" s="1185"/>
      <c r="EF337" s="1107" t="s">
        <v>1689</v>
      </c>
      <c r="EG337" s="1698"/>
      <c r="EH337" s="2044"/>
      <c r="EI337" s="1676"/>
      <c r="EJ337" s="1636"/>
      <c r="EK337" s="2255"/>
      <c r="EL337" s="1970"/>
      <c r="EM337" s="2256"/>
      <c r="EN337" s="2257"/>
      <c r="EO337" s="2257"/>
      <c r="EP337" s="2257">
        <f t="shared" si="554"/>
        <v>0</v>
      </c>
      <c r="EQ337" s="1822">
        <f t="shared" si="520"/>
        <v>0</v>
      </c>
      <c r="ER337" s="1823">
        <f t="shared" si="521"/>
        <v>0</v>
      </c>
      <c r="ES337" s="1823">
        <f t="shared" si="522"/>
        <v>0</v>
      </c>
      <c r="ET337" s="1824">
        <f t="shared" si="557"/>
        <v>0</v>
      </c>
    </row>
    <row r="338" spans="1:150" x14ac:dyDescent="0.25">
      <c r="A338" s="984">
        <v>1</v>
      </c>
      <c r="B338" s="1187"/>
      <c r="C338" s="1677"/>
      <c r="D338" s="1006"/>
      <c r="E338" s="1924"/>
      <c r="F338" s="1925"/>
      <c r="G338" s="1699"/>
      <c r="H338" s="2017"/>
      <c r="I338" s="1699"/>
      <c r="J338" s="2017"/>
      <c r="K338" s="1699"/>
      <c r="L338" s="2045"/>
      <c r="M338" s="984">
        <v>1</v>
      </c>
      <c r="N338" s="1187"/>
      <c r="O338" s="1699"/>
      <c r="P338" s="2045"/>
      <c r="Q338" s="1677"/>
      <c r="R338" s="1006"/>
      <c r="S338" s="1924"/>
      <c r="T338" s="1925"/>
      <c r="U338" s="1677"/>
      <c r="V338" s="1006"/>
      <c r="W338" s="1924"/>
      <c r="X338" s="1925"/>
      <c r="Y338" s="1677"/>
      <c r="Z338" s="1006"/>
      <c r="AA338" s="2081"/>
      <c r="AB338" s="1925"/>
      <c r="AC338" s="986">
        <v>1</v>
      </c>
      <c r="AD338" s="1187"/>
      <c r="AE338" s="1677"/>
      <c r="AF338" s="1006"/>
      <c r="AG338" s="1924"/>
      <c r="AH338" s="1925"/>
      <c r="AI338" s="1677"/>
      <c r="AJ338" s="1006"/>
      <c r="AK338" s="1924"/>
      <c r="AL338" s="1925"/>
      <c r="AM338" s="1699"/>
      <c r="AN338" s="2045"/>
      <c r="AO338" s="1887"/>
      <c r="AP338" s="1312"/>
      <c r="AQ338" s="1736"/>
      <c r="AR338" s="2136"/>
      <c r="AS338" s="1557"/>
      <c r="AT338" s="2136"/>
      <c r="AU338" s="1677"/>
      <c r="AV338" s="1006"/>
      <c r="AW338" s="1924"/>
      <c r="AX338" s="1925"/>
      <c r="AY338" s="984">
        <v>1</v>
      </c>
      <c r="AZ338" s="1187"/>
      <c r="BA338" s="1677"/>
      <c r="BB338" s="1006"/>
      <c r="BC338" s="1924"/>
      <c r="BD338" s="1925"/>
      <c r="BE338" s="984">
        <v>1</v>
      </c>
      <c r="BF338" s="1187"/>
      <c r="BG338" s="1677"/>
      <c r="BH338" s="1006"/>
      <c r="BI338" s="1924"/>
      <c r="BJ338" s="1925"/>
      <c r="BK338" s="1677"/>
      <c r="BL338" s="1006"/>
      <c r="BM338" s="1924"/>
      <c r="BN338" s="1925"/>
      <c r="BO338" s="1699"/>
      <c r="BP338" s="2017"/>
      <c r="BQ338" s="1699"/>
      <c r="BR338" s="2045"/>
      <c r="BS338" s="1677"/>
      <c r="BT338" s="1006"/>
      <c r="BU338" s="1924"/>
      <c r="BV338" s="1925"/>
      <c r="BW338" s="1699"/>
      <c r="BX338" s="2045"/>
      <c r="BY338" s="1677"/>
      <c r="BZ338" s="1006"/>
      <c r="CA338" s="1924"/>
      <c r="CB338" s="1925"/>
      <c r="CC338" s="1768"/>
      <c r="CD338" s="2183"/>
      <c r="CE338" s="984">
        <v>1</v>
      </c>
      <c r="CF338" s="1187"/>
      <c r="CG338" s="1677"/>
      <c r="CH338" s="1006"/>
      <c r="CI338" s="1924"/>
      <c r="CJ338" s="1925"/>
      <c r="CK338" s="984">
        <v>1</v>
      </c>
      <c r="CL338" s="1187"/>
      <c r="CM338" s="1677"/>
      <c r="CN338" s="1006"/>
      <c r="CO338" s="1924"/>
      <c r="CP338" s="1925"/>
      <c r="CQ338" s="1677"/>
      <c r="CR338" s="1006"/>
      <c r="CS338" s="1924"/>
      <c r="CT338" s="1925"/>
      <c r="CU338" s="1677"/>
      <c r="CV338" s="1006"/>
      <c r="CW338" s="1924"/>
      <c r="CX338" s="1925"/>
      <c r="CY338" s="1677"/>
      <c r="CZ338" s="1006"/>
      <c r="DA338" s="1924"/>
      <c r="DB338" s="1925"/>
      <c r="DC338" s="1699"/>
      <c r="DD338" s="2045"/>
      <c r="DE338" s="1677"/>
      <c r="DF338" s="1006"/>
      <c r="DG338" s="1924"/>
      <c r="DH338" s="1925"/>
      <c r="DI338" s="986">
        <v>1</v>
      </c>
      <c r="DJ338" s="1187"/>
      <c r="DK338" s="1699"/>
      <c r="DL338" s="2017"/>
      <c r="DM338" s="1699"/>
      <c r="DN338" s="2017"/>
      <c r="DO338" s="1699"/>
      <c r="DP338" s="2045"/>
      <c r="DQ338" s="984">
        <v>1</v>
      </c>
      <c r="DR338" s="1188"/>
      <c r="DS338" s="1677"/>
      <c r="DT338" s="1006"/>
      <c r="DU338" s="1924"/>
      <c r="DV338" s="1925"/>
      <c r="DW338" s="984">
        <v>1</v>
      </c>
      <c r="DX338" s="1187"/>
      <c r="DY338" s="1677"/>
      <c r="DZ338" s="1006"/>
      <c r="EA338" s="1924"/>
      <c r="EB338" s="1925"/>
      <c r="EC338" s="1699"/>
      <c r="ED338" s="2045"/>
      <c r="EE338" s="984">
        <v>1</v>
      </c>
      <c r="EF338" s="1187"/>
      <c r="EG338" s="1699"/>
      <c r="EH338" s="2045"/>
      <c r="EI338" s="1677"/>
      <c r="EJ338" s="1006"/>
      <c r="EK338" s="2212"/>
      <c r="EL338" s="1925"/>
      <c r="EM338" s="2202">
        <f t="shared" ref="EM338:EM339" si="597">E338+S338+W338+AA338+AG338+AK338+AN338+AR338+AW338+BC338+BI338+BM338+BR338+BU338+CA338+CD338+CI338+CO338+CS338+CW338+DA338+DG338+DU338+EA338+EK338</f>
        <v>0</v>
      </c>
      <c r="EN338" s="1585">
        <f t="shared" ref="EN338:EN339" si="598">F338+H338+J338+L338+P338+T338+X338+AB338+AH338+AL338+AS338+AX338+BD338+BJ338+BN338+BP338+BV338+BX338+CB338+CJ338+CP338+CT338+CX338+DB338+DD338+DH338+DN338+DP338+DV338+EB338+ED338+EH338+EL338+DL338</f>
        <v>0</v>
      </c>
      <c r="EO338" s="1585">
        <f t="shared" ref="EO338:EO339" si="599">AQ338</f>
        <v>0</v>
      </c>
      <c r="EP338" s="2258">
        <f t="shared" si="554"/>
        <v>0</v>
      </c>
      <c r="EQ338" s="1825">
        <f t="shared" si="520"/>
        <v>0</v>
      </c>
      <c r="ER338" s="1826">
        <f t="shared" si="521"/>
        <v>0</v>
      </c>
      <c r="ES338" s="1826">
        <f t="shared" si="522"/>
        <v>0</v>
      </c>
      <c r="ET338" s="1827">
        <f t="shared" si="557"/>
        <v>0</v>
      </c>
    </row>
    <row r="339" spans="1:150" x14ac:dyDescent="0.25">
      <c r="A339" s="984">
        <v>2</v>
      </c>
      <c r="B339" s="1187"/>
      <c r="C339" s="1677"/>
      <c r="D339" s="1006"/>
      <c r="E339" s="1924"/>
      <c r="F339" s="1925"/>
      <c r="G339" s="1699"/>
      <c r="H339" s="2017"/>
      <c r="I339" s="1699"/>
      <c r="J339" s="2017"/>
      <c r="K339" s="1699"/>
      <c r="L339" s="2045"/>
      <c r="M339" s="984">
        <v>2</v>
      </c>
      <c r="N339" s="1187"/>
      <c r="O339" s="1699"/>
      <c r="P339" s="2045"/>
      <c r="Q339" s="1677"/>
      <c r="R339" s="1006"/>
      <c r="S339" s="1924"/>
      <c r="T339" s="1925"/>
      <c r="U339" s="1677"/>
      <c r="V339" s="1006"/>
      <c r="W339" s="1924"/>
      <c r="X339" s="1925"/>
      <c r="Y339" s="1677"/>
      <c r="Z339" s="1006"/>
      <c r="AA339" s="2081"/>
      <c r="AB339" s="1925"/>
      <c r="AC339" s="986">
        <v>2</v>
      </c>
      <c r="AD339" s="1187"/>
      <c r="AE339" s="1677"/>
      <c r="AF339" s="1006"/>
      <c r="AG339" s="1924"/>
      <c r="AH339" s="1925"/>
      <c r="AI339" s="1677"/>
      <c r="AJ339" s="1006"/>
      <c r="AK339" s="1924"/>
      <c r="AL339" s="1925"/>
      <c r="AM339" s="1699"/>
      <c r="AN339" s="2045"/>
      <c r="AO339" s="1887"/>
      <c r="AP339" s="1312"/>
      <c r="AQ339" s="1736"/>
      <c r="AR339" s="2136"/>
      <c r="AS339" s="1557"/>
      <c r="AT339" s="2136"/>
      <c r="AU339" s="1677"/>
      <c r="AV339" s="1006"/>
      <c r="AW339" s="1924"/>
      <c r="AX339" s="1925"/>
      <c r="AY339" s="984">
        <v>2</v>
      </c>
      <c r="AZ339" s="1187"/>
      <c r="BA339" s="1677"/>
      <c r="BB339" s="1006"/>
      <c r="BC339" s="1924"/>
      <c r="BD339" s="1925"/>
      <c r="BE339" s="984">
        <v>2</v>
      </c>
      <c r="BF339" s="1187"/>
      <c r="BG339" s="1677"/>
      <c r="BH339" s="1006"/>
      <c r="BI339" s="1924"/>
      <c r="BJ339" s="1925"/>
      <c r="BK339" s="1677"/>
      <c r="BL339" s="1006"/>
      <c r="BM339" s="1924"/>
      <c r="BN339" s="1925"/>
      <c r="BO339" s="1699"/>
      <c r="BP339" s="2017"/>
      <c r="BQ339" s="1699"/>
      <c r="BR339" s="2045"/>
      <c r="BS339" s="1677"/>
      <c r="BT339" s="1006"/>
      <c r="BU339" s="1924"/>
      <c r="BV339" s="1925"/>
      <c r="BW339" s="1699"/>
      <c r="BX339" s="2045"/>
      <c r="BY339" s="1677"/>
      <c r="BZ339" s="1006"/>
      <c r="CA339" s="1924"/>
      <c r="CB339" s="1925"/>
      <c r="CC339" s="1768"/>
      <c r="CD339" s="2183"/>
      <c r="CE339" s="984">
        <v>2</v>
      </c>
      <c r="CF339" s="1187"/>
      <c r="CG339" s="1677"/>
      <c r="CH339" s="1006"/>
      <c r="CI339" s="1924"/>
      <c r="CJ339" s="1925"/>
      <c r="CK339" s="984">
        <v>2</v>
      </c>
      <c r="CL339" s="1187"/>
      <c r="CM339" s="1677"/>
      <c r="CN339" s="1006"/>
      <c r="CO339" s="1924"/>
      <c r="CP339" s="1925"/>
      <c r="CQ339" s="1677"/>
      <c r="CR339" s="1006"/>
      <c r="CS339" s="1924"/>
      <c r="CT339" s="1925"/>
      <c r="CU339" s="1677"/>
      <c r="CV339" s="1006"/>
      <c r="CW339" s="1924"/>
      <c r="CX339" s="1925"/>
      <c r="CY339" s="1677"/>
      <c r="CZ339" s="1006"/>
      <c r="DA339" s="1924"/>
      <c r="DB339" s="1925"/>
      <c r="DC339" s="1699"/>
      <c r="DD339" s="2045"/>
      <c r="DE339" s="1677"/>
      <c r="DF339" s="1006"/>
      <c r="DG339" s="1924"/>
      <c r="DH339" s="1925"/>
      <c r="DI339" s="986">
        <v>2</v>
      </c>
      <c r="DJ339" s="1187"/>
      <c r="DK339" s="1699"/>
      <c r="DL339" s="2017"/>
      <c r="DM339" s="1699"/>
      <c r="DN339" s="2017"/>
      <c r="DO339" s="1699"/>
      <c r="DP339" s="2045"/>
      <c r="DQ339" s="984">
        <v>2</v>
      </c>
      <c r="DR339" s="1188"/>
      <c r="DS339" s="1677"/>
      <c r="DT339" s="1006"/>
      <c r="DU339" s="1924"/>
      <c r="DV339" s="1925"/>
      <c r="DW339" s="984">
        <v>2</v>
      </c>
      <c r="DX339" s="1187"/>
      <c r="DY339" s="1677"/>
      <c r="DZ339" s="1006"/>
      <c r="EA339" s="1924"/>
      <c r="EB339" s="1925"/>
      <c r="EC339" s="1699"/>
      <c r="ED339" s="2045"/>
      <c r="EE339" s="984">
        <v>2</v>
      </c>
      <c r="EF339" s="1187"/>
      <c r="EG339" s="1699"/>
      <c r="EH339" s="2045"/>
      <c r="EI339" s="1677"/>
      <c r="EJ339" s="1006"/>
      <c r="EK339" s="2212"/>
      <c r="EL339" s="1925"/>
      <c r="EM339" s="2202">
        <f t="shared" si="597"/>
        <v>0</v>
      </c>
      <c r="EN339" s="1585">
        <f t="shared" si="598"/>
        <v>0</v>
      </c>
      <c r="EO339" s="1585">
        <f t="shared" si="599"/>
        <v>0</v>
      </c>
      <c r="EP339" s="2258">
        <f t="shared" si="554"/>
        <v>0</v>
      </c>
      <c r="EQ339" s="1825">
        <f t="shared" si="520"/>
        <v>0</v>
      </c>
      <c r="ER339" s="1826">
        <f t="shared" si="521"/>
        <v>0</v>
      </c>
      <c r="ES339" s="1826">
        <f t="shared" si="522"/>
        <v>0</v>
      </c>
      <c r="ET339" s="1827">
        <f t="shared" si="557"/>
        <v>0</v>
      </c>
    </row>
    <row r="340" spans="1:150" ht="45" customHeight="1" thickBot="1" x14ac:dyDescent="0.3">
      <c r="A340" s="1189"/>
      <c r="B340" s="1081" t="s">
        <v>1694</v>
      </c>
      <c r="C340" s="1656">
        <f t="shared" ref="C340:L340" si="600">SUM(C337:C339)</f>
        <v>0</v>
      </c>
      <c r="D340" s="1642">
        <f t="shared" si="600"/>
        <v>0</v>
      </c>
      <c r="E340" s="1926">
        <f t="shared" si="600"/>
        <v>0</v>
      </c>
      <c r="F340" s="1927">
        <f t="shared" si="600"/>
        <v>0</v>
      </c>
      <c r="G340" s="1058">
        <f t="shared" si="600"/>
        <v>0</v>
      </c>
      <c r="H340" s="1992">
        <f t="shared" si="600"/>
        <v>0</v>
      </c>
      <c r="I340" s="1058">
        <f t="shared" si="600"/>
        <v>0</v>
      </c>
      <c r="J340" s="1992">
        <f t="shared" si="600"/>
        <v>0</v>
      </c>
      <c r="K340" s="1058">
        <f t="shared" si="600"/>
        <v>0</v>
      </c>
      <c r="L340" s="1992">
        <f t="shared" si="600"/>
        <v>0</v>
      </c>
      <c r="M340" s="1189"/>
      <c r="N340" s="1081" t="s">
        <v>1694</v>
      </c>
      <c r="O340" s="1058">
        <f t="shared" ref="O340:AB340" si="601">SUM(O337:O339)</f>
        <v>0</v>
      </c>
      <c r="P340" s="1992">
        <f t="shared" si="601"/>
        <v>0</v>
      </c>
      <c r="Q340" s="1656">
        <f t="shared" si="601"/>
        <v>0</v>
      </c>
      <c r="R340" s="1642">
        <f t="shared" si="601"/>
        <v>0</v>
      </c>
      <c r="S340" s="1926">
        <f t="shared" si="601"/>
        <v>0</v>
      </c>
      <c r="T340" s="1927">
        <f t="shared" si="601"/>
        <v>0</v>
      </c>
      <c r="U340" s="1656">
        <f t="shared" si="601"/>
        <v>0</v>
      </c>
      <c r="V340" s="1642">
        <f t="shared" si="601"/>
        <v>0</v>
      </c>
      <c r="W340" s="1926">
        <f t="shared" si="601"/>
        <v>0</v>
      </c>
      <c r="X340" s="1927">
        <f t="shared" si="601"/>
        <v>0</v>
      </c>
      <c r="Y340" s="1656">
        <f t="shared" si="601"/>
        <v>0</v>
      </c>
      <c r="Z340" s="1642">
        <f t="shared" si="601"/>
        <v>0</v>
      </c>
      <c r="AA340" s="1926">
        <f t="shared" si="601"/>
        <v>0</v>
      </c>
      <c r="AB340" s="1927">
        <f t="shared" si="601"/>
        <v>0</v>
      </c>
      <c r="AC340" s="1190"/>
      <c r="AD340" s="1081" t="s">
        <v>1694</v>
      </c>
      <c r="AE340" s="1656">
        <f t="shared" ref="AE340:AX340" si="602">SUM(AE337:AE339)</f>
        <v>0</v>
      </c>
      <c r="AF340" s="1642">
        <f t="shared" si="602"/>
        <v>0</v>
      </c>
      <c r="AG340" s="1926">
        <f t="shared" si="602"/>
        <v>0</v>
      </c>
      <c r="AH340" s="1927">
        <f t="shared" si="602"/>
        <v>0</v>
      </c>
      <c r="AI340" s="1656">
        <f t="shared" si="602"/>
        <v>0</v>
      </c>
      <c r="AJ340" s="1642">
        <f t="shared" si="602"/>
        <v>0</v>
      </c>
      <c r="AK340" s="1926">
        <f t="shared" si="602"/>
        <v>0</v>
      </c>
      <c r="AL340" s="1927">
        <f t="shared" si="602"/>
        <v>0</v>
      </c>
      <c r="AM340" s="1058">
        <f t="shared" si="602"/>
        <v>0</v>
      </c>
      <c r="AN340" s="1992">
        <f t="shared" si="602"/>
        <v>0</v>
      </c>
      <c r="AO340" s="1656">
        <f t="shared" si="602"/>
        <v>0</v>
      </c>
      <c r="AP340" s="1854">
        <f t="shared" si="602"/>
        <v>0</v>
      </c>
      <c r="AQ340" s="1030">
        <f t="shared" si="602"/>
        <v>0</v>
      </c>
      <c r="AR340" s="1926">
        <f t="shared" si="602"/>
        <v>0</v>
      </c>
      <c r="AS340" s="2096">
        <f t="shared" si="602"/>
        <v>0</v>
      </c>
      <c r="AT340" s="2097">
        <f t="shared" si="602"/>
        <v>0</v>
      </c>
      <c r="AU340" s="1656">
        <f t="shared" si="602"/>
        <v>0</v>
      </c>
      <c r="AV340" s="1642">
        <f t="shared" si="602"/>
        <v>0</v>
      </c>
      <c r="AW340" s="1926">
        <f t="shared" si="602"/>
        <v>0</v>
      </c>
      <c r="AX340" s="1927">
        <f t="shared" si="602"/>
        <v>0</v>
      </c>
      <c r="AY340" s="1189"/>
      <c r="AZ340" s="1081" t="s">
        <v>1694</v>
      </c>
      <c r="BA340" s="1656">
        <f t="shared" ref="BA340:BD340" si="603">SUM(BA337:BA339)</f>
        <v>0</v>
      </c>
      <c r="BB340" s="1642">
        <f t="shared" si="603"/>
        <v>0</v>
      </c>
      <c r="BC340" s="1926">
        <f t="shared" si="603"/>
        <v>0</v>
      </c>
      <c r="BD340" s="1927">
        <f t="shared" si="603"/>
        <v>0</v>
      </c>
      <c r="BE340" s="1189"/>
      <c r="BF340" s="1081" t="s">
        <v>1694</v>
      </c>
      <c r="BG340" s="1656">
        <f t="shared" ref="BG340:CD340" si="604">SUM(BG337:BG339)</f>
        <v>0</v>
      </c>
      <c r="BH340" s="1642">
        <f t="shared" si="604"/>
        <v>0</v>
      </c>
      <c r="BI340" s="1926">
        <f t="shared" si="604"/>
        <v>0</v>
      </c>
      <c r="BJ340" s="1927">
        <f t="shared" si="604"/>
        <v>0</v>
      </c>
      <c r="BK340" s="1656">
        <f t="shared" si="604"/>
        <v>0</v>
      </c>
      <c r="BL340" s="1642">
        <f t="shared" si="604"/>
        <v>0</v>
      </c>
      <c r="BM340" s="1926">
        <f t="shared" si="604"/>
        <v>0</v>
      </c>
      <c r="BN340" s="1927">
        <f t="shared" si="604"/>
        <v>0</v>
      </c>
      <c r="BO340" s="1058">
        <f t="shared" si="604"/>
        <v>0</v>
      </c>
      <c r="BP340" s="1992">
        <f t="shared" si="604"/>
        <v>0</v>
      </c>
      <c r="BQ340" s="1058">
        <f t="shared" si="604"/>
        <v>0</v>
      </c>
      <c r="BR340" s="1992">
        <f t="shared" si="604"/>
        <v>0</v>
      </c>
      <c r="BS340" s="1656">
        <f t="shared" si="604"/>
        <v>0</v>
      </c>
      <c r="BT340" s="1642">
        <f t="shared" si="604"/>
        <v>0</v>
      </c>
      <c r="BU340" s="1926">
        <f t="shared" si="604"/>
        <v>0</v>
      </c>
      <c r="BV340" s="1927">
        <f t="shared" si="604"/>
        <v>0</v>
      </c>
      <c r="BW340" s="1058">
        <f t="shared" si="604"/>
        <v>0</v>
      </c>
      <c r="BX340" s="1992">
        <f t="shared" si="604"/>
        <v>0</v>
      </c>
      <c r="BY340" s="1656">
        <f t="shared" si="604"/>
        <v>0</v>
      </c>
      <c r="BZ340" s="1642">
        <f t="shared" si="604"/>
        <v>0</v>
      </c>
      <c r="CA340" s="1926">
        <f t="shared" si="604"/>
        <v>0</v>
      </c>
      <c r="CB340" s="1927">
        <f t="shared" si="604"/>
        <v>0</v>
      </c>
      <c r="CC340" s="1705">
        <f t="shared" si="604"/>
        <v>0</v>
      </c>
      <c r="CD340" s="2159">
        <f t="shared" si="604"/>
        <v>0</v>
      </c>
      <c r="CE340" s="1189"/>
      <c r="CF340" s="1081" t="s">
        <v>1694</v>
      </c>
      <c r="CG340" s="1656">
        <f t="shared" ref="CG340:CJ340" si="605">SUM(CG337:CG339)</f>
        <v>0</v>
      </c>
      <c r="CH340" s="1642">
        <f t="shared" si="605"/>
        <v>0</v>
      </c>
      <c r="CI340" s="1926">
        <f t="shared" si="605"/>
        <v>0</v>
      </c>
      <c r="CJ340" s="1927">
        <f t="shared" si="605"/>
        <v>0</v>
      </c>
      <c r="CK340" s="1189"/>
      <c r="CL340" s="1081" t="s">
        <v>1694</v>
      </c>
      <c r="CM340" s="1656">
        <f t="shared" ref="CM340:DH340" si="606">SUM(CM337:CM339)</f>
        <v>0</v>
      </c>
      <c r="CN340" s="1642">
        <f t="shared" si="606"/>
        <v>0</v>
      </c>
      <c r="CO340" s="1926">
        <f t="shared" si="606"/>
        <v>0</v>
      </c>
      <c r="CP340" s="1927">
        <f t="shared" si="606"/>
        <v>0</v>
      </c>
      <c r="CQ340" s="1656">
        <f t="shared" si="606"/>
        <v>0</v>
      </c>
      <c r="CR340" s="1642">
        <f t="shared" si="606"/>
        <v>0</v>
      </c>
      <c r="CS340" s="1926">
        <f t="shared" si="606"/>
        <v>0</v>
      </c>
      <c r="CT340" s="1927">
        <f t="shared" si="606"/>
        <v>0</v>
      </c>
      <c r="CU340" s="1656">
        <f t="shared" si="606"/>
        <v>0</v>
      </c>
      <c r="CV340" s="1642">
        <f t="shared" si="606"/>
        <v>0</v>
      </c>
      <c r="CW340" s="1926">
        <f t="shared" si="606"/>
        <v>0</v>
      </c>
      <c r="CX340" s="1927">
        <f t="shared" si="606"/>
        <v>0</v>
      </c>
      <c r="CY340" s="1656">
        <f t="shared" si="606"/>
        <v>0</v>
      </c>
      <c r="CZ340" s="1642">
        <f t="shared" si="606"/>
        <v>0</v>
      </c>
      <c r="DA340" s="1926">
        <f t="shared" si="606"/>
        <v>0</v>
      </c>
      <c r="DB340" s="1927">
        <f t="shared" si="606"/>
        <v>0</v>
      </c>
      <c r="DC340" s="1058">
        <f t="shared" si="606"/>
        <v>0</v>
      </c>
      <c r="DD340" s="1992">
        <f t="shared" si="606"/>
        <v>0</v>
      </c>
      <c r="DE340" s="1656">
        <f t="shared" si="606"/>
        <v>0</v>
      </c>
      <c r="DF340" s="1642">
        <f t="shared" si="606"/>
        <v>0</v>
      </c>
      <c r="DG340" s="1926">
        <f t="shared" si="606"/>
        <v>0</v>
      </c>
      <c r="DH340" s="1927">
        <f t="shared" si="606"/>
        <v>0</v>
      </c>
      <c r="DI340" s="1190"/>
      <c r="DJ340" s="1081" t="s">
        <v>1694</v>
      </c>
      <c r="DK340" s="1058">
        <f t="shared" ref="DK340:DL340" si="607">SUM(DK337:DK339)</f>
        <v>0</v>
      </c>
      <c r="DL340" s="1992">
        <f t="shared" si="607"/>
        <v>0</v>
      </c>
      <c r="DM340" s="1058">
        <f t="shared" ref="DM340:DP340" si="608">SUM(DM337:DM339)</f>
        <v>0</v>
      </c>
      <c r="DN340" s="1992">
        <f t="shared" si="608"/>
        <v>0</v>
      </c>
      <c r="DO340" s="1058">
        <f t="shared" si="608"/>
        <v>0</v>
      </c>
      <c r="DP340" s="1992">
        <f t="shared" si="608"/>
        <v>0</v>
      </c>
      <c r="DQ340" s="1189"/>
      <c r="DR340" s="1082" t="s">
        <v>1694</v>
      </c>
      <c r="DS340" s="1656">
        <f t="shared" ref="DS340:DV340" si="609">SUM(DS337:DS339)</f>
        <v>0</v>
      </c>
      <c r="DT340" s="1642">
        <f t="shared" si="609"/>
        <v>0</v>
      </c>
      <c r="DU340" s="1926">
        <f t="shared" si="609"/>
        <v>0</v>
      </c>
      <c r="DV340" s="1927">
        <f t="shared" si="609"/>
        <v>0</v>
      </c>
      <c r="DW340" s="1189"/>
      <c r="DX340" s="1081" t="s">
        <v>1694</v>
      </c>
      <c r="DY340" s="1656">
        <f t="shared" ref="DY340:ED340" si="610">SUM(DY337:DY339)</f>
        <v>0</v>
      </c>
      <c r="DZ340" s="1642">
        <f t="shared" si="610"/>
        <v>0</v>
      </c>
      <c r="EA340" s="1926">
        <f t="shared" si="610"/>
        <v>0</v>
      </c>
      <c r="EB340" s="1927">
        <f t="shared" si="610"/>
        <v>0</v>
      </c>
      <c r="EC340" s="1058">
        <f t="shared" si="610"/>
        <v>0</v>
      </c>
      <c r="ED340" s="1992">
        <f t="shared" si="610"/>
        <v>0</v>
      </c>
      <c r="EE340" s="1189"/>
      <c r="EF340" s="1081" t="s">
        <v>1694</v>
      </c>
      <c r="EG340" s="1058">
        <f t="shared" ref="EG340:EO340" si="611">SUM(EG337:EG339)</f>
        <v>0</v>
      </c>
      <c r="EH340" s="1992">
        <f t="shared" si="611"/>
        <v>0</v>
      </c>
      <c r="EI340" s="1656">
        <f t="shared" si="611"/>
        <v>0</v>
      </c>
      <c r="EJ340" s="1642">
        <f t="shared" si="611"/>
        <v>0</v>
      </c>
      <c r="EK340" s="1926">
        <f t="shared" si="611"/>
        <v>0</v>
      </c>
      <c r="EL340" s="1927">
        <f t="shared" si="611"/>
        <v>0</v>
      </c>
      <c r="EM340" s="1927">
        <f t="shared" si="611"/>
        <v>0</v>
      </c>
      <c r="EN340" s="1927">
        <f t="shared" si="611"/>
        <v>0</v>
      </c>
      <c r="EO340" s="1927">
        <f t="shared" si="611"/>
        <v>0</v>
      </c>
      <c r="EP340" s="1962">
        <f t="shared" si="554"/>
        <v>0</v>
      </c>
      <c r="EQ340" s="1707">
        <f t="shared" si="520"/>
        <v>0</v>
      </c>
      <c r="ER340" s="1786">
        <f t="shared" si="521"/>
        <v>0</v>
      </c>
      <c r="ES340" s="1786">
        <f t="shared" si="522"/>
        <v>0</v>
      </c>
      <c r="ET340" s="1061">
        <f t="shared" si="557"/>
        <v>0</v>
      </c>
    </row>
    <row r="341" spans="1:150" ht="30" customHeight="1" x14ac:dyDescent="0.25">
      <c r="A341" s="948"/>
      <c r="B341" s="1140" t="s">
        <v>1778</v>
      </c>
      <c r="C341" s="1678"/>
      <c r="D341" s="1637"/>
      <c r="E341" s="1971"/>
      <c r="F341" s="1972"/>
      <c r="G341" s="1700"/>
      <c r="H341" s="2018"/>
      <c r="I341" s="1700"/>
      <c r="J341" s="2018"/>
      <c r="K341" s="1700"/>
      <c r="L341" s="2046"/>
      <c r="M341" s="948"/>
      <c r="N341" s="1140" t="s">
        <v>1778</v>
      </c>
      <c r="O341" s="1700"/>
      <c r="P341" s="2046"/>
      <c r="Q341" s="1678"/>
      <c r="R341" s="1637"/>
      <c r="S341" s="1971"/>
      <c r="T341" s="1972"/>
      <c r="U341" s="1678"/>
      <c r="V341" s="1637"/>
      <c r="W341" s="1971"/>
      <c r="X341" s="1972"/>
      <c r="Y341" s="1678"/>
      <c r="Z341" s="1637"/>
      <c r="AA341" s="2082"/>
      <c r="AB341" s="1972"/>
      <c r="AC341" s="950"/>
      <c r="AD341" s="1140" t="s">
        <v>1778</v>
      </c>
      <c r="AE341" s="1678"/>
      <c r="AF341" s="1637"/>
      <c r="AG341" s="1971"/>
      <c r="AH341" s="1972"/>
      <c r="AI341" s="1678"/>
      <c r="AJ341" s="1637"/>
      <c r="AK341" s="1971"/>
      <c r="AL341" s="1972"/>
      <c r="AM341" s="1700"/>
      <c r="AN341" s="2046"/>
      <c r="AO341" s="1888"/>
      <c r="AP341" s="1737"/>
      <c r="AQ341" s="1738"/>
      <c r="AR341" s="2137"/>
      <c r="AS341" s="2138"/>
      <c r="AT341" s="2137"/>
      <c r="AU341" s="1678"/>
      <c r="AV341" s="1637"/>
      <c r="AW341" s="1971"/>
      <c r="AX341" s="1972"/>
      <c r="AY341" s="948"/>
      <c r="AZ341" s="1140" t="s">
        <v>1778</v>
      </c>
      <c r="BA341" s="1678"/>
      <c r="BB341" s="1637"/>
      <c r="BC341" s="1971"/>
      <c r="BD341" s="1972"/>
      <c r="BE341" s="948"/>
      <c r="BF341" s="1140" t="s">
        <v>1778</v>
      </c>
      <c r="BG341" s="1678"/>
      <c r="BH341" s="1637"/>
      <c r="BI341" s="1971"/>
      <c r="BJ341" s="1972"/>
      <c r="BK341" s="1678"/>
      <c r="BL341" s="1637"/>
      <c r="BM341" s="1971"/>
      <c r="BN341" s="1972"/>
      <c r="BO341" s="1700"/>
      <c r="BP341" s="2018"/>
      <c r="BQ341" s="1700"/>
      <c r="BR341" s="2046"/>
      <c r="BS341" s="1678"/>
      <c r="BT341" s="1637"/>
      <c r="BU341" s="1971"/>
      <c r="BV341" s="1972"/>
      <c r="BW341" s="1700"/>
      <c r="BX341" s="2046"/>
      <c r="BY341" s="1678"/>
      <c r="BZ341" s="1637"/>
      <c r="CA341" s="1971"/>
      <c r="CB341" s="1972"/>
      <c r="CC341" s="1769"/>
      <c r="CD341" s="2184"/>
      <c r="CE341" s="948"/>
      <c r="CF341" s="1140" t="s">
        <v>1778</v>
      </c>
      <c r="CG341" s="1678"/>
      <c r="CH341" s="1637"/>
      <c r="CI341" s="1971"/>
      <c r="CJ341" s="1972"/>
      <c r="CK341" s="948"/>
      <c r="CL341" s="1140" t="s">
        <v>1778</v>
      </c>
      <c r="CM341" s="1678"/>
      <c r="CN341" s="1637"/>
      <c r="CO341" s="1971"/>
      <c r="CP341" s="1972"/>
      <c r="CQ341" s="1678"/>
      <c r="CR341" s="1637"/>
      <c r="CS341" s="1971"/>
      <c r="CT341" s="1972"/>
      <c r="CU341" s="1678"/>
      <c r="CV341" s="1637"/>
      <c r="CW341" s="1971"/>
      <c r="CX341" s="1972"/>
      <c r="CY341" s="1678"/>
      <c r="CZ341" s="1637"/>
      <c r="DA341" s="1971"/>
      <c r="DB341" s="1972"/>
      <c r="DC341" s="1700"/>
      <c r="DD341" s="2046"/>
      <c r="DE341" s="1678"/>
      <c r="DF341" s="1637"/>
      <c r="DG341" s="1971"/>
      <c r="DH341" s="1972"/>
      <c r="DI341" s="950"/>
      <c r="DJ341" s="1140" t="s">
        <v>1778</v>
      </c>
      <c r="DK341" s="1700"/>
      <c r="DL341" s="2018"/>
      <c r="DM341" s="1700"/>
      <c r="DN341" s="2018"/>
      <c r="DO341" s="1700"/>
      <c r="DP341" s="2046"/>
      <c r="DQ341" s="948"/>
      <c r="DR341" s="1148" t="s">
        <v>1778</v>
      </c>
      <c r="DS341" s="1678"/>
      <c r="DT341" s="1637"/>
      <c r="DU341" s="1971"/>
      <c r="DV341" s="1972"/>
      <c r="DW341" s="948"/>
      <c r="DX341" s="1140" t="s">
        <v>1778</v>
      </c>
      <c r="DY341" s="1678"/>
      <c r="DZ341" s="1637"/>
      <c r="EA341" s="1971"/>
      <c r="EB341" s="1972"/>
      <c r="EC341" s="1700"/>
      <c r="ED341" s="2046"/>
      <c r="EE341" s="948"/>
      <c r="EF341" s="1140" t="s">
        <v>1778</v>
      </c>
      <c r="EG341" s="1700"/>
      <c r="EH341" s="2046"/>
      <c r="EI341" s="1678"/>
      <c r="EJ341" s="1637"/>
      <c r="EK341" s="2259"/>
      <c r="EL341" s="1972"/>
      <c r="EM341" s="2253"/>
      <c r="EN341" s="2254"/>
      <c r="EO341" s="2254"/>
      <c r="EP341" s="2254">
        <f t="shared" si="554"/>
        <v>0</v>
      </c>
      <c r="EQ341" s="1710">
        <f t="shared" si="520"/>
        <v>0</v>
      </c>
      <c r="ER341" s="1820">
        <f t="shared" si="521"/>
        <v>0</v>
      </c>
      <c r="ES341" s="1820">
        <f t="shared" si="522"/>
        <v>0</v>
      </c>
      <c r="ET341" s="1821">
        <f t="shared" si="557"/>
        <v>0</v>
      </c>
    </row>
    <row r="342" spans="1:150" x14ac:dyDescent="0.25">
      <c r="A342" s="952">
        <v>1</v>
      </c>
      <c r="B342" s="956"/>
      <c r="C342" s="1659"/>
      <c r="D342" s="1046"/>
      <c r="E342" s="1934"/>
      <c r="F342" s="1935"/>
      <c r="G342" s="1047"/>
      <c r="H342" s="1996"/>
      <c r="I342" s="1047"/>
      <c r="J342" s="1996"/>
      <c r="K342" s="1047"/>
      <c r="L342" s="2031"/>
      <c r="M342" s="952">
        <v>1</v>
      </c>
      <c r="N342" s="1135"/>
      <c r="O342" s="1047"/>
      <c r="P342" s="2031"/>
      <c r="Q342" s="1659"/>
      <c r="R342" s="1046"/>
      <c r="S342" s="1934"/>
      <c r="T342" s="1935"/>
      <c r="U342" s="1659"/>
      <c r="V342" s="1046"/>
      <c r="W342" s="1934"/>
      <c r="X342" s="1935"/>
      <c r="Y342" s="1659"/>
      <c r="Z342" s="1046"/>
      <c r="AA342" s="2065"/>
      <c r="AB342" s="1935"/>
      <c r="AC342" s="955">
        <v>1</v>
      </c>
      <c r="AD342" s="956"/>
      <c r="AE342" s="1659"/>
      <c r="AF342" s="1046"/>
      <c r="AG342" s="1934"/>
      <c r="AH342" s="1935"/>
      <c r="AI342" s="1659"/>
      <c r="AJ342" s="1046"/>
      <c r="AK342" s="1934"/>
      <c r="AL342" s="1935"/>
      <c r="AM342" s="1047"/>
      <c r="AN342" s="2031"/>
      <c r="AO342" s="1871"/>
      <c r="AP342" s="1048"/>
      <c r="AQ342" s="1049"/>
      <c r="AR342" s="2101"/>
      <c r="AS342" s="1553"/>
      <c r="AT342" s="2101"/>
      <c r="AU342" s="1659"/>
      <c r="AV342" s="1046"/>
      <c r="AW342" s="1934"/>
      <c r="AX342" s="1935"/>
      <c r="AY342" s="952">
        <v>1</v>
      </c>
      <c r="AZ342" s="956"/>
      <c r="BA342" s="1659"/>
      <c r="BB342" s="1046"/>
      <c r="BC342" s="1934"/>
      <c r="BD342" s="1935"/>
      <c r="BE342" s="952"/>
      <c r="BF342" s="1149"/>
      <c r="BG342" s="1659"/>
      <c r="BH342" s="1046"/>
      <c r="BI342" s="1934"/>
      <c r="BJ342" s="1935"/>
      <c r="BK342" s="1659"/>
      <c r="BL342" s="1046"/>
      <c r="BM342" s="1934"/>
      <c r="BN342" s="1935"/>
      <c r="BO342" s="1047"/>
      <c r="BP342" s="1996"/>
      <c r="BQ342" s="1047"/>
      <c r="BR342" s="2031"/>
      <c r="BS342" s="1659"/>
      <c r="BT342" s="1046"/>
      <c r="BU342" s="1934"/>
      <c r="BV342" s="1935"/>
      <c r="BW342" s="1047"/>
      <c r="BX342" s="2031"/>
      <c r="BY342" s="1659"/>
      <c r="BZ342" s="1046"/>
      <c r="CA342" s="1934"/>
      <c r="CB342" s="1935"/>
      <c r="CC342" s="1753"/>
      <c r="CD342" s="2161"/>
      <c r="CE342" s="952">
        <v>1</v>
      </c>
      <c r="CF342" s="956"/>
      <c r="CG342" s="1659"/>
      <c r="CH342" s="1046"/>
      <c r="CI342" s="1934"/>
      <c r="CJ342" s="1935"/>
      <c r="CK342" s="952">
        <v>1</v>
      </c>
      <c r="CL342" s="956"/>
      <c r="CM342" s="1659"/>
      <c r="CN342" s="1046"/>
      <c r="CO342" s="1934"/>
      <c r="CP342" s="1935"/>
      <c r="CQ342" s="1659"/>
      <c r="CR342" s="1046"/>
      <c r="CS342" s="1934"/>
      <c r="CT342" s="1935"/>
      <c r="CU342" s="1659"/>
      <c r="CV342" s="1046"/>
      <c r="CW342" s="1934"/>
      <c r="CX342" s="1935"/>
      <c r="CY342" s="1659"/>
      <c r="CZ342" s="1046"/>
      <c r="DA342" s="1934"/>
      <c r="DB342" s="1935"/>
      <c r="DC342" s="1047"/>
      <c r="DD342" s="2031"/>
      <c r="DE342" s="1659"/>
      <c r="DF342" s="1046"/>
      <c r="DG342" s="1934"/>
      <c r="DH342" s="1935"/>
      <c r="DI342" s="955">
        <v>1</v>
      </c>
      <c r="DJ342" s="956"/>
      <c r="DK342" s="1047"/>
      <c r="DL342" s="1996"/>
      <c r="DM342" s="1047"/>
      <c r="DN342" s="1996"/>
      <c r="DO342" s="1047"/>
      <c r="DP342" s="2031"/>
      <c r="DQ342" s="952">
        <v>1</v>
      </c>
      <c r="DR342" s="958"/>
      <c r="DS342" s="1659"/>
      <c r="DT342" s="1046"/>
      <c r="DU342" s="1934"/>
      <c r="DV342" s="1935"/>
      <c r="DW342" s="952">
        <v>1</v>
      </c>
      <c r="DX342" s="956"/>
      <c r="DY342" s="1659"/>
      <c r="DZ342" s="1046"/>
      <c r="EA342" s="1934"/>
      <c r="EB342" s="1935"/>
      <c r="EC342" s="1047"/>
      <c r="ED342" s="2031"/>
      <c r="EE342" s="952">
        <v>1</v>
      </c>
      <c r="EF342" s="956"/>
      <c r="EG342" s="1047"/>
      <c r="EH342" s="2031"/>
      <c r="EI342" s="1659"/>
      <c r="EJ342" s="1046"/>
      <c r="EK342" s="2219"/>
      <c r="EL342" s="1935"/>
      <c r="EM342" s="2202">
        <f t="shared" ref="EM342:EM345" si="612">E342+S342+W342+AA342+AG342+AK342+AN342+AR342+AW342+BC342+BI342+BM342+BR342+BU342+CA342+CD342+CI342+CO342+CS342+CW342+DA342+DG342+DU342+EA342+EK342</f>
        <v>0</v>
      </c>
      <c r="EN342" s="1585">
        <f t="shared" ref="EN342:EN345" si="613">F342+H342+J342+L342+P342+T342+X342+AB342+AH342+AL342+AS342+AX342+BD342+BJ342+BN342+BP342+BV342+BX342+CB342+CJ342+CP342+CT342+CX342+DB342+DD342+DH342+DN342+DP342+DV342+EB342+ED342+EH342+EL342+DL342</f>
        <v>0</v>
      </c>
      <c r="EO342" s="1585">
        <f t="shared" ref="EO342:EO345" si="614">AQ342</f>
        <v>0</v>
      </c>
      <c r="EP342" s="1585">
        <f t="shared" si="554"/>
        <v>0</v>
      </c>
      <c r="EQ342" s="988">
        <f t="shared" si="520"/>
        <v>0</v>
      </c>
      <c r="ER342" s="1775">
        <f t="shared" si="521"/>
        <v>0</v>
      </c>
      <c r="ES342" s="1775">
        <f t="shared" si="522"/>
        <v>0</v>
      </c>
      <c r="ET342" s="992">
        <f t="shared" si="557"/>
        <v>0</v>
      </c>
    </row>
    <row r="343" spans="1:150" x14ac:dyDescent="0.25">
      <c r="A343" s="952">
        <v>2</v>
      </c>
      <c r="B343" s="956"/>
      <c r="C343" s="1659"/>
      <c r="D343" s="1046"/>
      <c r="E343" s="1934"/>
      <c r="F343" s="1935"/>
      <c r="G343" s="1047"/>
      <c r="H343" s="1996"/>
      <c r="I343" s="1047"/>
      <c r="J343" s="1996"/>
      <c r="K343" s="1047"/>
      <c r="L343" s="2031"/>
      <c r="M343" s="952">
        <v>2</v>
      </c>
      <c r="N343" s="956"/>
      <c r="O343" s="1047"/>
      <c r="P343" s="2031"/>
      <c r="Q343" s="1659"/>
      <c r="R343" s="1046"/>
      <c r="S343" s="1934"/>
      <c r="T343" s="1935"/>
      <c r="U343" s="1659"/>
      <c r="V343" s="1046"/>
      <c r="W343" s="1934"/>
      <c r="X343" s="1935"/>
      <c r="Y343" s="1659"/>
      <c r="Z343" s="1046"/>
      <c r="AA343" s="2065"/>
      <c r="AB343" s="1935"/>
      <c r="AC343" s="955">
        <v>2</v>
      </c>
      <c r="AD343" s="956"/>
      <c r="AE343" s="1659"/>
      <c r="AF343" s="1046"/>
      <c r="AG343" s="1934"/>
      <c r="AH343" s="1935"/>
      <c r="AI343" s="1659"/>
      <c r="AJ343" s="1046"/>
      <c r="AK343" s="1934"/>
      <c r="AL343" s="1935"/>
      <c r="AM343" s="1047"/>
      <c r="AN343" s="2031"/>
      <c r="AO343" s="1871"/>
      <c r="AP343" s="1048"/>
      <c r="AQ343" s="1049"/>
      <c r="AR343" s="2101"/>
      <c r="AS343" s="1553"/>
      <c r="AT343" s="2101"/>
      <c r="AU343" s="1659"/>
      <c r="AV343" s="1046"/>
      <c r="AW343" s="1934"/>
      <c r="AX343" s="1935"/>
      <c r="AY343" s="952">
        <v>2</v>
      </c>
      <c r="AZ343" s="956"/>
      <c r="BA343" s="1659"/>
      <c r="BB343" s="1046"/>
      <c r="BC343" s="1934"/>
      <c r="BD343" s="1935"/>
      <c r="BE343" s="952">
        <v>1</v>
      </c>
      <c r="BF343" s="1156"/>
      <c r="BG343" s="1659"/>
      <c r="BH343" s="1046"/>
      <c r="BI343" s="1934"/>
      <c r="BJ343" s="1935"/>
      <c r="BK343" s="1659"/>
      <c r="BL343" s="1046"/>
      <c r="BM343" s="1934"/>
      <c r="BN343" s="1935"/>
      <c r="BO343" s="1047"/>
      <c r="BP343" s="1996"/>
      <c r="BQ343" s="1047"/>
      <c r="BR343" s="2031"/>
      <c r="BS343" s="1659"/>
      <c r="BT343" s="1046"/>
      <c r="BU343" s="1934"/>
      <c r="BV343" s="1935"/>
      <c r="BW343" s="1047"/>
      <c r="BX343" s="2031"/>
      <c r="BY343" s="1659"/>
      <c r="BZ343" s="1046"/>
      <c r="CA343" s="1934"/>
      <c r="CB343" s="1935"/>
      <c r="CC343" s="1723"/>
      <c r="CD343" s="2113"/>
      <c r="CE343" s="952">
        <v>2</v>
      </c>
      <c r="CF343" s="956"/>
      <c r="CG343" s="1659"/>
      <c r="CH343" s="1046"/>
      <c r="CI343" s="1934"/>
      <c r="CJ343" s="1935"/>
      <c r="CK343" s="952">
        <v>2</v>
      </c>
      <c r="CL343" s="954"/>
      <c r="CM343" s="1659"/>
      <c r="CN343" s="1046"/>
      <c r="CO343" s="1934"/>
      <c r="CP343" s="1935"/>
      <c r="CQ343" s="1659"/>
      <c r="CR343" s="1046"/>
      <c r="CS343" s="1934"/>
      <c r="CT343" s="1935"/>
      <c r="CU343" s="1659"/>
      <c r="CV343" s="1046"/>
      <c r="CW343" s="1934"/>
      <c r="CX343" s="1935"/>
      <c r="CY343" s="1659"/>
      <c r="CZ343" s="1046"/>
      <c r="DA343" s="1934"/>
      <c r="DB343" s="1935"/>
      <c r="DC343" s="1047"/>
      <c r="DD343" s="2031"/>
      <c r="DE343" s="1659"/>
      <c r="DF343" s="1046"/>
      <c r="DG343" s="1934"/>
      <c r="DH343" s="1935"/>
      <c r="DI343" s="955">
        <v>2</v>
      </c>
      <c r="DJ343" s="954"/>
      <c r="DK343" s="1047"/>
      <c r="DL343" s="1996"/>
      <c r="DM343" s="1047"/>
      <c r="DN343" s="1996"/>
      <c r="DO343" s="1047"/>
      <c r="DP343" s="2031"/>
      <c r="DQ343" s="952">
        <v>2</v>
      </c>
      <c r="DR343" s="958"/>
      <c r="DS343" s="1659"/>
      <c r="DT343" s="1046"/>
      <c r="DU343" s="1934"/>
      <c r="DV343" s="1935"/>
      <c r="DW343" s="952">
        <v>2</v>
      </c>
      <c r="DX343" s="1135"/>
      <c r="DY343" s="1659"/>
      <c r="DZ343" s="1046"/>
      <c r="EA343" s="1934"/>
      <c r="EB343" s="1935"/>
      <c r="EC343" s="1047"/>
      <c r="ED343" s="2031"/>
      <c r="EE343" s="952">
        <v>2</v>
      </c>
      <c r="EF343" s="956"/>
      <c r="EG343" s="1047"/>
      <c r="EH343" s="2031"/>
      <c r="EI343" s="1659"/>
      <c r="EJ343" s="1046"/>
      <c r="EK343" s="2219"/>
      <c r="EL343" s="1935"/>
      <c r="EM343" s="2202">
        <f t="shared" si="612"/>
        <v>0</v>
      </c>
      <c r="EN343" s="1585">
        <f t="shared" si="613"/>
        <v>0</v>
      </c>
      <c r="EO343" s="1585">
        <f t="shared" si="614"/>
        <v>0</v>
      </c>
      <c r="EP343" s="1585">
        <f t="shared" si="554"/>
        <v>0</v>
      </c>
      <c r="EQ343" s="988">
        <f t="shared" si="520"/>
        <v>0</v>
      </c>
      <c r="ER343" s="1775">
        <f t="shared" si="521"/>
        <v>0</v>
      </c>
      <c r="ES343" s="1775">
        <f t="shared" si="522"/>
        <v>0</v>
      </c>
      <c r="ET343" s="992">
        <f t="shared" si="557"/>
        <v>0</v>
      </c>
    </row>
    <row r="344" spans="1:150" x14ac:dyDescent="0.25">
      <c r="A344" s="952">
        <v>3</v>
      </c>
      <c r="B344" s="961"/>
      <c r="C344" s="1659"/>
      <c r="D344" s="1046"/>
      <c r="E344" s="1934"/>
      <c r="F344" s="1935"/>
      <c r="G344" s="1047"/>
      <c r="H344" s="1996"/>
      <c r="I344" s="1047"/>
      <c r="J344" s="1996"/>
      <c r="K344" s="1047"/>
      <c r="L344" s="2031"/>
      <c r="M344" s="952">
        <v>3</v>
      </c>
      <c r="N344" s="961"/>
      <c r="O344" s="1047"/>
      <c r="P344" s="2031"/>
      <c r="Q344" s="1659"/>
      <c r="R344" s="1046"/>
      <c r="S344" s="1934"/>
      <c r="T344" s="1935"/>
      <c r="U344" s="1659"/>
      <c r="V344" s="1046"/>
      <c r="W344" s="1934"/>
      <c r="X344" s="1935"/>
      <c r="Y344" s="1659"/>
      <c r="Z344" s="1046"/>
      <c r="AA344" s="2065"/>
      <c r="AB344" s="1935"/>
      <c r="AC344" s="955">
        <v>3</v>
      </c>
      <c r="AD344" s="961"/>
      <c r="AE344" s="1659"/>
      <c r="AF344" s="1046"/>
      <c r="AG344" s="1934"/>
      <c r="AH344" s="1935"/>
      <c r="AI344" s="1659"/>
      <c r="AJ344" s="1046"/>
      <c r="AK344" s="1934"/>
      <c r="AL344" s="1935"/>
      <c r="AM344" s="1047"/>
      <c r="AN344" s="2031"/>
      <c r="AO344" s="1871"/>
      <c r="AP344" s="1048"/>
      <c r="AQ344" s="1049"/>
      <c r="AR344" s="2101"/>
      <c r="AS344" s="1553"/>
      <c r="AT344" s="2101"/>
      <c r="AU344" s="1659"/>
      <c r="AV344" s="1046"/>
      <c r="AW344" s="1934"/>
      <c r="AX344" s="1935"/>
      <c r="AY344" s="952">
        <v>3</v>
      </c>
      <c r="AZ344" s="961"/>
      <c r="BA344" s="1659"/>
      <c r="BB344" s="1046"/>
      <c r="BC344" s="1934"/>
      <c r="BD344" s="1935"/>
      <c r="BE344" s="952">
        <v>2</v>
      </c>
      <c r="BF344" s="1171"/>
      <c r="BG344" s="1659"/>
      <c r="BH344" s="1046"/>
      <c r="BI344" s="1934"/>
      <c r="BJ344" s="1935"/>
      <c r="BK344" s="1659"/>
      <c r="BL344" s="1046"/>
      <c r="BM344" s="1934"/>
      <c r="BN344" s="1935"/>
      <c r="BO344" s="1047"/>
      <c r="BP344" s="1996"/>
      <c r="BQ344" s="1047"/>
      <c r="BR344" s="2031"/>
      <c r="BS344" s="1659"/>
      <c r="BT344" s="1046"/>
      <c r="BU344" s="1934"/>
      <c r="BV344" s="1935"/>
      <c r="BW344" s="1047"/>
      <c r="BX344" s="2031"/>
      <c r="BY344" s="1659"/>
      <c r="BZ344" s="1046"/>
      <c r="CA344" s="1934"/>
      <c r="CB344" s="1935"/>
      <c r="CC344" s="1723"/>
      <c r="CD344" s="2113"/>
      <c r="CE344" s="952">
        <v>3</v>
      </c>
      <c r="CF344" s="961"/>
      <c r="CG344" s="1659"/>
      <c r="CH344" s="1046"/>
      <c r="CI344" s="1934"/>
      <c r="CJ344" s="1935"/>
      <c r="CK344" s="952">
        <v>3</v>
      </c>
      <c r="CL344" s="959"/>
      <c r="CM344" s="1659"/>
      <c r="CN344" s="1046"/>
      <c r="CO344" s="1934"/>
      <c r="CP344" s="1935"/>
      <c r="CQ344" s="1659"/>
      <c r="CR344" s="1046"/>
      <c r="CS344" s="1934"/>
      <c r="CT344" s="1935"/>
      <c r="CU344" s="1659"/>
      <c r="CV344" s="1046"/>
      <c r="CW344" s="1934"/>
      <c r="CX344" s="1935"/>
      <c r="CY344" s="1659"/>
      <c r="CZ344" s="1046"/>
      <c r="DA344" s="1934"/>
      <c r="DB344" s="1935"/>
      <c r="DC344" s="1047"/>
      <c r="DD344" s="2031"/>
      <c r="DE344" s="1659"/>
      <c r="DF344" s="1046"/>
      <c r="DG344" s="1934"/>
      <c r="DH344" s="1935"/>
      <c r="DI344" s="955">
        <v>3</v>
      </c>
      <c r="DJ344" s="1135"/>
      <c r="DK344" s="1047"/>
      <c r="DL344" s="1996"/>
      <c r="DM344" s="1047"/>
      <c r="DN344" s="1996"/>
      <c r="DO344" s="1047"/>
      <c r="DP344" s="2031"/>
      <c r="DQ344" s="952">
        <v>3</v>
      </c>
      <c r="DR344" s="1083"/>
      <c r="DS344" s="1659"/>
      <c r="DT344" s="1046"/>
      <c r="DU344" s="1934"/>
      <c r="DV344" s="1935"/>
      <c r="DW344" s="952">
        <v>3</v>
      </c>
      <c r="DX344" s="961"/>
      <c r="DY344" s="1659"/>
      <c r="DZ344" s="1046"/>
      <c r="EA344" s="1934"/>
      <c r="EB344" s="1935"/>
      <c r="EC344" s="1047"/>
      <c r="ED344" s="2031"/>
      <c r="EE344" s="952">
        <v>3</v>
      </c>
      <c r="EF344" s="961"/>
      <c r="EG344" s="1047"/>
      <c r="EH344" s="2031"/>
      <c r="EI344" s="1659"/>
      <c r="EJ344" s="1046"/>
      <c r="EK344" s="2219"/>
      <c r="EL344" s="1935"/>
      <c r="EM344" s="2202">
        <f t="shared" si="612"/>
        <v>0</v>
      </c>
      <c r="EN344" s="1585">
        <f t="shared" si="613"/>
        <v>0</v>
      </c>
      <c r="EO344" s="1585">
        <f t="shared" si="614"/>
        <v>0</v>
      </c>
      <c r="EP344" s="1585">
        <f t="shared" si="554"/>
        <v>0</v>
      </c>
      <c r="EQ344" s="988">
        <f t="shared" si="520"/>
        <v>0</v>
      </c>
      <c r="ER344" s="1775">
        <f t="shared" si="521"/>
        <v>0</v>
      </c>
      <c r="ES344" s="1775">
        <f t="shared" si="522"/>
        <v>0</v>
      </c>
      <c r="ET344" s="992">
        <f t="shared" si="557"/>
        <v>0</v>
      </c>
    </row>
    <row r="345" spans="1:150" x14ac:dyDescent="0.25">
      <c r="A345" s="965"/>
      <c r="B345" s="961"/>
      <c r="C345" s="1660"/>
      <c r="D345" s="1051"/>
      <c r="E345" s="1936"/>
      <c r="F345" s="1937"/>
      <c r="G345" s="1052"/>
      <c r="H345" s="1997"/>
      <c r="I345" s="1052"/>
      <c r="J345" s="1997"/>
      <c r="K345" s="1052"/>
      <c r="L345" s="2032"/>
      <c r="M345" s="965"/>
      <c r="N345" s="961"/>
      <c r="O345" s="1052"/>
      <c r="P345" s="2032"/>
      <c r="Q345" s="1660"/>
      <c r="R345" s="1051"/>
      <c r="S345" s="1936"/>
      <c r="T345" s="1937"/>
      <c r="U345" s="1660"/>
      <c r="V345" s="1051"/>
      <c r="W345" s="1936"/>
      <c r="X345" s="1937"/>
      <c r="Y345" s="1660"/>
      <c r="Z345" s="1051"/>
      <c r="AA345" s="2066"/>
      <c r="AB345" s="1937"/>
      <c r="AC345" s="964"/>
      <c r="AD345" s="961"/>
      <c r="AE345" s="1660"/>
      <c r="AF345" s="1051"/>
      <c r="AG345" s="1936"/>
      <c r="AH345" s="1937"/>
      <c r="AI345" s="1660"/>
      <c r="AJ345" s="1051"/>
      <c r="AK345" s="1936"/>
      <c r="AL345" s="1937"/>
      <c r="AM345" s="1052"/>
      <c r="AN345" s="2032"/>
      <c r="AO345" s="1872"/>
      <c r="AP345" s="1101"/>
      <c r="AQ345" s="1053"/>
      <c r="AR345" s="2102"/>
      <c r="AS345" s="1554"/>
      <c r="AT345" s="2102"/>
      <c r="AU345" s="1660"/>
      <c r="AV345" s="1051"/>
      <c r="AW345" s="1936"/>
      <c r="AX345" s="1937"/>
      <c r="AY345" s="965"/>
      <c r="AZ345" s="961"/>
      <c r="BA345" s="1660"/>
      <c r="BB345" s="1051"/>
      <c r="BC345" s="1936"/>
      <c r="BD345" s="1937"/>
      <c r="BE345" s="952">
        <v>3</v>
      </c>
      <c r="BF345" s="961"/>
      <c r="BG345" s="1660"/>
      <c r="BH345" s="1051"/>
      <c r="BI345" s="1936"/>
      <c r="BJ345" s="1937"/>
      <c r="BK345" s="1660"/>
      <c r="BL345" s="1051"/>
      <c r="BM345" s="1936"/>
      <c r="BN345" s="1937"/>
      <c r="BO345" s="1052"/>
      <c r="BP345" s="1997"/>
      <c r="BQ345" s="1052"/>
      <c r="BR345" s="2032"/>
      <c r="BS345" s="1660"/>
      <c r="BT345" s="1051"/>
      <c r="BU345" s="1936"/>
      <c r="BV345" s="1937"/>
      <c r="BW345" s="1052"/>
      <c r="BX345" s="2032"/>
      <c r="BY345" s="1660"/>
      <c r="BZ345" s="1051"/>
      <c r="CA345" s="1936"/>
      <c r="CB345" s="1937"/>
      <c r="CC345" s="1743"/>
      <c r="CD345" s="2150"/>
      <c r="CE345" s="965"/>
      <c r="CF345" s="961"/>
      <c r="CG345" s="1660"/>
      <c r="CH345" s="1051"/>
      <c r="CI345" s="1936"/>
      <c r="CJ345" s="1937"/>
      <c r="CK345" s="965"/>
      <c r="CL345" s="959"/>
      <c r="CM345" s="1660"/>
      <c r="CN345" s="1051"/>
      <c r="CO345" s="1936"/>
      <c r="CP345" s="1937"/>
      <c r="CQ345" s="1660"/>
      <c r="CR345" s="1051"/>
      <c r="CS345" s="1936"/>
      <c r="CT345" s="1937"/>
      <c r="CU345" s="1660"/>
      <c r="CV345" s="1051"/>
      <c r="CW345" s="1936"/>
      <c r="CX345" s="1937"/>
      <c r="CY345" s="1660"/>
      <c r="CZ345" s="1051"/>
      <c r="DA345" s="2146">
        <f>'bevétel 11602'!D24</f>
        <v>0</v>
      </c>
      <c r="DB345" s="1943">
        <f>'bevétel 11602'!D39</f>
        <v>0</v>
      </c>
      <c r="DC345" s="1052"/>
      <c r="DD345" s="2032"/>
      <c r="DE345" s="1660"/>
      <c r="DF345" s="1051"/>
      <c r="DG345" s="1936"/>
      <c r="DH345" s="1937"/>
      <c r="DI345" s="955">
        <v>4</v>
      </c>
      <c r="DJ345" s="1167"/>
      <c r="DK345" s="1052"/>
      <c r="DL345" s="1997"/>
      <c r="DM345" s="1052"/>
      <c r="DN345" s="1997"/>
      <c r="DO345" s="1052"/>
      <c r="DP345" s="2114">
        <f>'bevétel 11605 cím  '!D9</f>
        <v>0</v>
      </c>
      <c r="DQ345" s="965"/>
      <c r="DR345" s="1083"/>
      <c r="DS345" s="1660"/>
      <c r="DT345" s="1051"/>
      <c r="DU345" s="1936"/>
      <c r="DV345" s="1937"/>
      <c r="DW345" s="965"/>
      <c r="DX345" s="961"/>
      <c r="DY345" s="1660"/>
      <c r="DZ345" s="1051"/>
      <c r="EA345" s="1936"/>
      <c r="EB345" s="1937"/>
      <c r="EC345" s="1052"/>
      <c r="ED345" s="2032"/>
      <c r="EE345" s="965"/>
      <c r="EF345" s="961"/>
      <c r="EG345" s="1052"/>
      <c r="EH345" s="2032"/>
      <c r="EI345" s="1660"/>
      <c r="EJ345" s="1051"/>
      <c r="EK345" s="2220"/>
      <c r="EL345" s="1937"/>
      <c r="EM345" s="2202">
        <f t="shared" si="612"/>
        <v>0</v>
      </c>
      <c r="EN345" s="1585">
        <f t="shared" si="613"/>
        <v>0</v>
      </c>
      <c r="EO345" s="1585">
        <f t="shared" si="614"/>
        <v>0</v>
      </c>
      <c r="EP345" s="1586">
        <f t="shared" si="554"/>
        <v>0</v>
      </c>
      <c r="EQ345" s="999">
        <f t="shared" si="520"/>
        <v>0</v>
      </c>
      <c r="ER345" s="1776">
        <f t="shared" si="521"/>
        <v>0</v>
      </c>
      <c r="ES345" s="1776">
        <f t="shared" si="522"/>
        <v>0</v>
      </c>
      <c r="ET345" s="1055">
        <f t="shared" si="557"/>
        <v>0</v>
      </c>
    </row>
    <row r="346" spans="1:150" ht="30" customHeight="1" thickBot="1" x14ac:dyDescent="0.3">
      <c r="A346" s="968"/>
      <c r="B346" s="969" t="s">
        <v>1779</v>
      </c>
      <c r="C346" s="1656">
        <f t="shared" ref="C346:L346" si="615">SUM(C341:C345)</f>
        <v>0</v>
      </c>
      <c r="D346" s="1642">
        <f t="shared" si="615"/>
        <v>0</v>
      </c>
      <c r="E346" s="1926">
        <f t="shared" si="615"/>
        <v>0</v>
      </c>
      <c r="F346" s="1927">
        <f t="shared" si="615"/>
        <v>0</v>
      </c>
      <c r="G346" s="1058">
        <f t="shared" si="615"/>
        <v>0</v>
      </c>
      <c r="H346" s="1992">
        <f t="shared" si="615"/>
        <v>0</v>
      </c>
      <c r="I346" s="1058">
        <f t="shared" si="615"/>
        <v>0</v>
      </c>
      <c r="J346" s="1992">
        <f t="shared" si="615"/>
        <v>0</v>
      </c>
      <c r="K346" s="1058">
        <f t="shared" si="615"/>
        <v>0</v>
      </c>
      <c r="L346" s="1992">
        <f t="shared" si="615"/>
        <v>0</v>
      </c>
      <c r="M346" s="968"/>
      <c r="N346" s="969" t="s">
        <v>1779</v>
      </c>
      <c r="O346" s="1058">
        <f t="shared" ref="O346:AB346" si="616">SUM(O341:O345)</f>
        <v>0</v>
      </c>
      <c r="P346" s="1992">
        <f t="shared" si="616"/>
        <v>0</v>
      </c>
      <c r="Q346" s="1656">
        <f t="shared" si="616"/>
        <v>0</v>
      </c>
      <c r="R346" s="1642">
        <f t="shared" si="616"/>
        <v>0</v>
      </c>
      <c r="S346" s="1926">
        <f t="shared" si="616"/>
        <v>0</v>
      </c>
      <c r="T346" s="1927">
        <f t="shared" si="616"/>
        <v>0</v>
      </c>
      <c r="U346" s="1656">
        <f t="shared" si="616"/>
        <v>0</v>
      </c>
      <c r="V346" s="1642">
        <f t="shared" si="616"/>
        <v>0</v>
      </c>
      <c r="W346" s="1926">
        <f t="shared" si="616"/>
        <v>0</v>
      </c>
      <c r="X346" s="1927">
        <f t="shared" si="616"/>
        <v>0</v>
      </c>
      <c r="Y346" s="1656">
        <f t="shared" si="616"/>
        <v>0</v>
      </c>
      <c r="Z346" s="1642">
        <f t="shared" si="616"/>
        <v>0</v>
      </c>
      <c r="AA346" s="1926">
        <f t="shared" si="616"/>
        <v>0</v>
      </c>
      <c r="AB346" s="1927">
        <f t="shared" si="616"/>
        <v>0</v>
      </c>
      <c r="AC346" s="970"/>
      <c r="AD346" s="969" t="s">
        <v>1779</v>
      </c>
      <c r="AE346" s="1656">
        <f t="shared" ref="AE346:AX346" si="617">SUM(AE341:AE345)</f>
        <v>0</v>
      </c>
      <c r="AF346" s="1642">
        <f t="shared" si="617"/>
        <v>0</v>
      </c>
      <c r="AG346" s="1926">
        <f t="shared" si="617"/>
        <v>0</v>
      </c>
      <c r="AH346" s="1927">
        <f t="shared" si="617"/>
        <v>0</v>
      </c>
      <c r="AI346" s="1656">
        <f t="shared" si="617"/>
        <v>0</v>
      </c>
      <c r="AJ346" s="1642">
        <f t="shared" si="617"/>
        <v>0</v>
      </c>
      <c r="AK346" s="1926">
        <f t="shared" si="617"/>
        <v>0</v>
      </c>
      <c r="AL346" s="1927">
        <f t="shared" si="617"/>
        <v>0</v>
      </c>
      <c r="AM346" s="1058">
        <f t="shared" si="617"/>
        <v>0</v>
      </c>
      <c r="AN346" s="1992">
        <f t="shared" si="617"/>
        <v>0</v>
      </c>
      <c r="AO346" s="1656">
        <f t="shared" si="617"/>
        <v>0</v>
      </c>
      <c r="AP346" s="1854">
        <f t="shared" si="617"/>
        <v>0</v>
      </c>
      <c r="AQ346" s="1030">
        <f t="shared" si="617"/>
        <v>0</v>
      </c>
      <c r="AR346" s="1926">
        <f t="shared" si="617"/>
        <v>0</v>
      </c>
      <c r="AS346" s="2096">
        <f t="shared" si="617"/>
        <v>0</v>
      </c>
      <c r="AT346" s="2097">
        <f t="shared" si="617"/>
        <v>0</v>
      </c>
      <c r="AU346" s="1656">
        <f t="shared" si="617"/>
        <v>0</v>
      </c>
      <c r="AV346" s="1642">
        <f t="shared" si="617"/>
        <v>0</v>
      </c>
      <c r="AW346" s="1926">
        <f t="shared" si="617"/>
        <v>0</v>
      </c>
      <c r="AX346" s="1927">
        <f t="shared" si="617"/>
        <v>0</v>
      </c>
      <c r="AY346" s="968"/>
      <c r="AZ346" s="969" t="s">
        <v>1779</v>
      </c>
      <c r="BA346" s="1656">
        <f t="shared" ref="BA346:BD346" si="618">SUM(BA341:BA345)</f>
        <v>0</v>
      </c>
      <c r="BB346" s="1642">
        <f t="shared" si="618"/>
        <v>0</v>
      </c>
      <c r="BC346" s="1926">
        <f t="shared" si="618"/>
        <v>0</v>
      </c>
      <c r="BD346" s="1927">
        <f t="shared" si="618"/>
        <v>0</v>
      </c>
      <c r="BE346" s="968"/>
      <c r="BF346" s="969" t="s">
        <v>1779</v>
      </c>
      <c r="BG346" s="1656">
        <f t="shared" ref="BG346:CD346" si="619">SUM(BG341:BG345)</f>
        <v>0</v>
      </c>
      <c r="BH346" s="1642">
        <f t="shared" si="619"/>
        <v>0</v>
      </c>
      <c r="BI346" s="1926">
        <f t="shared" si="619"/>
        <v>0</v>
      </c>
      <c r="BJ346" s="1927">
        <f t="shared" si="619"/>
        <v>0</v>
      </c>
      <c r="BK346" s="1656">
        <f t="shared" si="619"/>
        <v>0</v>
      </c>
      <c r="BL346" s="1642">
        <f t="shared" si="619"/>
        <v>0</v>
      </c>
      <c r="BM346" s="1926">
        <f t="shared" si="619"/>
        <v>0</v>
      </c>
      <c r="BN346" s="1927">
        <f t="shared" si="619"/>
        <v>0</v>
      </c>
      <c r="BO346" s="1058">
        <f t="shared" si="619"/>
        <v>0</v>
      </c>
      <c r="BP346" s="1992">
        <f t="shared" si="619"/>
        <v>0</v>
      </c>
      <c r="BQ346" s="1058">
        <f t="shared" si="619"/>
        <v>0</v>
      </c>
      <c r="BR346" s="1992">
        <f t="shared" si="619"/>
        <v>0</v>
      </c>
      <c r="BS346" s="1656">
        <f t="shared" si="619"/>
        <v>0</v>
      </c>
      <c r="BT346" s="1642">
        <f t="shared" si="619"/>
        <v>0</v>
      </c>
      <c r="BU346" s="1926">
        <f t="shared" si="619"/>
        <v>0</v>
      </c>
      <c r="BV346" s="1927">
        <f t="shared" si="619"/>
        <v>0</v>
      </c>
      <c r="BW346" s="1058">
        <f t="shared" si="619"/>
        <v>0</v>
      </c>
      <c r="BX346" s="1992">
        <f t="shared" si="619"/>
        <v>0</v>
      </c>
      <c r="BY346" s="1656">
        <f t="shared" si="619"/>
        <v>0</v>
      </c>
      <c r="BZ346" s="1642">
        <f t="shared" si="619"/>
        <v>0</v>
      </c>
      <c r="CA346" s="1926">
        <f t="shared" si="619"/>
        <v>0</v>
      </c>
      <c r="CB346" s="1927">
        <f t="shared" si="619"/>
        <v>0</v>
      </c>
      <c r="CC346" s="1705">
        <f t="shared" si="619"/>
        <v>0</v>
      </c>
      <c r="CD346" s="2159">
        <f t="shared" si="619"/>
        <v>0</v>
      </c>
      <c r="CE346" s="968"/>
      <c r="CF346" s="969" t="s">
        <v>1779</v>
      </c>
      <c r="CG346" s="1656">
        <f t="shared" ref="CG346:CJ346" si="620">SUM(CG341:CG345)</f>
        <v>0</v>
      </c>
      <c r="CH346" s="1642">
        <f t="shared" si="620"/>
        <v>0</v>
      </c>
      <c r="CI346" s="1926">
        <f t="shared" si="620"/>
        <v>0</v>
      </c>
      <c r="CJ346" s="1927">
        <f t="shared" si="620"/>
        <v>0</v>
      </c>
      <c r="CK346" s="968"/>
      <c r="CL346" s="969" t="s">
        <v>1779</v>
      </c>
      <c r="CM346" s="1656">
        <f t="shared" ref="CM346:DH346" si="621">SUM(CM341:CM345)</f>
        <v>0</v>
      </c>
      <c r="CN346" s="1642">
        <f t="shared" si="621"/>
        <v>0</v>
      </c>
      <c r="CO346" s="1926">
        <f t="shared" si="621"/>
        <v>0</v>
      </c>
      <c r="CP346" s="1927">
        <f t="shared" si="621"/>
        <v>0</v>
      </c>
      <c r="CQ346" s="1656">
        <f t="shared" si="621"/>
        <v>0</v>
      </c>
      <c r="CR346" s="1642">
        <f t="shared" si="621"/>
        <v>0</v>
      </c>
      <c r="CS346" s="1926">
        <f t="shared" si="621"/>
        <v>0</v>
      </c>
      <c r="CT346" s="1927">
        <f t="shared" si="621"/>
        <v>0</v>
      </c>
      <c r="CU346" s="1656">
        <f t="shared" si="621"/>
        <v>0</v>
      </c>
      <c r="CV346" s="1642">
        <f t="shared" si="621"/>
        <v>0</v>
      </c>
      <c r="CW346" s="1926">
        <f t="shared" si="621"/>
        <v>0</v>
      </c>
      <c r="CX346" s="1927">
        <f t="shared" si="621"/>
        <v>0</v>
      </c>
      <c r="CY346" s="1656">
        <f t="shared" si="621"/>
        <v>0</v>
      </c>
      <c r="CZ346" s="1642">
        <f t="shared" si="621"/>
        <v>0</v>
      </c>
      <c r="DA346" s="1926">
        <f t="shared" si="621"/>
        <v>0</v>
      </c>
      <c r="DB346" s="1927">
        <f t="shared" si="621"/>
        <v>0</v>
      </c>
      <c r="DC346" s="1058">
        <f t="shared" si="621"/>
        <v>0</v>
      </c>
      <c r="DD346" s="1992">
        <f t="shared" si="621"/>
        <v>0</v>
      </c>
      <c r="DE346" s="1656">
        <f t="shared" si="621"/>
        <v>0</v>
      </c>
      <c r="DF346" s="1642">
        <f t="shared" si="621"/>
        <v>0</v>
      </c>
      <c r="DG346" s="1926">
        <f t="shared" si="621"/>
        <v>0</v>
      </c>
      <c r="DH346" s="1927">
        <f t="shared" si="621"/>
        <v>0</v>
      </c>
      <c r="DI346" s="970"/>
      <c r="DJ346" s="969" t="s">
        <v>1779</v>
      </c>
      <c r="DK346" s="1058">
        <f t="shared" ref="DK346:DL346" si="622">SUM(DK341:DK345)</f>
        <v>0</v>
      </c>
      <c r="DL346" s="1992">
        <f t="shared" si="622"/>
        <v>0</v>
      </c>
      <c r="DM346" s="1058">
        <f t="shared" ref="DM346:DP346" si="623">SUM(DM341:DM345)</f>
        <v>0</v>
      </c>
      <c r="DN346" s="1992">
        <f t="shared" si="623"/>
        <v>0</v>
      </c>
      <c r="DO346" s="1058">
        <f t="shared" si="623"/>
        <v>0</v>
      </c>
      <c r="DP346" s="1992">
        <f t="shared" si="623"/>
        <v>0</v>
      </c>
      <c r="DQ346" s="968"/>
      <c r="DR346" s="972" t="s">
        <v>1779</v>
      </c>
      <c r="DS346" s="1656">
        <f t="shared" ref="DS346:DV346" si="624">SUM(DS341:DS345)</f>
        <v>0</v>
      </c>
      <c r="DT346" s="1642">
        <f t="shared" si="624"/>
        <v>0</v>
      </c>
      <c r="DU346" s="1926">
        <f t="shared" si="624"/>
        <v>0</v>
      </c>
      <c r="DV346" s="1927">
        <f t="shared" si="624"/>
        <v>0</v>
      </c>
      <c r="DW346" s="968"/>
      <c r="DX346" s="969" t="s">
        <v>1779</v>
      </c>
      <c r="DY346" s="1656">
        <f t="shared" ref="DY346:ED346" si="625">SUM(DY341:DY345)</f>
        <v>0</v>
      </c>
      <c r="DZ346" s="1642">
        <f t="shared" si="625"/>
        <v>0</v>
      </c>
      <c r="EA346" s="1926">
        <f t="shared" si="625"/>
        <v>0</v>
      </c>
      <c r="EB346" s="1927">
        <f t="shared" si="625"/>
        <v>0</v>
      </c>
      <c r="EC346" s="1058">
        <f t="shared" si="625"/>
        <v>0</v>
      </c>
      <c r="ED346" s="1992">
        <f t="shared" si="625"/>
        <v>0</v>
      </c>
      <c r="EE346" s="968"/>
      <c r="EF346" s="969" t="s">
        <v>1779</v>
      </c>
      <c r="EG346" s="1058">
        <f t="shared" ref="EG346:EO346" si="626">SUM(EG341:EG345)</f>
        <v>0</v>
      </c>
      <c r="EH346" s="1992">
        <f t="shared" si="626"/>
        <v>0</v>
      </c>
      <c r="EI346" s="1656">
        <f t="shared" si="626"/>
        <v>0</v>
      </c>
      <c r="EJ346" s="1642">
        <f t="shared" si="626"/>
        <v>0</v>
      </c>
      <c r="EK346" s="1926">
        <f t="shared" si="626"/>
        <v>0</v>
      </c>
      <c r="EL346" s="1927">
        <f t="shared" si="626"/>
        <v>0</v>
      </c>
      <c r="EM346" s="1927">
        <f t="shared" si="626"/>
        <v>0</v>
      </c>
      <c r="EN346" s="1927">
        <f t="shared" si="626"/>
        <v>0</v>
      </c>
      <c r="EO346" s="1927">
        <f t="shared" si="626"/>
        <v>0</v>
      </c>
      <c r="EP346" s="1962">
        <f t="shared" si="554"/>
        <v>0</v>
      </c>
      <c r="EQ346" s="1707">
        <f t="shared" si="520"/>
        <v>0</v>
      </c>
      <c r="ER346" s="1786">
        <f t="shared" si="521"/>
        <v>0</v>
      </c>
      <c r="ES346" s="1786">
        <f t="shared" si="522"/>
        <v>0</v>
      </c>
      <c r="ET346" s="1061">
        <f t="shared" si="557"/>
        <v>0</v>
      </c>
    </row>
    <row r="347" spans="1:150" ht="19.95" customHeight="1" x14ac:dyDescent="0.3">
      <c r="A347" s="948"/>
      <c r="B347" s="949" t="s">
        <v>144</v>
      </c>
      <c r="C347" s="1678"/>
      <c r="D347" s="1637"/>
      <c r="E347" s="1971"/>
      <c r="F347" s="1972"/>
      <c r="G347" s="1700"/>
      <c r="H347" s="2018"/>
      <c r="I347" s="1700"/>
      <c r="J347" s="2018"/>
      <c r="K347" s="1700"/>
      <c r="L347" s="2046"/>
      <c r="M347" s="948"/>
      <c r="N347" s="1191" t="s">
        <v>144</v>
      </c>
      <c r="O347" s="1700"/>
      <c r="P347" s="2046"/>
      <c r="Q347" s="1678"/>
      <c r="R347" s="1637"/>
      <c r="S347" s="1971"/>
      <c r="T347" s="1972"/>
      <c r="U347" s="1678"/>
      <c r="V347" s="1637"/>
      <c r="W347" s="1971"/>
      <c r="X347" s="1972"/>
      <c r="Y347" s="1678"/>
      <c r="Z347" s="1637"/>
      <c r="AA347" s="2082"/>
      <c r="AB347" s="1972"/>
      <c r="AC347" s="950"/>
      <c r="AD347" s="949" t="s">
        <v>144</v>
      </c>
      <c r="AE347" s="1678"/>
      <c r="AF347" s="1637"/>
      <c r="AG347" s="1971"/>
      <c r="AH347" s="1972"/>
      <c r="AI347" s="1678"/>
      <c r="AJ347" s="1637"/>
      <c r="AK347" s="1971"/>
      <c r="AL347" s="1972"/>
      <c r="AM347" s="1700"/>
      <c r="AN347" s="2046"/>
      <c r="AO347" s="1888"/>
      <c r="AP347" s="1737"/>
      <c r="AQ347" s="1738"/>
      <c r="AR347" s="2137"/>
      <c r="AS347" s="2138"/>
      <c r="AT347" s="2137"/>
      <c r="AU347" s="1678"/>
      <c r="AV347" s="1637"/>
      <c r="AW347" s="1971"/>
      <c r="AX347" s="1972"/>
      <c r="AY347" s="948"/>
      <c r="AZ347" s="949" t="s">
        <v>144</v>
      </c>
      <c r="BA347" s="1678"/>
      <c r="BB347" s="1637"/>
      <c r="BC347" s="1971"/>
      <c r="BD347" s="1972"/>
      <c r="BE347" s="948"/>
      <c r="BF347" s="949" t="s">
        <v>144</v>
      </c>
      <c r="BG347" s="1678"/>
      <c r="BH347" s="1637"/>
      <c r="BI347" s="1971"/>
      <c r="BJ347" s="1972"/>
      <c r="BK347" s="1678"/>
      <c r="BL347" s="1637"/>
      <c r="BM347" s="1971"/>
      <c r="BN347" s="1972"/>
      <c r="BO347" s="1700"/>
      <c r="BP347" s="2018"/>
      <c r="BQ347" s="1700"/>
      <c r="BR347" s="2046"/>
      <c r="BS347" s="1678"/>
      <c r="BT347" s="1637"/>
      <c r="BU347" s="1971"/>
      <c r="BV347" s="1972"/>
      <c r="BW347" s="1700"/>
      <c r="BX347" s="2046"/>
      <c r="BY347" s="1678"/>
      <c r="BZ347" s="1637"/>
      <c r="CA347" s="1971"/>
      <c r="CB347" s="1972"/>
      <c r="CC347" s="1769"/>
      <c r="CD347" s="2184"/>
      <c r="CE347" s="948"/>
      <c r="CF347" s="949" t="s">
        <v>144</v>
      </c>
      <c r="CG347" s="1678"/>
      <c r="CH347" s="1637"/>
      <c r="CI347" s="1971"/>
      <c r="CJ347" s="1972"/>
      <c r="CK347" s="948"/>
      <c r="CL347" s="949" t="s">
        <v>144</v>
      </c>
      <c r="CM347" s="1678"/>
      <c r="CN347" s="1637"/>
      <c r="CO347" s="1971"/>
      <c r="CP347" s="1972"/>
      <c r="CQ347" s="1678"/>
      <c r="CR347" s="1637"/>
      <c r="CS347" s="1971"/>
      <c r="CT347" s="1972"/>
      <c r="CU347" s="1678"/>
      <c r="CV347" s="1637"/>
      <c r="CW347" s="1971"/>
      <c r="CX347" s="1972"/>
      <c r="CY347" s="1678"/>
      <c r="CZ347" s="1637"/>
      <c r="DA347" s="1971"/>
      <c r="DB347" s="1972"/>
      <c r="DC347" s="1700"/>
      <c r="DD347" s="2046"/>
      <c r="DE347" s="1678"/>
      <c r="DF347" s="1637"/>
      <c r="DG347" s="1971"/>
      <c r="DH347" s="1972"/>
      <c r="DI347" s="950"/>
      <c r="DJ347" s="949" t="s">
        <v>144</v>
      </c>
      <c r="DK347" s="1700"/>
      <c r="DL347" s="2018"/>
      <c r="DM347" s="1700"/>
      <c r="DN347" s="2018"/>
      <c r="DO347" s="1700"/>
      <c r="DP347" s="2046"/>
      <c r="DQ347" s="948"/>
      <c r="DR347" s="951" t="s">
        <v>144</v>
      </c>
      <c r="DS347" s="1678"/>
      <c r="DT347" s="1637"/>
      <c r="DU347" s="1971"/>
      <c r="DV347" s="1972"/>
      <c r="DW347" s="948"/>
      <c r="DX347" s="949" t="s">
        <v>144</v>
      </c>
      <c r="DY347" s="1678"/>
      <c r="DZ347" s="1637"/>
      <c r="EA347" s="1971"/>
      <c r="EB347" s="1972"/>
      <c r="EC347" s="1700"/>
      <c r="ED347" s="2046"/>
      <c r="EE347" s="948"/>
      <c r="EF347" s="949" t="s">
        <v>144</v>
      </c>
      <c r="EG347" s="1700"/>
      <c r="EH347" s="2046"/>
      <c r="EI347" s="1678"/>
      <c r="EJ347" s="1637"/>
      <c r="EK347" s="2259"/>
      <c r="EL347" s="1972"/>
      <c r="EM347" s="2253"/>
      <c r="EN347" s="2254"/>
      <c r="EO347" s="2254"/>
      <c r="EP347" s="2254">
        <f t="shared" si="554"/>
        <v>0</v>
      </c>
      <c r="EQ347" s="1710">
        <f t="shared" si="520"/>
        <v>0</v>
      </c>
      <c r="ER347" s="1820">
        <f t="shared" si="521"/>
        <v>0</v>
      </c>
      <c r="ES347" s="1820">
        <f t="shared" si="522"/>
        <v>0</v>
      </c>
      <c r="ET347" s="1821">
        <f t="shared" si="557"/>
        <v>0</v>
      </c>
    </row>
    <row r="348" spans="1:150" x14ac:dyDescent="0.25">
      <c r="A348" s="952">
        <v>1</v>
      </c>
      <c r="B348" s="956"/>
      <c r="C348" s="1659"/>
      <c r="D348" s="1046"/>
      <c r="E348" s="1934"/>
      <c r="F348" s="1935"/>
      <c r="G348" s="1047"/>
      <c r="H348" s="1996"/>
      <c r="I348" s="1047"/>
      <c r="J348" s="1996"/>
      <c r="K348" s="1047"/>
      <c r="L348" s="2031"/>
      <c r="M348" s="952">
        <v>1</v>
      </c>
      <c r="N348" s="956"/>
      <c r="O348" s="1047"/>
      <c r="P348" s="2031"/>
      <c r="Q348" s="1659"/>
      <c r="R348" s="1046"/>
      <c r="S348" s="1934"/>
      <c r="T348" s="1935"/>
      <c r="U348" s="1659"/>
      <c r="V348" s="1046"/>
      <c r="W348" s="1934"/>
      <c r="X348" s="1935"/>
      <c r="Y348" s="1659"/>
      <c r="Z348" s="1046"/>
      <c r="AA348" s="2065"/>
      <c r="AB348" s="1935"/>
      <c r="AC348" s="955">
        <v>1</v>
      </c>
      <c r="AD348" s="956"/>
      <c r="AE348" s="1659"/>
      <c r="AF348" s="1046"/>
      <c r="AG348" s="1934"/>
      <c r="AH348" s="1935"/>
      <c r="AI348" s="1659"/>
      <c r="AJ348" s="1046"/>
      <c r="AK348" s="1934"/>
      <c r="AL348" s="1935"/>
      <c r="AM348" s="1047"/>
      <c r="AN348" s="2031"/>
      <c r="AO348" s="1871"/>
      <c r="AP348" s="1048"/>
      <c r="AQ348" s="1049"/>
      <c r="AR348" s="2101"/>
      <c r="AS348" s="1553"/>
      <c r="AT348" s="2101"/>
      <c r="AU348" s="1659"/>
      <c r="AV348" s="1046"/>
      <c r="AW348" s="1934"/>
      <c r="AX348" s="1935"/>
      <c r="AY348" s="952">
        <v>1</v>
      </c>
      <c r="AZ348" s="956"/>
      <c r="BA348" s="1659"/>
      <c r="BB348" s="1046"/>
      <c r="BC348" s="1934"/>
      <c r="BD348" s="1935"/>
      <c r="BE348" s="952">
        <v>1</v>
      </c>
      <c r="BF348" s="1037"/>
      <c r="BG348" s="1659"/>
      <c r="BH348" s="1046"/>
      <c r="BI348" s="1934"/>
      <c r="BJ348" s="1935"/>
      <c r="BK348" s="1659"/>
      <c r="BL348" s="1046"/>
      <c r="BM348" s="1934"/>
      <c r="BN348" s="1935"/>
      <c r="BO348" s="1047"/>
      <c r="BP348" s="1996"/>
      <c r="BQ348" s="1047"/>
      <c r="BR348" s="2031"/>
      <c r="BS348" s="1659"/>
      <c r="BT348" s="1046"/>
      <c r="BU348" s="1934"/>
      <c r="BV348" s="1935"/>
      <c r="BW348" s="1047"/>
      <c r="BX348" s="2031"/>
      <c r="BY348" s="1659"/>
      <c r="BZ348" s="1046"/>
      <c r="CA348" s="1934"/>
      <c r="CB348" s="1935"/>
      <c r="CC348" s="1753"/>
      <c r="CD348" s="2161"/>
      <c r="CE348" s="952">
        <v>1</v>
      </c>
      <c r="CF348" s="956"/>
      <c r="CG348" s="1659"/>
      <c r="CH348" s="1046"/>
      <c r="CI348" s="1934"/>
      <c r="CJ348" s="1935"/>
      <c r="CK348" s="952">
        <v>1</v>
      </c>
      <c r="CL348" s="954" t="s">
        <v>1780</v>
      </c>
      <c r="CM348" s="1659"/>
      <c r="CN348" s="1046"/>
      <c r="CO348" s="1934"/>
      <c r="CP348" s="1935"/>
      <c r="CQ348" s="1659"/>
      <c r="CR348" s="1046"/>
      <c r="CS348" s="1934"/>
      <c r="CT348" s="1935"/>
      <c r="CU348" s="1659"/>
      <c r="CV348" s="1046"/>
      <c r="CW348" s="1934"/>
      <c r="CX348" s="1935"/>
      <c r="CY348" s="1659"/>
      <c r="CZ348" s="1046"/>
      <c r="DA348" s="1934"/>
      <c r="DB348" s="1935"/>
      <c r="DC348" s="1047"/>
      <c r="DD348" s="2031"/>
      <c r="DE348" s="1659"/>
      <c r="DF348" s="1046"/>
      <c r="DG348" s="1934"/>
      <c r="DH348" s="1935"/>
      <c r="DI348" s="955">
        <v>1</v>
      </c>
      <c r="DJ348" s="956"/>
      <c r="DK348" s="1047"/>
      <c r="DL348" s="1996"/>
      <c r="DM348" s="1047"/>
      <c r="DN348" s="1996"/>
      <c r="DO348" s="1047"/>
      <c r="DP348" s="2031"/>
      <c r="DQ348" s="952">
        <v>1</v>
      </c>
      <c r="DR348" s="958"/>
      <c r="DS348" s="1659"/>
      <c r="DT348" s="1046"/>
      <c r="DU348" s="1934"/>
      <c r="DV348" s="1935"/>
      <c r="DW348" s="952">
        <v>1</v>
      </c>
      <c r="DX348" s="956"/>
      <c r="DY348" s="1659"/>
      <c r="DZ348" s="1046"/>
      <c r="EA348" s="1934"/>
      <c r="EB348" s="1935"/>
      <c r="EC348" s="1047"/>
      <c r="ED348" s="2031"/>
      <c r="EE348" s="952">
        <v>1</v>
      </c>
      <c r="EF348" s="956"/>
      <c r="EG348" s="1047"/>
      <c r="EH348" s="2031"/>
      <c r="EI348" s="1659"/>
      <c r="EJ348" s="1046"/>
      <c r="EK348" s="2219"/>
      <c r="EL348" s="1935"/>
      <c r="EM348" s="2202">
        <f t="shared" ref="EM348:EM367" si="627">E348+S348+W348+AA348+AG348+AK348+AN348+AR348+AW348+BC348+BI348+BM348+BR348+BU348+CA348+CD348+CI348+CO348+CS348+CW348+DA348+DG348+DU348+EA348+EK348</f>
        <v>0</v>
      </c>
      <c r="EN348" s="1585">
        <f t="shared" ref="EN348:EN367" si="628">F348+H348+J348+L348+P348+T348+X348+AB348+AH348+AL348+AS348+AX348+BD348+BJ348+BN348+BP348+BV348+BX348+CB348+CJ348+CP348+CT348+CX348+DB348+DD348+DH348+DN348+DP348+DV348+EB348+ED348+EH348+EL348+DL348</f>
        <v>0</v>
      </c>
      <c r="EO348" s="1585">
        <f t="shared" ref="EO348:EO367" si="629">AQ348</f>
        <v>0</v>
      </c>
      <c r="EP348" s="1585">
        <f t="shared" si="554"/>
        <v>0</v>
      </c>
      <c r="EQ348" s="988">
        <f t="shared" si="520"/>
        <v>0</v>
      </c>
      <c r="ER348" s="1775">
        <f t="shared" si="521"/>
        <v>0</v>
      </c>
      <c r="ES348" s="1775">
        <f t="shared" si="522"/>
        <v>0</v>
      </c>
      <c r="ET348" s="992">
        <f t="shared" si="557"/>
        <v>0</v>
      </c>
    </row>
    <row r="349" spans="1:150" x14ac:dyDescent="0.25">
      <c r="A349" s="952">
        <v>2</v>
      </c>
      <c r="B349" s="956"/>
      <c r="C349" s="1659"/>
      <c r="D349" s="1046"/>
      <c r="E349" s="1934"/>
      <c r="F349" s="1935"/>
      <c r="G349" s="1047"/>
      <c r="H349" s="1996"/>
      <c r="I349" s="1047"/>
      <c r="J349" s="1996"/>
      <c r="K349" s="1047"/>
      <c r="L349" s="2031"/>
      <c r="M349" s="952">
        <v>2</v>
      </c>
      <c r="N349" s="956"/>
      <c r="O349" s="1047"/>
      <c r="P349" s="2031"/>
      <c r="Q349" s="1659"/>
      <c r="R349" s="1046"/>
      <c r="S349" s="1934"/>
      <c r="T349" s="1935"/>
      <c r="U349" s="1659"/>
      <c r="V349" s="1046"/>
      <c r="W349" s="1934"/>
      <c r="X349" s="1935"/>
      <c r="Y349" s="1659"/>
      <c r="Z349" s="1046"/>
      <c r="AA349" s="2065"/>
      <c r="AB349" s="1935"/>
      <c r="AC349" s="955">
        <v>2</v>
      </c>
      <c r="AD349" s="956"/>
      <c r="AE349" s="1659"/>
      <c r="AF349" s="1046"/>
      <c r="AG349" s="1934"/>
      <c r="AH349" s="1935"/>
      <c r="AI349" s="1659"/>
      <c r="AJ349" s="1046"/>
      <c r="AK349" s="1934"/>
      <c r="AL349" s="1935"/>
      <c r="AM349" s="1047"/>
      <c r="AN349" s="2031"/>
      <c r="AO349" s="1871"/>
      <c r="AP349" s="1048"/>
      <c r="AQ349" s="1049"/>
      <c r="AR349" s="2101"/>
      <c r="AS349" s="1553"/>
      <c r="AT349" s="2101"/>
      <c r="AU349" s="1659"/>
      <c r="AV349" s="1046"/>
      <c r="AW349" s="1934"/>
      <c r="AX349" s="1935"/>
      <c r="AY349" s="952">
        <v>2</v>
      </c>
      <c r="AZ349" s="956"/>
      <c r="BA349" s="1659"/>
      <c r="BB349" s="1046"/>
      <c r="BC349" s="1934"/>
      <c r="BD349" s="1935"/>
      <c r="BE349" s="952">
        <v>2</v>
      </c>
      <c r="BF349" s="956"/>
      <c r="BG349" s="1659"/>
      <c r="BH349" s="1046"/>
      <c r="BI349" s="1934"/>
      <c r="BJ349" s="1935"/>
      <c r="BK349" s="1659"/>
      <c r="BL349" s="1046"/>
      <c r="BM349" s="1934"/>
      <c r="BN349" s="1935"/>
      <c r="BO349" s="1047"/>
      <c r="BP349" s="1996"/>
      <c r="BQ349" s="1047"/>
      <c r="BR349" s="2031"/>
      <c r="BS349" s="1659"/>
      <c r="BT349" s="1046"/>
      <c r="BU349" s="1934"/>
      <c r="BV349" s="1935"/>
      <c r="BW349" s="1047"/>
      <c r="BX349" s="2031"/>
      <c r="BY349" s="1659"/>
      <c r="BZ349" s="1046"/>
      <c r="CA349" s="1934"/>
      <c r="CB349" s="1935"/>
      <c r="CC349" s="1753"/>
      <c r="CD349" s="2161"/>
      <c r="CE349" s="952">
        <v>2</v>
      </c>
      <c r="CF349" s="956"/>
      <c r="CG349" s="1659"/>
      <c r="CH349" s="1046"/>
      <c r="CI349" s="1934"/>
      <c r="CJ349" s="1935"/>
      <c r="CK349" s="952">
        <v>2</v>
      </c>
      <c r="CL349" s="954" t="s">
        <v>1781</v>
      </c>
      <c r="CM349" s="1659"/>
      <c r="CN349" s="1046"/>
      <c r="CO349" s="1934"/>
      <c r="CP349" s="1935"/>
      <c r="CQ349" s="1659"/>
      <c r="CR349" s="1046"/>
      <c r="CS349" s="1934"/>
      <c r="CT349" s="1935"/>
      <c r="CU349" s="1659"/>
      <c r="CV349" s="1046"/>
      <c r="CW349" s="1934"/>
      <c r="CX349" s="1935"/>
      <c r="CY349" s="1659"/>
      <c r="CZ349" s="1046"/>
      <c r="DA349" s="1934"/>
      <c r="DB349" s="1935"/>
      <c r="DC349" s="1047"/>
      <c r="DD349" s="2031"/>
      <c r="DE349" s="1659"/>
      <c r="DF349" s="1046"/>
      <c r="DG349" s="1934"/>
      <c r="DH349" s="1935"/>
      <c r="DI349" s="955">
        <v>2</v>
      </c>
      <c r="DJ349" s="954"/>
      <c r="DK349" s="1047"/>
      <c r="DL349" s="1996"/>
      <c r="DM349" s="1047"/>
      <c r="DN349" s="1996"/>
      <c r="DO349" s="1047"/>
      <c r="DP349" s="2031"/>
      <c r="DQ349" s="952">
        <v>2</v>
      </c>
      <c r="DR349" s="958"/>
      <c r="DS349" s="1659"/>
      <c r="DT349" s="1046"/>
      <c r="DU349" s="1934"/>
      <c r="DV349" s="1935"/>
      <c r="DW349" s="952">
        <v>2</v>
      </c>
      <c r="DX349" s="956"/>
      <c r="DY349" s="1659"/>
      <c r="DZ349" s="1046"/>
      <c r="EA349" s="1934"/>
      <c r="EB349" s="1935"/>
      <c r="EC349" s="1047"/>
      <c r="ED349" s="2031"/>
      <c r="EE349" s="952">
        <v>2</v>
      </c>
      <c r="EF349" s="956"/>
      <c r="EG349" s="1047"/>
      <c r="EH349" s="2031"/>
      <c r="EI349" s="1659"/>
      <c r="EJ349" s="1046"/>
      <c r="EK349" s="2219"/>
      <c r="EL349" s="1935"/>
      <c r="EM349" s="2202">
        <f t="shared" si="627"/>
        <v>0</v>
      </c>
      <c r="EN349" s="1585">
        <f t="shared" si="628"/>
        <v>0</v>
      </c>
      <c r="EO349" s="1585">
        <f t="shared" si="629"/>
        <v>0</v>
      </c>
      <c r="EP349" s="1585">
        <f t="shared" si="554"/>
        <v>0</v>
      </c>
      <c r="EQ349" s="988">
        <f t="shared" si="520"/>
        <v>0</v>
      </c>
      <c r="ER349" s="1775">
        <f t="shared" si="521"/>
        <v>0</v>
      </c>
      <c r="ES349" s="1775">
        <f t="shared" si="522"/>
        <v>0</v>
      </c>
      <c r="ET349" s="992">
        <f t="shared" si="557"/>
        <v>0</v>
      </c>
    </row>
    <row r="350" spans="1:150" x14ac:dyDescent="0.25">
      <c r="A350" s="965">
        <v>3</v>
      </c>
      <c r="B350" s="961"/>
      <c r="C350" s="1659"/>
      <c r="D350" s="1046"/>
      <c r="E350" s="1934"/>
      <c r="F350" s="1935"/>
      <c r="G350" s="1047"/>
      <c r="H350" s="1996"/>
      <c r="I350" s="1047"/>
      <c r="J350" s="1996"/>
      <c r="K350" s="1047"/>
      <c r="L350" s="2032"/>
      <c r="M350" s="965">
        <v>3</v>
      </c>
      <c r="N350" s="961"/>
      <c r="O350" s="1047"/>
      <c r="P350" s="2031"/>
      <c r="Q350" s="1659"/>
      <c r="R350" s="1046"/>
      <c r="S350" s="1934"/>
      <c r="T350" s="1935"/>
      <c r="U350" s="1659"/>
      <c r="V350" s="1046"/>
      <c r="W350" s="1934"/>
      <c r="X350" s="1935"/>
      <c r="Y350" s="1659"/>
      <c r="Z350" s="1046"/>
      <c r="AA350" s="2066"/>
      <c r="AB350" s="1937"/>
      <c r="AC350" s="964">
        <v>3</v>
      </c>
      <c r="AD350" s="961"/>
      <c r="AE350" s="1659"/>
      <c r="AF350" s="1046"/>
      <c r="AG350" s="1934"/>
      <c r="AH350" s="1935"/>
      <c r="AI350" s="1659"/>
      <c r="AJ350" s="1046"/>
      <c r="AK350" s="1934"/>
      <c r="AL350" s="1935"/>
      <c r="AM350" s="1047"/>
      <c r="AN350" s="2031"/>
      <c r="AO350" s="1871"/>
      <c r="AP350" s="1048"/>
      <c r="AQ350" s="1049"/>
      <c r="AR350" s="2101"/>
      <c r="AS350" s="1553"/>
      <c r="AT350" s="2101"/>
      <c r="AU350" s="1659"/>
      <c r="AV350" s="1046"/>
      <c r="AW350" s="1936"/>
      <c r="AX350" s="1937"/>
      <c r="AY350" s="965">
        <v>3</v>
      </c>
      <c r="AZ350" s="961"/>
      <c r="BA350" s="1659"/>
      <c r="BB350" s="1046"/>
      <c r="BC350" s="1936"/>
      <c r="BD350" s="1937"/>
      <c r="BE350" s="965">
        <v>3</v>
      </c>
      <c r="BF350" s="961"/>
      <c r="BG350" s="1659"/>
      <c r="BH350" s="1046"/>
      <c r="BI350" s="1934"/>
      <c r="BJ350" s="1935"/>
      <c r="BK350" s="1659"/>
      <c r="BL350" s="1046"/>
      <c r="BM350" s="1934"/>
      <c r="BN350" s="1935"/>
      <c r="BO350" s="1047"/>
      <c r="BP350" s="1996"/>
      <c r="BQ350" s="1047"/>
      <c r="BR350" s="2031"/>
      <c r="BS350" s="1659"/>
      <c r="BT350" s="1046"/>
      <c r="BU350" s="1934"/>
      <c r="BV350" s="1935"/>
      <c r="BW350" s="1047"/>
      <c r="BX350" s="2031"/>
      <c r="BY350" s="1659"/>
      <c r="BZ350" s="1046"/>
      <c r="CA350" s="1934"/>
      <c r="CB350" s="1935"/>
      <c r="CC350" s="1754"/>
      <c r="CD350" s="2162"/>
      <c r="CE350" s="965">
        <v>3</v>
      </c>
      <c r="CF350" s="961"/>
      <c r="CG350" s="1659"/>
      <c r="CH350" s="1046"/>
      <c r="CI350" s="1934"/>
      <c r="CJ350" s="1935"/>
      <c r="CK350" s="952">
        <v>3</v>
      </c>
      <c r="CL350" s="954" t="s">
        <v>1782</v>
      </c>
      <c r="CM350" s="1659"/>
      <c r="CN350" s="1046"/>
      <c r="CO350" s="1934"/>
      <c r="CP350" s="1935"/>
      <c r="CQ350" s="1659"/>
      <c r="CR350" s="1046"/>
      <c r="CS350" s="1934"/>
      <c r="CT350" s="1935"/>
      <c r="CU350" s="1659"/>
      <c r="CV350" s="1046"/>
      <c r="CW350" s="1934"/>
      <c r="CX350" s="1935"/>
      <c r="CY350" s="1659"/>
      <c r="CZ350" s="1046"/>
      <c r="DA350" s="1934"/>
      <c r="DB350" s="1935"/>
      <c r="DC350" s="1047"/>
      <c r="DD350" s="2031"/>
      <c r="DE350" s="1659"/>
      <c r="DF350" s="1046"/>
      <c r="DG350" s="1936"/>
      <c r="DH350" s="1937"/>
      <c r="DI350" s="964">
        <v>3</v>
      </c>
      <c r="DJ350" s="961"/>
      <c r="DK350" s="1047"/>
      <c r="DL350" s="1996"/>
      <c r="DM350" s="1047"/>
      <c r="DN350" s="1996"/>
      <c r="DO350" s="1047"/>
      <c r="DP350" s="2032"/>
      <c r="DQ350" s="965">
        <v>3</v>
      </c>
      <c r="DR350" s="1083"/>
      <c r="DS350" s="1659"/>
      <c r="DT350" s="1046"/>
      <c r="DU350" s="1936"/>
      <c r="DV350" s="1937"/>
      <c r="DW350" s="965">
        <v>3</v>
      </c>
      <c r="DX350" s="961"/>
      <c r="DY350" s="1659"/>
      <c r="DZ350" s="1046"/>
      <c r="EA350" s="1934"/>
      <c r="EB350" s="1935"/>
      <c r="EC350" s="1047"/>
      <c r="ED350" s="2032"/>
      <c r="EE350" s="965">
        <v>3</v>
      </c>
      <c r="EF350" s="961"/>
      <c r="EG350" s="1047"/>
      <c r="EH350" s="2031"/>
      <c r="EI350" s="1659"/>
      <c r="EJ350" s="1046"/>
      <c r="EK350" s="2219"/>
      <c r="EL350" s="1935"/>
      <c r="EM350" s="2202">
        <f t="shared" si="627"/>
        <v>0</v>
      </c>
      <c r="EN350" s="1585">
        <f t="shared" si="628"/>
        <v>0</v>
      </c>
      <c r="EO350" s="1585">
        <f t="shared" si="629"/>
        <v>0</v>
      </c>
      <c r="EP350" s="1585">
        <f t="shared" si="554"/>
        <v>0</v>
      </c>
      <c r="EQ350" s="988">
        <f t="shared" si="520"/>
        <v>0</v>
      </c>
      <c r="ER350" s="1775">
        <f t="shared" si="521"/>
        <v>0</v>
      </c>
      <c r="ES350" s="1775">
        <f t="shared" si="522"/>
        <v>0</v>
      </c>
      <c r="ET350" s="992">
        <f t="shared" si="557"/>
        <v>0</v>
      </c>
    </row>
    <row r="351" spans="1:150" x14ac:dyDescent="0.25">
      <c r="A351" s="965"/>
      <c r="B351" s="961"/>
      <c r="C351" s="1660"/>
      <c r="D351" s="1051"/>
      <c r="E351" s="1936"/>
      <c r="F351" s="1937"/>
      <c r="G351" s="1052"/>
      <c r="H351" s="1997"/>
      <c r="I351" s="1052"/>
      <c r="J351" s="1997"/>
      <c r="K351" s="1052"/>
      <c r="L351" s="2032"/>
      <c r="M351" s="965"/>
      <c r="N351" s="961"/>
      <c r="O351" s="1052"/>
      <c r="P351" s="2032"/>
      <c r="Q351" s="1660"/>
      <c r="R351" s="1051"/>
      <c r="S351" s="1936"/>
      <c r="T351" s="1937"/>
      <c r="U351" s="1660"/>
      <c r="V351" s="1051"/>
      <c r="W351" s="1936"/>
      <c r="X351" s="1937"/>
      <c r="Y351" s="1660"/>
      <c r="Z351" s="1051"/>
      <c r="AA351" s="2066"/>
      <c r="AB351" s="1937"/>
      <c r="AC351" s="964"/>
      <c r="AD351" s="961"/>
      <c r="AE351" s="1660"/>
      <c r="AF351" s="1051"/>
      <c r="AG351" s="1936"/>
      <c r="AH351" s="1937"/>
      <c r="AI351" s="1660"/>
      <c r="AJ351" s="1051"/>
      <c r="AK351" s="1936"/>
      <c r="AL351" s="1937"/>
      <c r="AM351" s="1052"/>
      <c r="AN351" s="2032"/>
      <c r="AO351" s="1872"/>
      <c r="AP351" s="1101"/>
      <c r="AQ351" s="1053"/>
      <c r="AR351" s="2102"/>
      <c r="AS351" s="1554"/>
      <c r="AT351" s="2102"/>
      <c r="AU351" s="1660"/>
      <c r="AV351" s="1051"/>
      <c r="AW351" s="1936"/>
      <c r="AX351" s="1937"/>
      <c r="AY351" s="965"/>
      <c r="AZ351" s="961"/>
      <c r="BA351" s="1660"/>
      <c r="BB351" s="1051"/>
      <c r="BC351" s="1936"/>
      <c r="BD351" s="1937"/>
      <c r="BE351" s="965"/>
      <c r="BF351" s="961"/>
      <c r="BG351" s="1660"/>
      <c r="BH351" s="1051"/>
      <c r="BI351" s="1936"/>
      <c r="BJ351" s="1937"/>
      <c r="BK351" s="1660"/>
      <c r="BL351" s="1051"/>
      <c r="BM351" s="1936"/>
      <c r="BN351" s="1937"/>
      <c r="BO351" s="1052"/>
      <c r="BP351" s="1997"/>
      <c r="BQ351" s="1052"/>
      <c r="BR351" s="2032"/>
      <c r="BS351" s="1660"/>
      <c r="BT351" s="1051"/>
      <c r="BU351" s="1936"/>
      <c r="BV351" s="1937"/>
      <c r="BW351" s="1052"/>
      <c r="BX351" s="2032"/>
      <c r="BY351" s="1660"/>
      <c r="BZ351" s="1051"/>
      <c r="CA351" s="1936"/>
      <c r="CB351" s="1937"/>
      <c r="CC351" s="1754"/>
      <c r="CD351" s="2162"/>
      <c r="CE351" s="965"/>
      <c r="CF351" s="961"/>
      <c r="CG351" s="1660"/>
      <c r="CH351" s="1051"/>
      <c r="CI351" s="1936"/>
      <c r="CJ351" s="1937"/>
      <c r="CK351" s="952">
        <v>4</v>
      </c>
      <c r="CL351" s="954" t="s">
        <v>1783</v>
      </c>
      <c r="CM351" s="1660"/>
      <c r="CN351" s="1051"/>
      <c r="CO351" s="1936"/>
      <c r="CP351" s="1937"/>
      <c r="CQ351" s="1660"/>
      <c r="CR351" s="1051"/>
      <c r="CS351" s="1936"/>
      <c r="CT351" s="1937"/>
      <c r="CU351" s="1660"/>
      <c r="CV351" s="1051"/>
      <c r="CW351" s="1936"/>
      <c r="CX351" s="1937"/>
      <c r="CY351" s="1660"/>
      <c r="CZ351" s="1051"/>
      <c r="DA351" s="1936"/>
      <c r="DB351" s="1937"/>
      <c r="DC351" s="1052"/>
      <c r="DD351" s="2032"/>
      <c r="DE351" s="1660"/>
      <c r="DF351" s="1051"/>
      <c r="DG351" s="1936"/>
      <c r="DH351" s="1937"/>
      <c r="DI351" s="964"/>
      <c r="DJ351" s="961"/>
      <c r="DK351" s="1052"/>
      <c r="DL351" s="1997"/>
      <c r="DM351" s="1052"/>
      <c r="DN351" s="1997"/>
      <c r="DO351" s="1052"/>
      <c r="DP351" s="2032"/>
      <c r="DQ351" s="965"/>
      <c r="DR351" s="1083"/>
      <c r="DS351" s="1660"/>
      <c r="DT351" s="1051"/>
      <c r="DU351" s="1936"/>
      <c r="DV351" s="1937"/>
      <c r="DW351" s="965"/>
      <c r="DX351" s="961"/>
      <c r="DY351" s="1660"/>
      <c r="DZ351" s="1051"/>
      <c r="EA351" s="1936"/>
      <c r="EB351" s="1937"/>
      <c r="EC351" s="1052"/>
      <c r="ED351" s="2032"/>
      <c r="EE351" s="965"/>
      <c r="EF351" s="961"/>
      <c r="EG351" s="1052"/>
      <c r="EH351" s="2032"/>
      <c r="EI351" s="1660"/>
      <c r="EJ351" s="1051"/>
      <c r="EK351" s="2220"/>
      <c r="EL351" s="1937"/>
      <c r="EM351" s="2202">
        <f t="shared" si="627"/>
        <v>0</v>
      </c>
      <c r="EN351" s="1585">
        <f t="shared" si="628"/>
        <v>0</v>
      </c>
      <c r="EO351" s="1585">
        <f t="shared" si="629"/>
        <v>0</v>
      </c>
      <c r="EP351" s="1585">
        <f t="shared" si="554"/>
        <v>0</v>
      </c>
      <c r="EQ351" s="988">
        <f t="shared" si="520"/>
        <v>0</v>
      </c>
      <c r="ER351" s="1775">
        <f t="shared" si="521"/>
        <v>0</v>
      </c>
      <c r="ES351" s="1775">
        <f t="shared" si="522"/>
        <v>0</v>
      </c>
      <c r="ET351" s="992">
        <f t="shared" si="557"/>
        <v>0</v>
      </c>
    </row>
    <row r="352" spans="1:150" x14ac:dyDescent="0.25">
      <c r="A352" s="965"/>
      <c r="B352" s="961"/>
      <c r="C352" s="1660"/>
      <c r="D352" s="1051"/>
      <c r="E352" s="1936"/>
      <c r="F352" s="1937"/>
      <c r="G352" s="1052"/>
      <c r="H352" s="1997"/>
      <c r="I352" s="1052"/>
      <c r="J352" s="1997"/>
      <c r="K352" s="1052"/>
      <c r="L352" s="2032"/>
      <c r="M352" s="965"/>
      <c r="N352" s="961"/>
      <c r="O352" s="1052"/>
      <c r="P352" s="2032"/>
      <c r="Q352" s="1660"/>
      <c r="R352" s="1051"/>
      <c r="S352" s="1936"/>
      <c r="T352" s="1937"/>
      <c r="U352" s="1660"/>
      <c r="V352" s="1051"/>
      <c r="W352" s="1936"/>
      <c r="X352" s="1937"/>
      <c r="Y352" s="1660"/>
      <c r="Z352" s="1051"/>
      <c r="AA352" s="2066"/>
      <c r="AB352" s="1937"/>
      <c r="AC352" s="964"/>
      <c r="AD352" s="961"/>
      <c r="AE352" s="1660"/>
      <c r="AF352" s="1051"/>
      <c r="AG352" s="1936"/>
      <c r="AH352" s="1937"/>
      <c r="AI352" s="1660"/>
      <c r="AJ352" s="1051"/>
      <c r="AK352" s="1936"/>
      <c r="AL352" s="1937"/>
      <c r="AM352" s="1052"/>
      <c r="AN352" s="2032"/>
      <c r="AO352" s="1872"/>
      <c r="AP352" s="1101"/>
      <c r="AQ352" s="1053"/>
      <c r="AR352" s="2102"/>
      <c r="AS352" s="1554"/>
      <c r="AT352" s="2102"/>
      <c r="AU352" s="1660"/>
      <c r="AV352" s="1051"/>
      <c r="AW352" s="1936"/>
      <c r="AX352" s="1937"/>
      <c r="AY352" s="965"/>
      <c r="AZ352" s="961"/>
      <c r="BA352" s="1660"/>
      <c r="BB352" s="1051"/>
      <c r="BC352" s="1936"/>
      <c r="BD352" s="1937"/>
      <c r="BE352" s="965"/>
      <c r="BF352" s="961"/>
      <c r="BG352" s="1660"/>
      <c r="BH352" s="1051"/>
      <c r="BI352" s="1936"/>
      <c r="BJ352" s="1937"/>
      <c r="BK352" s="1660"/>
      <c r="BL352" s="1051"/>
      <c r="BM352" s="1936"/>
      <c r="BN352" s="1937"/>
      <c r="BO352" s="1052"/>
      <c r="BP352" s="1997"/>
      <c r="BQ352" s="1052"/>
      <c r="BR352" s="2032"/>
      <c r="BS352" s="1660"/>
      <c r="BT352" s="1051"/>
      <c r="BU352" s="1936"/>
      <c r="BV352" s="1937"/>
      <c r="BW352" s="1052"/>
      <c r="BX352" s="2032"/>
      <c r="BY352" s="1660"/>
      <c r="BZ352" s="1051"/>
      <c r="CA352" s="1936"/>
      <c r="CB352" s="1937"/>
      <c r="CC352" s="1754"/>
      <c r="CD352" s="2162"/>
      <c r="CE352" s="965"/>
      <c r="CF352" s="961"/>
      <c r="CG352" s="1660"/>
      <c r="CH352" s="1051"/>
      <c r="CI352" s="1936"/>
      <c r="CJ352" s="1937"/>
      <c r="CK352" s="952">
        <v>5</v>
      </c>
      <c r="CL352" s="954" t="s">
        <v>1784</v>
      </c>
      <c r="CM352" s="1660"/>
      <c r="CN352" s="1051"/>
      <c r="CO352" s="1936"/>
      <c r="CP352" s="1937"/>
      <c r="CQ352" s="1660"/>
      <c r="CR352" s="1051"/>
      <c r="CS352" s="1936"/>
      <c r="CT352" s="1937"/>
      <c r="CU352" s="1660"/>
      <c r="CV352" s="1051"/>
      <c r="CW352" s="1936"/>
      <c r="CX352" s="1937"/>
      <c r="CY352" s="1660"/>
      <c r="CZ352" s="1051"/>
      <c r="DA352" s="1936"/>
      <c r="DB352" s="1937"/>
      <c r="DC352" s="1052"/>
      <c r="DD352" s="2032"/>
      <c r="DE352" s="1660"/>
      <c r="DF352" s="1051"/>
      <c r="DG352" s="1936"/>
      <c r="DH352" s="1937"/>
      <c r="DI352" s="964"/>
      <c r="DJ352" s="961"/>
      <c r="DK352" s="1052"/>
      <c r="DL352" s="1997"/>
      <c r="DM352" s="1052"/>
      <c r="DN352" s="1997"/>
      <c r="DO352" s="1052"/>
      <c r="DP352" s="2032"/>
      <c r="DQ352" s="965"/>
      <c r="DR352" s="1083"/>
      <c r="DS352" s="1660"/>
      <c r="DT352" s="1051"/>
      <c r="DU352" s="1936"/>
      <c r="DV352" s="1937"/>
      <c r="DW352" s="965"/>
      <c r="DX352" s="961"/>
      <c r="DY352" s="1660"/>
      <c r="DZ352" s="1051"/>
      <c r="EA352" s="1936"/>
      <c r="EB352" s="1937"/>
      <c r="EC352" s="1052"/>
      <c r="ED352" s="2032"/>
      <c r="EE352" s="965"/>
      <c r="EF352" s="961"/>
      <c r="EG352" s="1052"/>
      <c r="EH352" s="2032"/>
      <c r="EI352" s="1660"/>
      <c r="EJ352" s="1051"/>
      <c r="EK352" s="2220"/>
      <c r="EL352" s="1937"/>
      <c r="EM352" s="2202">
        <f t="shared" si="627"/>
        <v>0</v>
      </c>
      <c r="EN352" s="1585">
        <f t="shared" si="628"/>
        <v>0</v>
      </c>
      <c r="EO352" s="1585">
        <f t="shared" si="629"/>
        <v>0</v>
      </c>
      <c r="EP352" s="1585">
        <f t="shared" si="554"/>
        <v>0</v>
      </c>
      <c r="EQ352" s="988">
        <f t="shared" si="520"/>
        <v>0</v>
      </c>
      <c r="ER352" s="1775">
        <f t="shared" si="521"/>
        <v>0</v>
      </c>
      <c r="ES352" s="1775">
        <f t="shared" si="522"/>
        <v>0</v>
      </c>
      <c r="ET352" s="992">
        <f t="shared" si="557"/>
        <v>0</v>
      </c>
    </row>
    <row r="353" spans="1:150" x14ac:dyDescent="0.25">
      <c r="A353" s="965"/>
      <c r="B353" s="961"/>
      <c r="C353" s="1660"/>
      <c r="D353" s="1051"/>
      <c r="E353" s="1936"/>
      <c r="F353" s="1937"/>
      <c r="G353" s="1052"/>
      <c r="H353" s="1997"/>
      <c r="I353" s="1052"/>
      <c r="J353" s="1997"/>
      <c r="K353" s="1052"/>
      <c r="L353" s="2032"/>
      <c r="M353" s="965"/>
      <c r="N353" s="961"/>
      <c r="O353" s="1052"/>
      <c r="P353" s="2032"/>
      <c r="Q353" s="1660"/>
      <c r="R353" s="1051"/>
      <c r="S353" s="1936"/>
      <c r="T353" s="1937"/>
      <c r="U353" s="1660"/>
      <c r="V353" s="1051"/>
      <c r="W353" s="1936"/>
      <c r="X353" s="1937"/>
      <c r="Y353" s="1660"/>
      <c r="Z353" s="1051"/>
      <c r="AA353" s="2066"/>
      <c r="AB353" s="1937"/>
      <c r="AC353" s="964"/>
      <c r="AD353" s="961"/>
      <c r="AE353" s="1660"/>
      <c r="AF353" s="1051"/>
      <c r="AG353" s="1936"/>
      <c r="AH353" s="1937"/>
      <c r="AI353" s="1660"/>
      <c r="AJ353" s="1051"/>
      <c r="AK353" s="1936"/>
      <c r="AL353" s="1937"/>
      <c r="AM353" s="1052"/>
      <c r="AN353" s="2032"/>
      <c r="AO353" s="1872"/>
      <c r="AP353" s="1101"/>
      <c r="AQ353" s="1053"/>
      <c r="AR353" s="2102"/>
      <c r="AS353" s="1554"/>
      <c r="AT353" s="2102"/>
      <c r="AU353" s="1660"/>
      <c r="AV353" s="1051"/>
      <c r="AW353" s="1936"/>
      <c r="AX353" s="1937"/>
      <c r="AY353" s="965"/>
      <c r="AZ353" s="961"/>
      <c r="BA353" s="1660"/>
      <c r="BB353" s="1051"/>
      <c r="BC353" s="1936"/>
      <c r="BD353" s="1937"/>
      <c r="BE353" s="965"/>
      <c r="BF353" s="961"/>
      <c r="BG353" s="1660"/>
      <c r="BH353" s="1051"/>
      <c r="BI353" s="1936"/>
      <c r="BJ353" s="1937"/>
      <c r="BK353" s="1660"/>
      <c r="BL353" s="1051"/>
      <c r="BM353" s="1936"/>
      <c r="BN353" s="1937"/>
      <c r="BO353" s="1052"/>
      <c r="BP353" s="1997"/>
      <c r="BQ353" s="1052"/>
      <c r="BR353" s="2032"/>
      <c r="BS353" s="1660"/>
      <c r="BT353" s="1051"/>
      <c r="BU353" s="1936"/>
      <c r="BV353" s="1937"/>
      <c r="BW353" s="1052"/>
      <c r="BX353" s="2032"/>
      <c r="BY353" s="1660"/>
      <c r="BZ353" s="1051"/>
      <c r="CA353" s="1936"/>
      <c r="CB353" s="1937"/>
      <c r="CC353" s="1754"/>
      <c r="CD353" s="2162"/>
      <c r="CE353" s="965"/>
      <c r="CF353" s="961"/>
      <c r="CG353" s="1660"/>
      <c r="CH353" s="1051"/>
      <c r="CI353" s="1936"/>
      <c r="CJ353" s="1937"/>
      <c r="CK353" s="952">
        <v>6</v>
      </c>
      <c r="CL353" s="954" t="s">
        <v>1785</v>
      </c>
      <c r="CM353" s="1660"/>
      <c r="CN353" s="1051"/>
      <c r="CO353" s="1936"/>
      <c r="CP353" s="1937"/>
      <c r="CQ353" s="1660"/>
      <c r="CR353" s="1051"/>
      <c r="CS353" s="1936"/>
      <c r="CT353" s="1937"/>
      <c r="CU353" s="1660"/>
      <c r="CV353" s="1051"/>
      <c r="CW353" s="1936"/>
      <c r="CX353" s="1937"/>
      <c r="CY353" s="1660"/>
      <c r="CZ353" s="1051"/>
      <c r="DA353" s="1936"/>
      <c r="DB353" s="1937"/>
      <c r="DC353" s="1052"/>
      <c r="DD353" s="2032"/>
      <c r="DE353" s="1660"/>
      <c r="DF353" s="1051"/>
      <c r="DG353" s="1936"/>
      <c r="DH353" s="1937"/>
      <c r="DI353" s="964"/>
      <c r="DJ353" s="961"/>
      <c r="DK353" s="1052"/>
      <c r="DL353" s="1997"/>
      <c r="DM353" s="1052"/>
      <c r="DN353" s="1997"/>
      <c r="DO353" s="1052"/>
      <c r="DP353" s="2032"/>
      <c r="DQ353" s="965"/>
      <c r="DR353" s="1083"/>
      <c r="DS353" s="1660"/>
      <c r="DT353" s="1051"/>
      <c r="DU353" s="1936"/>
      <c r="DV353" s="1937"/>
      <c r="DW353" s="965"/>
      <c r="DX353" s="961"/>
      <c r="DY353" s="1660"/>
      <c r="DZ353" s="1051"/>
      <c r="EA353" s="1936"/>
      <c r="EB353" s="1937"/>
      <c r="EC353" s="1052"/>
      <c r="ED353" s="2032"/>
      <c r="EE353" s="965"/>
      <c r="EF353" s="961"/>
      <c r="EG353" s="1052"/>
      <c r="EH353" s="2032"/>
      <c r="EI353" s="1660"/>
      <c r="EJ353" s="1051"/>
      <c r="EK353" s="2220"/>
      <c r="EL353" s="1937"/>
      <c r="EM353" s="2202">
        <f t="shared" si="627"/>
        <v>0</v>
      </c>
      <c r="EN353" s="1585">
        <f t="shared" si="628"/>
        <v>0</v>
      </c>
      <c r="EO353" s="1585">
        <f t="shared" si="629"/>
        <v>0</v>
      </c>
      <c r="EP353" s="1585">
        <f t="shared" si="554"/>
        <v>0</v>
      </c>
      <c r="EQ353" s="988">
        <f t="shared" si="520"/>
        <v>0</v>
      </c>
      <c r="ER353" s="1775">
        <f t="shared" si="521"/>
        <v>0</v>
      </c>
      <c r="ES353" s="1775">
        <f t="shared" si="522"/>
        <v>0</v>
      </c>
      <c r="ET353" s="992">
        <f t="shared" si="557"/>
        <v>0</v>
      </c>
    </row>
    <row r="354" spans="1:150" x14ac:dyDescent="0.25">
      <c r="A354" s="965"/>
      <c r="B354" s="961"/>
      <c r="C354" s="1660"/>
      <c r="D354" s="1051"/>
      <c r="E354" s="1936"/>
      <c r="F354" s="1937"/>
      <c r="G354" s="1052"/>
      <c r="H354" s="1997"/>
      <c r="I354" s="1052"/>
      <c r="J354" s="1997"/>
      <c r="K354" s="1052"/>
      <c r="L354" s="2032"/>
      <c r="M354" s="965"/>
      <c r="N354" s="961"/>
      <c r="O354" s="1052"/>
      <c r="P354" s="2032"/>
      <c r="Q354" s="1660"/>
      <c r="R354" s="1051"/>
      <c r="S354" s="1936"/>
      <c r="T354" s="1937"/>
      <c r="U354" s="1660"/>
      <c r="V354" s="1051"/>
      <c r="W354" s="1936"/>
      <c r="X354" s="1937"/>
      <c r="Y354" s="1660"/>
      <c r="Z354" s="1051"/>
      <c r="AA354" s="2066"/>
      <c r="AB354" s="1937"/>
      <c r="AC354" s="964"/>
      <c r="AD354" s="961"/>
      <c r="AE354" s="1660"/>
      <c r="AF354" s="1051"/>
      <c r="AG354" s="1936"/>
      <c r="AH354" s="1937"/>
      <c r="AI354" s="1660"/>
      <c r="AJ354" s="1051"/>
      <c r="AK354" s="1936"/>
      <c r="AL354" s="1937"/>
      <c r="AM354" s="1052"/>
      <c r="AN354" s="2032"/>
      <c r="AO354" s="1872"/>
      <c r="AP354" s="1101"/>
      <c r="AQ354" s="1053"/>
      <c r="AR354" s="2102"/>
      <c r="AS354" s="1554"/>
      <c r="AT354" s="2102"/>
      <c r="AU354" s="1660"/>
      <c r="AV354" s="1051"/>
      <c r="AW354" s="1936"/>
      <c r="AX354" s="1937"/>
      <c r="AY354" s="965"/>
      <c r="AZ354" s="961"/>
      <c r="BA354" s="1660"/>
      <c r="BB354" s="1051"/>
      <c r="BC354" s="1936"/>
      <c r="BD354" s="1937"/>
      <c r="BE354" s="965"/>
      <c r="BF354" s="961"/>
      <c r="BG354" s="1660"/>
      <c r="BH354" s="1051"/>
      <c r="BI354" s="1936"/>
      <c r="BJ354" s="1937"/>
      <c r="BK354" s="1660"/>
      <c r="BL354" s="1051"/>
      <c r="BM354" s="1936"/>
      <c r="BN354" s="1937"/>
      <c r="BO354" s="1052"/>
      <c r="BP354" s="1997"/>
      <c r="BQ354" s="1052"/>
      <c r="BR354" s="2032"/>
      <c r="BS354" s="1660"/>
      <c r="BT354" s="1051"/>
      <c r="BU354" s="1936"/>
      <c r="BV354" s="1937"/>
      <c r="BW354" s="1052"/>
      <c r="BX354" s="2032"/>
      <c r="BY354" s="1660"/>
      <c r="BZ354" s="1051"/>
      <c r="CA354" s="1936"/>
      <c r="CB354" s="1937"/>
      <c r="CC354" s="1754"/>
      <c r="CD354" s="2162"/>
      <c r="CE354" s="965"/>
      <c r="CF354" s="961"/>
      <c r="CG354" s="1660"/>
      <c r="CH354" s="1051"/>
      <c r="CI354" s="1936"/>
      <c r="CJ354" s="1937"/>
      <c r="CK354" s="952">
        <v>7</v>
      </c>
      <c r="CL354" s="954" t="s">
        <v>1786</v>
      </c>
      <c r="CM354" s="1660"/>
      <c r="CN354" s="1051"/>
      <c r="CO354" s="1936"/>
      <c r="CP354" s="1937"/>
      <c r="CQ354" s="1660"/>
      <c r="CR354" s="1051"/>
      <c r="CS354" s="1936"/>
      <c r="CT354" s="1937"/>
      <c r="CU354" s="1660"/>
      <c r="CV354" s="1051"/>
      <c r="CW354" s="1936"/>
      <c r="CX354" s="1937"/>
      <c r="CY354" s="1660"/>
      <c r="CZ354" s="1051"/>
      <c r="DA354" s="1936"/>
      <c r="DB354" s="1937"/>
      <c r="DC354" s="1052"/>
      <c r="DD354" s="2032"/>
      <c r="DE354" s="1660"/>
      <c r="DF354" s="1051"/>
      <c r="DG354" s="1936"/>
      <c r="DH354" s="1937"/>
      <c r="DI354" s="964"/>
      <c r="DJ354" s="961"/>
      <c r="DK354" s="1052"/>
      <c r="DL354" s="1997"/>
      <c r="DM354" s="1052"/>
      <c r="DN354" s="1997"/>
      <c r="DO354" s="1052"/>
      <c r="DP354" s="2032"/>
      <c r="DQ354" s="965"/>
      <c r="DR354" s="1083"/>
      <c r="DS354" s="1660"/>
      <c r="DT354" s="1051"/>
      <c r="DU354" s="1936"/>
      <c r="DV354" s="1937"/>
      <c r="DW354" s="965"/>
      <c r="DX354" s="961"/>
      <c r="DY354" s="1660"/>
      <c r="DZ354" s="1051"/>
      <c r="EA354" s="1936"/>
      <c r="EB354" s="1937"/>
      <c r="EC354" s="1052"/>
      <c r="ED354" s="2032"/>
      <c r="EE354" s="965"/>
      <c r="EF354" s="961"/>
      <c r="EG354" s="1052"/>
      <c r="EH354" s="2032"/>
      <c r="EI354" s="1660"/>
      <c r="EJ354" s="1051"/>
      <c r="EK354" s="2220"/>
      <c r="EL354" s="1937"/>
      <c r="EM354" s="2202">
        <f t="shared" si="627"/>
        <v>0</v>
      </c>
      <c r="EN354" s="1585">
        <f t="shared" si="628"/>
        <v>0</v>
      </c>
      <c r="EO354" s="1585">
        <f t="shared" si="629"/>
        <v>0</v>
      </c>
      <c r="EP354" s="1585">
        <f t="shared" si="554"/>
        <v>0</v>
      </c>
      <c r="EQ354" s="988">
        <f t="shared" si="520"/>
        <v>0</v>
      </c>
      <c r="ER354" s="1775">
        <f t="shared" si="521"/>
        <v>0</v>
      </c>
      <c r="ES354" s="1775">
        <f t="shared" si="522"/>
        <v>0</v>
      </c>
      <c r="ET354" s="992">
        <f t="shared" si="557"/>
        <v>0</v>
      </c>
    </row>
    <row r="355" spans="1:150" x14ac:dyDescent="0.25">
      <c r="A355" s="1379"/>
      <c r="B355" s="1046"/>
      <c r="C355" s="1660"/>
      <c r="D355" s="1051"/>
      <c r="E355" s="1936"/>
      <c r="F355" s="1937"/>
      <c r="G355" s="1052"/>
      <c r="H355" s="1997"/>
      <c r="I355" s="1052"/>
      <c r="J355" s="1997"/>
      <c r="K355" s="1052"/>
      <c r="L355" s="2032"/>
      <c r="M355" s="965"/>
      <c r="N355" s="961"/>
      <c r="O355" s="1052"/>
      <c r="P355" s="2032"/>
      <c r="Q355" s="1660"/>
      <c r="R355" s="1051"/>
      <c r="S355" s="1936"/>
      <c r="T355" s="1937"/>
      <c r="U355" s="1660"/>
      <c r="V355" s="1051"/>
      <c r="W355" s="1936"/>
      <c r="X355" s="1937"/>
      <c r="Y355" s="1660"/>
      <c r="Z355" s="1051"/>
      <c r="AA355" s="2066"/>
      <c r="AB355" s="1937"/>
      <c r="AC355" s="964"/>
      <c r="AD355" s="961"/>
      <c r="AE355" s="1660"/>
      <c r="AF355" s="1051"/>
      <c r="AG355" s="1936"/>
      <c r="AH355" s="1937"/>
      <c r="AI355" s="1660"/>
      <c r="AJ355" s="1051"/>
      <c r="AK355" s="1936"/>
      <c r="AL355" s="1937"/>
      <c r="AM355" s="1052"/>
      <c r="AN355" s="2032"/>
      <c r="AO355" s="1872"/>
      <c r="AP355" s="1101"/>
      <c r="AQ355" s="1053"/>
      <c r="AR355" s="2102"/>
      <c r="AS355" s="1554"/>
      <c r="AT355" s="2102"/>
      <c r="AU355" s="1660"/>
      <c r="AV355" s="1051"/>
      <c r="AW355" s="1936"/>
      <c r="AX355" s="1937"/>
      <c r="AY355" s="965"/>
      <c r="AZ355" s="961"/>
      <c r="BA355" s="1660"/>
      <c r="BB355" s="1051"/>
      <c r="BC355" s="1936"/>
      <c r="BD355" s="1937"/>
      <c r="BE355" s="965"/>
      <c r="BF355" s="961"/>
      <c r="BG355" s="1660"/>
      <c r="BH355" s="1051"/>
      <c r="BI355" s="1936"/>
      <c r="BJ355" s="1937"/>
      <c r="BK355" s="1660"/>
      <c r="BL355" s="1051"/>
      <c r="BM355" s="1936"/>
      <c r="BN355" s="1937"/>
      <c r="BO355" s="1052"/>
      <c r="BP355" s="1997"/>
      <c r="BQ355" s="1052"/>
      <c r="BR355" s="2032"/>
      <c r="BS355" s="1660"/>
      <c r="BT355" s="1051"/>
      <c r="BU355" s="1936"/>
      <c r="BV355" s="1937"/>
      <c r="BW355" s="1052"/>
      <c r="BX355" s="2032"/>
      <c r="BY355" s="1660"/>
      <c r="BZ355" s="1051"/>
      <c r="CA355" s="1936"/>
      <c r="CB355" s="1937"/>
      <c r="CC355" s="1754"/>
      <c r="CD355" s="2162"/>
      <c r="CE355" s="965"/>
      <c r="CF355" s="961"/>
      <c r="CG355" s="1660"/>
      <c r="CH355" s="1051"/>
      <c r="CI355" s="1936"/>
      <c r="CJ355" s="1937"/>
      <c r="CK355" s="952">
        <v>8</v>
      </c>
      <c r="CL355" s="1171" t="s">
        <v>1787</v>
      </c>
      <c r="CM355" s="1660"/>
      <c r="CN355" s="1051"/>
      <c r="CO355" s="1936"/>
      <c r="CP355" s="1937"/>
      <c r="CQ355" s="1660"/>
      <c r="CR355" s="1051"/>
      <c r="CS355" s="1936"/>
      <c r="CT355" s="1937"/>
      <c r="CU355" s="1660"/>
      <c r="CV355" s="1051"/>
      <c r="CW355" s="1936"/>
      <c r="CX355" s="1937"/>
      <c r="CY355" s="1660"/>
      <c r="CZ355" s="1051"/>
      <c r="DA355" s="1936"/>
      <c r="DB355" s="1937"/>
      <c r="DC355" s="1052"/>
      <c r="DD355" s="2032"/>
      <c r="DE355" s="1660"/>
      <c r="DF355" s="1051"/>
      <c r="DG355" s="1936"/>
      <c r="DH355" s="1937"/>
      <c r="DI355" s="964"/>
      <c r="DJ355" s="961"/>
      <c r="DK355" s="1052"/>
      <c r="DL355" s="1997"/>
      <c r="DM355" s="1052"/>
      <c r="DN355" s="1997"/>
      <c r="DO355" s="1052"/>
      <c r="DP355" s="2032"/>
      <c r="DQ355" s="965"/>
      <c r="DR355" s="1083"/>
      <c r="DS355" s="1660"/>
      <c r="DT355" s="1051"/>
      <c r="DU355" s="1936"/>
      <c r="DV355" s="1937"/>
      <c r="DW355" s="965"/>
      <c r="DX355" s="961"/>
      <c r="DY355" s="1660"/>
      <c r="DZ355" s="1051"/>
      <c r="EA355" s="1936"/>
      <c r="EB355" s="1937"/>
      <c r="EC355" s="1052"/>
      <c r="ED355" s="2032"/>
      <c r="EE355" s="965"/>
      <c r="EF355" s="961"/>
      <c r="EG355" s="1052"/>
      <c r="EH355" s="2032"/>
      <c r="EI355" s="1660"/>
      <c r="EJ355" s="1051"/>
      <c r="EK355" s="2220"/>
      <c r="EL355" s="1937"/>
      <c r="EM355" s="2202">
        <f t="shared" si="627"/>
        <v>0</v>
      </c>
      <c r="EN355" s="1585">
        <f t="shared" si="628"/>
        <v>0</v>
      </c>
      <c r="EO355" s="1585">
        <f t="shared" si="629"/>
        <v>0</v>
      </c>
      <c r="EP355" s="1585">
        <f t="shared" si="554"/>
        <v>0</v>
      </c>
      <c r="EQ355" s="988">
        <f t="shared" si="520"/>
        <v>0</v>
      </c>
      <c r="ER355" s="1775">
        <f t="shared" si="521"/>
        <v>0</v>
      </c>
      <c r="ES355" s="1775">
        <f t="shared" si="522"/>
        <v>0</v>
      </c>
      <c r="ET355" s="992">
        <f t="shared" si="557"/>
        <v>0</v>
      </c>
    </row>
    <row r="356" spans="1:150" x14ac:dyDescent="0.25">
      <c r="A356" s="965"/>
      <c r="B356" s="961"/>
      <c r="C356" s="1660"/>
      <c r="D356" s="1051"/>
      <c r="E356" s="1936"/>
      <c r="F356" s="1937"/>
      <c r="G356" s="1052"/>
      <c r="H356" s="1997"/>
      <c r="I356" s="1052"/>
      <c r="J356" s="1997"/>
      <c r="K356" s="1052"/>
      <c r="L356" s="2032"/>
      <c r="M356" s="965"/>
      <c r="N356" s="961"/>
      <c r="O356" s="1052"/>
      <c r="P356" s="2032"/>
      <c r="Q356" s="1660"/>
      <c r="R356" s="1051"/>
      <c r="S356" s="1936"/>
      <c r="T356" s="1937"/>
      <c r="U356" s="1660"/>
      <c r="V356" s="1051"/>
      <c r="W356" s="1936"/>
      <c r="X356" s="1937"/>
      <c r="Y356" s="1660"/>
      <c r="Z356" s="1051"/>
      <c r="AA356" s="2066"/>
      <c r="AB356" s="1937"/>
      <c r="AC356" s="964"/>
      <c r="AD356" s="961"/>
      <c r="AE356" s="1660"/>
      <c r="AF356" s="1051"/>
      <c r="AG356" s="1936"/>
      <c r="AH356" s="1937"/>
      <c r="AI356" s="1660"/>
      <c r="AJ356" s="1051"/>
      <c r="AK356" s="1936"/>
      <c r="AL356" s="1937"/>
      <c r="AM356" s="1052"/>
      <c r="AN356" s="2032"/>
      <c r="AO356" s="1872"/>
      <c r="AP356" s="1101"/>
      <c r="AQ356" s="1053"/>
      <c r="AR356" s="2102"/>
      <c r="AS356" s="1554"/>
      <c r="AT356" s="2102"/>
      <c r="AU356" s="1660"/>
      <c r="AV356" s="1051"/>
      <c r="AW356" s="1936"/>
      <c r="AX356" s="1937"/>
      <c r="AY356" s="965"/>
      <c r="AZ356" s="961"/>
      <c r="BA356" s="1660"/>
      <c r="BB356" s="1051"/>
      <c r="BC356" s="1936"/>
      <c r="BD356" s="1937"/>
      <c r="BE356" s="965"/>
      <c r="BF356" s="961"/>
      <c r="BG356" s="1660"/>
      <c r="BH356" s="1051"/>
      <c r="BI356" s="1936"/>
      <c r="BJ356" s="1937"/>
      <c r="BK356" s="1660"/>
      <c r="BL356" s="1051"/>
      <c r="BM356" s="1936"/>
      <c r="BN356" s="1937"/>
      <c r="BO356" s="1052"/>
      <c r="BP356" s="1997"/>
      <c r="BQ356" s="1052"/>
      <c r="BR356" s="2032"/>
      <c r="BS356" s="1660"/>
      <c r="BT356" s="1051"/>
      <c r="BU356" s="1936"/>
      <c r="BV356" s="1937"/>
      <c r="BW356" s="1052"/>
      <c r="BX356" s="2032"/>
      <c r="BY356" s="1660"/>
      <c r="BZ356" s="1051"/>
      <c r="CA356" s="1936"/>
      <c r="CB356" s="1937"/>
      <c r="CC356" s="1754"/>
      <c r="CD356" s="2162"/>
      <c r="CE356" s="965"/>
      <c r="CF356" s="961"/>
      <c r="CG356" s="1660"/>
      <c r="CH356" s="1051"/>
      <c r="CI356" s="1936"/>
      <c r="CJ356" s="1937"/>
      <c r="CK356" s="952">
        <v>9</v>
      </c>
      <c r="CL356" s="1171" t="s">
        <v>1788</v>
      </c>
      <c r="CM356" s="1660"/>
      <c r="CN356" s="1051"/>
      <c r="CO356" s="1936"/>
      <c r="CP356" s="1937"/>
      <c r="CQ356" s="1660"/>
      <c r="CR356" s="1051"/>
      <c r="CS356" s="1936"/>
      <c r="CT356" s="1937"/>
      <c r="CU356" s="1660"/>
      <c r="CV356" s="1051"/>
      <c r="CW356" s="1936"/>
      <c r="CX356" s="1937"/>
      <c r="CY356" s="1660"/>
      <c r="CZ356" s="1051"/>
      <c r="DA356" s="1936"/>
      <c r="DB356" s="1937"/>
      <c r="DC356" s="1052"/>
      <c r="DD356" s="2032"/>
      <c r="DE356" s="1660"/>
      <c r="DF356" s="1051"/>
      <c r="DG356" s="1936"/>
      <c r="DH356" s="1937"/>
      <c r="DI356" s="964"/>
      <c r="DJ356" s="961"/>
      <c r="DK356" s="1052"/>
      <c r="DL356" s="1997"/>
      <c r="DM356" s="1052"/>
      <c r="DN356" s="1997"/>
      <c r="DO356" s="1052"/>
      <c r="DP356" s="2032"/>
      <c r="DQ356" s="965"/>
      <c r="DR356" s="1083"/>
      <c r="DS356" s="1660"/>
      <c r="DT356" s="1051"/>
      <c r="DU356" s="1936"/>
      <c r="DV356" s="1937"/>
      <c r="DW356" s="965"/>
      <c r="DX356" s="961"/>
      <c r="DY356" s="1660"/>
      <c r="DZ356" s="1051"/>
      <c r="EA356" s="1936"/>
      <c r="EB356" s="1937"/>
      <c r="EC356" s="1052"/>
      <c r="ED356" s="2032"/>
      <c r="EE356" s="965"/>
      <c r="EF356" s="961"/>
      <c r="EG356" s="1052"/>
      <c r="EH356" s="2032"/>
      <c r="EI356" s="1660"/>
      <c r="EJ356" s="1051"/>
      <c r="EK356" s="2220"/>
      <c r="EL356" s="1937"/>
      <c r="EM356" s="2202">
        <f t="shared" si="627"/>
        <v>0</v>
      </c>
      <c r="EN356" s="1585">
        <f t="shared" si="628"/>
        <v>0</v>
      </c>
      <c r="EO356" s="1585">
        <f t="shared" si="629"/>
        <v>0</v>
      </c>
      <c r="EP356" s="1585">
        <f t="shared" si="554"/>
        <v>0</v>
      </c>
      <c r="EQ356" s="988">
        <f t="shared" si="520"/>
        <v>0</v>
      </c>
      <c r="ER356" s="1775">
        <f t="shared" si="521"/>
        <v>0</v>
      </c>
      <c r="ES356" s="1775">
        <f t="shared" si="522"/>
        <v>0</v>
      </c>
      <c r="ET356" s="992">
        <f t="shared" si="557"/>
        <v>0</v>
      </c>
    </row>
    <row r="357" spans="1:150" x14ac:dyDescent="0.25">
      <c r="A357" s="965"/>
      <c r="B357" s="961"/>
      <c r="C357" s="1660"/>
      <c r="D357" s="1051"/>
      <c r="E357" s="1936"/>
      <c r="F357" s="1937"/>
      <c r="G357" s="1052"/>
      <c r="H357" s="1997"/>
      <c r="I357" s="1052"/>
      <c r="J357" s="1997"/>
      <c r="K357" s="1052"/>
      <c r="L357" s="2032"/>
      <c r="M357" s="965"/>
      <c r="N357" s="961"/>
      <c r="O357" s="1052"/>
      <c r="P357" s="2032"/>
      <c r="Q357" s="1660"/>
      <c r="R357" s="1051"/>
      <c r="S357" s="1936"/>
      <c r="T357" s="1937"/>
      <c r="U357" s="1660"/>
      <c r="V357" s="1051"/>
      <c r="W357" s="1936"/>
      <c r="X357" s="1937"/>
      <c r="Y357" s="1660"/>
      <c r="Z357" s="1051"/>
      <c r="AA357" s="2066"/>
      <c r="AB357" s="1937"/>
      <c r="AC357" s="964"/>
      <c r="AD357" s="961"/>
      <c r="AE357" s="1660"/>
      <c r="AF357" s="1051"/>
      <c r="AG357" s="1936"/>
      <c r="AH357" s="1937"/>
      <c r="AI357" s="1660"/>
      <c r="AJ357" s="1051"/>
      <c r="AK357" s="1936"/>
      <c r="AL357" s="1937"/>
      <c r="AM357" s="1052"/>
      <c r="AN357" s="2032"/>
      <c r="AO357" s="1872"/>
      <c r="AP357" s="1101"/>
      <c r="AQ357" s="1053"/>
      <c r="AR357" s="2102"/>
      <c r="AS357" s="1554"/>
      <c r="AT357" s="2102"/>
      <c r="AU357" s="1660"/>
      <c r="AV357" s="1051"/>
      <c r="AW357" s="1936"/>
      <c r="AX357" s="1937"/>
      <c r="AY357" s="965"/>
      <c r="AZ357" s="961"/>
      <c r="BA357" s="1660"/>
      <c r="BB357" s="1051"/>
      <c r="BC357" s="1936"/>
      <c r="BD357" s="1937"/>
      <c r="BE357" s="965"/>
      <c r="BF357" s="961"/>
      <c r="BG357" s="1660"/>
      <c r="BH357" s="1051"/>
      <c r="BI357" s="1936"/>
      <c r="BJ357" s="1937"/>
      <c r="BK357" s="1660"/>
      <c r="BL357" s="1051"/>
      <c r="BM357" s="1936"/>
      <c r="BN357" s="1937"/>
      <c r="BO357" s="1052"/>
      <c r="BP357" s="1997"/>
      <c r="BQ357" s="1052"/>
      <c r="BR357" s="2032"/>
      <c r="BS357" s="1660"/>
      <c r="BT357" s="1051"/>
      <c r="BU357" s="1936"/>
      <c r="BV357" s="1937"/>
      <c r="BW357" s="1052"/>
      <c r="BX357" s="2032"/>
      <c r="BY357" s="1660"/>
      <c r="BZ357" s="1051"/>
      <c r="CA357" s="1936"/>
      <c r="CB357" s="1937"/>
      <c r="CC357" s="1754"/>
      <c r="CD357" s="2162"/>
      <c r="CE357" s="965"/>
      <c r="CF357" s="961"/>
      <c r="CG357" s="1660"/>
      <c r="CH357" s="1051"/>
      <c r="CI357" s="1936"/>
      <c r="CJ357" s="1937"/>
      <c r="CK357" s="952">
        <v>10</v>
      </c>
      <c r="CL357" s="1171" t="s">
        <v>1789</v>
      </c>
      <c r="CM357" s="1660"/>
      <c r="CN357" s="1051"/>
      <c r="CO357" s="1936"/>
      <c r="CP357" s="1937"/>
      <c r="CQ357" s="1660"/>
      <c r="CR357" s="1051"/>
      <c r="CS357" s="1936"/>
      <c r="CT357" s="1937"/>
      <c r="CU357" s="1660"/>
      <c r="CV357" s="1051"/>
      <c r="CW357" s="1936"/>
      <c r="CX357" s="1937"/>
      <c r="CY357" s="1660"/>
      <c r="CZ357" s="1051"/>
      <c r="DA357" s="1936"/>
      <c r="DB357" s="1937"/>
      <c r="DC357" s="1052"/>
      <c r="DD357" s="2032"/>
      <c r="DE357" s="1660"/>
      <c r="DF357" s="1051"/>
      <c r="DG357" s="1936"/>
      <c r="DH357" s="1937"/>
      <c r="DI357" s="964"/>
      <c r="DJ357" s="961"/>
      <c r="DK357" s="1052"/>
      <c r="DL357" s="1997"/>
      <c r="DM357" s="1052"/>
      <c r="DN357" s="1997"/>
      <c r="DO357" s="1052"/>
      <c r="DP357" s="2032"/>
      <c r="DQ357" s="965"/>
      <c r="DR357" s="1083"/>
      <c r="DS357" s="1660"/>
      <c r="DT357" s="1051"/>
      <c r="DU357" s="1936"/>
      <c r="DV357" s="1937"/>
      <c r="DW357" s="965"/>
      <c r="DX357" s="961"/>
      <c r="DY357" s="1660"/>
      <c r="DZ357" s="1051"/>
      <c r="EA357" s="1936"/>
      <c r="EB357" s="1937"/>
      <c r="EC357" s="1052"/>
      <c r="ED357" s="2032"/>
      <c r="EE357" s="965"/>
      <c r="EF357" s="961"/>
      <c r="EG357" s="1052"/>
      <c r="EH357" s="2032"/>
      <c r="EI357" s="1660"/>
      <c r="EJ357" s="1051"/>
      <c r="EK357" s="2220"/>
      <c r="EL357" s="1937"/>
      <c r="EM357" s="2202">
        <f t="shared" si="627"/>
        <v>0</v>
      </c>
      <c r="EN357" s="1585">
        <f t="shared" si="628"/>
        <v>0</v>
      </c>
      <c r="EO357" s="1585">
        <f t="shared" si="629"/>
        <v>0</v>
      </c>
      <c r="EP357" s="1585">
        <f t="shared" si="554"/>
        <v>0</v>
      </c>
      <c r="EQ357" s="988">
        <f t="shared" si="520"/>
        <v>0</v>
      </c>
      <c r="ER357" s="1775">
        <f t="shared" si="521"/>
        <v>0</v>
      </c>
      <c r="ES357" s="1775">
        <f t="shared" si="522"/>
        <v>0</v>
      </c>
      <c r="ET357" s="992">
        <f t="shared" si="557"/>
        <v>0</v>
      </c>
    </row>
    <row r="358" spans="1:150" x14ac:dyDescent="0.25">
      <c r="A358" s="965"/>
      <c r="B358" s="961"/>
      <c r="C358" s="1660"/>
      <c r="D358" s="1051"/>
      <c r="E358" s="1936"/>
      <c r="F358" s="1937"/>
      <c r="G358" s="1052"/>
      <c r="H358" s="1997"/>
      <c r="I358" s="1052"/>
      <c r="J358" s="1997"/>
      <c r="K358" s="1052"/>
      <c r="L358" s="2032"/>
      <c r="M358" s="965"/>
      <c r="N358" s="961"/>
      <c r="O358" s="1052"/>
      <c r="P358" s="2032"/>
      <c r="Q358" s="1660"/>
      <c r="R358" s="1051"/>
      <c r="S358" s="1936"/>
      <c r="T358" s="1937"/>
      <c r="U358" s="1660"/>
      <c r="V358" s="1051"/>
      <c r="W358" s="1936"/>
      <c r="X358" s="1937"/>
      <c r="Y358" s="1660"/>
      <c r="Z358" s="1051"/>
      <c r="AA358" s="2066"/>
      <c r="AB358" s="1937"/>
      <c r="AC358" s="964"/>
      <c r="AD358" s="961"/>
      <c r="AE358" s="1660"/>
      <c r="AF358" s="1051"/>
      <c r="AG358" s="1936"/>
      <c r="AH358" s="1937"/>
      <c r="AI358" s="1660"/>
      <c r="AJ358" s="1051"/>
      <c r="AK358" s="1936"/>
      <c r="AL358" s="1937"/>
      <c r="AM358" s="1052"/>
      <c r="AN358" s="2032"/>
      <c r="AO358" s="1872"/>
      <c r="AP358" s="1101"/>
      <c r="AQ358" s="1053"/>
      <c r="AR358" s="2102"/>
      <c r="AS358" s="1554"/>
      <c r="AT358" s="2102"/>
      <c r="AU358" s="1660"/>
      <c r="AV358" s="1051"/>
      <c r="AW358" s="1936"/>
      <c r="AX358" s="1937"/>
      <c r="AY358" s="965"/>
      <c r="AZ358" s="961"/>
      <c r="BA358" s="1660"/>
      <c r="BB358" s="1051"/>
      <c r="BC358" s="1936"/>
      <c r="BD358" s="1937"/>
      <c r="BE358" s="965"/>
      <c r="BF358" s="961"/>
      <c r="BG358" s="1660"/>
      <c r="BH358" s="1051"/>
      <c r="BI358" s="1936"/>
      <c r="BJ358" s="1937"/>
      <c r="BK358" s="1660"/>
      <c r="BL358" s="1051"/>
      <c r="BM358" s="1936"/>
      <c r="BN358" s="1937"/>
      <c r="BO358" s="1052"/>
      <c r="BP358" s="1997"/>
      <c r="BQ358" s="1052"/>
      <c r="BR358" s="2032"/>
      <c r="BS358" s="1660"/>
      <c r="BT358" s="1051"/>
      <c r="BU358" s="1936"/>
      <c r="BV358" s="1937"/>
      <c r="BW358" s="1052"/>
      <c r="BX358" s="2032"/>
      <c r="BY358" s="1660"/>
      <c r="BZ358" s="1051"/>
      <c r="CA358" s="1936"/>
      <c r="CB358" s="1937"/>
      <c r="CC358" s="1754"/>
      <c r="CD358" s="2162"/>
      <c r="CE358" s="965"/>
      <c r="CF358" s="961"/>
      <c r="CG358" s="1660"/>
      <c r="CH358" s="1051"/>
      <c r="CI358" s="1936"/>
      <c r="CJ358" s="1937"/>
      <c r="CK358" s="952">
        <v>11</v>
      </c>
      <c r="CL358" s="1171" t="s">
        <v>1790</v>
      </c>
      <c r="CM358" s="1660"/>
      <c r="CN358" s="1051"/>
      <c r="CO358" s="1936"/>
      <c r="CP358" s="1937"/>
      <c r="CQ358" s="1660"/>
      <c r="CR358" s="1051"/>
      <c r="CS358" s="1936"/>
      <c r="CT358" s="1937"/>
      <c r="CU358" s="1660"/>
      <c r="CV358" s="1051"/>
      <c r="CW358" s="1936"/>
      <c r="CX358" s="1937"/>
      <c r="CY358" s="1660"/>
      <c r="CZ358" s="1051"/>
      <c r="DA358" s="1936"/>
      <c r="DB358" s="1937"/>
      <c r="DC358" s="1052"/>
      <c r="DD358" s="2032"/>
      <c r="DE358" s="1660"/>
      <c r="DF358" s="1051"/>
      <c r="DG358" s="1936"/>
      <c r="DH358" s="1937"/>
      <c r="DI358" s="964"/>
      <c r="DJ358" s="961"/>
      <c r="DK358" s="1052"/>
      <c r="DL358" s="1997"/>
      <c r="DM358" s="1052"/>
      <c r="DN358" s="1997"/>
      <c r="DO358" s="1052"/>
      <c r="DP358" s="2032"/>
      <c r="DQ358" s="965"/>
      <c r="DR358" s="1083"/>
      <c r="DS358" s="1660"/>
      <c r="DT358" s="1051"/>
      <c r="DU358" s="1936"/>
      <c r="DV358" s="1937"/>
      <c r="DW358" s="965"/>
      <c r="DX358" s="961"/>
      <c r="DY358" s="1660"/>
      <c r="DZ358" s="1051"/>
      <c r="EA358" s="1936"/>
      <c r="EB358" s="1937"/>
      <c r="EC358" s="1052"/>
      <c r="ED358" s="2032"/>
      <c r="EE358" s="965"/>
      <c r="EF358" s="961"/>
      <c r="EG358" s="1052"/>
      <c r="EH358" s="2032"/>
      <c r="EI358" s="1660"/>
      <c r="EJ358" s="1051"/>
      <c r="EK358" s="2220"/>
      <c r="EL358" s="1937"/>
      <c r="EM358" s="2202">
        <f t="shared" si="627"/>
        <v>0</v>
      </c>
      <c r="EN358" s="1585">
        <f t="shared" si="628"/>
        <v>0</v>
      </c>
      <c r="EO358" s="1585">
        <f t="shared" si="629"/>
        <v>0</v>
      </c>
      <c r="EP358" s="1585">
        <f t="shared" si="554"/>
        <v>0</v>
      </c>
      <c r="EQ358" s="988">
        <f t="shared" si="520"/>
        <v>0</v>
      </c>
      <c r="ER358" s="1775">
        <f t="shared" si="521"/>
        <v>0</v>
      </c>
      <c r="ES358" s="1775">
        <f t="shared" si="522"/>
        <v>0</v>
      </c>
      <c r="ET358" s="992">
        <f t="shared" si="557"/>
        <v>0</v>
      </c>
    </row>
    <row r="359" spans="1:150" x14ac:dyDescent="0.25">
      <c r="A359" s="965"/>
      <c r="B359" s="961"/>
      <c r="C359" s="1660"/>
      <c r="D359" s="1051"/>
      <c r="E359" s="1936"/>
      <c r="F359" s="1937"/>
      <c r="G359" s="1052"/>
      <c r="H359" s="1997"/>
      <c r="I359" s="1052"/>
      <c r="J359" s="1997"/>
      <c r="K359" s="1052"/>
      <c r="L359" s="2032"/>
      <c r="M359" s="965"/>
      <c r="N359" s="961"/>
      <c r="O359" s="1052"/>
      <c r="P359" s="2032"/>
      <c r="Q359" s="1660"/>
      <c r="R359" s="1051"/>
      <c r="S359" s="1936"/>
      <c r="T359" s="1937"/>
      <c r="U359" s="1660"/>
      <c r="V359" s="1051"/>
      <c r="W359" s="1936"/>
      <c r="X359" s="1937"/>
      <c r="Y359" s="1660"/>
      <c r="Z359" s="1051"/>
      <c r="AA359" s="2066"/>
      <c r="AB359" s="1937"/>
      <c r="AC359" s="964"/>
      <c r="AD359" s="961"/>
      <c r="AE359" s="1660"/>
      <c r="AF359" s="1051"/>
      <c r="AG359" s="1936"/>
      <c r="AH359" s="1937"/>
      <c r="AI359" s="1660"/>
      <c r="AJ359" s="1051"/>
      <c r="AK359" s="1936"/>
      <c r="AL359" s="1937"/>
      <c r="AM359" s="1052"/>
      <c r="AN359" s="2032"/>
      <c r="AO359" s="1872"/>
      <c r="AP359" s="1101"/>
      <c r="AQ359" s="1053"/>
      <c r="AR359" s="2102"/>
      <c r="AS359" s="1554"/>
      <c r="AT359" s="2102"/>
      <c r="AU359" s="1660"/>
      <c r="AV359" s="1051"/>
      <c r="AW359" s="1936"/>
      <c r="AX359" s="1937"/>
      <c r="AY359" s="965"/>
      <c r="AZ359" s="961"/>
      <c r="BA359" s="1660"/>
      <c r="BB359" s="1051"/>
      <c r="BC359" s="1936"/>
      <c r="BD359" s="1937"/>
      <c r="BE359" s="965"/>
      <c r="BF359" s="961"/>
      <c r="BG359" s="1660"/>
      <c r="BH359" s="1051"/>
      <c r="BI359" s="1936"/>
      <c r="BJ359" s="1937"/>
      <c r="BK359" s="1660"/>
      <c r="BL359" s="1051"/>
      <c r="BM359" s="1936"/>
      <c r="BN359" s="1937"/>
      <c r="BO359" s="1052"/>
      <c r="BP359" s="1997"/>
      <c r="BQ359" s="1052"/>
      <c r="BR359" s="2032"/>
      <c r="BS359" s="1660"/>
      <c r="BT359" s="1051"/>
      <c r="BU359" s="1936"/>
      <c r="BV359" s="1937"/>
      <c r="BW359" s="1052"/>
      <c r="BX359" s="2032"/>
      <c r="BY359" s="1660"/>
      <c r="BZ359" s="1051"/>
      <c r="CA359" s="1936"/>
      <c r="CB359" s="1937"/>
      <c r="CC359" s="1754"/>
      <c r="CD359" s="2162"/>
      <c r="CE359" s="965"/>
      <c r="CF359" s="961"/>
      <c r="CG359" s="1660"/>
      <c r="CH359" s="1051"/>
      <c r="CI359" s="1936"/>
      <c r="CJ359" s="1937"/>
      <c r="CK359" s="952">
        <v>12</v>
      </c>
      <c r="CL359" s="954" t="s">
        <v>1791</v>
      </c>
      <c r="CM359" s="1660"/>
      <c r="CN359" s="1051"/>
      <c r="CO359" s="1936"/>
      <c r="CP359" s="1937"/>
      <c r="CQ359" s="1660"/>
      <c r="CR359" s="1051"/>
      <c r="CS359" s="1936"/>
      <c r="CT359" s="1937"/>
      <c r="CU359" s="1660"/>
      <c r="CV359" s="1051"/>
      <c r="CW359" s="1936"/>
      <c r="CX359" s="1937"/>
      <c r="CY359" s="1660"/>
      <c r="CZ359" s="1051"/>
      <c r="DA359" s="1936"/>
      <c r="DB359" s="1937"/>
      <c r="DC359" s="1052"/>
      <c r="DD359" s="2032"/>
      <c r="DE359" s="1660"/>
      <c r="DF359" s="1051"/>
      <c r="DG359" s="1936"/>
      <c r="DH359" s="1937"/>
      <c r="DI359" s="964"/>
      <c r="DJ359" s="961"/>
      <c r="DK359" s="1052"/>
      <c r="DL359" s="1997"/>
      <c r="DM359" s="1052"/>
      <c r="DN359" s="1997"/>
      <c r="DO359" s="1052"/>
      <c r="DP359" s="2032"/>
      <c r="DQ359" s="965"/>
      <c r="DR359" s="1083"/>
      <c r="DS359" s="1660"/>
      <c r="DT359" s="1051"/>
      <c r="DU359" s="1936"/>
      <c r="DV359" s="1937"/>
      <c r="DW359" s="965"/>
      <c r="DX359" s="961"/>
      <c r="DY359" s="1660"/>
      <c r="DZ359" s="1051"/>
      <c r="EA359" s="1936"/>
      <c r="EB359" s="1937"/>
      <c r="EC359" s="1052"/>
      <c r="ED359" s="2032"/>
      <c r="EE359" s="965"/>
      <c r="EF359" s="961"/>
      <c r="EG359" s="1052"/>
      <c r="EH359" s="2032"/>
      <c r="EI359" s="1660"/>
      <c r="EJ359" s="1051"/>
      <c r="EK359" s="2220"/>
      <c r="EL359" s="1937"/>
      <c r="EM359" s="2202">
        <f t="shared" si="627"/>
        <v>0</v>
      </c>
      <c r="EN359" s="1585">
        <f t="shared" si="628"/>
        <v>0</v>
      </c>
      <c r="EO359" s="1585">
        <f t="shared" si="629"/>
        <v>0</v>
      </c>
      <c r="EP359" s="1585">
        <f t="shared" si="554"/>
        <v>0</v>
      </c>
      <c r="EQ359" s="988">
        <f t="shared" si="520"/>
        <v>0</v>
      </c>
      <c r="ER359" s="1775">
        <f t="shared" si="521"/>
        <v>0</v>
      </c>
      <c r="ES359" s="1775">
        <f t="shared" si="522"/>
        <v>0</v>
      </c>
      <c r="ET359" s="992">
        <f t="shared" si="557"/>
        <v>0</v>
      </c>
    </row>
    <row r="360" spans="1:150" x14ac:dyDescent="0.25">
      <c r="A360" s="965"/>
      <c r="B360" s="961"/>
      <c r="C360" s="1660"/>
      <c r="D360" s="1051"/>
      <c r="E360" s="1936"/>
      <c r="F360" s="1937"/>
      <c r="G360" s="1052"/>
      <c r="H360" s="1997"/>
      <c r="I360" s="1052"/>
      <c r="J360" s="1997"/>
      <c r="K360" s="1052"/>
      <c r="L360" s="2032"/>
      <c r="M360" s="965"/>
      <c r="N360" s="961"/>
      <c r="O360" s="1052"/>
      <c r="P360" s="2032"/>
      <c r="Q360" s="1660"/>
      <c r="R360" s="1051"/>
      <c r="S360" s="1936"/>
      <c r="T360" s="1937"/>
      <c r="U360" s="1660"/>
      <c r="V360" s="1051"/>
      <c r="W360" s="1936"/>
      <c r="X360" s="1937"/>
      <c r="Y360" s="1660"/>
      <c r="Z360" s="1051"/>
      <c r="AA360" s="2066"/>
      <c r="AB360" s="1937"/>
      <c r="AC360" s="964"/>
      <c r="AD360" s="961"/>
      <c r="AE360" s="1660"/>
      <c r="AF360" s="1051"/>
      <c r="AG360" s="1936"/>
      <c r="AH360" s="1937"/>
      <c r="AI360" s="1660"/>
      <c r="AJ360" s="1051"/>
      <c r="AK360" s="1936"/>
      <c r="AL360" s="1937"/>
      <c r="AM360" s="1052"/>
      <c r="AN360" s="2032"/>
      <c r="AO360" s="1872"/>
      <c r="AP360" s="1101"/>
      <c r="AQ360" s="1053"/>
      <c r="AR360" s="2102"/>
      <c r="AS360" s="1554"/>
      <c r="AT360" s="2102"/>
      <c r="AU360" s="1660"/>
      <c r="AV360" s="1051"/>
      <c r="AW360" s="1936"/>
      <c r="AX360" s="1937"/>
      <c r="AY360" s="965"/>
      <c r="AZ360" s="961"/>
      <c r="BA360" s="1660"/>
      <c r="BB360" s="1051"/>
      <c r="BC360" s="1936"/>
      <c r="BD360" s="1937"/>
      <c r="BE360" s="965"/>
      <c r="BF360" s="961"/>
      <c r="BG360" s="1660"/>
      <c r="BH360" s="1051"/>
      <c r="BI360" s="1936"/>
      <c r="BJ360" s="1937"/>
      <c r="BK360" s="1660"/>
      <c r="BL360" s="1051"/>
      <c r="BM360" s="1936"/>
      <c r="BN360" s="1937"/>
      <c r="BO360" s="1052"/>
      <c r="BP360" s="1997"/>
      <c r="BQ360" s="1052"/>
      <c r="BR360" s="2032"/>
      <c r="BS360" s="1660"/>
      <c r="BT360" s="1051"/>
      <c r="BU360" s="1936"/>
      <c r="BV360" s="1937"/>
      <c r="BW360" s="1052"/>
      <c r="BX360" s="2032"/>
      <c r="BY360" s="1660"/>
      <c r="BZ360" s="1051"/>
      <c r="CA360" s="1936"/>
      <c r="CB360" s="1937"/>
      <c r="CC360" s="1754"/>
      <c r="CD360" s="2162"/>
      <c r="CE360" s="965"/>
      <c r="CF360" s="961"/>
      <c r="CG360" s="1660"/>
      <c r="CH360" s="1051"/>
      <c r="CI360" s="1936"/>
      <c r="CJ360" s="1937"/>
      <c r="CK360" s="952">
        <v>13</v>
      </c>
      <c r="CL360" s="954" t="s">
        <v>1792</v>
      </c>
      <c r="CM360" s="1660"/>
      <c r="CN360" s="1051"/>
      <c r="CO360" s="1936"/>
      <c r="CP360" s="1937"/>
      <c r="CQ360" s="1660"/>
      <c r="CR360" s="1051"/>
      <c r="CS360" s="1936"/>
      <c r="CT360" s="1937"/>
      <c r="CU360" s="1660"/>
      <c r="CV360" s="1051"/>
      <c r="CW360" s="1936"/>
      <c r="CX360" s="1937"/>
      <c r="CY360" s="1660"/>
      <c r="CZ360" s="1051"/>
      <c r="DA360" s="1936"/>
      <c r="DB360" s="1937"/>
      <c r="DC360" s="1052"/>
      <c r="DD360" s="2032"/>
      <c r="DE360" s="1660"/>
      <c r="DF360" s="1051"/>
      <c r="DG360" s="1936"/>
      <c r="DH360" s="1937"/>
      <c r="DI360" s="964"/>
      <c r="DJ360" s="961"/>
      <c r="DK360" s="1052"/>
      <c r="DL360" s="1997"/>
      <c r="DM360" s="1052"/>
      <c r="DN360" s="1997"/>
      <c r="DO360" s="1052"/>
      <c r="DP360" s="2032"/>
      <c r="DQ360" s="965"/>
      <c r="DR360" s="1083"/>
      <c r="DS360" s="1660"/>
      <c r="DT360" s="1051"/>
      <c r="DU360" s="1936"/>
      <c r="DV360" s="1937"/>
      <c r="DW360" s="965"/>
      <c r="DX360" s="961"/>
      <c r="DY360" s="1660"/>
      <c r="DZ360" s="1051"/>
      <c r="EA360" s="1936"/>
      <c r="EB360" s="1937"/>
      <c r="EC360" s="1052"/>
      <c r="ED360" s="2032"/>
      <c r="EE360" s="965"/>
      <c r="EF360" s="961"/>
      <c r="EG360" s="1052"/>
      <c r="EH360" s="2032"/>
      <c r="EI360" s="1660"/>
      <c r="EJ360" s="1051"/>
      <c r="EK360" s="2220"/>
      <c r="EL360" s="1937"/>
      <c r="EM360" s="2202">
        <f t="shared" si="627"/>
        <v>0</v>
      </c>
      <c r="EN360" s="1585">
        <f t="shared" si="628"/>
        <v>0</v>
      </c>
      <c r="EO360" s="1585">
        <f t="shared" si="629"/>
        <v>0</v>
      </c>
      <c r="EP360" s="1585">
        <f t="shared" si="554"/>
        <v>0</v>
      </c>
      <c r="EQ360" s="988">
        <f t="shared" si="520"/>
        <v>0</v>
      </c>
      <c r="ER360" s="1775">
        <f t="shared" si="521"/>
        <v>0</v>
      </c>
      <c r="ES360" s="1775">
        <f t="shared" si="522"/>
        <v>0</v>
      </c>
      <c r="ET360" s="992">
        <f t="shared" si="557"/>
        <v>0</v>
      </c>
    </row>
    <row r="361" spans="1:150" x14ac:dyDescent="0.25">
      <c r="A361" s="965"/>
      <c r="B361" s="961"/>
      <c r="C361" s="1660"/>
      <c r="D361" s="1051"/>
      <c r="E361" s="1936"/>
      <c r="F361" s="1937"/>
      <c r="G361" s="1052"/>
      <c r="H361" s="1997"/>
      <c r="I361" s="1052"/>
      <c r="J361" s="1997"/>
      <c r="K361" s="1052"/>
      <c r="L361" s="2032"/>
      <c r="M361" s="965"/>
      <c r="N361" s="961"/>
      <c r="O361" s="1052"/>
      <c r="P361" s="2032"/>
      <c r="Q361" s="1660"/>
      <c r="R361" s="1051"/>
      <c r="S361" s="1936"/>
      <c r="T361" s="1937"/>
      <c r="U361" s="1660"/>
      <c r="V361" s="1051"/>
      <c r="W361" s="1936"/>
      <c r="X361" s="1937"/>
      <c r="Y361" s="1660"/>
      <c r="Z361" s="1051"/>
      <c r="AA361" s="2066"/>
      <c r="AB361" s="1937"/>
      <c r="AC361" s="964"/>
      <c r="AD361" s="961"/>
      <c r="AE361" s="1660"/>
      <c r="AF361" s="1051"/>
      <c r="AG361" s="1936"/>
      <c r="AH361" s="1937"/>
      <c r="AI361" s="1660"/>
      <c r="AJ361" s="1051"/>
      <c r="AK361" s="1936"/>
      <c r="AL361" s="1937"/>
      <c r="AM361" s="1052"/>
      <c r="AN361" s="2032"/>
      <c r="AO361" s="1872"/>
      <c r="AP361" s="1101"/>
      <c r="AQ361" s="1053"/>
      <c r="AR361" s="2102"/>
      <c r="AS361" s="1554"/>
      <c r="AT361" s="2102"/>
      <c r="AU361" s="1660"/>
      <c r="AV361" s="1051"/>
      <c r="AW361" s="1936"/>
      <c r="AX361" s="1937"/>
      <c r="AY361" s="965"/>
      <c r="AZ361" s="961"/>
      <c r="BA361" s="1660"/>
      <c r="BB361" s="1051"/>
      <c r="BC361" s="1936"/>
      <c r="BD361" s="1937"/>
      <c r="BE361" s="965"/>
      <c r="BF361" s="961"/>
      <c r="BG361" s="1660"/>
      <c r="BH361" s="1051"/>
      <c r="BI361" s="1936"/>
      <c r="BJ361" s="1937"/>
      <c r="BK361" s="1660"/>
      <c r="BL361" s="1051"/>
      <c r="BM361" s="1936"/>
      <c r="BN361" s="1937"/>
      <c r="BO361" s="1052"/>
      <c r="BP361" s="1997"/>
      <c r="BQ361" s="1052"/>
      <c r="BR361" s="2032"/>
      <c r="BS361" s="1660"/>
      <c r="BT361" s="1051"/>
      <c r="BU361" s="1936"/>
      <c r="BV361" s="1937"/>
      <c r="BW361" s="1052"/>
      <c r="BX361" s="2032"/>
      <c r="BY361" s="1660"/>
      <c r="BZ361" s="1051"/>
      <c r="CA361" s="1936"/>
      <c r="CB361" s="1937"/>
      <c r="CC361" s="1754"/>
      <c r="CD361" s="2162"/>
      <c r="CE361" s="965"/>
      <c r="CF361" s="961"/>
      <c r="CG361" s="1660"/>
      <c r="CH361" s="1051"/>
      <c r="CI361" s="1936"/>
      <c r="CJ361" s="1937"/>
      <c r="CK361" s="952">
        <v>14</v>
      </c>
      <c r="CL361" s="954" t="s">
        <v>1793</v>
      </c>
      <c r="CM361" s="1660"/>
      <c r="CN361" s="1051"/>
      <c r="CO361" s="1936"/>
      <c r="CP361" s="1937"/>
      <c r="CQ361" s="1660"/>
      <c r="CR361" s="1051"/>
      <c r="CS361" s="1936"/>
      <c r="CT361" s="1937"/>
      <c r="CU361" s="1660"/>
      <c r="CV361" s="1051"/>
      <c r="CW361" s="1936"/>
      <c r="CX361" s="1937"/>
      <c r="CY361" s="1660"/>
      <c r="CZ361" s="1051"/>
      <c r="DA361" s="1936"/>
      <c r="DB361" s="1937"/>
      <c r="DC361" s="1052"/>
      <c r="DD361" s="2032"/>
      <c r="DE361" s="1660"/>
      <c r="DF361" s="1051"/>
      <c r="DG361" s="1936"/>
      <c r="DH361" s="1937"/>
      <c r="DI361" s="964"/>
      <c r="DJ361" s="961"/>
      <c r="DK361" s="1052"/>
      <c r="DL361" s="1997"/>
      <c r="DM361" s="1052"/>
      <c r="DN361" s="1997"/>
      <c r="DO361" s="1052"/>
      <c r="DP361" s="2032"/>
      <c r="DQ361" s="965"/>
      <c r="DR361" s="1083"/>
      <c r="DS361" s="1660"/>
      <c r="DT361" s="1051"/>
      <c r="DU361" s="1936"/>
      <c r="DV361" s="1937"/>
      <c r="DW361" s="965"/>
      <c r="DX361" s="961"/>
      <c r="DY361" s="1660"/>
      <c r="DZ361" s="1051"/>
      <c r="EA361" s="1936"/>
      <c r="EB361" s="1937"/>
      <c r="EC361" s="1052"/>
      <c r="ED361" s="2032"/>
      <c r="EE361" s="965"/>
      <c r="EF361" s="961"/>
      <c r="EG361" s="1052"/>
      <c r="EH361" s="2032"/>
      <c r="EI361" s="1660"/>
      <c r="EJ361" s="1051"/>
      <c r="EK361" s="2220"/>
      <c r="EL361" s="1937"/>
      <c r="EM361" s="2202">
        <f t="shared" si="627"/>
        <v>0</v>
      </c>
      <c r="EN361" s="1585">
        <f t="shared" si="628"/>
        <v>0</v>
      </c>
      <c r="EO361" s="1585">
        <f t="shared" si="629"/>
        <v>0</v>
      </c>
      <c r="EP361" s="1585">
        <f t="shared" si="554"/>
        <v>0</v>
      </c>
      <c r="EQ361" s="988">
        <f t="shared" si="520"/>
        <v>0</v>
      </c>
      <c r="ER361" s="1775">
        <f t="shared" si="521"/>
        <v>0</v>
      </c>
      <c r="ES361" s="1775">
        <f t="shared" si="522"/>
        <v>0</v>
      </c>
      <c r="ET361" s="992">
        <f t="shared" si="557"/>
        <v>0</v>
      </c>
    </row>
    <row r="362" spans="1:150" x14ac:dyDescent="0.25">
      <c r="A362" s="965"/>
      <c r="B362" s="961"/>
      <c r="C362" s="1660"/>
      <c r="D362" s="1051"/>
      <c r="E362" s="1936"/>
      <c r="F362" s="1937"/>
      <c r="G362" s="1052"/>
      <c r="H362" s="1997"/>
      <c r="I362" s="1052"/>
      <c r="J362" s="1997"/>
      <c r="K362" s="1052"/>
      <c r="L362" s="2032"/>
      <c r="M362" s="965"/>
      <c r="N362" s="961"/>
      <c r="O362" s="1052"/>
      <c r="P362" s="2032"/>
      <c r="Q362" s="1660"/>
      <c r="R362" s="1051"/>
      <c r="S362" s="1936"/>
      <c r="T362" s="1937"/>
      <c r="U362" s="1660"/>
      <c r="V362" s="1051"/>
      <c r="W362" s="1936"/>
      <c r="X362" s="1937"/>
      <c r="Y362" s="1660"/>
      <c r="Z362" s="1051"/>
      <c r="AA362" s="2066"/>
      <c r="AB362" s="1937"/>
      <c r="AC362" s="964"/>
      <c r="AD362" s="961"/>
      <c r="AE362" s="1660"/>
      <c r="AF362" s="1051"/>
      <c r="AG362" s="1936"/>
      <c r="AH362" s="1937"/>
      <c r="AI362" s="1660"/>
      <c r="AJ362" s="1051"/>
      <c r="AK362" s="1936"/>
      <c r="AL362" s="1937"/>
      <c r="AM362" s="1052"/>
      <c r="AN362" s="2032"/>
      <c r="AO362" s="1872"/>
      <c r="AP362" s="1101"/>
      <c r="AQ362" s="1053"/>
      <c r="AR362" s="2102"/>
      <c r="AS362" s="1554"/>
      <c r="AT362" s="2102"/>
      <c r="AU362" s="1660"/>
      <c r="AV362" s="1051"/>
      <c r="AW362" s="1936"/>
      <c r="AX362" s="1937"/>
      <c r="AY362" s="965"/>
      <c r="AZ362" s="961"/>
      <c r="BA362" s="1660"/>
      <c r="BB362" s="1051"/>
      <c r="BC362" s="1936"/>
      <c r="BD362" s="1937"/>
      <c r="BE362" s="965"/>
      <c r="BF362" s="961"/>
      <c r="BG362" s="1660"/>
      <c r="BH362" s="1051"/>
      <c r="BI362" s="1936"/>
      <c r="BJ362" s="1937"/>
      <c r="BK362" s="1660"/>
      <c r="BL362" s="1051"/>
      <c r="BM362" s="1936"/>
      <c r="BN362" s="1937"/>
      <c r="BO362" s="1052"/>
      <c r="BP362" s="1997"/>
      <c r="BQ362" s="1052"/>
      <c r="BR362" s="2032"/>
      <c r="BS362" s="1660"/>
      <c r="BT362" s="1051"/>
      <c r="BU362" s="1936"/>
      <c r="BV362" s="1937"/>
      <c r="BW362" s="1052"/>
      <c r="BX362" s="2032"/>
      <c r="BY362" s="1660"/>
      <c r="BZ362" s="1051"/>
      <c r="CA362" s="1936"/>
      <c r="CB362" s="1937"/>
      <c r="CC362" s="1754"/>
      <c r="CD362" s="2162"/>
      <c r="CE362" s="965"/>
      <c r="CF362" s="961"/>
      <c r="CG362" s="1660"/>
      <c r="CH362" s="1051"/>
      <c r="CI362" s="1936"/>
      <c r="CJ362" s="1937"/>
      <c r="CK362" s="952">
        <v>15</v>
      </c>
      <c r="CL362" s="1171" t="s">
        <v>1794</v>
      </c>
      <c r="CM362" s="1660"/>
      <c r="CN362" s="1051"/>
      <c r="CO362" s="1936"/>
      <c r="CP362" s="1937"/>
      <c r="CQ362" s="1660"/>
      <c r="CR362" s="1051"/>
      <c r="CS362" s="1936"/>
      <c r="CT362" s="1937"/>
      <c r="CU362" s="1660"/>
      <c r="CV362" s="1051"/>
      <c r="CW362" s="1936"/>
      <c r="CX362" s="1937"/>
      <c r="CY362" s="1660"/>
      <c r="CZ362" s="1051"/>
      <c r="DA362" s="1936"/>
      <c r="DB362" s="1937"/>
      <c r="DC362" s="1052"/>
      <c r="DD362" s="2032"/>
      <c r="DE362" s="1660"/>
      <c r="DF362" s="1051"/>
      <c r="DG362" s="1936"/>
      <c r="DH362" s="1937"/>
      <c r="DI362" s="964"/>
      <c r="DJ362" s="961"/>
      <c r="DK362" s="1052"/>
      <c r="DL362" s="1997"/>
      <c r="DM362" s="1052"/>
      <c r="DN362" s="1997"/>
      <c r="DO362" s="1052"/>
      <c r="DP362" s="2032"/>
      <c r="DQ362" s="965"/>
      <c r="DR362" s="1083"/>
      <c r="DS362" s="1660"/>
      <c r="DT362" s="1051"/>
      <c r="DU362" s="1936"/>
      <c r="DV362" s="1937"/>
      <c r="DW362" s="965"/>
      <c r="DX362" s="961"/>
      <c r="DY362" s="1660"/>
      <c r="DZ362" s="1051"/>
      <c r="EA362" s="1936"/>
      <c r="EB362" s="1937"/>
      <c r="EC362" s="1052"/>
      <c r="ED362" s="2032"/>
      <c r="EE362" s="965"/>
      <c r="EF362" s="961"/>
      <c r="EG362" s="1052"/>
      <c r="EH362" s="2032"/>
      <c r="EI362" s="1660"/>
      <c r="EJ362" s="1051"/>
      <c r="EK362" s="2220"/>
      <c r="EL362" s="1937"/>
      <c r="EM362" s="2202">
        <f t="shared" si="627"/>
        <v>0</v>
      </c>
      <c r="EN362" s="1585">
        <f t="shared" si="628"/>
        <v>0</v>
      </c>
      <c r="EO362" s="1585">
        <f t="shared" si="629"/>
        <v>0</v>
      </c>
      <c r="EP362" s="1585">
        <f t="shared" si="554"/>
        <v>0</v>
      </c>
      <c r="EQ362" s="988">
        <f t="shared" si="520"/>
        <v>0</v>
      </c>
      <c r="ER362" s="1775">
        <f t="shared" si="521"/>
        <v>0</v>
      </c>
      <c r="ES362" s="1775">
        <f t="shared" si="522"/>
        <v>0</v>
      </c>
      <c r="ET362" s="992">
        <f t="shared" si="557"/>
        <v>0</v>
      </c>
    </row>
    <row r="363" spans="1:150" x14ac:dyDescent="0.25">
      <c r="A363" s="965"/>
      <c r="B363" s="961"/>
      <c r="C363" s="1660"/>
      <c r="D363" s="1051"/>
      <c r="E363" s="1936"/>
      <c r="F363" s="1937"/>
      <c r="G363" s="1052"/>
      <c r="H363" s="1997"/>
      <c r="I363" s="1052"/>
      <c r="J363" s="1997"/>
      <c r="K363" s="1052"/>
      <c r="L363" s="2032"/>
      <c r="M363" s="965"/>
      <c r="N363" s="961"/>
      <c r="O363" s="1052"/>
      <c r="P363" s="2032"/>
      <c r="Q363" s="1660"/>
      <c r="R363" s="1051"/>
      <c r="S363" s="1936"/>
      <c r="T363" s="1937"/>
      <c r="U363" s="1660"/>
      <c r="V363" s="1051"/>
      <c r="W363" s="1936"/>
      <c r="X363" s="1937"/>
      <c r="Y363" s="1660"/>
      <c r="Z363" s="1051"/>
      <c r="AA363" s="2066"/>
      <c r="AB363" s="1937"/>
      <c r="AC363" s="964"/>
      <c r="AD363" s="961"/>
      <c r="AE363" s="1660"/>
      <c r="AF363" s="1051"/>
      <c r="AG363" s="1936"/>
      <c r="AH363" s="1937"/>
      <c r="AI363" s="1660"/>
      <c r="AJ363" s="1051"/>
      <c r="AK363" s="1936"/>
      <c r="AL363" s="1937"/>
      <c r="AM363" s="1052"/>
      <c r="AN363" s="2032"/>
      <c r="AO363" s="1872"/>
      <c r="AP363" s="1101"/>
      <c r="AQ363" s="1053"/>
      <c r="AR363" s="2102"/>
      <c r="AS363" s="1554"/>
      <c r="AT363" s="2102"/>
      <c r="AU363" s="1660"/>
      <c r="AV363" s="1051"/>
      <c r="AW363" s="1936"/>
      <c r="AX363" s="1937"/>
      <c r="AY363" s="965"/>
      <c r="AZ363" s="961"/>
      <c r="BA363" s="1660"/>
      <c r="BB363" s="1051"/>
      <c r="BC363" s="1936"/>
      <c r="BD363" s="1937"/>
      <c r="BE363" s="965"/>
      <c r="BF363" s="961"/>
      <c r="BG363" s="1660"/>
      <c r="BH363" s="1051"/>
      <c r="BI363" s="1936"/>
      <c r="BJ363" s="1937"/>
      <c r="BK363" s="1660"/>
      <c r="BL363" s="1051"/>
      <c r="BM363" s="1936"/>
      <c r="BN363" s="1937"/>
      <c r="BO363" s="1052"/>
      <c r="BP363" s="1997"/>
      <c r="BQ363" s="1052"/>
      <c r="BR363" s="2032"/>
      <c r="BS363" s="1660"/>
      <c r="BT363" s="1051"/>
      <c r="BU363" s="1936"/>
      <c r="BV363" s="1937"/>
      <c r="BW363" s="1052"/>
      <c r="BX363" s="2032"/>
      <c r="BY363" s="1660"/>
      <c r="BZ363" s="1051"/>
      <c r="CA363" s="1936"/>
      <c r="CB363" s="1937"/>
      <c r="CC363" s="1754"/>
      <c r="CD363" s="2162"/>
      <c r="CE363" s="965"/>
      <c r="CF363" s="961"/>
      <c r="CG363" s="1660"/>
      <c r="CH363" s="1051"/>
      <c r="CI363" s="1936"/>
      <c r="CJ363" s="1937"/>
      <c r="CK363" s="952">
        <v>16</v>
      </c>
      <c r="CL363" s="1171" t="s">
        <v>1795</v>
      </c>
      <c r="CM363" s="1660"/>
      <c r="CN363" s="1051"/>
      <c r="CO363" s="1936"/>
      <c r="CP363" s="1937"/>
      <c r="CQ363" s="1660"/>
      <c r="CR363" s="1051"/>
      <c r="CS363" s="1936"/>
      <c r="CT363" s="1937"/>
      <c r="CU363" s="1660"/>
      <c r="CV363" s="1051"/>
      <c r="CW363" s="1936"/>
      <c r="CX363" s="1937"/>
      <c r="CY363" s="1660"/>
      <c r="CZ363" s="1051"/>
      <c r="DA363" s="1936"/>
      <c r="DB363" s="1937"/>
      <c r="DC363" s="1052"/>
      <c r="DD363" s="2032"/>
      <c r="DE363" s="1660"/>
      <c r="DF363" s="1051"/>
      <c r="DG363" s="1936"/>
      <c r="DH363" s="1937"/>
      <c r="DI363" s="964"/>
      <c r="DJ363" s="961"/>
      <c r="DK363" s="1052"/>
      <c r="DL363" s="1997"/>
      <c r="DM363" s="1052"/>
      <c r="DN363" s="1997"/>
      <c r="DO363" s="1052"/>
      <c r="DP363" s="2032"/>
      <c r="DQ363" s="965"/>
      <c r="DR363" s="1083"/>
      <c r="DS363" s="1660"/>
      <c r="DT363" s="1051"/>
      <c r="DU363" s="1936"/>
      <c r="DV363" s="1937"/>
      <c r="DW363" s="965"/>
      <c r="DX363" s="961"/>
      <c r="DY363" s="1660"/>
      <c r="DZ363" s="1051"/>
      <c r="EA363" s="1936"/>
      <c r="EB363" s="1937"/>
      <c r="EC363" s="1052"/>
      <c r="ED363" s="2032"/>
      <c r="EE363" s="965"/>
      <c r="EF363" s="961"/>
      <c r="EG363" s="1052"/>
      <c r="EH363" s="2032"/>
      <c r="EI363" s="1660"/>
      <c r="EJ363" s="1051"/>
      <c r="EK363" s="2220"/>
      <c r="EL363" s="1937"/>
      <c r="EM363" s="2202">
        <f t="shared" si="627"/>
        <v>0</v>
      </c>
      <c r="EN363" s="1585">
        <f t="shared" si="628"/>
        <v>0</v>
      </c>
      <c r="EO363" s="1585">
        <f t="shared" si="629"/>
        <v>0</v>
      </c>
      <c r="EP363" s="1585">
        <f t="shared" si="554"/>
        <v>0</v>
      </c>
      <c r="EQ363" s="988">
        <f t="shared" si="520"/>
        <v>0</v>
      </c>
      <c r="ER363" s="1775">
        <f t="shared" si="521"/>
        <v>0</v>
      </c>
      <c r="ES363" s="1775">
        <f t="shared" si="522"/>
        <v>0</v>
      </c>
      <c r="ET363" s="992">
        <f t="shared" si="557"/>
        <v>0</v>
      </c>
    </row>
    <row r="364" spans="1:150" x14ac:dyDescent="0.25">
      <c r="A364" s="965"/>
      <c r="B364" s="961"/>
      <c r="C364" s="1660"/>
      <c r="D364" s="1051"/>
      <c r="E364" s="1936"/>
      <c r="F364" s="1937"/>
      <c r="G364" s="1052"/>
      <c r="H364" s="1997"/>
      <c r="I364" s="1052"/>
      <c r="J364" s="1997"/>
      <c r="K364" s="1052"/>
      <c r="L364" s="2032"/>
      <c r="M364" s="965"/>
      <c r="N364" s="961"/>
      <c r="O364" s="1052"/>
      <c r="P364" s="2032"/>
      <c r="Q364" s="1660"/>
      <c r="R364" s="1051"/>
      <c r="S364" s="1936"/>
      <c r="T364" s="1937"/>
      <c r="U364" s="1660"/>
      <c r="V364" s="1051"/>
      <c r="W364" s="1936"/>
      <c r="X364" s="1937"/>
      <c r="Y364" s="1660"/>
      <c r="Z364" s="1051"/>
      <c r="AA364" s="2066"/>
      <c r="AB364" s="1937"/>
      <c r="AC364" s="964"/>
      <c r="AD364" s="961"/>
      <c r="AE364" s="1660"/>
      <c r="AF364" s="1051"/>
      <c r="AG364" s="1936"/>
      <c r="AH364" s="1937"/>
      <c r="AI364" s="1660"/>
      <c r="AJ364" s="1051"/>
      <c r="AK364" s="1936"/>
      <c r="AL364" s="1937"/>
      <c r="AM364" s="1052"/>
      <c r="AN364" s="2032"/>
      <c r="AO364" s="1872"/>
      <c r="AP364" s="1101"/>
      <c r="AQ364" s="1053"/>
      <c r="AR364" s="2102"/>
      <c r="AS364" s="1554"/>
      <c r="AT364" s="2102"/>
      <c r="AU364" s="1660"/>
      <c r="AV364" s="1051"/>
      <c r="AW364" s="1936"/>
      <c r="AX364" s="1937"/>
      <c r="AY364" s="965"/>
      <c r="AZ364" s="961"/>
      <c r="BA364" s="1660"/>
      <c r="BB364" s="1051"/>
      <c r="BC364" s="1936"/>
      <c r="BD364" s="1937"/>
      <c r="BE364" s="965"/>
      <c r="BF364" s="961"/>
      <c r="BG364" s="1660"/>
      <c r="BH364" s="1051"/>
      <c r="BI364" s="1936"/>
      <c r="BJ364" s="1937"/>
      <c r="BK364" s="1660"/>
      <c r="BL364" s="1051"/>
      <c r="BM364" s="1936"/>
      <c r="BN364" s="1937"/>
      <c r="BO364" s="1052"/>
      <c r="BP364" s="1997"/>
      <c r="BQ364" s="1052"/>
      <c r="BR364" s="2032"/>
      <c r="BS364" s="1660"/>
      <c r="BT364" s="1051"/>
      <c r="BU364" s="1936"/>
      <c r="BV364" s="1937"/>
      <c r="BW364" s="1052"/>
      <c r="BX364" s="2032"/>
      <c r="BY364" s="1660"/>
      <c r="BZ364" s="1051"/>
      <c r="CA364" s="1936"/>
      <c r="CB364" s="1937"/>
      <c r="CC364" s="1754"/>
      <c r="CD364" s="2162"/>
      <c r="CE364" s="965"/>
      <c r="CF364" s="961"/>
      <c r="CG364" s="1660"/>
      <c r="CH364" s="1051"/>
      <c r="CI364" s="1936"/>
      <c r="CJ364" s="1937"/>
      <c r="CK364" s="952">
        <v>17</v>
      </c>
      <c r="CL364" s="1171" t="s">
        <v>1796</v>
      </c>
      <c r="CM364" s="1660"/>
      <c r="CN364" s="1051"/>
      <c r="CO364" s="1936"/>
      <c r="CP364" s="1937"/>
      <c r="CQ364" s="1660"/>
      <c r="CR364" s="1051"/>
      <c r="CS364" s="1936"/>
      <c r="CT364" s="1937"/>
      <c r="CU364" s="1660"/>
      <c r="CV364" s="1051"/>
      <c r="CW364" s="1936"/>
      <c r="CX364" s="1937"/>
      <c r="CY364" s="1660"/>
      <c r="CZ364" s="1051"/>
      <c r="DA364" s="1936"/>
      <c r="DB364" s="1937"/>
      <c r="DC364" s="1052"/>
      <c r="DD364" s="2032"/>
      <c r="DE364" s="1660"/>
      <c r="DF364" s="1051"/>
      <c r="DG364" s="1936"/>
      <c r="DH364" s="1937"/>
      <c r="DI364" s="964"/>
      <c r="DJ364" s="961"/>
      <c r="DK364" s="1052"/>
      <c r="DL364" s="1997"/>
      <c r="DM364" s="1052"/>
      <c r="DN364" s="1997"/>
      <c r="DO364" s="1052"/>
      <c r="DP364" s="2032"/>
      <c r="DQ364" s="965"/>
      <c r="DR364" s="1083"/>
      <c r="DS364" s="1660"/>
      <c r="DT364" s="1051"/>
      <c r="DU364" s="1936"/>
      <c r="DV364" s="1937"/>
      <c r="DW364" s="965"/>
      <c r="DX364" s="961"/>
      <c r="DY364" s="1660"/>
      <c r="DZ364" s="1051"/>
      <c r="EA364" s="1936"/>
      <c r="EB364" s="1937"/>
      <c r="EC364" s="1052"/>
      <c r="ED364" s="2032"/>
      <c r="EE364" s="965"/>
      <c r="EF364" s="961"/>
      <c r="EG364" s="1052"/>
      <c r="EH364" s="2032"/>
      <c r="EI364" s="1660"/>
      <c r="EJ364" s="1051"/>
      <c r="EK364" s="2220"/>
      <c r="EL364" s="1937"/>
      <c r="EM364" s="2202">
        <f t="shared" si="627"/>
        <v>0</v>
      </c>
      <c r="EN364" s="1585">
        <f t="shared" si="628"/>
        <v>0</v>
      </c>
      <c r="EO364" s="1585">
        <f t="shared" si="629"/>
        <v>0</v>
      </c>
      <c r="EP364" s="1585">
        <f t="shared" si="554"/>
        <v>0</v>
      </c>
      <c r="EQ364" s="988">
        <f t="shared" si="520"/>
        <v>0</v>
      </c>
      <c r="ER364" s="1775">
        <f t="shared" si="521"/>
        <v>0</v>
      </c>
      <c r="ES364" s="1775">
        <f t="shared" si="522"/>
        <v>0</v>
      </c>
      <c r="ET364" s="992">
        <f t="shared" si="557"/>
        <v>0</v>
      </c>
    </row>
    <row r="365" spans="1:150" x14ac:dyDescent="0.25">
      <c r="A365" s="965"/>
      <c r="B365" s="961"/>
      <c r="C365" s="1660"/>
      <c r="D365" s="1051"/>
      <c r="E365" s="1936"/>
      <c r="F365" s="1937"/>
      <c r="G365" s="1052"/>
      <c r="H365" s="1997"/>
      <c r="I365" s="1052"/>
      <c r="J365" s="1997"/>
      <c r="K365" s="1052"/>
      <c r="L365" s="2032"/>
      <c r="M365" s="965"/>
      <c r="N365" s="961"/>
      <c r="O365" s="1052"/>
      <c r="P365" s="2032"/>
      <c r="Q365" s="1660"/>
      <c r="R365" s="1051"/>
      <c r="S365" s="1936"/>
      <c r="T365" s="1937"/>
      <c r="U365" s="1660"/>
      <c r="V365" s="1051"/>
      <c r="W365" s="1936"/>
      <c r="X365" s="1937"/>
      <c r="Y365" s="1660"/>
      <c r="Z365" s="1051"/>
      <c r="AA365" s="2066"/>
      <c r="AB365" s="1937"/>
      <c r="AC365" s="964"/>
      <c r="AD365" s="961"/>
      <c r="AE365" s="1660"/>
      <c r="AF365" s="1051"/>
      <c r="AG365" s="1936"/>
      <c r="AH365" s="1937"/>
      <c r="AI365" s="1660"/>
      <c r="AJ365" s="1051"/>
      <c r="AK365" s="1936"/>
      <c r="AL365" s="1937"/>
      <c r="AM365" s="1052"/>
      <c r="AN365" s="2032"/>
      <c r="AO365" s="1872"/>
      <c r="AP365" s="1101"/>
      <c r="AQ365" s="1053"/>
      <c r="AR365" s="2102"/>
      <c r="AS365" s="1554"/>
      <c r="AT365" s="2102"/>
      <c r="AU365" s="1660"/>
      <c r="AV365" s="1051"/>
      <c r="AW365" s="1936"/>
      <c r="AX365" s="1937"/>
      <c r="AY365" s="965"/>
      <c r="AZ365" s="961"/>
      <c r="BA365" s="1660"/>
      <c r="BB365" s="1051"/>
      <c r="BC365" s="1936"/>
      <c r="BD365" s="1937"/>
      <c r="BE365" s="965"/>
      <c r="BF365" s="961"/>
      <c r="BG365" s="1660"/>
      <c r="BH365" s="1051"/>
      <c r="BI365" s="1936"/>
      <c r="BJ365" s="1937"/>
      <c r="BK365" s="1660"/>
      <c r="BL365" s="1051"/>
      <c r="BM365" s="1936"/>
      <c r="BN365" s="1937"/>
      <c r="BO365" s="1052"/>
      <c r="BP365" s="1997"/>
      <c r="BQ365" s="1052"/>
      <c r="BR365" s="2032"/>
      <c r="BS365" s="1660"/>
      <c r="BT365" s="1051"/>
      <c r="BU365" s="1936"/>
      <c r="BV365" s="1937"/>
      <c r="BW365" s="1052"/>
      <c r="BX365" s="2032"/>
      <c r="BY365" s="1660"/>
      <c r="BZ365" s="1051"/>
      <c r="CA365" s="1936"/>
      <c r="CB365" s="1937"/>
      <c r="CC365" s="1754"/>
      <c r="CD365" s="2162"/>
      <c r="CE365" s="965"/>
      <c r="CF365" s="961"/>
      <c r="CG365" s="1660"/>
      <c r="CH365" s="1051"/>
      <c r="CI365" s="1936"/>
      <c r="CJ365" s="1937"/>
      <c r="CK365" s="952">
        <v>18</v>
      </c>
      <c r="CL365" s="954" t="s">
        <v>1797</v>
      </c>
      <c r="CM365" s="1660"/>
      <c r="CN365" s="1051"/>
      <c r="CO365" s="1936"/>
      <c r="CP365" s="1937"/>
      <c r="CQ365" s="1660"/>
      <c r="CR365" s="1051"/>
      <c r="CS365" s="1936"/>
      <c r="CT365" s="1937"/>
      <c r="CU365" s="1660"/>
      <c r="CV365" s="1051"/>
      <c r="CW365" s="1936"/>
      <c r="CX365" s="1937"/>
      <c r="CY365" s="1660"/>
      <c r="CZ365" s="1051"/>
      <c r="DA365" s="1936"/>
      <c r="DB365" s="1937"/>
      <c r="DC365" s="1052"/>
      <c r="DD365" s="2032"/>
      <c r="DE365" s="1660"/>
      <c r="DF365" s="1051"/>
      <c r="DG365" s="1936"/>
      <c r="DH365" s="1937"/>
      <c r="DI365" s="964"/>
      <c r="DJ365" s="961"/>
      <c r="DK365" s="1052"/>
      <c r="DL365" s="1997"/>
      <c r="DM365" s="1052"/>
      <c r="DN365" s="1997"/>
      <c r="DO365" s="1052"/>
      <c r="DP365" s="2032"/>
      <c r="DQ365" s="965"/>
      <c r="DR365" s="1083"/>
      <c r="DS365" s="1660"/>
      <c r="DT365" s="1051"/>
      <c r="DU365" s="1936"/>
      <c r="DV365" s="1937"/>
      <c r="DW365" s="965"/>
      <c r="DX365" s="961"/>
      <c r="DY365" s="1660"/>
      <c r="DZ365" s="1051"/>
      <c r="EA365" s="1936"/>
      <c r="EB365" s="1937"/>
      <c r="EC365" s="1052"/>
      <c r="ED365" s="2032"/>
      <c r="EE365" s="965"/>
      <c r="EF365" s="961"/>
      <c r="EG365" s="1052"/>
      <c r="EH365" s="2032"/>
      <c r="EI365" s="1660"/>
      <c r="EJ365" s="1051"/>
      <c r="EK365" s="2220"/>
      <c r="EL365" s="1937"/>
      <c r="EM365" s="2202">
        <f t="shared" si="627"/>
        <v>0</v>
      </c>
      <c r="EN365" s="1585">
        <f t="shared" si="628"/>
        <v>0</v>
      </c>
      <c r="EO365" s="1585">
        <f t="shared" si="629"/>
        <v>0</v>
      </c>
      <c r="EP365" s="1585">
        <f t="shared" si="554"/>
        <v>0</v>
      </c>
      <c r="EQ365" s="988">
        <f t="shared" si="520"/>
        <v>0</v>
      </c>
      <c r="ER365" s="1775">
        <f t="shared" si="521"/>
        <v>0</v>
      </c>
      <c r="ES365" s="1775">
        <f t="shared" si="522"/>
        <v>0</v>
      </c>
      <c r="ET365" s="992">
        <f t="shared" si="557"/>
        <v>0</v>
      </c>
    </row>
    <row r="366" spans="1:150" x14ac:dyDescent="0.25">
      <c r="A366" s="965"/>
      <c r="B366" s="961"/>
      <c r="C366" s="1660"/>
      <c r="D366" s="1051"/>
      <c r="E366" s="1936"/>
      <c r="F366" s="1937"/>
      <c r="G366" s="1052"/>
      <c r="H366" s="1997"/>
      <c r="I366" s="1052"/>
      <c r="J366" s="1997"/>
      <c r="K366" s="1052"/>
      <c r="L366" s="2032"/>
      <c r="M366" s="965"/>
      <c r="N366" s="961"/>
      <c r="O366" s="1052"/>
      <c r="P366" s="2032"/>
      <c r="Q366" s="1660"/>
      <c r="R366" s="1051"/>
      <c r="S366" s="1936"/>
      <c r="T366" s="1937"/>
      <c r="U366" s="1660"/>
      <c r="V366" s="1051"/>
      <c r="W366" s="1936"/>
      <c r="X366" s="1937"/>
      <c r="Y366" s="1660"/>
      <c r="Z366" s="1051"/>
      <c r="AA366" s="2066"/>
      <c r="AB366" s="1937"/>
      <c r="AC366" s="964"/>
      <c r="AD366" s="961"/>
      <c r="AE366" s="1660"/>
      <c r="AF366" s="1051"/>
      <c r="AG366" s="1936"/>
      <c r="AH366" s="1937"/>
      <c r="AI366" s="1660"/>
      <c r="AJ366" s="1051"/>
      <c r="AK366" s="1936"/>
      <c r="AL366" s="1937"/>
      <c r="AM366" s="1052"/>
      <c r="AN366" s="2032"/>
      <c r="AO366" s="1872"/>
      <c r="AP366" s="1101"/>
      <c r="AQ366" s="1053"/>
      <c r="AR366" s="2102"/>
      <c r="AS366" s="1554"/>
      <c r="AT366" s="2102"/>
      <c r="AU366" s="1660"/>
      <c r="AV366" s="1051"/>
      <c r="AW366" s="1936"/>
      <c r="AX366" s="1937"/>
      <c r="AY366" s="965"/>
      <c r="AZ366" s="961"/>
      <c r="BA366" s="1660"/>
      <c r="BB366" s="1051"/>
      <c r="BC366" s="1936"/>
      <c r="BD366" s="1937"/>
      <c r="BE366" s="965"/>
      <c r="BF366" s="961"/>
      <c r="BG366" s="1660"/>
      <c r="BH366" s="1051"/>
      <c r="BI366" s="1936"/>
      <c r="BJ366" s="1937"/>
      <c r="BK366" s="1660"/>
      <c r="BL366" s="1051"/>
      <c r="BM366" s="1936"/>
      <c r="BN366" s="1937"/>
      <c r="BO366" s="1052"/>
      <c r="BP366" s="1997"/>
      <c r="BQ366" s="1052"/>
      <c r="BR366" s="2032"/>
      <c r="BS366" s="1660"/>
      <c r="BT366" s="1051"/>
      <c r="BU366" s="1936"/>
      <c r="BV366" s="1937"/>
      <c r="BW366" s="1052"/>
      <c r="BX366" s="2032"/>
      <c r="BY366" s="1660"/>
      <c r="BZ366" s="1051"/>
      <c r="CA366" s="1936"/>
      <c r="CB366" s="1937"/>
      <c r="CC366" s="1754"/>
      <c r="CD366" s="2162"/>
      <c r="CE366" s="965"/>
      <c r="CF366" s="961"/>
      <c r="CG366" s="1660"/>
      <c r="CH366" s="1051"/>
      <c r="CI366" s="1936"/>
      <c r="CJ366" s="1937"/>
      <c r="CK366" s="952">
        <v>19</v>
      </c>
      <c r="CL366" s="954"/>
      <c r="CM366" s="1660"/>
      <c r="CN366" s="1051"/>
      <c r="CO366" s="1936"/>
      <c r="CP366" s="1937"/>
      <c r="CQ366" s="1660"/>
      <c r="CR366" s="1051"/>
      <c r="CS366" s="1936"/>
      <c r="CT366" s="1937"/>
      <c r="CU366" s="1660"/>
      <c r="CV366" s="1051"/>
      <c r="CW366" s="1936"/>
      <c r="CX366" s="1937"/>
      <c r="CY366" s="1660"/>
      <c r="CZ366" s="1051"/>
      <c r="DA366" s="1936"/>
      <c r="DB366" s="1937"/>
      <c r="DC366" s="1052"/>
      <c r="DD366" s="2032"/>
      <c r="DE366" s="1660"/>
      <c r="DF366" s="1051"/>
      <c r="DG366" s="1936"/>
      <c r="DH366" s="1937"/>
      <c r="DI366" s="964"/>
      <c r="DJ366" s="961"/>
      <c r="DK366" s="1052"/>
      <c r="DL366" s="1997"/>
      <c r="DM366" s="1052"/>
      <c r="DN366" s="1997"/>
      <c r="DO366" s="1052"/>
      <c r="DP366" s="2032"/>
      <c r="DQ366" s="965"/>
      <c r="DR366" s="1083"/>
      <c r="DS366" s="1660"/>
      <c r="DT366" s="1051"/>
      <c r="DU366" s="1936"/>
      <c r="DV366" s="1937"/>
      <c r="DW366" s="965"/>
      <c r="DX366" s="961"/>
      <c r="DY366" s="1660"/>
      <c r="DZ366" s="1051"/>
      <c r="EA366" s="1936"/>
      <c r="EB366" s="1937"/>
      <c r="EC366" s="1052"/>
      <c r="ED366" s="2032"/>
      <c r="EE366" s="965"/>
      <c r="EF366" s="961"/>
      <c r="EG366" s="1052"/>
      <c r="EH366" s="2032"/>
      <c r="EI366" s="1660"/>
      <c r="EJ366" s="1051"/>
      <c r="EK366" s="2220"/>
      <c r="EL366" s="1937"/>
      <c r="EM366" s="2202">
        <f t="shared" si="627"/>
        <v>0</v>
      </c>
      <c r="EN366" s="1585">
        <f t="shared" si="628"/>
        <v>0</v>
      </c>
      <c r="EO366" s="1585">
        <f t="shared" si="629"/>
        <v>0</v>
      </c>
      <c r="EP366" s="1585">
        <f t="shared" si="554"/>
        <v>0</v>
      </c>
      <c r="EQ366" s="988">
        <f t="shared" si="520"/>
        <v>0</v>
      </c>
      <c r="ER366" s="1775">
        <f t="shared" si="521"/>
        <v>0</v>
      </c>
      <c r="ES366" s="1775">
        <f t="shared" si="522"/>
        <v>0</v>
      </c>
      <c r="ET366" s="992">
        <f t="shared" si="557"/>
        <v>0</v>
      </c>
    </row>
    <row r="367" spans="1:150" x14ac:dyDescent="0.25">
      <c r="A367" s="965"/>
      <c r="B367" s="961"/>
      <c r="C367" s="1660"/>
      <c r="D367" s="1051"/>
      <c r="E367" s="1936"/>
      <c r="F367" s="1937"/>
      <c r="G367" s="1052"/>
      <c r="H367" s="1997"/>
      <c r="I367" s="1052"/>
      <c r="J367" s="1997"/>
      <c r="K367" s="1052"/>
      <c r="L367" s="2032"/>
      <c r="M367" s="965"/>
      <c r="N367" s="961"/>
      <c r="O367" s="1052"/>
      <c r="P367" s="2032"/>
      <c r="Q367" s="1660"/>
      <c r="R367" s="1051"/>
      <c r="S367" s="1936"/>
      <c r="T367" s="1937"/>
      <c r="U367" s="1660"/>
      <c r="V367" s="1051"/>
      <c r="W367" s="1936"/>
      <c r="X367" s="1937"/>
      <c r="Y367" s="1660"/>
      <c r="Z367" s="1051"/>
      <c r="AA367" s="2066"/>
      <c r="AB367" s="1937"/>
      <c r="AC367" s="964"/>
      <c r="AD367" s="961"/>
      <c r="AE367" s="1660"/>
      <c r="AF367" s="1051"/>
      <c r="AG367" s="1936"/>
      <c r="AH367" s="1937"/>
      <c r="AI367" s="1660"/>
      <c r="AJ367" s="1051"/>
      <c r="AK367" s="1936"/>
      <c r="AL367" s="1937"/>
      <c r="AM367" s="1052"/>
      <c r="AN367" s="2032"/>
      <c r="AO367" s="1872"/>
      <c r="AP367" s="1101"/>
      <c r="AQ367" s="1053"/>
      <c r="AR367" s="2102"/>
      <c r="AS367" s="1554"/>
      <c r="AT367" s="2102"/>
      <c r="AU367" s="1660"/>
      <c r="AV367" s="1051"/>
      <c r="AW367" s="1936"/>
      <c r="AX367" s="1937"/>
      <c r="AY367" s="965"/>
      <c r="AZ367" s="961"/>
      <c r="BA367" s="1660"/>
      <c r="BB367" s="1051"/>
      <c r="BC367" s="1936"/>
      <c r="BD367" s="1937"/>
      <c r="BE367" s="965"/>
      <c r="BF367" s="961"/>
      <c r="BG367" s="1660"/>
      <c r="BH367" s="1051"/>
      <c r="BI367" s="1936"/>
      <c r="BJ367" s="1937"/>
      <c r="BK367" s="1660"/>
      <c r="BL367" s="1051"/>
      <c r="BM367" s="1936"/>
      <c r="BN367" s="1937"/>
      <c r="BO367" s="1052"/>
      <c r="BP367" s="1997"/>
      <c r="BQ367" s="1052"/>
      <c r="BR367" s="2032"/>
      <c r="BS367" s="1660"/>
      <c r="BT367" s="1051"/>
      <c r="BU367" s="1936"/>
      <c r="BV367" s="1937"/>
      <c r="BW367" s="1052"/>
      <c r="BX367" s="2032"/>
      <c r="BY367" s="1660"/>
      <c r="BZ367" s="1051"/>
      <c r="CA367" s="1936"/>
      <c r="CB367" s="1937"/>
      <c r="CC367" s="1754"/>
      <c r="CD367" s="2162"/>
      <c r="CE367" s="965"/>
      <c r="CF367" s="961"/>
      <c r="CG367" s="1660"/>
      <c r="CH367" s="1051"/>
      <c r="CI367" s="1936"/>
      <c r="CJ367" s="1937"/>
      <c r="CK367" s="952">
        <v>20</v>
      </c>
      <c r="CL367" s="954"/>
      <c r="CM367" s="1660"/>
      <c r="CN367" s="1051"/>
      <c r="CO367" s="1936"/>
      <c r="CP367" s="1937"/>
      <c r="CQ367" s="1660"/>
      <c r="CR367" s="1051"/>
      <c r="CS367" s="1936"/>
      <c r="CT367" s="1937"/>
      <c r="CU367" s="1660"/>
      <c r="CV367" s="1051"/>
      <c r="CW367" s="1936"/>
      <c r="CX367" s="1937"/>
      <c r="CY367" s="1660"/>
      <c r="CZ367" s="1051"/>
      <c r="DA367" s="2146">
        <f>'bevétel 11602'!E24</f>
        <v>0</v>
      </c>
      <c r="DB367" s="1943">
        <f>'bevétel 11602'!E39</f>
        <v>791850</v>
      </c>
      <c r="DC367" s="1052"/>
      <c r="DD367" s="2032"/>
      <c r="DE367" s="1660"/>
      <c r="DF367" s="1051"/>
      <c r="DG367" s="1936"/>
      <c r="DH367" s="1937"/>
      <c r="DI367" s="964"/>
      <c r="DJ367" s="961"/>
      <c r="DK367" s="1052"/>
      <c r="DL367" s="1997"/>
      <c r="DM367" s="1052"/>
      <c r="DN367" s="1997"/>
      <c r="DO367" s="1052"/>
      <c r="DP367" s="2114">
        <f>'bevétel 11605 cím  '!E9</f>
        <v>0</v>
      </c>
      <c r="DQ367" s="965"/>
      <c r="DR367" s="1083"/>
      <c r="DS367" s="1660"/>
      <c r="DT367" s="1051"/>
      <c r="DU367" s="1936"/>
      <c r="DV367" s="1937"/>
      <c r="DW367" s="965"/>
      <c r="DX367" s="961"/>
      <c r="DY367" s="1660"/>
      <c r="DZ367" s="1051"/>
      <c r="EA367" s="1936"/>
      <c r="EB367" s="1937"/>
      <c r="EC367" s="1052"/>
      <c r="ED367" s="2032"/>
      <c r="EE367" s="965"/>
      <c r="EF367" s="961"/>
      <c r="EG367" s="1052"/>
      <c r="EH367" s="2032"/>
      <c r="EI367" s="1660"/>
      <c r="EJ367" s="1051"/>
      <c r="EK367" s="2220"/>
      <c r="EL367" s="1937"/>
      <c r="EM367" s="2202">
        <f t="shared" si="627"/>
        <v>0</v>
      </c>
      <c r="EN367" s="1585">
        <f t="shared" si="628"/>
        <v>791850</v>
      </c>
      <c r="EO367" s="1585">
        <f t="shared" si="629"/>
        <v>0</v>
      </c>
      <c r="EP367" s="1585">
        <f t="shared" si="554"/>
        <v>791850</v>
      </c>
      <c r="EQ367" s="988">
        <f t="shared" si="520"/>
        <v>0</v>
      </c>
      <c r="ER367" s="1775">
        <f t="shared" si="521"/>
        <v>0</v>
      </c>
      <c r="ES367" s="1775">
        <f t="shared" si="522"/>
        <v>0</v>
      </c>
      <c r="ET367" s="992">
        <f t="shared" si="557"/>
        <v>0</v>
      </c>
    </row>
    <row r="368" spans="1:150" ht="19.95" customHeight="1" thickBot="1" x14ac:dyDescent="0.3">
      <c r="A368" s="968"/>
      <c r="B368" s="969" t="s">
        <v>1798</v>
      </c>
      <c r="C368" s="1656">
        <f t="shared" ref="C368:L368" si="630">SUM(C347:C367)</f>
        <v>0</v>
      </c>
      <c r="D368" s="1039">
        <f t="shared" si="630"/>
        <v>0</v>
      </c>
      <c r="E368" s="1926">
        <f t="shared" si="630"/>
        <v>0</v>
      </c>
      <c r="F368" s="1931">
        <f t="shared" si="630"/>
        <v>0</v>
      </c>
      <c r="G368" s="1072">
        <f t="shared" si="630"/>
        <v>0</v>
      </c>
      <c r="H368" s="1994">
        <f t="shared" si="630"/>
        <v>0</v>
      </c>
      <c r="I368" s="1072">
        <f t="shared" si="630"/>
        <v>0</v>
      </c>
      <c r="J368" s="1994">
        <f t="shared" si="630"/>
        <v>0</v>
      </c>
      <c r="K368" s="1072">
        <f t="shared" si="630"/>
        <v>0</v>
      </c>
      <c r="L368" s="1994">
        <f t="shared" si="630"/>
        <v>0</v>
      </c>
      <c r="M368" s="968"/>
      <c r="N368" s="969" t="s">
        <v>1798</v>
      </c>
      <c r="O368" s="1072">
        <f t="shared" ref="O368:AB368" si="631">SUM(O347:O367)</f>
        <v>0</v>
      </c>
      <c r="P368" s="1994">
        <f t="shared" si="631"/>
        <v>0</v>
      </c>
      <c r="Q368" s="1656">
        <f t="shared" si="631"/>
        <v>0</v>
      </c>
      <c r="R368" s="1039">
        <f t="shared" si="631"/>
        <v>0</v>
      </c>
      <c r="S368" s="1926">
        <f t="shared" si="631"/>
        <v>0</v>
      </c>
      <c r="T368" s="1931">
        <f t="shared" si="631"/>
        <v>0</v>
      </c>
      <c r="U368" s="1656">
        <f t="shared" si="631"/>
        <v>0</v>
      </c>
      <c r="V368" s="1039">
        <f t="shared" si="631"/>
        <v>0</v>
      </c>
      <c r="W368" s="1926">
        <f t="shared" si="631"/>
        <v>0</v>
      </c>
      <c r="X368" s="1931">
        <f t="shared" si="631"/>
        <v>0</v>
      </c>
      <c r="Y368" s="1656">
        <f t="shared" si="631"/>
        <v>0</v>
      </c>
      <c r="Z368" s="1039">
        <f t="shared" si="631"/>
        <v>0</v>
      </c>
      <c r="AA368" s="1926">
        <f t="shared" si="631"/>
        <v>0</v>
      </c>
      <c r="AB368" s="1931">
        <f t="shared" si="631"/>
        <v>0</v>
      </c>
      <c r="AC368" s="970"/>
      <c r="AD368" s="969" t="s">
        <v>1798</v>
      </c>
      <c r="AE368" s="1656">
        <f t="shared" ref="AE368:AX368" si="632">SUM(AE347:AE367)</f>
        <v>0</v>
      </c>
      <c r="AF368" s="1039">
        <f t="shared" si="632"/>
        <v>0</v>
      </c>
      <c r="AG368" s="1926">
        <f t="shared" si="632"/>
        <v>0</v>
      </c>
      <c r="AH368" s="1931">
        <f t="shared" si="632"/>
        <v>0</v>
      </c>
      <c r="AI368" s="1656">
        <f t="shared" si="632"/>
        <v>0</v>
      </c>
      <c r="AJ368" s="1039">
        <f t="shared" si="632"/>
        <v>0</v>
      </c>
      <c r="AK368" s="1926">
        <f t="shared" si="632"/>
        <v>0</v>
      </c>
      <c r="AL368" s="1931">
        <f t="shared" si="632"/>
        <v>0</v>
      </c>
      <c r="AM368" s="1072">
        <f t="shared" si="632"/>
        <v>0</v>
      </c>
      <c r="AN368" s="1994">
        <f t="shared" si="632"/>
        <v>0</v>
      </c>
      <c r="AO368" s="1656">
        <f t="shared" si="632"/>
        <v>0</v>
      </c>
      <c r="AP368" s="1854">
        <f t="shared" si="632"/>
        <v>0</v>
      </c>
      <c r="AQ368" s="1041">
        <f t="shared" si="632"/>
        <v>0</v>
      </c>
      <c r="AR368" s="1926">
        <f t="shared" si="632"/>
        <v>0</v>
      </c>
      <c r="AS368" s="2096">
        <f t="shared" si="632"/>
        <v>0</v>
      </c>
      <c r="AT368" s="2125">
        <f t="shared" si="632"/>
        <v>0</v>
      </c>
      <c r="AU368" s="1656">
        <f t="shared" si="632"/>
        <v>0</v>
      </c>
      <c r="AV368" s="1039">
        <f t="shared" si="632"/>
        <v>0</v>
      </c>
      <c r="AW368" s="1926">
        <f t="shared" si="632"/>
        <v>0</v>
      </c>
      <c r="AX368" s="1931">
        <f t="shared" si="632"/>
        <v>0</v>
      </c>
      <c r="AY368" s="968"/>
      <c r="AZ368" s="969" t="s">
        <v>1798</v>
      </c>
      <c r="BA368" s="1656">
        <f t="shared" ref="BA368:BD368" si="633">SUM(BA347:BA367)</f>
        <v>0</v>
      </c>
      <c r="BB368" s="1039">
        <f t="shared" si="633"/>
        <v>0</v>
      </c>
      <c r="BC368" s="1926">
        <f t="shared" si="633"/>
        <v>0</v>
      </c>
      <c r="BD368" s="1931">
        <f t="shared" si="633"/>
        <v>0</v>
      </c>
      <c r="BE368" s="968"/>
      <c r="BF368" s="969" t="s">
        <v>1798</v>
      </c>
      <c r="BG368" s="1656">
        <f t="shared" ref="BG368:CD368" si="634">SUM(BG347:BG367)</f>
        <v>0</v>
      </c>
      <c r="BH368" s="1039">
        <f t="shared" si="634"/>
        <v>0</v>
      </c>
      <c r="BI368" s="1926">
        <f t="shared" si="634"/>
        <v>0</v>
      </c>
      <c r="BJ368" s="1931">
        <f t="shared" si="634"/>
        <v>0</v>
      </c>
      <c r="BK368" s="1656">
        <f t="shared" si="634"/>
        <v>0</v>
      </c>
      <c r="BL368" s="1039">
        <f t="shared" si="634"/>
        <v>0</v>
      </c>
      <c r="BM368" s="1926">
        <f t="shared" si="634"/>
        <v>0</v>
      </c>
      <c r="BN368" s="1931">
        <f t="shared" si="634"/>
        <v>0</v>
      </c>
      <c r="BO368" s="1072">
        <f t="shared" si="634"/>
        <v>0</v>
      </c>
      <c r="BP368" s="1994">
        <f t="shared" si="634"/>
        <v>0</v>
      </c>
      <c r="BQ368" s="1072">
        <f t="shared" si="634"/>
        <v>0</v>
      </c>
      <c r="BR368" s="1994">
        <f t="shared" si="634"/>
        <v>0</v>
      </c>
      <c r="BS368" s="1656">
        <f t="shared" si="634"/>
        <v>0</v>
      </c>
      <c r="BT368" s="1039">
        <f t="shared" si="634"/>
        <v>0</v>
      </c>
      <c r="BU368" s="1926">
        <f t="shared" si="634"/>
        <v>0</v>
      </c>
      <c r="BV368" s="1931">
        <f t="shared" si="634"/>
        <v>0</v>
      </c>
      <c r="BW368" s="1072">
        <f t="shared" si="634"/>
        <v>0</v>
      </c>
      <c r="BX368" s="1994">
        <f t="shared" si="634"/>
        <v>0</v>
      </c>
      <c r="BY368" s="1656">
        <f t="shared" si="634"/>
        <v>0</v>
      </c>
      <c r="BZ368" s="1039">
        <f t="shared" si="634"/>
        <v>0</v>
      </c>
      <c r="CA368" s="1926">
        <f t="shared" si="634"/>
        <v>0</v>
      </c>
      <c r="CB368" s="1931">
        <f t="shared" si="634"/>
        <v>0</v>
      </c>
      <c r="CC368" s="1038">
        <f t="shared" si="634"/>
        <v>0</v>
      </c>
      <c r="CD368" s="2063">
        <f t="shared" si="634"/>
        <v>0</v>
      </c>
      <c r="CE368" s="968"/>
      <c r="CF368" s="969" t="s">
        <v>1798</v>
      </c>
      <c r="CG368" s="1656">
        <f t="shared" ref="CG368:CJ368" si="635">SUM(CG347:CG367)</f>
        <v>0</v>
      </c>
      <c r="CH368" s="1039">
        <f t="shared" si="635"/>
        <v>0</v>
      </c>
      <c r="CI368" s="1926">
        <f t="shared" si="635"/>
        <v>0</v>
      </c>
      <c r="CJ368" s="1931">
        <f t="shared" si="635"/>
        <v>0</v>
      </c>
      <c r="CK368" s="968"/>
      <c r="CL368" s="969" t="s">
        <v>1798</v>
      </c>
      <c r="CM368" s="1656">
        <f t="shared" ref="CM368:DH368" si="636">SUM(CM347:CM367)</f>
        <v>0</v>
      </c>
      <c r="CN368" s="1039">
        <f t="shared" si="636"/>
        <v>0</v>
      </c>
      <c r="CO368" s="1926">
        <f t="shared" si="636"/>
        <v>0</v>
      </c>
      <c r="CP368" s="1931">
        <f t="shared" si="636"/>
        <v>0</v>
      </c>
      <c r="CQ368" s="1656">
        <f t="shared" si="636"/>
        <v>0</v>
      </c>
      <c r="CR368" s="1039">
        <f t="shared" si="636"/>
        <v>0</v>
      </c>
      <c r="CS368" s="1926">
        <f t="shared" si="636"/>
        <v>0</v>
      </c>
      <c r="CT368" s="1931">
        <f t="shared" si="636"/>
        <v>0</v>
      </c>
      <c r="CU368" s="1656">
        <f t="shared" si="636"/>
        <v>0</v>
      </c>
      <c r="CV368" s="1039">
        <f t="shared" si="636"/>
        <v>0</v>
      </c>
      <c r="CW368" s="1926">
        <f t="shared" si="636"/>
        <v>0</v>
      </c>
      <c r="CX368" s="1931">
        <f t="shared" si="636"/>
        <v>0</v>
      </c>
      <c r="CY368" s="1656">
        <f t="shared" si="636"/>
        <v>0</v>
      </c>
      <c r="CZ368" s="1039">
        <f t="shared" si="636"/>
        <v>0</v>
      </c>
      <c r="DA368" s="1926">
        <f t="shared" si="636"/>
        <v>0</v>
      </c>
      <c r="DB368" s="1931">
        <f t="shared" si="636"/>
        <v>791850</v>
      </c>
      <c r="DC368" s="1072">
        <f t="shared" si="636"/>
        <v>0</v>
      </c>
      <c r="DD368" s="1994">
        <f t="shared" si="636"/>
        <v>0</v>
      </c>
      <c r="DE368" s="1656">
        <f t="shared" si="636"/>
        <v>0</v>
      </c>
      <c r="DF368" s="1039">
        <f t="shared" si="636"/>
        <v>0</v>
      </c>
      <c r="DG368" s="1926">
        <f t="shared" si="636"/>
        <v>0</v>
      </c>
      <c r="DH368" s="1931">
        <f t="shared" si="636"/>
        <v>0</v>
      </c>
      <c r="DI368" s="970"/>
      <c r="DJ368" s="969" t="s">
        <v>1798</v>
      </c>
      <c r="DK368" s="1072">
        <f t="shared" ref="DK368:DL368" si="637">SUM(DK347:DK367)</f>
        <v>0</v>
      </c>
      <c r="DL368" s="1994">
        <f t="shared" si="637"/>
        <v>0</v>
      </c>
      <c r="DM368" s="1072">
        <f t="shared" ref="DM368:DP368" si="638">SUM(DM347:DM367)</f>
        <v>0</v>
      </c>
      <c r="DN368" s="1994">
        <f t="shared" si="638"/>
        <v>0</v>
      </c>
      <c r="DO368" s="1072">
        <f t="shared" si="638"/>
        <v>0</v>
      </c>
      <c r="DP368" s="1994">
        <f t="shared" si="638"/>
        <v>0</v>
      </c>
      <c r="DQ368" s="968"/>
      <c r="DR368" s="972" t="s">
        <v>1798</v>
      </c>
      <c r="DS368" s="1656">
        <f t="shared" ref="DS368:DV368" si="639">SUM(DS347:DS367)</f>
        <v>0</v>
      </c>
      <c r="DT368" s="1039">
        <f t="shared" si="639"/>
        <v>0</v>
      </c>
      <c r="DU368" s="1926">
        <f t="shared" si="639"/>
        <v>0</v>
      </c>
      <c r="DV368" s="1931">
        <f t="shared" si="639"/>
        <v>0</v>
      </c>
      <c r="DW368" s="968"/>
      <c r="DX368" s="969" t="s">
        <v>1798</v>
      </c>
      <c r="DY368" s="1656">
        <f t="shared" ref="DY368:ED368" si="640">SUM(DY347:DY367)</f>
        <v>0</v>
      </c>
      <c r="DZ368" s="1039">
        <f t="shared" si="640"/>
        <v>0</v>
      </c>
      <c r="EA368" s="1926">
        <f t="shared" si="640"/>
        <v>0</v>
      </c>
      <c r="EB368" s="1931">
        <f t="shared" si="640"/>
        <v>0</v>
      </c>
      <c r="EC368" s="1072">
        <f t="shared" si="640"/>
        <v>0</v>
      </c>
      <c r="ED368" s="1994">
        <f t="shared" si="640"/>
        <v>0</v>
      </c>
      <c r="EE368" s="968"/>
      <c r="EF368" s="969" t="s">
        <v>1798</v>
      </c>
      <c r="EG368" s="1072">
        <f t="shared" ref="EG368:EO368" si="641">SUM(EG347:EG367)</f>
        <v>0</v>
      </c>
      <c r="EH368" s="1994">
        <f t="shared" si="641"/>
        <v>0</v>
      </c>
      <c r="EI368" s="1656">
        <f t="shared" si="641"/>
        <v>0</v>
      </c>
      <c r="EJ368" s="1039">
        <f t="shared" si="641"/>
        <v>0</v>
      </c>
      <c r="EK368" s="1926">
        <f t="shared" si="641"/>
        <v>0</v>
      </c>
      <c r="EL368" s="1931">
        <f t="shared" si="641"/>
        <v>0</v>
      </c>
      <c r="EM368" s="1931">
        <f t="shared" si="641"/>
        <v>0</v>
      </c>
      <c r="EN368" s="1931">
        <f t="shared" si="641"/>
        <v>791850</v>
      </c>
      <c r="EO368" s="1931">
        <f t="shared" si="641"/>
        <v>0</v>
      </c>
      <c r="EP368" s="1600">
        <f t="shared" si="554"/>
        <v>791850</v>
      </c>
      <c r="EQ368" s="1074">
        <f t="shared" si="520"/>
        <v>0</v>
      </c>
      <c r="ER368" s="1787">
        <f t="shared" si="521"/>
        <v>0</v>
      </c>
      <c r="ES368" s="1787">
        <f t="shared" si="522"/>
        <v>0</v>
      </c>
      <c r="ET368" s="1410">
        <f t="shared" si="557"/>
        <v>0</v>
      </c>
    </row>
    <row r="369" spans="1:150" ht="19.95" customHeight="1" x14ac:dyDescent="0.25">
      <c r="A369" s="948"/>
      <c r="B369" s="949" t="s">
        <v>823</v>
      </c>
      <c r="C369" s="1678"/>
      <c r="D369" s="1637"/>
      <c r="E369" s="1971"/>
      <c r="F369" s="1972"/>
      <c r="G369" s="1700"/>
      <c r="H369" s="2018"/>
      <c r="I369" s="1700"/>
      <c r="J369" s="2018"/>
      <c r="K369" s="1700"/>
      <c r="L369" s="2046"/>
      <c r="M369" s="948"/>
      <c r="N369" s="949" t="s">
        <v>823</v>
      </c>
      <c r="O369" s="1700"/>
      <c r="P369" s="2046"/>
      <c r="Q369" s="1678"/>
      <c r="R369" s="1637"/>
      <c r="S369" s="1971"/>
      <c r="T369" s="1972"/>
      <c r="U369" s="1678"/>
      <c r="V369" s="1637"/>
      <c r="W369" s="1971"/>
      <c r="X369" s="1972"/>
      <c r="Y369" s="1678"/>
      <c r="Z369" s="1637"/>
      <c r="AA369" s="2082"/>
      <c r="AB369" s="1972"/>
      <c r="AC369" s="950"/>
      <c r="AD369" s="949" t="s">
        <v>823</v>
      </c>
      <c r="AE369" s="1678"/>
      <c r="AF369" s="1637"/>
      <c r="AG369" s="1971"/>
      <c r="AH369" s="1972"/>
      <c r="AI369" s="1678"/>
      <c r="AJ369" s="1637"/>
      <c r="AK369" s="1971"/>
      <c r="AL369" s="1972"/>
      <c r="AM369" s="1700"/>
      <c r="AN369" s="2046"/>
      <c r="AO369" s="1888"/>
      <c r="AP369" s="1737"/>
      <c r="AQ369" s="1738"/>
      <c r="AR369" s="2137"/>
      <c r="AS369" s="2138"/>
      <c r="AT369" s="2137"/>
      <c r="AU369" s="1678"/>
      <c r="AV369" s="1637"/>
      <c r="AW369" s="1971"/>
      <c r="AX369" s="1972"/>
      <c r="AY369" s="948"/>
      <c r="AZ369" s="949" t="s">
        <v>823</v>
      </c>
      <c r="BA369" s="1678"/>
      <c r="BB369" s="1637"/>
      <c r="BC369" s="1971"/>
      <c r="BD369" s="1972"/>
      <c r="BE369" s="948"/>
      <c r="BF369" s="949" t="s">
        <v>823</v>
      </c>
      <c r="BG369" s="1678"/>
      <c r="BH369" s="1637"/>
      <c r="BI369" s="1971"/>
      <c r="BJ369" s="1972"/>
      <c r="BK369" s="1678"/>
      <c r="BL369" s="1637"/>
      <c r="BM369" s="1971"/>
      <c r="BN369" s="1972"/>
      <c r="BO369" s="1700"/>
      <c r="BP369" s="2018"/>
      <c r="BQ369" s="1700"/>
      <c r="BR369" s="2046"/>
      <c r="BS369" s="1678"/>
      <c r="BT369" s="1637"/>
      <c r="BU369" s="1971"/>
      <c r="BV369" s="1972"/>
      <c r="BW369" s="1700"/>
      <c r="BX369" s="2046"/>
      <c r="BY369" s="1678"/>
      <c r="BZ369" s="1637"/>
      <c r="CA369" s="1971"/>
      <c r="CB369" s="1972"/>
      <c r="CC369" s="1769"/>
      <c r="CD369" s="2184"/>
      <c r="CE369" s="948"/>
      <c r="CF369" s="949" t="s">
        <v>823</v>
      </c>
      <c r="CG369" s="1678"/>
      <c r="CH369" s="1637"/>
      <c r="CI369" s="1971"/>
      <c r="CJ369" s="1972"/>
      <c r="CK369" s="948"/>
      <c r="CL369" s="949" t="s">
        <v>823</v>
      </c>
      <c r="CM369" s="1678"/>
      <c r="CN369" s="1637"/>
      <c r="CO369" s="1971"/>
      <c r="CP369" s="1972"/>
      <c r="CQ369" s="1678"/>
      <c r="CR369" s="1637"/>
      <c r="CS369" s="1971"/>
      <c r="CT369" s="1972"/>
      <c r="CU369" s="1678"/>
      <c r="CV369" s="1637"/>
      <c r="CW369" s="1971"/>
      <c r="CX369" s="1972"/>
      <c r="CY369" s="1678"/>
      <c r="CZ369" s="1637"/>
      <c r="DA369" s="1971"/>
      <c r="DB369" s="1972"/>
      <c r="DC369" s="1700"/>
      <c r="DD369" s="2046"/>
      <c r="DE369" s="1678"/>
      <c r="DF369" s="1637"/>
      <c r="DG369" s="1971"/>
      <c r="DH369" s="1972"/>
      <c r="DI369" s="950"/>
      <c r="DJ369" s="949" t="s">
        <v>823</v>
      </c>
      <c r="DK369" s="1700"/>
      <c r="DL369" s="2018"/>
      <c r="DM369" s="1700"/>
      <c r="DN369" s="2018"/>
      <c r="DO369" s="1700"/>
      <c r="DP369" s="2046"/>
      <c r="DQ369" s="948"/>
      <c r="DR369" s="951" t="s">
        <v>823</v>
      </c>
      <c r="DS369" s="1678"/>
      <c r="DT369" s="1637"/>
      <c r="DU369" s="1971"/>
      <c r="DV369" s="1972"/>
      <c r="DW369" s="948"/>
      <c r="DX369" s="949" t="s">
        <v>823</v>
      </c>
      <c r="DY369" s="1678"/>
      <c r="DZ369" s="1637"/>
      <c r="EA369" s="1971"/>
      <c r="EB369" s="1972"/>
      <c r="EC369" s="1700"/>
      <c r="ED369" s="2046"/>
      <c r="EE369" s="948"/>
      <c r="EF369" s="949" t="s">
        <v>823</v>
      </c>
      <c r="EG369" s="1700"/>
      <c r="EH369" s="2046"/>
      <c r="EI369" s="1678"/>
      <c r="EJ369" s="1637"/>
      <c r="EK369" s="2259"/>
      <c r="EL369" s="1972"/>
      <c r="EM369" s="2253"/>
      <c r="EN369" s="2254"/>
      <c r="EO369" s="2254"/>
      <c r="EP369" s="2254">
        <f t="shared" si="554"/>
        <v>0</v>
      </c>
      <c r="EQ369" s="1710">
        <f t="shared" si="520"/>
        <v>0</v>
      </c>
      <c r="ER369" s="1820">
        <f t="shared" si="521"/>
        <v>0</v>
      </c>
      <c r="ES369" s="1820">
        <f t="shared" si="522"/>
        <v>0</v>
      </c>
      <c r="ET369" s="1821">
        <f t="shared" si="557"/>
        <v>0</v>
      </c>
    </row>
    <row r="370" spans="1:150" x14ac:dyDescent="0.25">
      <c r="A370" s="952">
        <v>1</v>
      </c>
      <c r="B370" s="956"/>
      <c r="C370" s="1659"/>
      <c r="D370" s="1046"/>
      <c r="E370" s="1934"/>
      <c r="F370" s="1935"/>
      <c r="G370" s="1047"/>
      <c r="H370" s="1996"/>
      <c r="I370" s="1047"/>
      <c r="J370" s="1996"/>
      <c r="K370" s="1047"/>
      <c r="L370" s="2031"/>
      <c r="M370" s="952">
        <v>1</v>
      </c>
      <c r="N370" s="956"/>
      <c r="O370" s="1047"/>
      <c r="P370" s="2031"/>
      <c r="Q370" s="1659"/>
      <c r="R370" s="1046"/>
      <c r="S370" s="1934"/>
      <c r="T370" s="1935"/>
      <c r="U370" s="1659"/>
      <c r="V370" s="1046"/>
      <c r="W370" s="1934"/>
      <c r="X370" s="1935"/>
      <c r="Y370" s="1659"/>
      <c r="Z370" s="1046"/>
      <c r="AA370" s="2065"/>
      <c r="AB370" s="1935"/>
      <c r="AC370" s="955">
        <v>1</v>
      </c>
      <c r="AD370" s="956"/>
      <c r="AE370" s="1659"/>
      <c r="AF370" s="1046"/>
      <c r="AG370" s="1934"/>
      <c r="AH370" s="1935"/>
      <c r="AI370" s="1659"/>
      <c r="AJ370" s="1046"/>
      <c r="AK370" s="1934"/>
      <c r="AL370" s="1935"/>
      <c r="AM370" s="1047"/>
      <c r="AN370" s="2031"/>
      <c r="AO370" s="1871"/>
      <c r="AP370" s="1048"/>
      <c r="AQ370" s="1049"/>
      <c r="AR370" s="2101"/>
      <c r="AS370" s="1553"/>
      <c r="AT370" s="2101"/>
      <c r="AU370" s="1659"/>
      <c r="AV370" s="1046"/>
      <c r="AW370" s="1934"/>
      <c r="AX370" s="1935"/>
      <c r="AY370" s="952">
        <v>1</v>
      </c>
      <c r="AZ370" s="956"/>
      <c r="BA370" s="1659"/>
      <c r="BB370" s="1046"/>
      <c r="BC370" s="1934"/>
      <c r="BD370" s="1935"/>
      <c r="BE370" s="952">
        <v>1</v>
      </c>
      <c r="BF370" s="956"/>
      <c r="BG370" s="1659"/>
      <c r="BH370" s="1046"/>
      <c r="BI370" s="1934"/>
      <c r="BJ370" s="1935"/>
      <c r="BK370" s="1659"/>
      <c r="BL370" s="1046"/>
      <c r="BM370" s="1934"/>
      <c r="BN370" s="1935"/>
      <c r="BO370" s="1047"/>
      <c r="BP370" s="1996"/>
      <c r="BQ370" s="1047"/>
      <c r="BR370" s="2031"/>
      <c r="BS370" s="1659"/>
      <c r="BT370" s="1046"/>
      <c r="BU370" s="1934"/>
      <c r="BV370" s="1935"/>
      <c r="BW370" s="1047"/>
      <c r="BX370" s="2031"/>
      <c r="BY370" s="1659"/>
      <c r="BZ370" s="1046"/>
      <c r="CA370" s="1934"/>
      <c r="CB370" s="1935"/>
      <c r="CC370" s="1753"/>
      <c r="CD370" s="2161"/>
      <c r="CE370" s="952">
        <v>1</v>
      </c>
      <c r="CF370" s="956"/>
      <c r="CG370" s="1659"/>
      <c r="CH370" s="1046"/>
      <c r="CI370" s="1934"/>
      <c r="CJ370" s="1935"/>
      <c r="CK370" s="952">
        <v>1</v>
      </c>
      <c r="CL370" s="956"/>
      <c r="CM370" s="1659"/>
      <c r="CN370" s="1046"/>
      <c r="CO370" s="1934"/>
      <c r="CP370" s="1935"/>
      <c r="CQ370" s="1659"/>
      <c r="CR370" s="1046"/>
      <c r="CS370" s="1934"/>
      <c r="CT370" s="1935"/>
      <c r="CU370" s="1659"/>
      <c r="CV370" s="1046"/>
      <c r="CW370" s="1934"/>
      <c r="CX370" s="1935"/>
      <c r="CY370" s="1659"/>
      <c r="CZ370" s="1046"/>
      <c r="DA370" s="1934"/>
      <c r="DB370" s="1935"/>
      <c r="DC370" s="1047"/>
      <c r="DD370" s="2031"/>
      <c r="DE370" s="1659"/>
      <c r="DF370" s="1046"/>
      <c r="DG370" s="1934"/>
      <c r="DH370" s="1935"/>
      <c r="DI370" s="955">
        <v>1</v>
      </c>
      <c r="DJ370" s="956"/>
      <c r="DK370" s="1047"/>
      <c r="DL370" s="1996"/>
      <c r="DM370" s="1047"/>
      <c r="DN370" s="1996"/>
      <c r="DO370" s="1047"/>
      <c r="DP370" s="2031"/>
      <c r="DQ370" s="952">
        <v>1</v>
      </c>
      <c r="DR370" s="958"/>
      <c r="DS370" s="1659"/>
      <c r="DT370" s="1046"/>
      <c r="DU370" s="1934"/>
      <c r="DV370" s="1935"/>
      <c r="DW370" s="952">
        <v>1</v>
      </c>
      <c r="DX370" s="956"/>
      <c r="DY370" s="1659"/>
      <c r="DZ370" s="1046"/>
      <c r="EA370" s="1934"/>
      <c r="EB370" s="1935"/>
      <c r="EC370" s="1047"/>
      <c r="ED370" s="2031"/>
      <c r="EE370" s="952">
        <v>1</v>
      </c>
      <c r="EF370" s="956"/>
      <c r="EG370" s="1047"/>
      <c r="EH370" s="2031"/>
      <c r="EI370" s="1659"/>
      <c r="EJ370" s="1046"/>
      <c r="EK370" s="2219"/>
      <c r="EL370" s="1935"/>
      <c r="EM370" s="2202">
        <f t="shared" ref="EM370:EM373" si="642">E370+S370+W370+AA370+AG370+AK370+AN370+AR370+AW370+BC370+BI370+BM370+BR370+BU370+CA370+CD370+CI370+CO370+CS370+CW370+DA370+DG370+DU370+EA370+EK370</f>
        <v>0</v>
      </c>
      <c r="EN370" s="1585">
        <f t="shared" ref="EN370:EN373" si="643">F370+H370+J370+L370+P370+T370+X370+AB370+AH370+AL370+AS370+AX370+BD370+BJ370+BN370+BP370+BV370+BX370+CB370+CJ370+CP370+CT370+CX370+DB370+DD370+DH370+DN370+DP370+DV370+EB370+ED370+EH370+EL370+DL370</f>
        <v>0</v>
      </c>
      <c r="EO370" s="1585">
        <f t="shared" ref="EO370:EO373" si="644">AQ370</f>
        <v>0</v>
      </c>
      <c r="EP370" s="1585">
        <f t="shared" si="554"/>
        <v>0</v>
      </c>
      <c r="EQ370" s="988">
        <f t="shared" si="520"/>
        <v>0</v>
      </c>
      <c r="ER370" s="1775">
        <f t="shared" si="521"/>
        <v>0</v>
      </c>
      <c r="ES370" s="1775">
        <f t="shared" si="522"/>
        <v>0</v>
      </c>
      <c r="ET370" s="992">
        <f t="shared" si="557"/>
        <v>0</v>
      </c>
    </row>
    <row r="371" spans="1:150" x14ac:dyDescent="0.25">
      <c r="A371" s="952">
        <v>2</v>
      </c>
      <c r="B371" s="956"/>
      <c r="C371" s="1659"/>
      <c r="D371" s="1046"/>
      <c r="E371" s="1934"/>
      <c r="F371" s="1935"/>
      <c r="G371" s="1047"/>
      <c r="H371" s="1996"/>
      <c r="I371" s="1047"/>
      <c r="J371" s="1996"/>
      <c r="K371" s="1047"/>
      <c r="L371" s="2031"/>
      <c r="M371" s="952">
        <v>2</v>
      </c>
      <c r="N371" s="956"/>
      <c r="O371" s="1047"/>
      <c r="P371" s="2031"/>
      <c r="Q371" s="1659"/>
      <c r="R371" s="1046"/>
      <c r="S371" s="1934"/>
      <c r="T371" s="1935"/>
      <c r="U371" s="1659"/>
      <c r="V371" s="1046"/>
      <c r="W371" s="1934"/>
      <c r="X371" s="1935"/>
      <c r="Y371" s="1659"/>
      <c r="Z371" s="1046"/>
      <c r="AA371" s="2065"/>
      <c r="AB371" s="1935"/>
      <c r="AC371" s="955">
        <v>2</v>
      </c>
      <c r="AD371" s="956"/>
      <c r="AE371" s="1659"/>
      <c r="AF371" s="1046"/>
      <c r="AG371" s="1934"/>
      <c r="AH371" s="1935"/>
      <c r="AI371" s="1659"/>
      <c r="AJ371" s="1046"/>
      <c r="AK371" s="1934"/>
      <c r="AL371" s="1935"/>
      <c r="AM371" s="1047"/>
      <c r="AN371" s="2031"/>
      <c r="AO371" s="1871"/>
      <c r="AP371" s="1048"/>
      <c r="AQ371" s="1049"/>
      <c r="AR371" s="2101"/>
      <c r="AS371" s="1553"/>
      <c r="AT371" s="2101"/>
      <c r="AU371" s="1659"/>
      <c r="AV371" s="1046"/>
      <c r="AW371" s="1934"/>
      <c r="AX371" s="1935"/>
      <c r="AY371" s="952">
        <v>2</v>
      </c>
      <c r="AZ371" s="956"/>
      <c r="BA371" s="1659"/>
      <c r="BB371" s="1046"/>
      <c r="BC371" s="1934"/>
      <c r="BD371" s="1935"/>
      <c r="BE371" s="952">
        <v>2</v>
      </c>
      <c r="BF371" s="956"/>
      <c r="BG371" s="1659"/>
      <c r="BH371" s="1046"/>
      <c r="BI371" s="1934"/>
      <c r="BJ371" s="1935"/>
      <c r="BK371" s="1659"/>
      <c r="BL371" s="1046"/>
      <c r="BM371" s="1934"/>
      <c r="BN371" s="1935"/>
      <c r="BO371" s="1047"/>
      <c r="BP371" s="1996"/>
      <c r="BQ371" s="1047"/>
      <c r="BR371" s="2031"/>
      <c r="BS371" s="1659"/>
      <c r="BT371" s="1046"/>
      <c r="BU371" s="1934"/>
      <c r="BV371" s="1935"/>
      <c r="BW371" s="1047"/>
      <c r="BX371" s="2031"/>
      <c r="BY371" s="1659"/>
      <c r="BZ371" s="1046"/>
      <c r="CA371" s="1934"/>
      <c r="CB371" s="1935"/>
      <c r="CC371" s="1753"/>
      <c r="CD371" s="2161"/>
      <c r="CE371" s="952">
        <v>2</v>
      </c>
      <c r="CF371" s="956"/>
      <c r="CG371" s="1659"/>
      <c r="CH371" s="1046"/>
      <c r="CI371" s="1934"/>
      <c r="CJ371" s="1935"/>
      <c r="CK371" s="952">
        <v>2</v>
      </c>
      <c r="CL371" s="956"/>
      <c r="CM371" s="1659"/>
      <c r="CN371" s="1046"/>
      <c r="CO371" s="1934"/>
      <c r="CP371" s="1935"/>
      <c r="CQ371" s="1659"/>
      <c r="CR371" s="1046"/>
      <c r="CS371" s="1934"/>
      <c r="CT371" s="1935"/>
      <c r="CU371" s="1659"/>
      <c r="CV371" s="1046"/>
      <c r="CW371" s="1934"/>
      <c r="CX371" s="1935"/>
      <c r="CY371" s="1659"/>
      <c r="CZ371" s="1046"/>
      <c r="DA371" s="1934"/>
      <c r="DB371" s="1935"/>
      <c r="DC371" s="1047"/>
      <c r="DD371" s="2031"/>
      <c r="DE371" s="1659"/>
      <c r="DF371" s="1046"/>
      <c r="DG371" s="1934"/>
      <c r="DH371" s="1935"/>
      <c r="DI371" s="955">
        <v>2</v>
      </c>
      <c r="DJ371" s="956"/>
      <c r="DK371" s="1047"/>
      <c r="DL371" s="1996"/>
      <c r="DM371" s="1047"/>
      <c r="DN371" s="1996"/>
      <c r="DO371" s="1047"/>
      <c r="DP371" s="2031"/>
      <c r="DQ371" s="952">
        <v>2</v>
      </c>
      <c r="DR371" s="958"/>
      <c r="DS371" s="1659"/>
      <c r="DT371" s="1046"/>
      <c r="DU371" s="1934"/>
      <c r="DV371" s="1935"/>
      <c r="DW371" s="952">
        <v>2</v>
      </c>
      <c r="DX371" s="956"/>
      <c r="DY371" s="1659"/>
      <c r="DZ371" s="1046"/>
      <c r="EA371" s="1934"/>
      <c r="EB371" s="1935"/>
      <c r="EC371" s="1047"/>
      <c r="ED371" s="2031"/>
      <c r="EE371" s="952">
        <v>2</v>
      </c>
      <c r="EF371" s="956"/>
      <c r="EG371" s="1047"/>
      <c r="EH371" s="2031"/>
      <c r="EI371" s="1659"/>
      <c r="EJ371" s="1046"/>
      <c r="EK371" s="2219"/>
      <c r="EL371" s="1935"/>
      <c r="EM371" s="2202">
        <f t="shared" si="642"/>
        <v>0</v>
      </c>
      <c r="EN371" s="1585">
        <f t="shared" si="643"/>
        <v>0</v>
      </c>
      <c r="EO371" s="1585">
        <f t="shared" si="644"/>
        <v>0</v>
      </c>
      <c r="EP371" s="1585">
        <f t="shared" si="554"/>
        <v>0</v>
      </c>
      <c r="EQ371" s="988">
        <f t="shared" si="520"/>
        <v>0</v>
      </c>
      <c r="ER371" s="1775">
        <f t="shared" si="521"/>
        <v>0</v>
      </c>
      <c r="ES371" s="1775">
        <f t="shared" si="522"/>
        <v>0</v>
      </c>
      <c r="ET371" s="992">
        <f t="shared" si="557"/>
        <v>0</v>
      </c>
    </row>
    <row r="372" spans="1:150" x14ac:dyDescent="0.25">
      <c r="A372" s="952">
        <v>3</v>
      </c>
      <c r="B372" s="956"/>
      <c r="C372" s="1659"/>
      <c r="D372" s="1046"/>
      <c r="E372" s="1934"/>
      <c r="F372" s="1935"/>
      <c r="G372" s="1047"/>
      <c r="H372" s="1996"/>
      <c r="I372" s="1047"/>
      <c r="J372" s="1996"/>
      <c r="K372" s="1047"/>
      <c r="L372" s="2031"/>
      <c r="M372" s="952">
        <v>3</v>
      </c>
      <c r="N372" s="956"/>
      <c r="O372" s="1047"/>
      <c r="P372" s="2031"/>
      <c r="Q372" s="1659"/>
      <c r="R372" s="1046"/>
      <c r="S372" s="1934"/>
      <c r="T372" s="1935"/>
      <c r="U372" s="1659"/>
      <c r="V372" s="1046"/>
      <c r="W372" s="1934"/>
      <c r="X372" s="1935"/>
      <c r="Y372" s="1659"/>
      <c r="Z372" s="1046"/>
      <c r="AA372" s="2065"/>
      <c r="AB372" s="1935"/>
      <c r="AC372" s="955">
        <v>3</v>
      </c>
      <c r="AD372" s="956"/>
      <c r="AE372" s="1659"/>
      <c r="AF372" s="1046"/>
      <c r="AG372" s="1934"/>
      <c r="AH372" s="1935"/>
      <c r="AI372" s="1659"/>
      <c r="AJ372" s="1046"/>
      <c r="AK372" s="1934"/>
      <c r="AL372" s="1935"/>
      <c r="AM372" s="1047"/>
      <c r="AN372" s="2031"/>
      <c r="AO372" s="1871"/>
      <c r="AP372" s="1048"/>
      <c r="AQ372" s="1049"/>
      <c r="AR372" s="2101"/>
      <c r="AS372" s="1553"/>
      <c r="AT372" s="2101"/>
      <c r="AU372" s="1659"/>
      <c r="AV372" s="1046"/>
      <c r="AW372" s="1934"/>
      <c r="AX372" s="1935"/>
      <c r="AY372" s="952">
        <v>3</v>
      </c>
      <c r="AZ372" s="956"/>
      <c r="BA372" s="1659"/>
      <c r="BB372" s="1046"/>
      <c r="BC372" s="1934"/>
      <c r="BD372" s="1935"/>
      <c r="BE372" s="952">
        <v>3</v>
      </c>
      <c r="BF372" s="956"/>
      <c r="BG372" s="1659"/>
      <c r="BH372" s="1046"/>
      <c r="BI372" s="1934"/>
      <c r="BJ372" s="1935"/>
      <c r="BK372" s="1659"/>
      <c r="BL372" s="1046"/>
      <c r="BM372" s="1934"/>
      <c r="BN372" s="1935"/>
      <c r="BO372" s="1047"/>
      <c r="BP372" s="1996"/>
      <c r="BQ372" s="1047"/>
      <c r="BR372" s="2031"/>
      <c r="BS372" s="1659"/>
      <c r="BT372" s="1046"/>
      <c r="BU372" s="1934"/>
      <c r="BV372" s="1935"/>
      <c r="BW372" s="1047"/>
      <c r="BX372" s="2031"/>
      <c r="BY372" s="1659"/>
      <c r="BZ372" s="1046"/>
      <c r="CA372" s="1934"/>
      <c r="CB372" s="1935"/>
      <c r="CC372" s="1753"/>
      <c r="CD372" s="2161"/>
      <c r="CE372" s="952">
        <v>3</v>
      </c>
      <c r="CF372" s="956"/>
      <c r="CG372" s="1659"/>
      <c r="CH372" s="1046"/>
      <c r="CI372" s="1934"/>
      <c r="CJ372" s="1935"/>
      <c r="CK372" s="952">
        <v>3</v>
      </c>
      <c r="CL372" s="956"/>
      <c r="CM372" s="1659"/>
      <c r="CN372" s="1046"/>
      <c r="CO372" s="1934"/>
      <c r="CP372" s="1935"/>
      <c r="CQ372" s="1659"/>
      <c r="CR372" s="1046"/>
      <c r="CS372" s="1934"/>
      <c r="CT372" s="1935"/>
      <c r="CU372" s="1659"/>
      <c r="CV372" s="1046"/>
      <c r="CW372" s="1934"/>
      <c r="CX372" s="1935"/>
      <c r="CY372" s="1659"/>
      <c r="CZ372" s="1046"/>
      <c r="DA372" s="1934"/>
      <c r="DB372" s="1935"/>
      <c r="DC372" s="1047"/>
      <c r="DD372" s="2031"/>
      <c r="DE372" s="1659"/>
      <c r="DF372" s="1046"/>
      <c r="DG372" s="1934"/>
      <c r="DH372" s="1935"/>
      <c r="DI372" s="955">
        <v>3</v>
      </c>
      <c r="DJ372" s="956"/>
      <c r="DK372" s="1047"/>
      <c r="DL372" s="1996"/>
      <c r="DM372" s="1047"/>
      <c r="DN372" s="1996"/>
      <c r="DO372" s="1047"/>
      <c r="DP372" s="2031"/>
      <c r="DQ372" s="952">
        <v>3</v>
      </c>
      <c r="DR372" s="958"/>
      <c r="DS372" s="1659"/>
      <c r="DT372" s="1046"/>
      <c r="DU372" s="1934"/>
      <c r="DV372" s="1935"/>
      <c r="DW372" s="952">
        <v>3</v>
      </c>
      <c r="DX372" s="956"/>
      <c r="DY372" s="1659"/>
      <c r="DZ372" s="1046"/>
      <c r="EA372" s="1934"/>
      <c r="EB372" s="1935"/>
      <c r="EC372" s="1047"/>
      <c r="ED372" s="2031"/>
      <c r="EE372" s="952">
        <v>3</v>
      </c>
      <c r="EF372" s="956"/>
      <c r="EG372" s="1047"/>
      <c r="EH372" s="2031"/>
      <c r="EI372" s="1659"/>
      <c r="EJ372" s="1046"/>
      <c r="EK372" s="2219"/>
      <c r="EL372" s="1935"/>
      <c r="EM372" s="2202">
        <f t="shared" si="642"/>
        <v>0</v>
      </c>
      <c r="EN372" s="1585">
        <f t="shared" si="643"/>
        <v>0</v>
      </c>
      <c r="EO372" s="1585">
        <f t="shared" si="644"/>
        <v>0</v>
      </c>
      <c r="EP372" s="1585">
        <f t="shared" si="554"/>
        <v>0</v>
      </c>
      <c r="EQ372" s="988">
        <f t="shared" si="520"/>
        <v>0</v>
      </c>
      <c r="ER372" s="1775">
        <f t="shared" si="521"/>
        <v>0</v>
      </c>
      <c r="ES372" s="1775">
        <f t="shared" si="522"/>
        <v>0</v>
      </c>
      <c r="ET372" s="992">
        <f t="shared" si="557"/>
        <v>0</v>
      </c>
    </row>
    <row r="373" spans="1:150" x14ac:dyDescent="0.25">
      <c r="A373" s="952"/>
      <c r="B373" s="1149"/>
      <c r="C373" s="1672"/>
      <c r="D373" s="1634"/>
      <c r="E373" s="1958"/>
      <c r="F373" s="1959"/>
      <c r="G373" s="1696"/>
      <c r="H373" s="2010"/>
      <c r="I373" s="1696"/>
      <c r="J373" s="2010"/>
      <c r="K373" s="1696"/>
      <c r="L373" s="2040"/>
      <c r="M373" s="952"/>
      <c r="N373" s="1149"/>
      <c r="O373" s="1696"/>
      <c r="P373" s="2040"/>
      <c r="Q373" s="1672"/>
      <c r="R373" s="1634"/>
      <c r="S373" s="1958"/>
      <c r="T373" s="1959"/>
      <c r="U373" s="1672"/>
      <c r="V373" s="1634"/>
      <c r="W373" s="1958"/>
      <c r="X373" s="1959"/>
      <c r="Y373" s="1672"/>
      <c r="Z373" s="1634"/>
      <c r="AA373" s="2074"/>
      <c r="AB373" s="1959"/>
      <c r="AC373" s="955"/>
      <c r="AD373" s="1149"/>
      <c r="AE373" s="1672"/>
      <c r="AF373" s="1634"/>
      <c r="AG373" s="1958"/>
      <c r="AH373" s="1959"/>
      <c r="AI373" s="1672"/>
      <c r="AJ373" s="1634"/>
      <c r="AK373" s="1958"/>
      <c r="AL373" s="1959"/>
      <c r="AM373" s="1696"/>
      <c r="AN373" s="2040"/>
      <c r="AO373" s="1879"/>
      <c r="AP373" s="1262"/>
      <c r="AQ373" s="1728"/>
      <c r="AR373" s="2122"/>
      <c r="AS373" s="1552"/>
      <c r="AT373" s="2122"/>
      <c r="AU373" s="1672"/>
      <c r="AV373" s="1634"/>
      <c r="AW373" s="1958"/>
      <c r="AX373" s="1959"/>
      <c r="AY373" s="952"/>
      <c r="AZ373" s="1149"/>
      <c r="BA373" s="1672"/>
      <c r="BB373" s="1634"/>
      <c r="BC373" s="1958"/>
      <c r="BD373" s="1959"/>
      <c r="BE373" s="952"/>
      <c r="BF373" s="1149"/>
      <c r="BG373" s="1672"/>
      <c r="BH373" s="1634"/>
      <c r="BI373" s="1958"/>
      <c r="BJ373" s="1959"/>
      <c r="BK373" s="1672"/>
      <c r="BL373" s="1634"/>
      <c r="BM373" s="1958"/>
      <c r="BN373" s="1959"/>
      <c r="BO373" s="1696"/>
      <c r="BP373" s="2010"/>
      <c r="BQ373" s="1696"/>
      <c r="BR373" s="2040"/>
      <c r="BS373" s="1672"/>
      <c r="BT373" s="1634"/>
      <c r="BU373" s="1958"/>
      <c r="BV373" s="1959"/>
      <c r="BW373" s="1696"/>
      <c r="BX373" s="2040"/>
      <c r="BY373" s="1672"/>
      <c r="BZ373" s="1634"/>
      <c r="CA373" s="1958"/>
      <c r="CB373" s="1959"/>
      <c r="CC373" s="1763"/>
      <c r="CD373" s="2174"/>
      <c r="CE373" s="952"/>
      <c r="CF373" s="1149"/>
      <c r="CG373" s="1672"/>
      <c r="CH373" s="1634"/>
      <c r="CI373" s="1958"/>
      <c r="CJ373" s="1959"/>
      <c r="CK373" s="952"/>
      <c r="CL373" s="1149"/>
      <c r="CM373" s="1672"/>
      <c r="CN373" s="1634"/>
      <c r="CO373" s="1958"/>
      <c r="CP373" s="1959"/>
      <c r="CQ373" s="1672"/>
      <c r="CR373" s="1634"/>
      <c r="CS373" s="1958"/>
      <c r="CT373" s="1959"/>
      <c r="CU373" s="1672"/>
      <c r="CV373" s="1634"/>
      <c r="CW373" s="1958"/>
      <c r="CX373" s="1959"/>
      <c r="CY373" s="1672"/>
      <c r="CZ373" s="1634"/>
      <c r="DA373" s="1958"/>
      <c r="DB373" s="1959"/>
      <c r="DC373" s="1696"/>
      <c r="DD373" s="2040"/>
      <c r="DE373" s="1672"/>
      <c r="DF373" s="1634"/>
      <c r="DG373" s="1958"/>
      <c r="DH373" s="1959"/>
      <c r="DI373" s="955"/>
      <c r="DJ373" s="1149"/>
      <c r="DK373" s="1696"/>
      <c r="DL373" s="2010"/>
      <c r="DM373" s="1696"/>
      <c r="DN373" s="2010"/>
      <c r="DO373" s="1696"/>
      <c r="DP373" s="2040"/>
      <c r="DQ373" s="952"/>
      <c r="DR373" s="1150"/>
      <c r="DS373" s="1672"/>
      <c r="DT373" s="1634"/>
      <c r="DU373" s="1958"/>
      <c r="DV373" s="1959"/>
      <c r="DW373" s="952"/>
      <c r="DX373" s="1149"/>
      <c r="DY373" s="1672"/>
      <c r="DZ373" s="1634"/>
      <c r="EA373" s="1958"/>
      <c r="EB373" s="1959"/>
      <c r="EC373" s="1696"/>
      <c r="ED373" s="2040"/>
      <c r="EE373" s="952"/>
      <c r="EF373" s="1149"/>
      <c r="EG373" s="1696"/>
      <c r="EH373" s="2040"/>
      <c r="EI373" s="1672"/>
      <c r="EJ373" s="1634"/>
      <c r="EK373" s="2232"/>
      <c r="EL373" s="1959"/>
      <c r="EM373" s="2202">
        <f t="shared" si="642"/>
        <v>0</v>
      </c>
      <c r="EN373" s="1585">
        <f t="shared" si="643"/>
        <v>0</v>
      </c>
      <c r="EO373" s="1585">
        <f t="shared" si="644"/>
        <v>0</v>
      </c>
      <c r="EP373" s="1596">
        <f t="shared" si="554"/>
        <v>0</v>
      </c>
      <c r="EQ373" s="1729">
        <f t="shared" si="520"/>
        <v>0</v>
      </c>
      <c r="ER373" s="1797">
        <f t="shared" si="521"/>
        <v>0</v>
      </c>
      <c r="ES373" s="1797">
        <f t="shared" si="522"/>
        <v>0</v>
      </c>
      <c r="ET373" s="1798">
        <f t="shared" si="557"/>
        <v>0</v>
      </c>
    </row>
    <row r="374" spans="1:150" ht="19.95" customHeight="1" thickBot="1" x14ac:dyDescent="0.3">
      <c r="A374" s="968"/>
      <c r="B374" s="969" t="s">
        <v>1799</v>
      </c>
      <c r="C374" s="1656">
        <f t="shared" ref="C374:L374" si="645">SUM(C369:C373)</f>
        <v>0</v>
      </c>
      <c r="D374" s="1642">
        <f t="shared" si="645"/>
        <v>0</v>
      </c>
      <c r="E374" s="1926">
        <f t="shared" si="645"/>
        <v>0</v>
      </c>
      <c r="F374" s="1927">
        <f t="shared" si="645"/>
        <v>0</v>
      </c>
      <c r="G374" s="1058">
        <f t="shared" si="645"/>
        <v>0</v>
      </c>
      <c r="H374" s="1992">
        <f t="shared" si="645"/>
        <v>0</v>
      </c>
      <c r="I374" s="1058">
        <f t="shared" si="645"/>
        <v>0</v>
      </c>
      <c r="J374" s="1992">
        <f t="shared" si="645"/>
        <v>0</v>
      </c>
      <c r="K374" s="1058">
        <f t="shared" si="645"/>
        <v>0</v>
      </c>
      <c r="L374" s="1992">
        <f t="shared" si="645"/>
        <v>0</v>
      </c>
      <c r="M374" s="968"/>
      <c r="N374" s="969" t="s">
        <v>1799</v>
      </c>
      <c r="O374" s="1058">
        <f t="shared" ref="O374:AB374" si="646">SUM(O369:O373)</f>
        <v>0</v>
      </c>
      <c r="P374" s="1992">
        <f t="shared" si="646"/>
        <v>0</v>
      </c>
      <c r="Q374" s="1656">
        <f t="shared" si="646"/>
        <v>0</v>
      </c>
      <c r="R374" s="1642">
        <f t="shared" si="646"/>
        <v>0</v>
      </c>
      <c r="S374" s="1926">
        <f t="shared" si="646"/>
        <v>0</v>
      </c>
      <c r="T374" s="1927">
        <f t="shared" si="646"/>
        <v>0</v>
      </c>
      <c r="U374" s="1656">
        <f t="shared" si="646"/>
        <v>0</v>
      </c>
      <c r="V374" s="1642">
        <f t="shared" si="646"/>
        <v>0</v>
      </c>
      <c r="W374" s="1926">
        <f t="shared" si="646"/>
        <v>0</v>
      </c>
      <c r="X374" s="1927">
        <f t="shared" si="646"/>
        <v>0</v>
      </c>
      <c r="Y374" s="1656">
        <f t="shared" si="646"/>
        <v>0</v>
      </c>
      <c r="Z374" s="1642">
        <f t="shared" si="646"/>
        <v>0</v>
      </c>
      <c r="AA374" s="1926">
        <f t="shared" si="646"/>
        <v>0</v>
      </c>
      <c r="AB374" s="1927">
        <f t="shared" si="646"/>
        <v>0</v>
      </c>
      <c r="AC374" s="970"/>
      <c r="AD374" s="969" t="s">
        <v>1799</v>
      </c>
      <c r="AE374" s="1656">
        <f t="shared" ref="AE374:AX374" si="647">SUM(AE369:AE373)</f>
        <v>0</v>
      </c>
      <c r="AF374" s="1642">
        <f t="shared" si="647"/>
        <v>0</v>
      </c>
      <c r="AG374" s="1926">
        <f t="shared" si="647"/>
        <v>0</v>
      </c>
      <c r="AH374" s="1927">
        <f t="shared" si="647"/>
        <v>0</v>
      </c>
      <c r="AI374" s="1656">
        <f t="shared" si="647"/>
        <v>0</v>
      </c>
      <c r="AJ374" s="1642">
        <f t="shared" si="647"/>
        <v>0</v>
      </c>
      <c r="AK374" s="1926">
        <f t="shared" si="647"/>
        <v>0</v>
      </c>
      <c r="AL374" s="1927">
        <f t="shared" si="647"/>
        <v>0</v>
      </c>
      <c r="AM374" s="1058">
        <f t="shared" si="647"/>
        <v>0</v>
      </c>
      <c r="AN374" s="1992">
        <f t="shared" si="647"/>
        <v>0</v>
      </c>
      <c r="AO374" s="1656">
        <f t="shared" si="647"/>
        <v>0</v>
      </c>
      <c r="AP374" s="1854">
        <f t="shared" si="647"/>
        <v>0</v>
      </c>
      <c r="AQ374" s="1030">
        <f t="shared" si="647"/>
        <v>0</v>
      </c>
      <c r="AR374" s="1926">
        <f t="shared" si="647"/>
        <v>0</v>
      </c>
      <c r="AS374" s="2096">
        <f t="shared" si="647"/>
        <v>0</v>
      </c>
      <c r="AT374" s="2097">
        <f t="shared" si="647"/>
        <v>0</v>
      </c>
      <c r="AU374" s="1656">
        <f t="shared" si="647"/>
        <v>0</v>
      </c>
      <c r="AV374" s="1642">
        <f t="shared" si="647"/>
        <v>0</v>
      </c>
      <c r="AW374" s="1926">
        <f t="shared" si="647"/>
        <v>0</v>
      </c>
      <c r="AX374" s="1927">
        <f t="shared" si="647"/>
        <v>0</v>
      </c>
      <c r="AY374" s="968"/>
      <c r="AZ374" s="969" t="s">
        <v>1799</v>
      </c>
      <c r="BA374" s="1656">
        <f t="shared" ref="BA374:BD374" si="648">SUM(BA369:BA373)</f>
        <v>0</v>
      </c>
      <c r="BB374" s="1642">
        <f t="shared" si="648"/>
        <v>0</v>
      </c>
      <c r="BC374" s="1926">
        <f t="shared" si="648"/>
        <v>0</v>
      </c>
      <c r="BD374" s="1927">
        <f t="shared" si="648"/>
        <v>0</v>
      </c>
      <c r="BE374" s="968"/>
      <c r="BF374" s="969" t="s">
        <v>1799</v>
      </c>
      <c r="BG374" s="1656">
        <f t="shared" ref="BG374:CD374" si="649">SUM(BG369:BG373)</f>
        <v>0</v>
      </c>
      <c r="BH374" s="1642">
        <f t="shared" si="649"/>
        <v>0</v>
      </c>
      <c r="BI374" s="1926">
        <f t="shared" si="649"/>
        <v>0</v>
      </c>
      <c r="BJ374" s="1927">
        <f t="shared" si="649"/>
        <v>0</v>
      </c>
      <c r="BK374" s="1656">
        <f t="shared" si="649"/>
        <v>0</v>
      </c>
      <c r="BL374" s="1642">
        <f t="shared" si="649"/>
        <v>0</v>
      </c>
      <c r="BM374" s="1926">
        <f t="shared" si="649"/>
        <v>0</v>
      </c>
      <c r="BN374" s="1927">
        <f t="shared" si="649"/>
        <v>0</v>
      </c>
      <c r="BO374" s="1058">
        <f t="shared" si="649"/>
        <v>0</v>
      </c>
      <c r="BP374" s="1992">
        <f t="shared" si="649"/>
        <v>0</v>
      </c>
      <c r="BQ374" s="1058">
        <f t="shared" si="649"/>
        <v>0</v>
      </c>
      <c r="BR374" s="1992">
        <f t="shared" si="649"/>
        <v>0</v>
      </c>
      <c r="BS374" s="1656">
        <f t="shared" si="649"/>
        <v>0</v>
      </c>
      <c r="BT374" s="1642">
        <f t="shared" si="649"/>
        <v>0</v>
      </c>
      <c r="BU374" s="1926">
        <f t="shared" si="649"/>
        <v>0</v>
      </c>
      <c r="BV374" s="1927">
        <f t="shared" si="649"/>
        <v>0</v>
      </c>
      <c r="BW374" s="1058">
        <f t="shared" si="649"/>
        <v>0</v>
      </c>
      <c r="BX374" s="1992">
        <f t="shared" si="649"/>
        <v>0</v>
      </c>
      <c r="BY374" s="1656">
        <f t="shared" si="649"/>
        <v>0</v>
      </c>
      <c r="BZ374" s="1642">
        <f t="shared" si="649"/>
        <v>0</v>
      </c>
      <c r="CA374" s="1926">
        <f t="shared" si="649"/>
        <v>0</v>
      </c>
      <c r="CB374" s="1927">
        <f t="shared" si="649"/>
        <v>0</v>
      </c>
      <c r="CC374" s="1705">
        <f t="shared" si="649"/>
        <v>0</v>
      </c>
      <c r="CD374" s="2159">
        <f t="shared" si="649"/>
        <v>0</v>
      </c>
      <c r="CE374" s="968"/>
      <c r="CF374" s="969" t="s">
        <v>1799</v>
      </c>
      <c r="CG374" s="1656">
        <f t="shared" ref="CG374:CJ374" si="650">SUM(CG369:CG373)</f>
        <v>0</v>
      </c>
      <c r="CH374" s="1642">
        <f t="shared" si="650"/>
        <v>0</v>
      </c>
      <c r="CI374" s="1926">
        <f t="shared" si="650"/>
        <v>0</v>
      </c>
      <c r="CJ374" s="1927">
        <f t="shared" si="650"/>
        <v>0</v>
      </c>
      <c r="CK374" s="968"/>
      <c r="CL374" s="969" t="s">
        <v>1799</v>
      </c>
      <c r="CM374" s="1656">
        <f t="shared" ref="CM374:DH374" si="651">SUM(CM369:CM373)</f>
        <v>0</v>
      </c>
      <c r="CN374" s="1642">
        <f t="shared" si="651"/>
        <v>0</v>
      </c>
      <c r="CO374" s="1926">
        <f t="shared" si="651"/>
        <v>0</v>
      </c>
      <c r="CP374" s="1927">
        <f t="shared" si="651"/>
        <v>0</v>
      </c>
      <c r="CQ374" s="1656">
        <f t="shared" si="651"/>
        <v>0</v>
      </c>
      <c r="CR374" s="1642">
        <f t="shared" si="651"/>
        <v>0</v>
      </c>
      <c r="CS374" s="1926">
        <f t="shared" si="651"/>
        <v>0</v>
      </c>
      <c r="CT374" s="1927">
        <f t="shared" si="651"/>
        <v>0</v>
      </c>
      <c r="CU374" s="1656">
        <f t="shared" si="651"/>
        <v>0</v>
      </c>
      <c r="CV374" s="1642">
        <f t="shared" si="651"/>
        <v>0</v>
      </c>
      <c r="CW374" s="1926">
        <f t="shared" si="651"/>
        <v>0</v>
      </c>
      <c r="CX374" s="1927">
        <f t="shared" si="651"/>
        <v>0</v>
      </c>
      <c r="CY374" s="1656">
        <f t="shared" si="651"/>
        <v>0</v>
      </c>
      <c r="CZ374" s="1642">
        <f t="shared" si="651"/>
        <v>0</v>
      </c>
      <c r="DA374" s="1926">
        <f t="shared" si="651"/>
        <v>0</v>
      </c>
      <c r="DB374" s="1927">
        <f t="shared" si="651"/>
        <v>0</v>
      </c>
      <c r="DC374" s="1058">
        <f t="shared" si="651"/>
        <v>0</v>
      </c>
      <c r="DD374" s="1992">
        <f t="shared" si="651"/>
        <v>0</v>
      </c>
      <c r="DE374" s="1656">
        <f t="shared" si="651"/>
        <v>0</v>
      </c>
      <c r="DF374" s="1642">
        <f t="shared" si="651"/>
        <v>0</v>
      </c>
      <c r="DG374" s="1926">
        <f t="shared" si="651"/>
        <v>0</v>
      </c>
      <c r="DH374" s="1927">
        <f t="shared" si="651"/>
        <v>0</v>
      </c>
      <c r="DI374" s="970"/>
      <c r="DJ374" s="969" t="s">
        <v>1799</v>
      </c>
      <c r="DK374" s="1058">
        <f t="shared" ref="DK374:DL374" si="652">SUM(DK369:DK373)</f>
        <v>0</v>
      </c>
      <c r="DL374" s="1992">
        <f t="shared" si="652"/>
        <v>0</v>
      </c>
      <c r="DM374" s="1058">
        <f t="shared" ref="DM374:DP374" si="653">SUM(DM369:DM373)</f>
        <v>0</v>
      </c>
      <c r="DN374" s="1992">
        <f t="shared" si="653"/>
        <v>0</v>
      </c>
      <c r="DO374" s="1058">
        <f t="shared" si="653"/>
        <v>0</v>
      </c>
      <c r="DP374" s="1992">
        <f t="shared" si="653"/>
        <v>0</v>
      </c>
      <c r="DQ374" s="968"/>
      <c r="DR374" s="972" t="s">
        <v>1799</v>
      </c>
      <c r="DS374" s="1656">
        <f t="shared" ref="DS374:DV374" si="654">SUM(DS369:DS373)</f>
        <v>0</v>
      </c>
      <c r="DT374" s="1642">
        <f t="shared" si="654"/>
        <v>0</v>
      </c>
      <c r="DU374" s="1926">
        <f t="shared" si="654"/>
        <v>0</v>
      </c>
      <c r="DV374" s="1927">
        <f t="shared" si="654"/>
        <v>0</v>
      </c>
      <c r="DW374" s="968"/>
      <c r="DX374" s="969" t="s">
        <v>1799</v>
      </c>
      <c r="DY374" s="1656">
        <f t="shared" ref="DY374:ED374" si="655">SUM(DY369:DY373)</f>
        <v>0</v>
      </c>
      <c r="DZ374" s="1642">
        <f t="shared" si="655"/>
        <v>0</v>
      </c>
      <c r="EA374" s="1926">
        <f t="shared" si="655"/>
        <v>0</v>
      </c>
      <c r="EB374" s="1927">
        <f t="shared" si="655"/>
        <v>0</v>
      </c>
      <c r="EC374" s="1058">
        <f t="shared" si="655"/>
        <v>0</v>
      </c>
      <c r="ED374" s="1992">
        <f t="shared" si="655"/>
        <v>0</v>
      </c>
      <c r="EE374" s="968"/>
      <c r="EF374" s="969" t="s">
        <v>1799</v>
      </c>
      <c r="EG374" s="1058">
        <f t="shared" ref="EG374:EO374" si="656">SUM(EG369:EG373)</f>
        <v>0</v>
      </c>
      <c r="EH374" s="1992">
        <f t="shared" si="656"/>
        <v>0</v>
      </c>
      <c r="EI374" s="1656">
        <f t="shared" si="656"/>
        <v>0</v>
      </c>
      <c r="EJ374" s="1642">
        <f t="shared" si="656"/>
        <v>0</v>
      </c>
      <c r="EK374" s="1926">
        <f t="shared" si="656"/>
        <v>0</v>
      </c>
      <c r="EL374" s="1927">
        <f t="shared" si="656"/>
        <v>0</v>
      </c>
      <c r="EM374" s="1927">
        <f t="shared" si="656"/>
        <v>0</v>
      </c>
      <c r="EN374" s="1927">
        <f t="shared" si="656"/>
        <v>0</v>
      </c>
      <c r="EO374" s="1927">
        <f t="shared" si="656"/>
        <v>0</v>
      </c>
      <c r="EP374" s="1962">
        <f t="shared" si="554"/>
        <v>0</v>
      </c>
      <c r="EQ374" s="1707">
        <f t="shared" si="520"/>
        <v>0</v>
      </c>
      <c r="ER374" s="1786">
        <f t="shared" si="521"/>
        <v>0</v>
      </c>
      <c r="ES374" s="1786">
        <f t="shared" si="522"/>
        <v>0</v>
      </c>
      <c r="ET374" s="1061">
        <f t="shared" si="557"/>
        <v>0</v>
      </c>
    </row>
    <row r="375" spans="1:150" ht="30" customHeight="1" x14ac:dyDescent="0.25">
      <c r="A375" s="1383"/>
      <c r="B375" s="1273" t="s">
        <v>1800</v>
      </c>
      <c r="C375" s="1657"/>
      <c r="D375" s="1034"/>
      <c r="E375" s="1928"/>
      <c r="F375" s="1929"/>
      <c r="G375" s="1152"/>
      <c r="H375" s="1993"/>
      <c r="I375" s="1152"/>
      <c r="J375" s="1993"/>
      <c r="K375" s="1152"/>
      <c r="L375" s="1975"/>
      <c r="M375" s="1383"/>
      <c r="N375" s="1273" t="s">
        <v>1800</v>
      </c>
      <c r="O375" s="1152"/>
      <c r="P375" s="1975"/>
      <c r="Q375" s="1657"/>
      <c r="R375" s="1034"/>
      <c r="S375" s="1928"/>
      <c r="T375" s="1929"/>
      <c r="U375" s="1657"/>
      <c r="V375" s="1034"/>
      <c r="W375" s="1928"/>
      <c r="X375" s="1929"/>
      <c r="Y375" s="1657"/>
      <c r="Z375" s="1034"/>
      <c r="AA375" s="2062"/>
      <c r="AB375" s="1929"/>
      <c r="AC375" s="1843"/>
      <c r="AD375" s="1273" t="s">
        <v>1800</v>
      </c>
      <c r="AE375" s="1657"/>
      <c r="AF375" s="1034"/>
      <c r="AG375" s="1928"/>
      <c r="AH375" s="1929"/>
      <c r="AI375" s="1657"/>
      <c r="AJ375" s="1034"/>
      <c r="AK375" s="1928"/>
      <c r="AL375" s="1929"/>
      <c r="AM375" s="1152"/>
      <c r="AN375" s="1975"/>
      <c r="AO375" s="1702"/>
      <c r="AP375" s="1154"/>
      <c r="AQ375" s="1155"/>
      <c r="AR375" s="2098"/>
      <c r="AS375" s="1421"/>
      <c r="AT375" s="2098"/>
      <c r="AU375" s="1657"/>
      <c r="AV375" s="1034"/>
      <c r="AW375" s="1928"/>
      <c r="AX375" s="1929"/>
      <c r="AY375" s="1383"/>
      <c r="AZ375" s="1273" t="s">
        <v>1800</v>
      </c>
      <c r="BA375" s="1657"/>
      <c r="BB375" s="1034"/>
      <c r="BC375" s="1928"/>
      <c r="BD375" s="1929"/>
      <c r="BE375" s="1383"/>
      <c r="BF375" s="1273" t="s">
        <v>1800</v>
      </c>
      <c r="BG375" s="1657"/>
      <c r="BH375" s="1034"/>
      <c r="BI375" s="1928"/>
      <c r="BJ375" s="1929"/>
      <c r="BK375" s="1657"/>
      <c r="BL375" s="1034"/>
      <c r="BM375" s="1928"/>
      <c r="BN375" s="1929"/>
      <c r="BO375" s="1152"/>
      <c r="BP375" s="1993"/>
      <c r="BQ375" s="1152"/>
      <c r="BR375" s="1975"/>
      <c r="BS375" s="1657"/>
      <c r="BT375" s="1034"/>
      <c r="BU375" s="1928"/>
      <c r="BV375" s="1929"/>
      <c r="BW375" s="1152"/>
      <c r="BX375" s="1975"/>
      <c r="BY375" s="1657"/>
      <c r="BZ375" s="1034"/>
      <c r="CA375" s="1928"/>
      <c r="CB375" s="1929"/>
      <c r="CC375" s="1749"/>
      <c r="CD375" s="2156"/>
      <c r="CE375" s="1383"/>
      <c r="CF375" s="1273" t="s">
        <v>1800</v>
      </c>
      <c r="CG375" s="1657"/>
      <c r="CH375" s="1034"/>
      <c r="CI375" s="1928"/>
      <c r="CJ375" s="1929"/>
      <c r="CK375" s="1383"/>
      <c r="CL375" s="1273" t="s">
        <v>1800</v>
      </c>
      <c r="CM375" s="1657"/>
      <c r="CN375" s="1034"/>
      <c r="CO375" s="1928"/>
      <c r="CP375" s="1929"/>
      <c r="CQ375" s="1657"/>
      <c r="CR375" s="1034"/>
      <c r="CS375" s="1928"/>
      <c r="CT375" s="1929"/>
      <c r="CU375" s="1657"/>
      <c r="CV375" s="1034"/>
      <c r="CW375" s="1928"/>
      <c r="CX375" s="1929"/>
      <c r="CY375" s="1657"/>
      <c r="CZ375" s="1034"/>
      <c r="DA375" s="1928"/>
      <c r="DB375" s="1929"/>
      <c r="DC375" s="1152"/>
      <c r="DD375" s="1975"/>
      <c r="DE375" s="1657"/>
      <c r="DF375" s="1034"/>
      <c r="DG375" s="1928"/>
      <c r="DH375" s="1929"/>
      <c r="DI375" s="1843"/>
      <c r="DJ375" s="1273" t="s">
        <v>1800</v>
      </c>
      <c r="DK375" s="1152"/>
      <c r="DL375" s="1993"/>
      <c r="DM375" s="1152"/>
      <c r="DN375" s="1993"/>
      <c r="DO375" s="1152"/>
      <c r="DP375" s="1975"/>
      <c r="DQ375" s="1383"/>
      <c r="DR375" s="1273" t="s">
        <v>1800</v>
      </c>
      <c r="DS375" s="1657"/>
      <c r="DT375" s="1034"/>
      <c r="DU375" s="1928"/>
      <c r="DV375" s="1929"/>
      <c r="DW375" s="1383"/>
      <c r="DX375" s="1273" t="s">
        <v>1800</v>
      </c>
      <c r="DY375" s="1657"/>
      <c r="DZ375" s="1034"/>
      <c r="EA375" s="1928"/>
      <c r="EB375" s="1929"/>
      <c r="EC375" s="1152"/>
      <c r="ED375" s="1975"/>
      <c r="EE375" s="1383"/>
      <c r="EF375" s="1273" t="s">
        <v>1800</v>
      </c>
      <c r="EG375" s="1152"/>
      <c r="EH375" s="1975"/>
      <c r="EI375" s="1657"/>
      <c r="EJ375" s="1034"/>
      <c r="EK375" s="2215"/>
      <c r="EL375" s="1929"/>
      <c r="EM375" s="2260"/>
      <c r="EN375" s="2236"/>
      <c r="EO375" s="2236"/>
      <c r="EP375" s="2236">
        <f t="shared" si="554"/>
        <v>0</v>
      </c>
      <c r="EQ375" s="1144">
        <f t="shared" si="520"/>
        <v>0</v>
      </c>
      <c r="ER375" s="1799">
        <f t="shared" si="521"/>
        <v>0</v>
      </c>
      <c r="ES375" s="1799">
        <f t="shared" si="522"/>
        <v>0</v>
      </c>
      <c r="ET375" s="1158">
        <f t="shared" si="557"/>
        <v>0</v>
      </c>
    </row>
    <row r="376" spans="1:150" s="1840" customFormat="1" x14ac:dyDescent="0.25">
      <c r="A376" s="952">
        <v>1</v>
      </c>
      <c r="B376" s="1149"/>
      <c r="C376" s="1672"/>
      <c r="D376" s="1634"/>
      <c r="E376" s="1958"/>
      <c r="F376" s="1959"/>
      <c r="G376" s="1696"/>
      <c r="H376" s="2010"/>
      <c r="I376" s="1696"/>
      <c r="J376" s="2010"/>
      <c r="K376" s="1696"/>
      <c r="L376" s="2040"/>
      <c r="M376" s="952">
        <v>1</v>
      </c>
      <c r="N376" s="1149"/>
      <c r="O376" s="1696"/>
      <c r="P376" s="2040"/>
      <c r="Q376" s="1672"/>
      <c r="R376" s="1634"/>
      <c r="S376" s="1958"/>
      <c r="T376" s="1959"/>
      <c r="U376" s="1672"/>
      <c r="V376" s="1634"/>
      <c r="W376" s="1958"/>
      <c r="X376" s="1959"/>
      <c r="Y376" s="1672"/>
      <c r="Z376" s="1634"/>
      <c r="AA376" s="2074"/>
      <c r="AB376" s="1959"/>
      <c r="AC376" s="955">
        <v>1</v>
      </c>
      <c r="AD376" s="1149"/>
      <c r="AE376" s="1672"/>
      <c r="AF376" s="1634"/>
      <c r="AG376" s="1958"/>
      <c r="AH376" s="1959"/>
      <c r="AI376" s="1672"/>
      <c r="AJ376" s="1634"/>
      <c r="AK376" s="1958"/>
      <c r="AL376" s="1959"/>
      <c r="AM376" s="1696"/>
      <c r="AN376" s="2040"/>
      <c r="AO376" s="1879"/>
      <c r="AP376" s="1262"/>
      <c r="AQ376" s="1728"/>
      <c r="AR376" s="2122"/>
      <c r="AS376" s="1552"/>
      <c r="AT376" s="2122"/>
      <c r="AU376" s="1672"/>
      <c r="AV376" s="1634"/>
      <c r="AW376" s="1958"/>
      <c r="AX376" s="1959"/>
      <c r="AY376" s="952">
        <v>1</v>
      </c>
      <c r="AZ376" s="1149"/>
      <c r="BA376" s="1672"/>
      <c r="BB376" s="1634"/>
      <c r="BC376" s="1958"/>
      <c r="BD376" s="1959"/>
      <c r="BE376" s="952">
        <v>1</v>
      </c>
      <c r="BF376" s="1149"/>
      <c r="BG376" s="1672"/>
      <c r="BH376" s="1634"/>
      <c r="BI376" s="1958"/>
      <c r="BJ376" s="1959"/>
      <c r="BK376" s="1672"/>
      <c r="BL376" s="1634"/>
      <c r="BM376" s="1958"/>
      <c r="BN376" s="1959"/>
      <c r="BO376" s="1696"/>
      <c r="BP376" s="2010"/>
      <c r="BQ376" s="1696"/>
      <c r="BR376" s="2040"/>
      <c r="BS376" s="1672"/>
      <c r="BT376" s="1634"/>
      <c r="BU376" s="1958"/>
      <c r="BV376" s="1959"/>
      <c r="BW376" s="1696"/>
      <c r="BX376" s="2040"/>
      <c r="BY376" s="1672"/>
      <c r="BZ376" s="1634"/>
      <c r="CA376" s="1958"/>
      <c r="CB376" s="1959"/>
      <c r="CC376" s="1763"/>
      <c r="CD376" s="2174"/>
      <c r="CE376" s="952">
        <v>1</v>
      </c>
      <c r="CF376" s="1149"/>
      <c r="CG376" s="1672"/>
      <c r="CH376" s="1634"/>
      <c r="CI376" s="1958"/>
      <c r="CJ376" s="1959"/>
      <c r="CK376" s="952">
        <v>1</v>
      </c>
      <c r="CL376" s="1149"/>
      <c r="CM376" s="1672"/>
      <c r="CN376" s="1634"/>
      <c r="CO376" s="1958"/>
      <c r="CP376" s="1959"/>
      <c r="CQ376" s="1672"/>
      <c r="CR376" s="1634"/>
      <c r="CS376" s="1958"/>
      <c r="CT376" s="1959"/>
      <c r="CU376" s="1672"/>
      <c r="CV376" s="1634"/>
      <c r="CW376" s="1958"/>
      <c r="CX376" s="1959"/>
      <c r="CY376" s="1672"/>
      <c r="CZ376" s="1634"/>
      <c r="DA376" s="1958"/>
      <c r="DB376" s="1959"/>
      <c r="DC376" s="1696"/>
      <c r="DD376" s="2040"/>
      <c r="DE376" s="1672"/>
      <c r="DF376" s="1634"/>
      <c r="DG376" s="1958"/>
      <c r="DH376" s="1959"/>
      <c r="DI376" s="955">
        <v>1</v>
      </c>
      <c r="DJ376" s="1149"/>
      <c r="DK376" s="1696"/>
      <c r="DL376" s="2010"/>
      <c r="DM376" s="1696"/>
      <c r="DN376" s="2010"/>
      <c r="DO376" s="1696"/>
      <c r="DP376" s="2040"/>
      <c r="DQ376" s="952">
        <v>1</v>
      </c>
      <c r="DR376" s="1149"/>
      <c r="DS376" s="1672"/>
      <c r="DT376" s="1634"/>
      <c r="DU376" s="1958"/>
      <c r="DV376" s="1959"/>
      <c r="DW376" s="952">
        <v>1</v>
      </c>
      <c r="DX376" s="1149"/>
      <c r="DY376" s="1672"/>
      <c r="DZ376" s="1634"/>
      <c r="EA376" s="1958"/>
      <c r="EB376" s="1959"/>
      <c r="EC376" s="1696"/>
      <c r="ED376" s="2040"/>
      <c r="EE376" s="952">
        <v>1</v>
      </c>
      <c r="EF376" s="1149"/>
      <c r="EG376" s="1696"/>
      <c r="EH376" s="2040"/>
      <c r="EI376" s="1672"/>
      <c r="EJ376" s="1634"/>
      <c r="EK376" s="2232"/>
      <c r="EL376" s="1959"/>
      <c r="EM376" s="2202">
        <f t="shared" ref="EM376:EM378" si="657">E376+S376+W376+AA376+AG376+AK376+AN376+AR376+AW376+BC376+BI376+BM376+BR376+BU376+CA376+CD376+CI376+CO376+CS376+CW376+DA376+DG376+DU376+EA376+EK376</f>
        <v>0</v>
      </c>
      <c r="EN376" s="1585">
        <f t="shared" ref="EN376:EN378" si="658">F376+H376+J376+L376+P376+T376+X376+AB376+AH376+AL376+AS376+AX376+BD376+BJ376+BN376+BP376+BV376+BX376+CB376+CJ376+CP376+CT376+CX376+DB376+DD376+DH376+DN376+DP376+DV376+EB376+ED376+EH376+EL376+DL376</f>
        <v>0</v>
      </c>
      <c r="EO376" s="1585">
        <f t="shared" ref="EO376:EO378" si="659">AQ376</f>
        <v>0</v>
      </c>
      <c r="EP376" s="1596">
        <f t="shared" si="554"/>
        <v>0</v>
      </c>
      <c r="EQ376" s="1729">
        <f t="shared" si="520"/>
        <v>0</v>
      </c>
      <c r="ER376" s="1797">
        <f t="shared" si="521"/>
        <v>0</v>
      </c>
      <c r="ES376" s="1797">
        <f t="shared" si="522"/>
        <v>0</v>
      </c>
      <c r="ET376" s="1798">
        <f t="shared" si="557"/>
        <v>0</v>
      </c>
    </row>
    <row r="377" spans="1:150" s="1840" customFormat="1" x14ac:dyDescent="0.25">
      <c r="A377" s="952">
        <v>2</v>
      </c>
      <c r="B377" s="1135"/>
      <c r="C377" s="1672"/>
      <c r="D377" s="1634"/>
      <c r="E377" s="1958"/>
      <c r="F377" s="1959"/>
      <c r="G377" s="1696"/>
      <c r="H377" s="2010"/>
      <c r="I377" s="1696"/>
      <c r="J377" s="2010"/>
      <c r="K377" s="1696"/>
      <c r="L377" s="2040"/>
      <c r="M377" s="952">
        <v>2</v>
      </c>
      <c r="N377" s="1135"/>
      <c r="O377" s="1696"/>
      <c r="P377" s="2040"/>
      <c r="Q377" s="1672"/>
      <c r="R377" s="1634"/>
      <c r="S377" s="1958"/>
      <c r="T377" s="1959"/>
      <c r="U377" s="1672"/>
      <c r="V377" s="1634"/>
      <c r="W377" s="1958"/>
      <c r="X377" s="1959"/>
      <c r="Y377" s="1672"/>
      <c r="Z377" s="1634"/>
      <c r="AA377" s="2074"/>
      <c r="AB377" s="1959"/>
      <c r="AC377" s="955">
        <v>2</v>
      </c>
      <c r="AD377" s="1135"/>
      <c r="AE377" s="1672"/>
      <c r="AF377" s="1634"/>
      <c r="AG377" s="1958"/>
      <c r="AH377" s="1959"/>
      <c r="AI377" s="1672"/>
      <c r="AJ377" s="1634"/>
      <c r="AK377" s="1958"/>
      <c r="AL377" s="1959"/>
      <c r="AM377" s="1696"/>
      <c r="AN377" s="2040"/>
      <c r="AO377" s="1879"/>
      <c r="AP377" s="1262"/>
      <c r="AQ377" s="1728"/>
      <c r="AR377" s="2122"/>
      <c r="AS377" s="1552"/>
      <c r="AT377" s="2122"/>
      <c r="AU377" s="1672"/>
      <c r="AV377" s="1634"/>
      <c r="AW377" s="1958"/>
      <c r="AX377" s="1959"/>
      <c r="AY377" s="952">
        <v>2</v>
      </c>
      <c r="AZ377" s="1135"/>
      <c r="BA377" s="1672"/>
      <c r="BB377" s="1634"/>
      <c r="BC377" s="1958"/>
      <c r="BD377" s="1959"/>
      <c r="BE377" s="952">
        <v>2</v>
      </c>
      <c r="BF377" s="1135"/>
      <c r="BG377" s="1672"/>
      <c r="BH377" s="1634"/>
      <c r="BI377" s="1958"/>
      <c r="BJ377" s="1959"/>
      <c r="BK377" s="1672"/>
      <c r="BL377" s="1634"/>
      <c r="BM377" s="1958"/>
      <c r="BN377" s="1959"/>
      <c r="BO377" s="1696"/>
      <c r="BP377" s="2010"/>
      <c r="BQ377" s="1696"/>
      <c r="BR377" s="2040"/>
      <c r="BS377" s="1672"/>
      <c r="BT377" s="1634"/>
      <c r="BU377" s="1958"/>
      <c r="BV377" s="1959"/>
      <c r="BW377" s="1696"/>
      <c r="BX377" s="2040"/>
      <c r="BY377" s="1672"/>
      <c r="BZ377" s="1634"/>
      <c r="CA377" s="1958"/>
      <c r="CB377" s="1959"/>
      <c r="CC377" s="1763"/>
      <c r="CD377" s="2174"/>
      <c r="CE377" s="952">
        <v>2</v>
      </c>
      <c r="CF377" s="1135"/>
      <c r="CG377" s="1672"/>
      <c r="CH377" s="1634"/>
      <c r="CI377" s="1958"/>
      <c r="CJ377" s="1959"/>
      <c r="CK377" s="952">
        <v>2</v>
      </c>
      <c r="CL377" s="1135"/>
      <c r="CM377" s="1672"/>
      <c r="CN377" s="1634"/>
      <c r="CO377" s="1958"/>
      <c r="CP377" s="1959"/>
      <c r="CQ377" s="1672"/>
      <c r="CR377" s="1634"/>
      <c r="CS377" s="1958"/>
      <c r="CT377" s="1959"/>
      <c r="CU377" s="1672"/>
      <c r="CV377" s="1634"/>
      <c r="CW377" s="1958"/>
      <c r="CX377" s="1959"/>
      <c r="CY377" s="1672"/>
      <c r="CZ377" s="1634"/>
      <c r="DA377" s="1958"/>
      <c r="DB377" s="1959"/>
      <c r="DC377" s="1696"/>
      <c r="DD377" s="2040"/>
      <c r="DE377" s="1672"/>
      <c r="DF377" s="1634"/>
      <c r="DG377" s="1958"/>
      <c r="DH377" s="1959"/>
      <c r="DI377" s="955">
        <v>2</v>
      </c>
      <c r="DJ377" s="1135"/>
      <c r="DK377" s="1696"/>
      <c r="DL377" s="2010"/>
      <c r="DM377" s="1696"/>
      <c r="DN377" s="2010"/>
      <c r="DO377" s="1696"/>
      <c r="DP377" s="2040"/>
      <c r="DQ377" s="952">
        <v>2</v>
      </c>
      <c r="DR377" s="1135"/>
      <c r="DS377" s="1672"/>
      <c r="DT377" s="1634"/>
      <c r="DU377" s="1958"/>
      <c r="DV377" s="1959"/>
      <c r="DW377" s="952">
        <v>2</v>
      </c>
      <c r="DX377" s="1135"/>
      <c r="DY377" s="1672"/>
      <c r="DZ377" s="1634"/>
      <c r="EA377" s="1958"/>
      <c r="EB377" s="1959"/>
      <c r="EC377" s="1696"/>
      <c r="ED377" s="2040"/>
      <c r="EE377" s="952">
        <v>2</v>
      </c>
      <c r="EF377" s="1135"/>
      <c r="EG377" s="1696"/>
      <c r="EH377" s="2040"/>
      <c r="EI377" s="1672"/>
      <c r="EJ377" s="1634"/>
      <c r="EK377" s="2232"/>
      <c r="EL377" s="1959"/>
      <c r="EM377" s="2202">
        <f t="shared" si="657"/>
        <v>0</v>
      </c>
      <c r="EN377" s="1585">
        <f t="shared" si="658"/>
        <v>0</v>
      </c>
      <c r="EO377" s="1585">
        <f t="shared" si="659"/>
        <v>0</v>
      </c>
      <c r="EP377" s="1596">
        <f t="shared" si="554"/>
        <v>0</v>
      </c>
      <c r="EQ377" s="1729">
        <f t="shared" si="520"/>
        <v>0</v>
      </c>
      <c r="ER377" s="1797">
        <f t="shared" si="521"/>
        <v>0</v>
      </c>
      <c r="ES377" s="1797">
        <f t="shared" si="522"/>
        <v>0</v>
      </c>
      <c r="ET377" s="1798">
        <f t="shared" si="557"/>
        <v>0</v>
      </c>
    </row>
    <row r="378" spans="1:150" s="1840" customFormat="1" x14ac:dyDescent="0.25">
      <c r="A378" s="952">
        <v>3</v>
      </c>
      <c r="B378" s="1135"/>
      <c r="C378" s="1672"/>
      <c r="D378" s="1634"/>
      <c r="E378" s="1958"/>
      <c r="F378" s="1959"/>
      <c r="G378" s="1696"/>
      <c r="H378" s="2010"/>
      <c r="I378" s="1696"/>
      <c r="J378" s="2010"/>
      <c r="K378" s="1696"/>
      <c r="L378" s="2040"/>
      <c r="M378" s="952">
        <v>3</v>
      </c>
      <c r="N378" s="1135"/>
      <c r="O378" s="1696"/>
      <c r="P378" s="2040"/>
      <c r="Q378" s="1672"/>
      <c r="R378" s="1634"/>
      <c r="S378" s="1958"/>
      <c r="T378" s="1959"/>
      <c r="U378" s="1672"/>
      <c r="V378" s="1634"/>
      <c r="W378" s="1958"/>
      <c r="X378" s="1959"/>
      <c r="Y378" s="1672"/>
      <c r="Z378" s="1634"/>
      <c r="AA378" s="2074"/>
      <c r="AB378" s="1959"/>
      <c r="AC378" s="955">
        <v>3</v>
      </c>
      <c r="AD378" s="1135"/>
      <c r="AE378" s="1672"/>
      <c r="AF378" s="1634"/>
      <c r="AG378" s="1958"/>
      <c r="AH378" s="1959"/>
      <c r="AI378" s="1672"/>
      <c r="AJ378" s="1634"/>
      <c r="AK378" s="1958"/>
      <c r="AL378" s="1959"/>
      <c r="AM378" s="1696"/>
      <c r="AN378" s="2040"/>
      <c r="AO378" s="1879"/>
      <c r="AP378" s="1262"/>
      <c r="AQ378" s="1728"/>
      <c r="AR378" s="2122"/>
      <c r="AS378" s="1552"/>
      <c r="AT378" s="2122"/>
      <c r="AU378" s="1672"/>
      <c r="AV378" s="1634"/>
      <c r="AW378" s="1958"/>
      <c r="AX378" s="1959"/>
      <c r="AY378" s="952">
        <v>3</v>
      </c>
      <c r="AZ378" s="1135"/>
      <c r="BA378" s="1672"/>
      <c r="BB378" s="1634"/>
      <c r="BC378" s="1958"/>
      <c r="BD378" s="1959"/>
      <c r="BE378" s="952">
        <v>3</v>
      </c>
      <c r="BF378" s="1135"/>
      <c r="BG378" s="1672"/>
      <c r="BH378" s="1634"/>
      <c r="BI378" s="1958"/>
      <c r="BJ378" s="1959"/>
      <c r="BK378" s="1672"/>
      <c r="BL378" s="1634"/>
      <c r="BM378" s="1958"/>
      <c r="BN378" s="1959"/>
      <c r="BO378" s="1696"/>
      <c r="BP378" s="2010"/>
      <c r="BQ378" s="1696"/>
      <c r="BR378" s="2040"/>
      <c r="BS378" s="1672"/>
      <c r="BT378" s="1634"/>
      <c r="BU378" s="1958"/>
      <c r="BV378" s="1959"/>
      <c r="BW378" s="1696"/>
      <c r="BX378" s="2040"/>
      <c r="BY378" s="1672"/>
      <c r="BZ378" s="1634"/>
      <c r="CA378" s="1958"/>
      <c r="CB378" s="1959"/>
      <c r="CC378" s="1763"/>
      <c r="CD378" s="2174"/>
      <c r="CE378" s="952">
        <v>3</v>
      </c>
      <c r="CF378" s="1135"/>
      <c r="CG378" s="1672"/>
      <c r="CH378" s="1634"/>
      <c r="CI378" s="1958"/>
      <c r="CJ378" s="1959"/>
      <c r="CK378" s="952">
        <v>3</v>
      </c>
      <c r="CL378" s="1135"/>
      <c r="CM378" s="1672"/>
      <c r="CN378" s="1634"/>
      <c r="CO378" s="1958"/>
      <c r="CP378" s="1959"/>
      <c r="CQ378" s="1672"/>
      <c r="CR378" s="1634"/>
      <c r="CS378" s="1958"/>
      <c r="CT378" s="1959"/>
      <c r="CU378" s="1672"/>
      <c r="CV378" s="1634"/>
      <c r="CW378" s="1958"/>
      <c r="CX378" s="1959"/>
      <c r="CY378" s="1672"/>
      <c r="CZ378" s="1634"/>
      <c r="DA378" s="1958"/>
      <c r="DB378" s="1959"/>
      <c r="DC378" s="1696"/>
      <c r="DD378" s="2040"/>
      <c r="DE378" s="1672"/>
      <c r="DF378" s="1634"/>
      <c r="DG378" s="1958"/>
      <c r="DH378" s="1959"/>
      <c r="DI378" s="955">
        <v>3</v>
      </c>
      <c r="DJ378" s="1135"/>
      <c r="DK378" s="1696"/>
      <c r="DL378" s="2010"/>
      <c r="DM378" s="1696"/>
      <c r="DN378" s="2010"/>
      <c r="DO378" s="1696"/>
      <c r="DP378" s="2040"/>
      <c r="DQ378" s="952">
        <v>3</v>
      </c>
      <c r="DR378" s="1135"/>
      <c r="DS378" s="1672"/>
      <c r="DT378" s="1634"/>
      <c r="DU378" s="1958"/>
      <c r="DV378" s="1959"/>
      <c r="DW378" s="952">
        <v>3</v>
      </c>
      <c r="DX378" s="1135"/>
      <c r="DY378" s="1672"/>
      <c r="DZ378" s="1634"/>
      <c r="EA378" s="1958"/>
      <c r="EB378" s="1959"/>
      <c r="EC378" s="1696"/>
      <c r="ED378" s="2040"/>
      <c r="EE378" s="952">
        <v>3</v>
      </c>
      <c r="EF378" s="1135"/>
      <c r="EG378" s="1696"/>
      <c r="EH378" s="2040"/>
      <c r="EI378" s="1672"/>
      <c r="EJ378" s="1634"/>
      <c r="EK378" s="2232"/>
      <c r="EL378" s="1959"/>
      <c r="EM378" s="2202">
        <f t="shared" si="657"/>
        <v>0</v>
      </c>
      <c r="EN378" s="1585">
        <f t="shared" si="658"/>
        <v>0</v>
      </c>
      <c r="EO378" s="1585">
        <f t="shared" si="659"/>
        <v>0</v>
      </c>
      <c r="EP378" s="1596">
        <f t="shared" si="554"/>
        <v>0</v>
      </c>
      <c r="EQ378" s="1729">
        <f t="shared" si="520"/>
        <v>0</v>
      </c>
      <c r="ER378" s="1797">
        <f t="shared" si="521"/>
        <v>0</v>
      </c>
      <c r="ES378" s="1797">
        <f t="shared" si="522"/>
        <v>0</v>
      </c>
      <c r="ET378" s="1798">
        <f t="shared" si="557"/>
        <v>0</v>
      </c>
    </row>
    <row r="379" spans="1:150" ht="30" customHeight="1" thickBot="1" x14ac:dyDescent="0.3">
      <c r="A379" s="1089"/>
      <c r="B379" s="1837" t="s">
        <v>1801</v>
      </c>
      <c r="C379" s="1838">
        <f t="shared" ref="C379:L379" si="660">SUM(C375:C378)</f>
        <v>0</v>
      </c>
      <c r="D379" s="1414">
        <f t="shared" si="660"/>
        <v>0</v>
      </c>
      <c r="E379" s="1960">
        <f t="shared" si="660"/>
        <v>0</v>
      </c>
      <c r="F379" s="1617">
        <f t="shared" si="660"/>
        <v>0</v>
      </c>
      <c r="G379" s="1839">
        <f t="shared" si="660"/>
        <v>0</v>
      </c>
      <c r="H379" s="2011">
        <f t="shared" si="660"/>
        <v>0</v>
      </c>
      <c r="I379" s="1839">
        <f t="shared" si="660"/>
        <v>0</v>
      </c>
      <c r="J379" s="2011">
        <f t="shared" si="660"/>
        <v>0</v>
      </c>
      <c r="K379" s="1839">
        <f t="shared" si="660"/>
        <v>0</v>
      </c>
      <c r="L379" s="2011">
        <f t="shared" si="660"/>
        <v>0</v>
      </c>
      <c r="M379" s="1089"/>
      <c r="N379" s="1837" t="s">
        <v>1801</v>
      </c>
      <c r="O379" s="1839">
        <f t="shared" ref="O379:AB379" si="661">SUM(O375:O378)</f>
        <v>0</v>
      </c>
      <c r="P379" s="2011">
        <f t="shared" si="661"/>
        <v>0</v>
      </c>
      <c r="Q379" s="1838">
        <f t="shared" si="661"/>
        <v>0</v>
      </c>
      <c r="R379" s="1414">
        <f t="shared" si="661"/>
        <v>0</v>
      </c>
      <c r="S379" s="1960">
        <f t="shared" si="661"/>
        <v>0</v>
      </c>
      <c r="T379" s="1617">
        <f t="shared" si="661"/>
        <v>0</v>
      </c>
      <c r="U379" s="1838">
        <f t="shared" si="661"/>
        <v>0</v>
      </c>
      <c r="V379" s="1414">
        <f t="shared" si="661"/>
        <v>0</v>
      </c>
      <c r="W379" s="1960">
        <f t="shared" si="661"/>
        <v>0</v>
      </c>
      <c r="X379" s="1617">
        <f t="shared" si="661"/>
        <v>0</v>
      </c>
      <c r="Y379" s="1838">
        <f t="shared" si="661"/>
        <v>0</v>
      </c>
      <c r="Z379" s="1414">
        <f t="shared" si="661"/>
        <v>0</v>
      </c>
      <c r="AA379" s="1960">
        <f t="shared" si="661"/>
        <v>0</v>
      </c>
      <c r="AB379" s="1617">
        <f t="shared" si="661"/>
        <v>0</v>
      </c>
      <c r="AC379" s="1091"/>
      <c r="AD379" s="1837" t="s">
        <v>1801</v>
      </c>
      <c r="AE379" s="1838">
        <f t="shared" ref="AE379:AX379" si="662">SUM(AE375:AE378)</f>
        <v>0</v>
      </c>
      <c r="AF379" s="1414">
        <f t="shared" si="662"/>
        <v>0</v>
      </c>
      <c r="AG379" s="1960">
        <f t="shared" si="662"/>
        <v>0</v>
      </c>
      <c r="AH379" s="1617">
        <f t="shared" si="662"/>
        <v>0</v>
      </c>
      <c r="AI379" s="1838">
        <f t="shared" si="662"/>
        <v>0</v>
      </c>
      <c r="AJ379" s="1414">
        <f t="shared" si="662"/>
        <v>0</v>
      </c>
      <c r="AK379" s="1960">
        <f t="shared" si="662"/>
        <v>0</v>
      </c>
      <c r="AL379" s="1617">
        <f t="shared" si="662"/>
        <v>0</v>
      </c>
      <c r="AM379" s="1839">
        <f t="shared" si="662"/>
        <v>0</v>
      </c>
      <c r="AN379" s="2011">
        <f t="shared" si="662"/>
        <v>0</v>
      </c>
      <c r="AO379" s="1838">
        <f t="shared" si="662"/>
        <v>0</v>
      </c>
      <c r="AP379" s="1325">
        <f t="shared" si="662"/>
        <v>0</v>
      </c>
      <c r="AQ379" s="1773">
        <f t="shared" si="662"/>
        <v>0</v>
      </c>
      <c r="AR379" s="1960">
        <f t="shared" si="662"/>
        <v>0</v>
      </c>
      <c r="AS379" s="1446">
        <f t="shared" si="662"/>
        <v>0</v>
      </c>
      <c r="AT379" s="2123">
        <f t="shared" si="662"/>
        <v>0</v>
      </c>
      <c r="AU379" s="1838">
        <f t="shared" si="662"/>
        <v>0</v>
      </c>
      <c r="AV379" s="1414">
        <f t="shared" si="662"/>
        <v>0</v>
      </c>
      <c r="AW379" s="1960">
        <f t="shared" si="662"/>
        <v>0</v>
      </c>
      <c r="AX379" s="1617">
        <f t="shared" si="662"/>
        <v>0</v>
      </c>
      <c r="AY379" s="1089"/>
      <c r="AZ379" s="1837" t="s">
        <v>1801</v>
      </c>
      <c r="BA379" s="1838">
        <f t="shared" ref="BA379:BD379" si="663">SUM(BA375:BA378)</f>
        <v>0</v>
      </c>
      <c r="BB379" s="1414">
        <f t="shared" si="663"/>
        <v>0</v>
      </c>
      <c r="BC379" s="1960">
        <f t="shared" si="663"/>
        <v>0</v>
      </c>
      <c r="BD379" s="1617">
        <f t="shared" si="663"/>
        <v>0</v>
      </c>
      <c r="BE379" s="1089"/>
      <c r="BF379" s="1837" t="s">
        <v>1801</v>
      </c>
      <c r="BG379" s="1838">
        <f t="shared" ref="BG379:CD379" si="664">SUM(BG375:BG378)</f>
        <v>0</v>
      </c>
      <c r="BH379" s="1414">
        <f t="shared" si="664"/>
        <v>0</v>
      </c>
      <c r="BI379" s="1960">
        <f t="shared" si="664"/>
        <v>0</v>
      </c>
      <c r="BJ379" s="1617">
        <f t="shared" si="664"/>
        <v>0</v>
      </c>
      <c r="BK379" s="1838">
        <f t="shared" si="664"/>
        <v>0</v>
      </c>
      <c r="BL379" s="1414">
        <f t="shared" si="664"/>
        <v>0</v>
      </c>
      <c r="BM379" s="1960">
        <f t="shared" si="664"/>
        <v>0</v>
      </c>
      <c r="BN379" s="1617">
        <f t="shared" si="664"/>
        <v>0</v>
      </c>
      <c r="BO379" s="1839">
        <f t="shared" si="664"/>
        <v>0</v>
      </c>
      <c r="BP379" s="2011">
        <f t="shared" si="664"/>
        <v>0</v>
      </c>
      <c r="BQ379" s="1839">
        <f t="shared" si="664"/>
        <v>0</v>
      </c>
      <c r="BR379" s="2011">
        <f t="shared" si="664"/>
        <v>0</v>
      </c>
      <c r="BS379" s="1838">
        <f t="shared" si="664"/>
        <v>0</v>
      </c>
      <c r="BT379" s="1414">
        <f t="shared" si="664"/>
        <v>0</v>
      </c>
      <c r="BU379" s="1960">
        <f t="shared" si="664"/>
        <v>0</v>
      </c>
      <c r="BV379" s="1617">
        <f t="shared" si="664"/>
        <v>0</v>
      </c>
      <c r="BW379" s="1839">
        <f t="shared" si="664"/>
        <v>0</v>
      </c>
      <c r="BX379" s="2011">
        <f t="shared" si="664"/>
        <v>0</v>
      </c>
      <c r="BY379" s="1838">
        <f t="shared" si="664"/>
        <v>0</v>
      </c>
      <c r="BZ379" s="1414">
        <f t="shared" si="664"/>
        <v>0</v>
      </c>
      <c r="CA379" s="1960">
        <f t="shared" si="664"/>
        <v>0</v>
      </c>
      <c r="CB379" s="1617">
        <f t="shared" si="664"/>
        <v>0</v>
      </c>
      <c r="CC379" s="1413">
        <f t="shared" si="664"/>
        <v>0</v>
      </c>
      <c r="CD379" s="2175">
        <f t="shared" si="664"/>
        <v>0</v>
      </c>
      <c r="CE379" s="1089"/>
      <c r="CF379" s="1837" t="s">
        <v>1801</v>
      </c>
      <c r="CG379" s="1838">
        <f t="shared" ref="CG379:CJ379" si="665">SUM(CG375:CG378)</f>
        <v>0</v>
      </c>
      <c r="CH379" s="1414">
        <f t="shared" si="665"/>
        <v>0</v>
      </c>
      <c r="CI379" s="1960">
        <f t="shared" si="665"/>
        <v>0</v>
      </c>
      <c r="CJ379" s="1617">
        <f t="shared" si="665"/>
        <v>0</v>
      </c>
      <c r="CK379" s="1089"/>
      <c r="CL379" s="1837" t="s">
        <v>1801</v>
      </c>
      <c r="CM379" s="1838">
        <f t="shared" ref="CM379:DH379" si="666">SUM(CM375:CM378)</f>
        <v>0</v>
      </c>
      <c r="CN379" s="1414">
        <f t="shared" si="666"/>
        <v>0</v>
      </c>
      <c r="CO379" s="1960">
        <f t="shared" si="666"/>
        <v>0</v>
      </c>
      <c r="CP379" s="1617">
        <f t="shared" si="666"/>
        <v>0</v>
      </c>
      <c r="CQ379" s="1838">
        <f t="shared" si="666"/>
        <v>0</v>
      </c>
      <c r="CR379" s="1414">
        <f t="shared" si="666"/>
        <v>0</v>
      </c>
      <c r="CS379" s="1960">
        <f t="shared" si="666"/>
        <v>0</v>
      </c>
      <c r="CT379" s="1617">
        <f t="shared" si="666"/>
        <v>0</v>
      </c>
      <c r="CU379" s="1838">
        <f t="shared" si="666"/>
        <v>0</v>
      </c>
      <c r="CV379" s="1414">
        <f t="shared" si="666"/>
        <v>0</v>
      </c>
      <c r="CW379" s="1960">
        <f t="shared" si="666"/>
        <v>0</v>
      </c>
      <c r="CX379" s="1617">
        <f t="shared" si="666"/>
        <v>0</v>
      </c>
      <c r="CY379" s="1838">
        <f t="shared" si="666"/>
        <v>0</v>
      </c>
      <c r="CZ379" s="1414">
        <f t="shared" si="666"/>
        <v>0</v>
      </c>
      <c r="DA379" s="1960">
        <f t="shared" si="666"/>
        <v>0</v>
      </c>
      <c r="DB379" s="1617">
        <f t="shared" si="666"/>
        <v>0</v>
      </c>
      <c r="DC379" s="1839">
        <f t="shared" si="666"/>
        <v>0</v>
      </c>
      <c r="DD379" s="1960"/>
      <c r="DE379" s="1838">
        <f t="shared" si="666"/>
        <v>0</v>
      </c>
      <c r="DF379" s="1414">
        <f t="shared" si="666"/>
        <v>0</v>
      </c>
      <c r="DG379" s="1960">
        <f t="shared" si="666"/>
        <v>0</v>
      </c>
      <c r="DH379" s="1617">
        <f t="shared" si="666"/>
        <v>0</v>
      </c>
      <c r="DI379" s="1091"/>
      <c r="DJ379" s="1837" t="s">
        <v>1801</v>
      </c>
      <c r="DK379" s="1839">
        <f t="shared" ref="DK379:DL379" si="667">SUM(DK375:DK378)</f>
        <v>0</v>
      </c>
      <c r="DL379" s="2011">
        <f t="shared" si="667"/>
        <v>0</v>
      </c>
      <c r="DM379" s="1839">
        <f t="shared" ref="DM379:DP379" si="668">SUM(DM375:DM378)</f>
        <v>0</v>
      </c>
      <c r="DN379" s="2011">
        <f t="shared" si="668"/>
        <v>0</v>
      </c>
      <c r="DO379" s="1839">
        <f t="shared" si="668"/>
        <v>0</v>
      </c>
      <c r="DP379" s="2011">
        <f t="shared" si="668"/>
        <v>0</v>
      </c>
      <c r="DQ379" s="1089"/>
      <c r="DR379" s="1837" t="s">
        <v>1801</v>
      </c>
      <c r="DS379" s="1838">
        <f t="shared" ref="DS379:DV379" si="669">SUM(DS375:DS378)</f>
        <v>0</v>
      </c>
      <c r="DT379" s="1414">
        <f t="shared" si="669"/>
        <v>0</v>
      </c>
      <c r="DU379" s="1960">
        <f t="shared" si="669"/>
        <v>0</v>
      </c>
      <c r="DV379" s="1617">
        <f t="shared" si="669"/>
        <v>0</v>
      </c>
      <c r="DW379" s="1089"/>
      <c r="DX379" s="1837" t="s">
        <v>1801</v>
      </c>
      <c r="DY379" s="1838">
        <f t="shared" ref="DY379:ED379" si="670">SUM(DY375:DY378)</f>
        <v>0</v>
      </c>
      <c r="DZ379" s="1414">
        <f t="shared" si="670"/>
        <v>0</v>
      </c>
      <c r="EA379" s="1960">
        <f t="shared" si="670"/>
        <v>0</v>
      </c>
      <c r="EB379" s="1617">
        <f t="shared" si="670"/>
        <v>0</v>
      </c>
      <c r="EC379" s="1839">
        <f t="shared" si="670"/>
        <v>0</v>
      </c>
      <c r="ED379" s="2011">
        <f t="shared" si="670"/>
        <v>0</v>
      </c>
      <c r="EE379" s="1089"/>
      <c r="EF379" s="1837" t="s">
        <v>1801</v>
      </c>
      <c r="EG379" s="1839">
        <f t="shared" ref="EG379:EO379" si="671">SUM(EG375:EG378)</f>
        <v>0</v>
      </c>
      <c r="EH379" s="2011">
        <f t="shared" si="671"/>
        <v>0</v>
      </c>
      <c r="EI379" s="1838">
        <f t="shared" si="671"/>
        <v>0</v>
      </c>
      <c r="EJ379" s="1414">
        <f t="shared" si="671"/>
        <v>0</v>
      </c>
      <c r="EK379" s="1960">
        <f t="shared" si="671"/>
        <v>0</v>
      </c>
      <c r="EL379" s="1617">
        <f t="shared" si="671"/>
        <v>0</v>
      </c>
      <c r="EM379" s="1617">
        <f t="shared" si="671"/>
        <v>0</v>
      </c>
      <c r="EN379" s="1617">
        <f t="shared" si="671"/>
        <v>0</v>
      </c>
      <c r="EO379" s="1617">
        <f t="shared" si="671"/>
        <v>0</v>
      </c>
      <c r="EP379" s="1617">
        <f t="shared" si="554"/>
        <v>0</v>
      </c>
      <c r="EQ379" s="1413">
        <f t="shared" si="520"/>
        <v>0</v>
      </c>
      <c r="ER379" s="1828">
        <f t="shared" si="521"/>
        <v>0</v>
      </c>
      <c r="ES379" s="1828">
        <f t="shared" si="522"/>
        <v>0</v>
      </c>
      <c r="ET379" s="1414">
        <f t="shared" si="557"/>
        <v>0</v>
      </c>
    </row>
    <row r="380" spans="1:150" ht="19.95" customHeight="1" x14ac:dyDescent="0.25">
      <c r="A380" s="1383">
        <v>1</v>
      </c>
      <c r="B380" s="1273" t="s">
        <v>1802</v>
      </c>
      <c r="C380" s="1657"/>
      <c r="D380" s="1034"/>
      <c r="E380" s="1928"/>
      <c r="F380" s="1929"/>
      <c r="G380" s="1152"/>
      <c r="H380" s="1993"/>
      <c r="I380" s="1152"/>
      <c r="J380" s="1993"/>
      <c r="K380" s="1152"/>
      <c r="L380" s="1975"/>
      <c r="M380" s="1031">
        <v>1</v>
      </c>
      <c r="N380" s="1140" t="s">
        <v>1802</v>
      </c>
      <c r="O380" s="1152"/>
      <c r="P380" s="1975"/>
      <c r="Q380" s="1657"/>
      <c r="R380" s="1034"/>
      <c r="S380" s="1928"/>
      <c r="T380" s="1929"/>
      <c r="U380" s="1657"/>
      <c r="V380" s="1034"/>
      <c r="W380" s="1928"/>
      <c r="X380" s="1929"/>
      <c r="Y380" s="1657"/>
      <c r="Z380" s="1034"/>
      <c r="AA380" s="2062"/>
      <c r="AB380" s="1929"/>
      <c r="AC380" s="1033">
        <v>1</v>
      </c>
      <c r="AD380" s="1140" t="s">
        <v>1802</v>
      </c>
      <c r="AE380" s="1657"/>
      <c r="AF380" s="1034"/>
      <c r="AG380" s="1928"/>
      <c r="AH380" s="1929"/>
      <c r="AI380" s="1657"/>
      <c r="AJ380" s="1034"/>
      <c r="AK380" s="1928"/>
      <c r="AL380" s="1929"/>
      <c r="AM380" s="1152"/>
      <c r="AN380" s="1975"/>
      <c r="AO380" s="1702"/>
      <c r="AP380" s="1154"/>
      <c r="AQ380" s="1155"/>
      <c r="AR380" s="2098"/>
      <c r="AS380" s="1421"/>
      <c r="AT380" s="2098"/>
      <c r="AU380" s="1657"/>
      <c r="AV380" s="1034"/>
      <c r="AW380" s="1928"/>
      <c r="AX380" s="1929"/>
      <c r="AY380" s="1031">
        <v>1</v>
      </c>
      <c r="AZ380" s="1140" t="s">
        <v>1802</v>
      </c>
      <c r="BA380" s="1657"/>
      <c r="BB380" s="1034"/>
      <c r="BC380" s="1928"/>
      <c r="BD380" s="1929"/>
      <c r="BE380" s="1031">
        <v>1</v>
      </c>
      <c r="BF380" s="1140" t="s">
        <v>1802</v>
      </c>
      <c r="BG380" s="1657"/>
      <c r="BH380" s="1034"/>
      <c r="BI380" s="1928"/>
      <c r="BJ380" s="1929"/>
      <c r="BK380" s="1657"/>
      <c r="BL380" s="1034"/>
      <c r="BM380" s="1928"/>
      <c r="BN380" s="1929"/>
      <c r="BO380" s="1152"/>
      <c r="BP380" s="1993"/>
      <c r="BQ380" s="1152"/>
      <c r="BR380" s="1975"/>
      <c r="BS380" s="1657"/>
      <c r="BT380" s="1034"/>
      <c r="BU380" s="1928"/>
      <c r="BV380" s="1929"/>
      <c r="BW380" s="1152"/>
      <c r="BX380" s="1975"/>
      <c r="BY380" s="1657"/>
      <c r="BZ380" s="1034"/>
      <c r="CA380" s="1928"/>
      <c r="CB380" s="1929"/>
      <c r="CC380" s="1749"/>
      <c r="CD380" s="2156"/>
      <c r="CE380" s="1031">
        <v>1</v>
      </c>
      <c r="CF380" s="1140" t="s">
        <v>1802</v>
      </c>
      <c r="CG380" s="1657"/>
      <c r="CH380" s="1034"/>
      <c r="CI380" s="1928"/>
      <c r="CJ380" s="1929"/>
      <c r="CK380" s="1031">
        <v>1</v>
      </c>
      <c r="CL380" s="1140" t="s">
        <v>1803</v>
      </c>
      <c r="CM380" s="1657"/>
      <c r="CN380" s="1034"/>
      <c r="CO380" s="1928"/>
      <c r="CP380" s="1929"/>
      <c r="CQ380" s="1657"/>
      <c r="CR380" s="1034"/>
      <c r="CS380" s="1928"/>
      <c r="CT380" s="1929"/>
      <c r="CU380" s="1657"/>
      <c r="CV380" s="1034"/>
      <c r="CW380" s="1928"/>
      <c r="CX380" s="1929"/>
      <c r="CY380" s="1657"/>
      <c r="CZ380" s="1034"/>
      <c r="DA380" s="1928"/>
      <c r="DB380" s="1929"/>
      <c r="DC380" s="1152"/>
      <c r="DD380" s="1975"/>
      <c r="DE380" s="1657"/>
      <c r="DF380" s="1034"/>
      <c r="DG380" s="1928"/>
      <c r="DH380" s="1929"/>
      <c r="DI380" s="1033">
        <v>1</v>
      </c>
      <c r="DJ380" s="1140" t="s">
        <v>1802</v>
      </c>
      <c r="DK380" s="1152"/>
      <c r="DL380" s="1993"/>
      <c r="DM380" s="1152"/>
      <c r="DN380" s="1993"/>
      <c r="DO380" s="1152"/>
      <c r="DP380" s="1975"/>
      <c r="DQ380" s="1031">
        <v>1</v>
      </c>
      <c r="DR380" s="1140" t="s">
        <v>1802</v>
      </c>
      <c r="DS380" s="1657"/>
      <c r="DT380" s="1034"/>
      <c r="DU380" s="1928"/>
      <c r="DV380" s="1929"/>
      <c r="DW380" s="1031">
        <v>1</v>
      </c>
      <c r="DX380" s="1140" t="s">
        <v>1802</v>
      </c>
      <c r="DY380" s="1657"/>
      <c r="DZ380" s="1034"/>
      <c r="EA380" s="1928"/>
      <c r="EB380" s="1929"/>
      <c r="EC380" s="1152"/>
      <c r="ED380" s="1975"/>
      <c r="EE380" s="1031">
        <v>1</v>
      </c>
      <c r="EF380" s="1140" t="s">
        <v>1802</v>
      </c>
      <c r="EG380" s="1152"/>
      <c r="EH380" s="1975"/>
      <c r="EI380" s="1657"/>
      <c r="EJ380" s="1034"/>
      <c r="EK380" s="2215"/>
      <c r="EL380" s="1929"/>
      <c r="EM380" s="2260"/>
      <c r="EN380" s="2236"/>
      <c r="EO380" s="2236"/>
      <c r="EP380" s="2236">
        <f t="shared" si="554"/>
        <v>0</v>
      </c>
      <c r="EQ380" s="1144">
        <f t="shared" si="520"/>
        <v>0</v>
      </c>
      <c r="ER380" s="1799">
        <f t="shared" si="521"/>
        <v>0</v>
      </c>
      <c r="ES380" s="1799">
        <f t="shared" si="522"/>
        <v>0</v>
      </c>
      <c r="ET380" s="1158">
        <f t="shared" si="557"/>
        <v>0</v>
      </c>
    </row>
    <row r="381" spans="1:150" s="1840" customFormat="1" x14ac:dyDescent="0.25">
      <c r="A381" s="952">
        <v>2</v>
      </c>
      <c r="B381" s="1192" t="s">
        <v>1809</v>
      </c>
      <c r="C381" s="1672"/>
      <c r="D381" s="1634"/>
      <c r="E381" s="1958"/>
      <c r="F381" s="1959"/>
      <c r="G381" s="1696"/>
      <c r="H381" s="2010"/>
      <c r="I381" s="1696"/>
      <c r="J381" s="2010"/>
      <c r="K381" s="1898">
        <v>500</v>
      </c>
      <c r="L381" s="2040">
        <v>300</v>
      </c>
      <c r="M381" s="952">
        <v>2</v>
      </c>
      <c r="N381" s="1135"/>
      <c r="O381" s="1696"/>
      <c r="P381" s="2040"/>
      <c r="Q381" s="1672"/>
      <c r="R381" s="1634"/>
      <c r="S381" s="1958"/>
      <c r="T381" s="1959"/>
      <c r="U381" s="1672"/>
      <c r="V381" s="1634"/>
      <c r="W381" s="1958"/>
      <c r="X381" s="1959"/>
      <c r="Y381" s="1672"/>
      <c r="Z381" s="1634"/>
      <c r="AA381" s="2074"/>
      <c r="AB381" s="1959"/>
      <c r="AC381" s="955">
        <v>2</v>
      </c>
      <c r="AD381" s="1135"/>
      <c r="AE381" s="1672"/>
      <c r="AF381" s="1634"/>
      <c r="AG381" s="1958"/>
      <c r="AH381" s="1959"/>
      <c r="AI381" s="1672"/>
      <c r="AJ381" s="1634"/>
      <c r="AK381" s="1958"/>
      <c r="AL381" s="1959"/>
      <c r="AM381" s="1696"/>
      <c r="AN381" s="2040"/>
      <c r="AO381" s="1879"/>
      <c r="AP381" s="1262"/>
      <c r="AQ381" s="1728"/>
      <c r="AR381" s="2122"/>
      <c r="AS381" s="1552"/>
      <c r="AT381" s="2122"/>
      <c r="AU381" s="1672"/>
      <c r="AV381" s="1634"/>
      <c r="AW381" s="1958"/>
      <c r="AX381" s="1959"/>
      <c r="AY381" s="952">
        <v>2</v>
      </c>
      <c r="AZ381" s="1135"/>
      <c r="BA381" s="1672"/>
      <c r="BB381" s="1634"/>
      <c r="BC381" s="1958"/>
      <c r="BD381" s="1959"/>
      <c r="BE381" s="952">
        <v>2</v>
      </c>
      <c r="BF381" s="1135" t="s">
        <v>1804</v>
      </c>
      <c r="BG381" s="1672"/>
      <c r="BH381" s="1634"/>
      <c r="BI381" s="1958"/>
      <c r="BJ381" s="1959"/>
      <c r="BK381" s="1672"/>
      <c r="BL381" s="1634"/>
      <c r="BM381" s="1958"/>
      <c r="BN381" s="1959"/>
      <c r="BO381" s="1696"/>
      <c r="BP381" s="2010"/>
      <c r="BQ381" s="1696"/>
      <c r="BR381" s="2040"/>
      <c r="BS381" s="1672"/>
      <c r="BT381" s="1634"/>
      <c r="BU381" s="1958"/>
      <c r="BV381" s="1959"/>
      <c r="BW381" s="1696"/>
      <c r="BX381" s="2040"/>
      <c r="BY381" s="1672"/>
      <c r="BZ381" s="1634"/>
      <c r="CA381" s="1958"/>
      <c r="CB381" s="1959"/>
      <c r="CC381" s="1763"/>
      <c r="CD381" s="2174"/>
      <c r="CE381" s="952">
        <v>2</v>
      </c>
      <c r="CF381" s="1135"/>
      <c r="CG381" s="1672"/>
      <c r="CH381" s="1634"/>
      <c r="CI381" s="1958"/>
      <c r="CJ381" s="1959"/>
      <c r="CK381" s="952">
        <v>2</v>
      </c>
      <c r="CL381" s="1135" t="s">
        <v>1805</v>
      </c>
      <c r="CM381" s="1672"/>
      <c r="CN381" s="1634"/>
      <c r="CO381" s="1958"/>
      <c r="CP381" s="1959"/>
      <c r="CQ381" s="1672"/>
      <c r="CR381" s="1634"/>
      <c r="CS381" s="1958"/>
      <c r="CT381" s="1959"/>
      <c r="CU381" s="1672"/>
      <c r="CV381" s="1634"/>
      <c r="CW381" s="1958"/>
      <c r="CX381" s="1959"/>
      <c r="CY381" s="1672"/>
      <c r="CZ381" s="1634"/>
      <c r="DA381" s="1958"/>
      <c r="DB381" s="1959"/>
      <c r="DC381" s="1898">
        <v>240000</v>
      </c>
      <c r="DD381" s="2195">
        <v>350000</v>
      </c>
      <c r="DE381" s="1672"/>
      <c r="DF381" s="1634"/>
      <c r="DG381" s="1958"/>
      <c r="DH381" s="1959"/>
      <c r="DI381" s="955">
        <v>2</v>
      </c>
      <c r="DJ381" s="1135"/>
      <c r="DK381" s="1696"/>
      <c r="DL381" s="2010"/>
      <c r="DM381" s="1696"/>
      <c r="DN381" s="2010"/>
      <c r="DO381" s="1696"/>
      <c r="DP381" s="2040"/>
      <c r="DQ381" s="952">
        <v>2</v>
      </c>
      <c r="DR381" s="1135"/>
      <c r="DS381" s="1672"/>
      <c r="DT381" s="1634"/>
      <c r="DU381" s="1958"/>
      <c r="DV381" s="1959"/>
      <c r="DW381" s="952">
        <v>2</v>
      </c>
      <c r="DX381" s="1135"/>
      <c r="DY381" s="1672"/>
      <c r="DZ381" s="1634"/>
      <c r="EA381" s="1958"/>
      <c r="EB381" s="1959"/>
      <c r="EC381" s="1696"/>
      <c r="ED381" s="2040"/>
      <c r="EE381" s="952">
        <v>2</v>
      </c>
      <c r="EF381" s="1135"/>
      <c r="EG381" s="1696"/>
      <c r="EH381" s="2040"/>
      <c r="EI381" s="1672"/>
      <c r="EJ381" s="1634"/>
      <c r="EK381" s="2232"/>
      <c r="EL381" s="1959"/>
      <c r="EM381" s="2202">
        <f t="shared" ref="EM381:EM383" si="672">E381+S381+W381+AA381+AG381+AK381+AN381+AR381+AW381+BC381+BI381+BM381+BR381+BU381+CA381+CD381+CI381+CO381+CS381+CW381+DA381+DG381+DU381+EA381+EK381</f>
        <v>0</v>
      </c>
      <c r="EN381" s="1585">
        <f t="shared" ref="EN381:EN383" si="673">F381+H381+J381+L381+P381+T381+X381+AB381+AH381+AL381+AS381+AX381+BD381+BJ381+BN381+BP381+BV381+BX381+CB381+CJ381+CP381+CT381+CX381+DB381+DD381+DH381+DN381+DP381+DV381+EB381+ED381+EH381+EL381+DL381</f>
        <v>350300</v>
      </c>
      <c r="EO381" s="1585">
        <f t="shared" ref="EO381:EO383" si="674">AQ381</f>
        <v>0</v>
      </c>
      <c r="EP381" s="1596">
        <f t="shared" si="554"/>
        <v>350300</v>
      </c>
      <c r="EQ381" s="1729">
        <f t="shared" si="520"/>
        <v>0</v>
      </c>
      <c r="ER381" s="1797">
        <f t="shared" si="521"/>
        <v>240500</v>
      </c>
      <c r="ES381" s="1797">
        <f t="shared" si="522"/>
        <v>0</v>
      </c>
      <c r="ET381" s="1798">
        <f t="shared" si="557"/>
        <v>240500</v>
      </c>
    </row>
    <row r="382" spans="1:150" s="1840" customFormat="1" x14ac:dyDescent="0.25">
      <c r="A382" s="952">
        <v>3</v>
      </c>
      <c r="B382" s="1135"/>
      <c r="C382" s="1672"/>
      <c r="D382" s="1634"/>
      <c r="E382" s="1958"/>
      <c r="F382" s="1959"/>
      <c r="G382" s="1696"/>
      <c r="H382" s="2010"/>
      <c r="I382" s="1696"/>
      <c r="J382" s="2010"/>
      <c r="K382" s="1696"/>
      <c r="L382" s="2040"/>
      <c r="M382" s="952">
        <v>3</v>
      </c>
      <c r="N382" s="1135"/>
      <c r="O382" s="1696"/>
      <c r="P382" s="2040"/>
      <c r="Q382" s="1672"/>
      <c r="R382" s="1634"/>
      <c r="S382" s="1958"/>
      <c r="T382" s="1959"/>
      <c r="U382" s="1672"/>
      <c r="V382" s="1634"/>
      <c r="W382" s="1958"/>
      <c r="X382" s="1959"/>
      <c r="Y382" s="1672"/>
      <c r="Z382" s="1634"/>
      <c r="AA382" s="2074"/>
      <c r="AB382" s="1959"/>
      <c r="AC382" s="955">
        <v>3</v>
      </c>
      <c r="AD382" s="1135"/>
      <c r="AE382" s="1672"/>
      <c r="AF382" s="1634"/>
      <c r="AG382" s="1958"/>
      <c r="AH382" s="1959"/>
      <c r="AI382" s="1672"/>
      <c r="AJ382" s="1634"/>
      <c r="AK382" s="1958"/>
      <c r="AL382" s="1959"/>
      <c r="AM382" s="1696"/>
      <c r="AN382" s="2040"/>
      <c r="AO382" s="1879"/>
      <c r="AP382" s="1262"/>
      <c r="AQ382" s="1728"/>
      <c r="AR382" s="2122"/>
      <c r="AS382" s="1552"/>
      <c r="AT382" s="2122"/>
      <c r="AU382" s="1672"/>
      <c r="AV382" s="1634"/>
      <c r="AW382" s="1958"/>
      <c r="AX382" s="1959"/>
      <c r="AY382" s="952">
        <v>3</v>
      </c>
      <c r="AZ382" s="1135"/>
      <c r="BA382" s="1672"/>
      <c r="BB382" s="1634"/>
      <c r="BC382" s="1958"/>
      <c r="BD382" s="1959"/>
      <c r="BE382" s="952">
        <v>3</v>
      </c>
      <c r="BF382" s="1135"/>
      <c r="BG382" s="1672"/>
      <c r="BH382" s="1634"/>
      <c r="BI382" s="1958"/>
      <c r="BJ382" s="1959"/>
      <c r="BK382" s="1672"/>
      <c r="BL382" s="1634"/>
      <c r="BM382" s="1958"/>
      <c r="BN382" s="1959"/>
      <c r="BO382" s="1696"/>
      <c r="BP382" s="2010"/>
      <c r="BQ382" s="1696"/>
      <c r="BR382" s="2040"/>
      <c r="BS382" s="1672"/>
      <c r="BT382" s="1634"/>
      <c r="BU382" s="1958"/>
      <c r="BV382" s="1959"/>
      <c r="BW382" s="1696"/>
      <c r="BX382" s="2040"/>
      <c r="BY382" s="1672"/>
      <c r="BZ382" s="1634"/>
      <c r="CA382" s="1958"/>
      <c r="CB382" s="1959"/>
      <c r="CC382" s="1763"/>
      <c r="CD382" s="2174"/>
      <c r="CE382" s="952">
        <v>3</v>
      </c>
      <c r="CF382" s="1135"/>
      <c r="CG382" s="1672"/>
      <c r="CH382" s="1634"/>
      <c r="CI382" s="1958"/>
      <c r="CJ382" s="1959"/>
      <c r="CK382" s="952">
        <v>3</v>
      </c>
      <c r="CL382" s="1135"/>
      <c r="CM382" s="1672"/>
      <c r="CN382" s="1634"/>
      <c r="CO382" s="1958"/>
      <c r="CP382" s="1959"/>
      <c r="CQ382" s="1672"/>
      <c r="CR382" s="1634"/>
      <c r="CS382" s="1958"/>
      <c r="CT382" s="1959"/>
      <c r="CU382" s="1672"/>
      <c r="CV382" s="1634"/>
      <c r="CW382" s="1958"/>
      <c r="CX382" s="1959"/>
      <c r="CY382" s="1672"/>
      <c r="CZ382" s="1634"/>
      <c r="DA382" s="1958"/>
      <c r="DB382" s="1959"/>
      <c r="DC382" s="1898"/>
      <c r="DD382" s="2195"/>
      <c r="DE382" s="1672"/>
      <c r="DF382" s="1634"/>
      <c r="DG382" s="1958"/>
      <c r="DH382" s="1959"/>
      <c r="DI382" s="955">
        <v>3</v>
      </c>
      <c r="DJ382" s="1135"/>
      <c r="DK382" s="1696"/>
      <c r="DL382" s="2010"/>
      <c r="DM382" s="1696"/>
      <c r="DN382" s="2010"/>
      <c r="DO382" s="1696"/>
      <c r="DP382" s="2040"/>
      <c r="DQ382" s="952">
        <v>3</v>
      </c>
      <c r="DR382" s="1135"/>
      <c r="DS382" s="1672"/>
      <c r="DT382" s="1634"/>
      <c r="DU382" s="1958"/>
      <c r="DV382" s="1959"/>
      <c r="DW382" s="952">
        <v>3</v>
      </c>
      <c r="DX382" s="1135"/>
      <c r="DY382" s="1672"/>
      <c r="DZ382" s="1634"/>
      <c r="EA382" s="1958"/>
      <c r="EB382" s="1959"/>
      <c r="EC382" s="1696"/>
      <c r="ED382" s="2040"/>
      <c r="EE382" s="952">
        <v>3</v>
      </c>
      <c r="EF382" s="1135"/>
      <c r="EG382" s="1696"/>
      <c r="EH382" s="2040"/>
      <c r="EI382" s="1672"/>
      <c r="EJ382" s="1634"/>
      <c r="EK382" s="2232"/>
      <c r="EL382" s="1959"/>
      <c r="EM382" s="2202">
        <f t="shared" si="672"/>
        <v>0</v>
      </c>
      <c r="EN382" s="1585">
        <f t="shared" si="673"/>
        <v>0</v>
      </c>
      <c r="EO382" s="1585">
        <f t="shared" si="674"/>
        <v>0</v>
      </c>
      <c r="EP382" s="1596">
        <f t="shared" si="554"/>
        <v>0</v>
      </c>
      <c r="EQ382" s="1729">
        <f t="shared" ref="EQ382:EQ406" si="675">SUM(C382+Q382+U382+Y382+AE382+AI382+AM382+AO382+AU382+BA382+BG382+BK382+BQ382+BS382+CC382+CG382+CM382+CQ382+CU382+CY382+DE382+DS382+DY382+EI382)</f>
        <v>0</v>
      </c>
      <c r="ER382" s="1797">
        <f t="shared" ref="ER382:ER405" si="676">SUM(D382+I382+K382+O382+R382+V382+Z382+AF382+AJ382+AP382+AV382+BB382+BH382+BL382+BO382+BT382+BW382+CH382+CN382+CR382+CV382+CZ382+DC382+DF382+DM382+DO382+DT382+DZ382+EC382+EG382+EJ382+G382)</f>
        <v>0</v>
      </c>
      <c r="ES382" s="1797">
        <f t="shared" ref="ES382:ES406" si="677">SUM(AQ382)</f>
        <v>0</v>
      </c>
      <c r="ET382" s="1798">
        <f t="shared" si="557"/>
        <v>0</v>
      </c>
    </row>
    <row r="383" spans="1:150" s="1840" customFormat="1" x14ac:dyDescent="0.25">
      <c r="A383" s="952">
        <v>4</v>
      </c>
      <c r="B383" s="1149"/>
      <c r="C383" s="1672"/>
      <c r="D383" s="1634"/>
      <c r="E383" s="1958"/>
      <c r="F383" s="1959"/>
      <c r="G383" s="1696"/>
      <c r="H383" s="2010"/>
      <c r="I383" s="1696"/>
      <c r="J383" s="2010"/>
      <c r="K383" s="1696"/>
      <c r="L383" s="2040"/>
      <c r="M383" s="952">
        <v>4</v>
      </c>
      <c r="N383" s="1149"/>
      <c r="O383" s="1696"/>
      <c r="P383" s="2040"/>
      <c r="Q383" s="1672"/>
      <c r="R383" s="1634"/>
      <c r="S383" s="1958"/>
      <c r="T383" s="1959"/>
      <c r="U383" s="1672"/>
      <c r="V383" s="1634"/>
      <c r="W383" s="1958"/>
      <c r="X383" s="1959"/>
      <c r="Y383" s="1672"/>
      <c r="Z383" s="1634"/>
      <c r="AA383" s="2074"/>
      <c r="AB383" s="1959"/>
      <c r="AC383" s="955">
        <v>4</v>
      </c>
      <c r="AD383" s="1149"/>
      <c r="AE383" s="1672"/>
      <c r="AF383" s="1634"/>
      <c r="AG383" s="1958"/>
      <c r="AH383" s="1959"/>
      <c r="AI383" s="1672"/>
      <c r="AJ383" s="1634"/>
      <c r="AK383" s="1958"/>
      <c r="AL383" s="1959"/>
      <c r="AM383" s="1696"/>
      <c r="AN383" s="2040"/>
      <c r="AO383" s="1879"/>
      <c r="AP383" s="1262"/>
      <c r="AQ383" s="1728"/>
      <c r="AR383" s="2122"/>
      <c r="AS383" s="1552"/>
      <c r="AT383" s="2122"/>
      <c r="AU383" s="1672"/>
      <c r="AV383" s="1634"/>
      <c r="AW383" s="1958"/>
      <c r="AX383" s="1959"/>
      <c r="AY383" s="952">
        <v>4</v>
      </c>
      <c r="AZ383" s="1149"/>
      <c r="BA383" s="1672"/>
      <c r="BB383" s="1634"/>
      <c r="BC383" s="1958"/>
      <c r="BD383" s="1959"/>
      <c r="BE383" s="952">
        <v>4</v>
      </c>
      <c r="BF383" s="1149"/>
      <c r="BG383" s="1672"/>
      <c r="BH383" s="1634"/>
      <c r="BI383" s="1958"/>
      <c r="BJ383" s="1959"/>
      <c r="BK383" s="1672"/>
      <c r="BL383" s="1634"/>
      <c r="BM383" s="1958"/>
      <c r="BN383" s="1959"/>
      <c r="BO383" s="1696"/>
      <c r="BP383" s="2010"/>
      <c r="BQ383" s="1696"/>
      <c r="BR383" s="2040"/>
      <c r="BS383" s="1672"/>
      <c r="BT383" s="1634"/>
      <c r="BU383" s="1958"/>
      <c r="BV383" s="1959"/>
      <c r="BW383" s="1696"/>
      <c r="BX383" s="2040"/>
      <c r="BY383" s="1672"/>
      <c r="BZ383" s="1634"/>
      <c r="CA383" s="1958"/>
      <c r="CB383" s="1959"/>
      <c r="CC383" s="1763"/>
      <c r="CD383" s="2174"/>
      <c r="CE383" s="952">
        <v>4</v>
      </c>
      <c r="CF383" s="1149"/>
      <c r="CG383" s="1672"/>
      <c r="CH383" s="1634"/>
      <c r="CI383" s="1958"/>
      <c r="CJ383" s="1959"/>
      <c r="CK383" s="952">
        <v>4</v>
      </c>
      <c r="CL383" s="1135"/>
      <c r="CM383" s="1672"/>
      <c r="CN383" s="1634"/>
      <c r="CO383" s="1958"/>
      <c r="CP383" s="1959"/>
      <c r="CQ383" s="1672"/>
      <c r="CR383" s="1634"/>
      <c r="CS383" s="1958"/>
      <c r="CT383" s="1959"/>
      <c r="CU383" s="1672"/>
      <c r="CV383" s="1634"/>
      <c r="CW383" s="1958"/>
      <c r="CX383" s="1959"/>
      <c r="CY383" s="1672"/>
      <c r="CZ383" s="1634"/>
      <c r="DA383" s="1958"/>
      <c r="DB383" s="1959"/>
      <c r="DC383" s="1898"/>
      <c r="DD383" s="2195"/>
      <c r="DE383" s="1672"/>
      <c r="DF383" s="1634"/>
      <c r="DG383" s="1958"/>
      <c r="DH383" s="1959"/>
      <c r="DI383" s="955">
        <v>4</v>
      </c>
      <c r="DJ383" s="1149"/>
      <c r="DK383" s="1696"/>
      <c r="DL383" s="2010"/>
      <c r="DM383" s="1696"/>
      <c r="DN383" s="2010"/>
      <c r="DO383" s="1696"/>
      <c r="DP383" s="2040"/>
      <c r="DQ383" s="952">
        <v>4</v>
      </c>
      <c r="DR383" s="1149"/>
      <c r="DS383" s="1672"/>
      <c r="DT383" s="1634"/>
      <c r="DU383" s="1958"/>
      <c r="DV383" s="1959"/>
      <c r="DW383" s="952">
        <v>4</v>
      </c>
      <c r="DX383" s="1149"/>
      <c r="DY383" s="1672"/>
      <c r="DZ383" s="1634"/>
      <c r="EA383" s="1958"/>
      <c r="EB383" s="1959"/>
      <c r="EC383" s="1696"/>
      <c r="ED383" s="2040"/>
      <c r="EE383" s="952">
        <v>4</v>
      </c>
      <c r="EF383" s="1149"/>
      <c r="EG383" s="1696"/>
      <c r="EH383" s="2040"/>
      <c r="EI383" s="1672"/>
      <c r="EJ383" s="1634"/>
      <c r="EK383" s="2232"/>
      <c r="EL383" s="1959"/>
      <c r="EM383" s="2202">
        <f t="shared" si="672"/>
        <v>0</v>
      </c>
      <c r="EN383" s="1585">
        <f t="shared" si="673"/>
        <v>0</v>
      </c>
      <c r="EO383" s="1585">
        <f t="shared" si="674"/>
        <v>0</v>
      </c>
      <c r="EP383" s="1596">
        <f t="shared" si="554"/>
        <v>0</v>
      </c>
      <c r="EQ383" s="1729">
        <f t="shared" si="675"/>
        <v>0</v>
      </c>
      <c r="ER383" s="1797">
        <f t="shared" si="676"/>
        <v>0</v>
      </c>
      <c r="ES383" s="1797">
        <f t="shared" si="677"/>
        <v>0</v>
      </c>
      <c r="ET383" s="1798">
        <f t="shared" si="557"/>
        <v>0</v>
      </c>
    </row>
    <row r="384" spans="1:150" ht="30" customHeight="1" thickBot="1" x14ac:dyDescent="0.3">
      <c r="A384" s="1844"/>
      <c r="B384" s="1837" t="s">
        <v>1806</v>
      </c>
      <c r="C384" s="1838">
        <f t="shared" ref="C384:L384" si="678">SUM(C380:C383)</f>
        <v>0</v>
      </c>
      <c r="D384" s="1414">
        <f t="shared" si="678"/>
        <v>0</v>
      </c>
      <c r="E384" s="1960">
        <f t="shared" si="678"/>
        <v>0</v>
      </c>
      <c r="F384" s="1617">
        <f t="shared" si="678"/>
        <v>0</v>
      </c>
      <c r="G384" s="1839">
        <f t="shared" si="678"/>
        <v>0</v>
      </c>
      <c r="H384" s="2011">
        <f t="shared" si="678"/>
        <v>0</v>
      </c>
      <c r="I384" s="1839">
        <f t="shared" si="678"/>
        <v>0</v>
      </c>
      <c r="J384" s="2011">
        <f t="shared" si="678"/>
        <v>0</v>
      </c>
      <c r="K384" s="1839">
        <f t="shared" si="678"/>
        <v>500</v>
      </c>
      <c r="L384" s="2011">
        <f t="shared" si="678"/>
        <v>300</v>
      </c>
      <c r="M384" s="1089"/>
      <c r="N384" s="1837" t="s">
        <v>1806</v>
      </c>
      <c r="O384" s="1847">
        <f t="shared" ref="O384:AB384" si="679">SUM(O380:O383)</f>
        <v>0</v>
      </c>
      <c r="P384" s="2048">
        <f t="shared" si="679"/>
        <v>0</v>
      </c>
      <c r="Q384" s="1838">
        <f t="shared" si="679"/>
        <v>0</v>
      </c>
      <c r="R384" s="1414">
        <f t="shared" si="679"/>
        <v>0</v>
      </c>
      <c r="S384" s="1960">
        <f t="shared" si="679"/>
        <v>0</v>
      </c>
      <c r="T384" s="1617">
        <f t="shared" si="679"/>
        <v>0</v>
      </c>
      <c r="U384" s="1838">
        <f t="shared" si="679"/>
        <v>0</v>
      </c>
      <c r="V384" s="1414">
        <f t="shared" si="679"/>
        <v>0</v>
      </c>
      <c r="W384" s="1960">
        <f t="shared" si="679"/>
        <v>0</v>
      </c>
      <c r="X384" s="1617">
        <f t="shared" si="679"/>
        <v>0</v>
      </c>
      <c r="Y384" s="1838">
        <f t="shared" si="679"/>
        <v>0</v>
      </c>
      <c r="Z384" s="1414">
        <f t="shared" si="679"/>
        <v>0</v>
      </c>
      <c r="AA384" s="1960">
        <f t="shared" si="679"/>
        <v>0</v>
      </c>
      <c r="AB384" s="1617">
        <f t="shared" si="679"/>
        <v>0</v>
      </c>
      <c r="AC384" s="1091"/>
      <c r="AD384" s="1837" t="s">
        <v>1806</v>
      </c>
      <c r="AE384" s="1838">
        <f t="shared" ref="AE384:AX384" si="680">SUM(AE380:AE383)</f>
        <v>0</v>
      </c>
      <c r="AF384" s="1414">
        <f t="shared" si="680"/>
        <v>0</v>
      </c>
      <c r="AG384" s="1960">
        <f t="shared" si="680"/>
        <v>0</v>
      </c>
      <c r="AH384" s="1617">
        <f t="shared" si="680"/>
        <v>0</v>
      </c>
      <c r="AI384" s="1838">
        <f t="shared" si="680"/>
        <v>0</v>
      </c>
      <c r="AJ384" s="1414">
        <f t="shared" si="680"/>
        <v>0</v>
      </c>
      <c r="AK384" s="1960">
        <f t="shared" si="680"/>
        <v>0</v>
      </c>
      <c r="AL384" s="1617">
        <f t="shared" si="680"/>
        <v>0</v>
      </c>
      <c r="AM384" s="1839">
        <f t="shared" si="680"/>
        <v>0</v>
      </c>
      <c r="AN384" s="2011">
        <f t="shared" si="680"/>
        <v>0</v>
      </c>
      <c r="AO384" s="1838">
        <f t="shared" si="680"/>
        <v>0</v>
      </c>
      <c r="AP384" s="1325">
        <f t="shared" si="680"/>
        <v>0</v>
      </c>
      <c r="AQ384" s="1773">
        <f t="shared" si="680"/>
        <v>0</v>
      </c>
      <c r="AR384" s="1960">
        <f t="shared" si="680"/>
        <v>0</v>
      </c>
      <c r="AS384" s="1446">
        <f t="shared" si="680"/>
        <v>0</v>
      </c>
      <c r="AT384" s="2123">
        <f t="shared" si="680"/>
        <v>0</v>
      </c>
      <c r="AU384" s="1838">
        <f t="shared" si="680"/>
        <v>0</v>
      </c>
      <c r="AV384" s="1414">
        <f t="shared" si="680"/>
        <v>0</v>
      </c>
      <c r="AW384" s="1960">
        <f t="shared" si="680"/>
        <v>0</v>
      </c>
      <c r="AX384" s="1617">
        <f t="shared" si="680"/>
        <v>0</v>
      </c>
      <c r="AY384" s="1089"/>
      <c r="AZ384" s="1837" t="s">
        <v>1806</v>
      </c>
      <c r="BA384" s="1845">
        <f t="shared" ref="BA384:BD384" si="681">SUM(BA380:BA383)</f>
        <v>0</v>
      </c>
      <c r="BB384" s="1846">
        <f t="shared" si="681"/>
        <v>0</v>
      </c>
      <c r="BC384" s="2144">
        <f t="shared" si="681"/>
        <v>0</v>
      </c>
      <c r="BD384" s="2145">
        <f t="shared" si="681"/>
        <v>0</v>
      </c>
      <c r="BE384" s="1089"/>
      <c r="BF384" s="1837" t="s">
        <v>1806</v>
      </c>
      <c r="BG384" s="1845">
        <f t="shared" ref="BG384:CD384" si="682">SUM(BG380:BG383)</f>
        <v>0</v>
      </c>
      <c r="BH384" s="1846">
        <f t="shared" si="682"/>
        <v>0</v>
      </c>
      <c r="BI384" s="2144">
        <f t="shared" si="682"/>
        <v>0</v>
      </c>
      <c r="BJ384" s="2145">
        <f t="shared" si="682"/>
        <v>0</v>
      </c>
      <c r="BK384" s="1845">
        <f t="shared" si="682"/>
        <v>0</v>
      </c>
      <c r="BL384" s="1846">
        <f t="shared" si="682"/>
        <v>0</v>
      </c>
      <c r="BM384" s="2144">
        <f t="shared" si="682"/>
        <v>0</v>
      </c>
      <c r="BN384" s="2145">
        <f t="shared" si="682"/>
        <v>0</v>
      </c>
      <c r="BO384" s="1847">
        <f t="shared" si="682"/>
        <v>0</v>
      </c>
      <c r="BP384" s="2048">
        <f t="shared" si="682"/>
        <v>0</v>
      </c>
      <c r="BQ384" s="1847">
        <f t="shared" si="682"/>
        <v>0</v>
      </c>
      <c r="BR384" s="2048">
        <f t="shared" si="682"/>
        <v>0</v>
      </c>
      <c r="BS384" s="1845">
        <f t="shared" si="682"/>
        <v>0</v>
      </c>
      <c r="BT384" s="1846">
        <f t="shared" si="682"/>
        <v>0</v>
      </c>
      <c r="BU384" s="2144">
        <f t="shared" si="682"/>
        <v>0</v>
      </c>
      <c r="BV384" s="2145">
        <f t="shared" si="682"/>
        <v>0</v>
      </c>
      <c r="BW384" s="1847">
        <f t="shared" si="682"/>
        <v>0</v>
      </c>
      <c r="BX384" s="2048">
        <f t="shared" si="682"/>
        <v>0</v>
      </c>
      <c r="BY384" s="1845">
        <f t="shared" si="682"/>
        <v>0</v>
      </c>
      <c r="BZ384" s="1846">
        <f t="shared" si="682"/>
        <v>0</v>
      </c>
      <c r="CA384" s="2144">
        <f t="shared" si="682"/>
        <v>0</v>
      </c>
      <c r="CB384" s="2145">
        <f t="shared" si="682"/>
        <v>0</v>
      </c>
      <c r="CC384" s="1848">
        <f t="shared" si="682"/>
        <v>0</v>
      </c>
      <c r="CD384" s="2185">
        <f t="shared" si="682"/>
        <v>0</v>
      </c>
      <c r="CE384" s="1089"/>
      <c r="CF384" s="1837" t="s">
        <v>1806</v>
      </c>
      <c r="CG384" s="1845">
        <f t="shared" ref="CG384:CJ384" si="683">SUM(CG380:CG383)</f>
        <v>0</v>
      </c>
      <c r="CH384" s="1846">
        <f t="shared" si="683"/>
        <v>0</v>
      </c>
      <c r="CI384" s="2144">
        <f t="shared" si="683"/>
        <v>0</v>
      </c>
      <c r="CJ384" s="2145">
        <f t="shared" si="683"/>
        <v>0</v>
      </c>
      <c r="CK384" s="1089"/>
      <c r="CL384" s="1837" t="s">
        <v>1807</v>
      </c>
      <c r="CM384" s="1845">
        <f t="shared" ref="CM384:DH384" si="684">SUM(CM380:CM383)</f>
        <v>0</v>
      </c>
      <c r="CN384" s="1846">
        <f t="shared" si="684"/>
        <v>0</v>
      </c>
      <c r="CO384" s="2144">
        <f t="shared" si="684"/>
        <v>0</v>
      </c>
      <c r="CP384" s="2145">
        <f t="shared" si="684"/>
        <v>0</v>
      </c>
      <c r="CQ384" s="1845">
        <f t="shared" si="684"/>
        <v>0</v>
      </c>
      <c r="CR384" s="1846">
        <f t="shared" si="684"/>
        <v>0</v>
      </c>
      <c r="CS384" s="2144">
        <f t="shared" si="684"/>
        <v>0</v>
      </c>
      <c r="CT384" s="2145">
        <f t="shared" si="684"/>
        <v>0</v>
      </c>
      <c r="CU384" s="1845">
        <f t="shared" si="684"/>
        <v>0</v>
      </c>
      <c r="CV384" s="1846">
        <f t="shared" si="684"/>
        <v>0</v>
      </c>
      <c r="CW384" s="2144">
        <f t="shared" si="684"/>
        <v>0</v>
      </c>
      <c r="CX384" s="2145">
        <f t="shared" si="684"/>
        <v>0</v>
      </c>
      <c r="CY384" s="1845">
        <f t="shared" si="684"/>
        <v>0</v>
      </c>
      <c r="CZ384" s="1846">
        <f t="shared" si="684"/>
        <v>0</v>
      </c>
      <c r="DA384" s="2144">
        <f t="shared" si="684"/>
        <v>0</v>
      </c>
      <c r="DB384" s="2145">
        <f t="shared" si="684"/>
        <v>0</v>
      </c>
      <c r="DC384" s="1847">
        <f t="shared" si="684"/>
        <v>240000</v>
      </c>
      <c r="DD384" s="1847">
        <f t="shared" si="684"/>
        <v>350000</v>
      </c>
      <c r="DE384" s="1838">
        <f t="shared" si="684"/>
        <v>0</v>
      </c>
      <c r="DF384" s="1414">
        <f t="shared" si="684"/>
        <v>0</v>
      </c>
      <c r="DG384" s="1960">
        <f t="shared" si="684"/>
        <v>0</v>
      </c>
      <c r="DH384" s="1617">
        <f t="shared" si="684"/>
        <v>0</v>
      </c>
      <c r="DI384" s="1091"/>
      <c r="DJ384" s="1837" t="s">
        <v>1806</v>
      </c>
      <c r="DK384" s="1847">
        <f t="shared" ref="DK384:DL384" si="685">SUM(DK380:DK383)</f>
        <v>0</v>
      </c>
      <c r="DL384" s="2048">
        <f t="shared" si="685"/>
        <v>0</v>
      </c>
      <c r="DM384" s="1847">
        <f t="shared" ref="DM384:DP384" si="686">SUM(DM380:DM383)</f>
        <v>0</v>
      </c>
      <c r="DN384" s="2048">
        <f t="shared" si="686"/>
        <v>0</v>
      </c>
      <c r="DO384" s="1847">
        <f t="shared" si="686"/>
        <v>0</v>
      </c>
      <c r="DP384" s="2048">
        <f t="shared" si="686"/>
        <v>0</v>
      </c>
      <c r="DQ384" s="1089"/>
      <c r="DR384" s="1837" t="s">
        <v>1806</v>
      </c>
      <c r="DS384" s="1845">
        <f t="shared" ref="DS384:DV384" si="687">SUM(DS380:DS383)</f>
        <v>0</v>
      </c>
      <c r="DT384" s="1846">
        <f t="shared" si="687"/>
        <v>0</v>
      </c>
      <c r="DU384" s="2144">
        <f t="shared" si="687"/>
        <v>0</v>
      </c>
      <c r="DV384" s="2145">
        <f t="shared" si="687"/>
        <v>0</v>
      </c>
      <c r="DW384" s="1089"/>
      <c r="DX384" s="1837" t="s">
        <v>1806</v>
      </c>
      <c r="DY384" s="1845">
        <f t="shared" ref="DY384:ED384" si="688">SUM(DY380:DY383)</f>
        <v>0</v>
      </c>
      <c r="DZ384" s="1846">
        <f t="shared" si="688"/>
        <v>0</v>
      </c>
      <c r="EA384" s="2144">
        <f t="shared" si="688"/>
        <v>0</v>
      </c>
      <c r="EB384" s="2145">
        <f t="shared" si="688"/>
        <v>0</v>
      </c>
      <c r="EC384" s="1847">
        <f t="shared" si="688"/>
        <v>0</v>
      </c>
      <c r="ED384" s="2048">
        <f t="shared" si="688"/>
        <v>0</v>
      </c>
      <c r="EE384" s="1089"/>
      <c r="EF384" s="1837" t="s">
        <v>1806</v>
      </c>
      <c r="EG384" s="1847">
        <f t="shared" ref="EG384:EO384" si="689">SUM(EG380:EG383)</f>
        <v>0</v>
      </c>
      <c r="EH384" s="2048">
        <f t="shared" si="689"/>
        <v>0</v>
      </c>
      <c r="EI384" s="1845">
        <f t="shared" si="689"/>
        <v>0</v>
      </c>
      <c r="EJ384" s="1846">
        <f t="shared" si="689"/>
        <v>0</v>
      </c>
      <c r="EK384" s="2144">
        <f t="shared" si="689"/>
        <v>0</v>
      </c>
      <c r="EL384" s="2145">
        <f t="shared" si="689"/>
        <v>0</v>
      </c>
      <c r="EM384" s="1617">
        <f t="shared" si="689"/>
        <v>0</v>
      </c>
      <c r="EN384" s="1617">
        <f t="shared" si="689"/>
        <v>350300</v>
      </c>
      <c r="EO384" s="1617">
        <f t="shared" si="689"/>
        <v>0</v>
      </c>
      <c r="EP384" s="1617">
        <f t="shared" si="554"/>
        <v>350300</v>
      </c>
      <c r="EQ384" s="1413">
        <f t="shared" si="675"/>
        <v>0</v>
      </c>
      <c r="ER384" s="1828">
        <f t="shared" si="676"/>
        <v>240500</v>
      </c>
      <c r="ES384" s="1828">
        <f t="shared" si="677"/>
        <v>0</v>
      </c>
      <c r="ET384" s="1414">
        <f t="shared" si="557"/>
        <v>240500</v>
      </c>
    </row>
    <row r="385" spans="1:150" ht="30" customHeight="1" x14ac:dyDescent="0.25">
      <c r="A385" s="973"/>
      <c r="B385" s="974" t="s">
        <v>1808</v>
      </c>
      <c r="C385" s="1661"/>
      <c r="D385" s="1064"/>
      <c r="E385" s="1938"/>
      <c r="F385" s="1939"/>
      <c r="G385" s="1065"/>
      <c r="H385" s="1998"/>
      <c r="I385" s="1065"/>
      <c r="J385" s="1998"/>
      <c r="K385" s="1065"/>
      <c r="L385" s="2033"/>
      <c r="M385" s="973">
        <v>1</v>
      </c>
      <c r="N385" s="974" t="s">
        <v>1808</v>
      </c>
      <c r="O385" s="1065"/>
      <c r="P385" s="2033"/>
      <c r="Q385" s="1661"/>
      <c r="R385" s="1064"/>
      <c r="S385" s="1938"/>
      <c r="T385" s="1939"/>
      <c r="U385" s="1661"/>
      <c r="V385" s="1064"/>
      <c r="W385" s="1938"/>
      <c r="X385" s="1939"/>
      <c r="Y385" s="1661"/>
      <c r="Z385" s="1064"/>
      <c r="AA385" s="2067"/>
      <c r="AB385" s="1939"/>
      <c r="AC385" s="975">
        <v>1</v>
      </c>
      <c r="AD385" s="974" t="s">
        <v>1808</v>
      </c>
      <c r="AE385" s="1661"/>
      <c r="AF385" s="1064"/>
      <c r="AG385" s="1938"/>
      <c r="AH385" s="1939"/>
      <c r="AI385" s="1661"/>
      <c r="AJ385" s="1064"/>
      <c r="AK385" s="1938"/>
      <c r="AL385" s="1939"/>
      <c r="AM385" s="1065"/>
      <c r="AN385" s="2033"/>
      <c r="AO385" s="1873"/>
      <c r="AP385" s="1067"/>
      <c r="AQ385" s="1068"/>
      <c r="AR385" s="2103"/>
      <c r="AS385" s="1493"/>
      <c r="AT385" s="2103"/>
      <c r="AU385" s="1661"/>
      <c r="AV385" s="1064"/>
      <c r="AW385" s="1938"/>
      <c r="AX385" s="1939"/>
      <c r="AY385" s="973">
        <v>1</v>
      </c>
      <c r="AZ385" s="974" t="s">
        <v>1808</v>
      </c>
      <c r="BA385" s="1661"/>
      <c r="BB385" s="1064"/>
      <c r="BC385" s="1938"/>
      <c r="BD385" s="1939"/>
      <c r="BE385" s="973">
        <v>1</v>
      </c>
      <c r="BF385" s="974" t="s">
        <v>1808</v>
      </c>
      <c r="BG385" s="1661"/>
      <c r="BH385" s="1064"/>
      <c r="BI385" s="1938"/>
      <c r="BJ385" s="1939"/>
      <c r="BK385" s="1661"/>
      <c r="BL385" s="1064"/>
      <c r="BM385" s="1938"/>
      <c r="BN385" s="1939"/>
      <c r="BO385" s="1065"/>
      <c r="BP385" s="1998"/>
      <c r="BQ385" s="1065"/>
      <c r="BR385" s="2033"/>
      <c r="BS385" s="1661"/>
      <c r="BT385" s="1064"/>
      <c r="BU385" s="1938"/>
      <c r="BV385" s="1939"/>
      <c r="BW385" s="1065"/>
      <c r="BX385" s="2033"/>
      <c r="BY385" s="1661"/>
      <c r="BZ385" s="1064"/>
      <c r="CA385" s="1938"/>
      <c r="CB385" s="1939"/>
      <c r="CC385" s="1755"/>
      <c r="CD385" s="2163"/>
      <c r="CE385" s="973">
        <v>1</v>
      </c>
      <c r="CF385" s="974" t="s">
        <v>1808</v>
      </c>
      <c r="CG385" s="1661"/>
      <c r="CH385" s="1064"/>
      <c r="CI385" s="1938"/>
      <c r="CJ385" s="1939"/>
      <c r="CK385" s="973">
        <v>1</v>
      </c>
      <c r="CL385" s="974" t="s">
        <v>1808</v>
      </c>
      <c r="CM385" s="1661"/>
      <c r="CN385" s="1064"/>
      <c r="CO385" s="1938"/>
      <c r="CP385" s="1939"/>
      <c r="CQ385" s="1661"/>
      <c r="CR385" s="1064"/>
      <c r="CS385" s="1938"/>
      <c r="CT385" s="1939"/>
      <c r="CU385" s="1661"/>
      <c r="CV385" s="1064"/>
      <c r="CW385" s="1938"/>
      <c r="CX385" s="1939"/>
      <c r="CY385" s="1661"/>
      <c r="CZ385" s="1064"/>
      <c r="DA385" s="1938"/>
      <c r="DB385" s="1939"/>
      <c r="DC385" s="1065"/>
      <c r="DD385" s="2033"/>
      <c r="DE385" s="1661"/>
      <c r="DF385" s="1064"/>
      <c r="DG385" s="1938"/>
      <c r="DH385" s="1939"/>
      <c r="DI385" s="975"/>
      <c r="DJ385" s="974" t="s">
        <v>1808</v>
      </c>
      <c r="DK385" s="1065"/>
      <c r="DL385" s="1998"/>
      <c r="DM385" s="1065"/>
      <c r="DN385" s="1998"/>
      <c r="DO385" s="1065"/>
      <c r="DP385" s="2033"/>
      <c r="DQ385" s="973">
        <v>1</v>
      </c>
      <c r="DR385" s="976" t="s">
        <v>1808</v>
      </c>
      <c r="DS385" s="1661"/>
      <c r="DT385" s="1064"/>
      <c r="DU385" s="1938"/>
      <c r="DV385" s="1939"/>
      <c r="DW385" s="973">
        <v>1</v>
      </c>
      <c r="DX385" s="974" t="s">
        <v>1808</v>
      </c>
      <c r="DY385" s="1661"/>
      <c r="DZ385" s="1064"/>
      <c r="EA385" s="1938"/>
      <c r="EB385" s="1939"/>
      <c r="EC385" s="1065"/>
      <c r="ED385" s="2033"/>
      <c r="EE385" s="973">
        <v>1</v>
      </c>
      <c r="EF385" s="974" t="s">
        <v>1808</v>
      </c>
      <c r="EG385" s="1065"/>
      <c r="EH385" s="2033"/>
      <c r="EI385" s="1661"/>
      <c r="EJ385" s="1064"/>
      <c r="EK385" s="2233"/>
      <c r="EL385" s="1939"/>
      <c r="EM385" s="2261"/>
      <c r="EN385" s="1584"/>
      <c r="EO385" s="1584"/>
      <c r="EP385" s="1584">
        <f t="shared" si="554"/>
        <v>0</v>
      </c>
      <c r="EQ385" s="1829">
        <f t="shared" si="675"/>
        <v>0</v>
      </c>
      <c r="ER385" s="1830">
        <f t="shared" si="676"/>
        <v>0</v>
      </c>
      <c r="ES385" s="1830">
        <f t="shared" si="677"/>
        <v>0</v>
      </c>
      <c r="ET385" s="1831">
        <f t="shared" si="557"/>
        <v>0</v>
      </c>
    </row>
    <row r="386" spans="1:150" x14ac:dyDescent="0.25">
      <c r="A386" s="973">
        <v>1</v>
      </c>
      <c r="B386" s="1192"/>
      <c r="C386" s="1899"/>
      <c r="D386" s="1772"/>
      <c r="E386" s="1973"/>
      <c r="F386" s="1974"/>
      <c r="G386" s="1900"/>
      <c r="H386" s="2019"/>
      <c r="I386" s="1900"/>
      <c r="J386" s="2019"/>
      <c r="K386" s="1900"/>
      <c r="L386" s="2047"/>
      <c r="M386" s="973">
        <v>2</v>
      </c>
      <c r="N386" s="974"/>
      <c r="O386" s="1065"/>
      <c r="P386" s="2033"/>
      <c r="Q386" s="1661"/>
      <c r="R386" s="1064"/>
      <c r="S386" s="1938"/>
      <c r="T386" s="1939"/>
      <c r="U386" s="1661"/>
      <c r="V386" s="1064"/>
      <c r="W386" s="1938"/>
      <c r="X386" s="1939"/>
      <c r="Y386" s="1661"/>
      <c r="Z386" s="1064"/>
      <c r="AA386" s="2067"/>
      <c r="AB386" s="1939"/>
      <c r="AC386" s="975">
        <v>2</v>
      </c>
      <c r="AD386" s="974"/>
      <c r="AE386" s="1661"/>
      <c r="AF386" s="1064"/>
      <c r="AG386" s="1938"/>
      <c r="AH386" s="1939"/>
      <c r="AI386" s="1661"/>
      <c r="AJ386" s="1064"/>
      <c r="AK386" s="1938"/>
      <c r="AL386" s="1939"/>
      <c r="AM386" s="1065"/>
      <c r="AN386" s="2033"/>
      <c r="AO386" s="1873"/>
      <c r="AP386" s="1067"/>
      <c r="AQ386" s="1068"/>
      <c r="AR386" s="2103"/>
      <c r="AS386" s="1493"/>
      <c r="AT386" s="2103"/>
      <c r="AU386" s="1661"/>
      <c r="AV386" s="1064"/>
      <c r="AW386" s="1938"/>
      <c r="AX386" s="1939"/>
      <c r="AY386" s="973">
        <v>2</v>
      </c>
      <c r="AZ386" s="974"/>
      <c r="BA386" s="1661"/>
      <c r="BB386" s="1064"/>
      <c r="BC386" s="1938"/>
      <c r="BD386" s="1939"/>
      <c r="BE386" s="952">
        <v>2</v>
      </c>
      <c r="BF386" s="1135"/>
      <c r="BG386" s="1661"/>
      <c r="BH386" s="1064"/>
      <c r="BI386" s="1938"/>
      <c r="BJ386" s="1939"/>
      <c r="BK386" s="1661"/>
      <c r="BL386" s="1064"/>
      <c r="BM386" s="1938"/>
      <c r="BN386" s="1939"/>
      <c r="BO386" s="1065"/>
      <c r="BP386" s="1998"/>
      <c r="BQ386" s="1065"/>
      <c r="BR386" s="2033"/>
      <c r="BS386" s="1661"/>
      <c r="BT386" s="1064"/>
      <c r="BU386" s="1938"/>
      <c r="BV386" s="1939"/>
      <c r="BW386" s="1065"/>
      <c r="BX386" s="2033"/>
      <c r="BY386" s="1661"/>
      <c r="BZ386" s="1064"/>
      <c r="CA386" s="1938"/>
      <c r="CB386" s="1939"/>
      <c r="CC386" s="1755"/>
      <c r="CD386" s="2163"/>
      <c r="CE386" s="973">
        <v>2</v>
      </c>
      <c r="CF386" s="974"/>
      <c r="CG386" s="1661"/>
      <c r="CH386" s="1064"/>
      <c r="CI386" s="1938"/>
      <c r="CJ386" s="1939"/>
      <c r="CK386" s="973">
        <v>2</v>
      </c>
      <c r="CL386" s="974"/>
      <c r="CM386" s="1661"/>
      <c r="CN386" s="1064"/>
      <c r="CO386" s="1938"/>
      <c r="CP386" s="1939"/>
      <c r="CQ386" s="1661"/>
      <c r="CR386" s="1064"/>
      <c r="CS386" s="1938"/>
      <c r="CT386" s="1939"/>
      <c r="CU386" s="1661"/>
      <c r="CV386" s="1064"/>
      <c r="CW386" s="1938"/>
      <c r="CX386" s="1939"/>
      <c r="CY386" s="1661"/>
      <c r="CZ386" s="1064"/>
      <c r="DA386" s="1938"/>
      <c r="DB386" s="1939"/>
      <c r="DC386" s="1065"/>
      <c r="DD386" s="2033"/>
      <c r="DE386" s="1661"/>
      <c r="DF386" s="1064"/>
      <c r="DG386" s="1938"/>
      <c r="DH386" s="1939"/>
      <c r="DI386" s="975">
        <v>1</v>
      </c>
      <c r="DJ386" s="974"/>
      <c r="DK386" s="1065"/>
      <c r="DL386" s="1998"/>
      <c r="DM386" s="1065"/>
      <c r="DN386" s="1998"/>
      <c r="DO386" s="1065"/>
      <c r="DP386" s="2033"/>
      <c r="DQ386" s="973">
        <v>2</v>
      </c>
      <c r="DR386" s="976"/>
      <c r="DS386" s="1661"/>
      <c r="DT386" s="1064"/>
      <c r="DU386" s="1938"/>
      <c r="DV386" s="1939"/>
      <c r="DW386" s="973">
        <v>2</v>
      </c>
      <c r="DX386" s="974"/>
      <c r="DY386" s="1661"/>
      <c r="DZ386" s="1064"/>
      <c r="EA386" s="1938"/>
      <c r="EB386" s="1939"/>
      <c r="EC386" s="1065"/>
      <c r="ED386" s="2033"/>
      <c r="EE386" s="973">
        <v>2</v>
      </c>
      <c r="EF386" s="974"/>
      <c r="EG386" s="1065"/>
      <c r="EH386" s="2033"/>
      <c r="EI386" s="1661"/>
      <c r="EJ386" s="1064"/>
      <c r="EK386" s="2233"/>
      <c r="EL386" s="1939"/>
      <c r="EM386" s="2202">
        <f t="shared" ref="EM386:EM388" si="690">E386+S386+W386+AA386+AG386+AK386+AN386+AR386+AW386+BC386+BI386+BM386+BR386+BU386+CA386+CD386+CI386+CO386+CS386+CW386+DA386+DG386+DU386+EA386+EK386</f>
        <v>0</v>
      </c>
      <c r="EN386" s="1585">
        <f t="shared" ref="EN386:EN388" si="691">F386+H386+J386+L386+P386+T386+X386+AB386+AH386+AL386+AS386+AX386+BD386+BJ386+BN386+BP386+BV386+BX386+CB386+CJ386+CP386+CT386+CX386+DB386+DD386+DH386+DN386+DP386+DV386+EB386+ED386+EH386+EL386+DL386</f>
        <v>0</v>
      </c>
      <c r="EO386" s="1585">
        <f t="shared" ref="EO386:EO388" si="692">AQ386</f>
        <v>0</v>
      </c>
      <c r="EP386" s="1584">
        <f t="shared" si="554"/>
        <v>0</v>
      </c>
      <c r="EQ386" s="1829">
        <f t="shared" si="675"/>
        <v>0</v>
      </c>
      <c r="ER386" s="1830">
        <f t="shared" si="676"/>
        <v>0</v>
      </c>
      <c r="ES386" s="1830">
        <f t="shared" si="677"/>
        <v>0</v>
      </c>
      <c r="ET386" s="1831">
        <f t="shared" si="557"/>
        <v>0</v>
      </c>
    </row>
    <row r="387" spans="1:150" x14ac:dyDescent="0.25">
      <c r="A387" s="973">
        <v>2</v>
      </c>
      <c r="B387" s="1192"/>
      <c r="C387" s="1899"/>
      <c r="D387" s="1772"/>
      <c r="E387" s="1973"/>
      <c r="F387" s="1974"/>
      <c r="G387" s="1900"/>
      <c r="H387" s="2019"/>
      <c r="I387" s="1900"/>
      <c r="J387" s="2019"/>
      <c r="K387" s="1900"/>
      <c r="L387" s="2047"/>
      <c r="M387" s="973">
        <v>3</v>
      </c>
      <c r="N387" s="974"/>
      <c r="O387" s="1065"/>
      <c r="P387" s="2033"/>
      <c r="Q387" s="1661"/>
      <c r="R387" s="1064"/>
      <c r="S387" s="1938"/>
      <c r="T387" s="1939"/>
      <c r="U387" s="1661"/>
      <c r="V387" s="1064"/>
      <c r="W387" s="1938"/>
      <c r="X387" s="1939"/>
      <c r="Y387" s="1661"/>
      <c r="Z387" s="1064"/>
      <c r="AA387" s="2067"/>
      <c r="AB387" s="1939"/>
      <c r="AC387" s="975">
        <v>3</v>
      </c>
      <c r="AD387" s="974"/>
      <c r="AE387" s="1661"/>
      <c r="AF387" s="1064"/>
      <c r="AG387" s="1938"/>
      <c r="AH387" s="1939"/>
      <c r="AI387" s="1661"/>
      <c r="AJ387" s="1064"/>
      <c r="AK387" s="1938"/>
      <c r="AL387" s="1939"/>
      <c r="AM387" s="1065"/>
      <c r="AN387" s="2033"/>
      <c r="AO387" s="1873"/>
      <c r="AP387" s="1067"/>
      <c r="AQ387" s="1068"/>
      <c r="AR387" s="2103"/>
      <c r="AS387" s="1493"/>
      <c r="AT387" s="2103"/>
      <c r="AU387" s="1661"/>
      <c r="AV387" s="1064"/>
      <c r="AW387" s="1938"/>
      <c r="AX387" s="1939"/>
      <c r="AY387" s="973">
        <v>3</v>
      </c>
      <c r="AZ387" s="974"/>
      <c r="BA387" s="1661"/>
      <c r="BB387" s="1064"/>
      <c r="BC387" s="1938"/>
      <c r="BD387" s="1939"/>
      <c r="BE387" s="952">
        <v>3</v>
      </c>
      <c r="BF387" s="1149"/>
      <c r="BG387" s="1661"/>
      <c r="BH387" s="1064"/>
      <c r="BI387" s="1938"/>
      <c r="BJ387" s="1939"/>
      <c r="BK387" s="1661"/>
      <c r="BL387" s="1064"/>
      <c r="BM387" s="1938"/>
      <c r="BN387" s="1939"/>
      <c r="BO387" s="1065"/>
      <c r="BP387" s="1998"/>
      <c r="BQ387" s="1065"/>
      <c r="BR387" s="2033"/>
      <c r="BS387" s="1661"/>
      <c r="BT387" s="1064"/>
      <c r="BU387" s="1938"/>
      <c r="BV387" s="1939"/>
      <c r="BW387" s="1065"/>
      <c r="BX387" s="2033"/>
      <c r="BY387" s="1661"/>
      <c r="BZ387" s="1064"/>
      <c r="CA387" s="1938"/>
      <c r="CB387" s="1939"/>
      <c r="CC387" s="1755"/>
      <c r="CD387" s="2163"/>
      <c r="CE387" s="973">
        <v>3</v>
      </c>
      <c r="CF387" s="974"/>
      <c r="CG387" s="1661"/>
      <c r="CH387" s="1064"/>
      <c r="CI387" s="1938"/>
      <c r="CJ387" s="1939"/>
      <c r="CK387" s="973">
        <v>3</v>
      </c>
      <c r="CL387" s="974"/>
      <c r="CM387" s="1661"/>
      <c r="CN387" s="1064"/>
      <c r="CO387" s="1938"/>
      <c r="CP387" s="1939"/>
      <c r="CQ387" s="1661"/>
      <c r="CR387" s="1064"/>
      <c r="CS387" s="1938"/>
      <c r="CT387" s="1939"/>
      <c r="CU387" s="1661"/>
      <c r="CV387" s="1064"/>
      <c r="CW387" s="1938"/>
      <c r="CX387" s="1939"/>
      <c r="CY387" s="1661"/>
      <c r="CZ387" s="1064"/>
      <c r="DA387" s="1938"/>
      <c r="DB387" s="1939"/>
      <c r="DC387" s="1065"/>
      <c r="DD387" s="2033"/>
      <c r="DE387" s="1661"/>
      <c r="DF387" s="1064"/>
      <c r="DG387" s="1938"/>
      <c r="DH387" s="1939"/>
      <c r="DI387" s="975">
        <v>2</v>
      </c>
      <c r="DJ387" s="974"/>
      <c r="DK387" s="1065"/>
      <c r="DL387" s="1998"/>
      <c r="DM387" s="1065"/>
      <c r="DN387" s="1998"/>
      <c r="DO387" s="1065"/>
      <c r="DP387" s="2033"/>
      <c r="DQ387" s="973">
        <v>3</v>
      </c>
      <c r="DR387" s="976"/>
      <c r="DS387" s="1661"/>
      <c r="DT387" s="1064"/>
      <c r="DU387" s="1938"/>
      <c r="DV387" s="1939"/>
      <c r="DW387" s="973">
        <v>3</v>
      </c>
      <c r="DX387" s="974"/>
      <c r="DY387" s="1661"/>
      <c r="DZ387" s="1064"/>
      <c r="EA387" s="1938"/>
      <c r="EB387" s="1939"/>
      <c r="EC387" s="1065"/>
      <c r="ED387" s="2033"/>
      <c r="EE387" s="973">
        <v>3</v>
      </c>
      <c r="EF387" s="974"/>
      <c r="EG387" s="1065"/>
      <c r="EH387" s="2033"/>
      <c r="EI387" s="1661"/>
      <c r="EJ387" s="1064"/>
      <c r="EK387" s="2233"/>
      <c r="EL387" s="1939"/>
      <c r="EM387" s="2202">
        <f t="shared" si="690"/>
        <v>0</v>
      </c>
      <c r="EN387" s="1585">
        <f t="shared" si="691"/>
        <v>0</v>
      </c>
      <c r="EO387" s="1585">
        <f t="shared" si="692"/>
        <v>0</v>
      </c>
      <c r="EP387" s="1584">
        <f t="shared" si="554"/>
        <v>0</v>
      </c>
      <c r="EQ387" s="1829">
        <f t="shared" si="675"/>
        <v>0</v>
      </c>
      <c r="ER387" s="1830">
        <f t="shared" si="676"/>
        <v>0</v>
      </c>
      <c r="ES387" s="1830">
        <f t="shared" si="677"/>
        <v>0</v>
      </c>
      <c r="ET387" s="1831">
        <f t="shared" si="557"/>
        <v>0</v>
      </c>
    </row>
    <row r="388" spans="1:150" x14ac:dyDescent="0.25">
      <c r="A388" s="973">
        <v>2</v>
      </c>
      <c r="B388" s="1193"/>
      <c r="C388" s="1899"/>
      <c r="D388" s="1772"/>
      <c r="E388" s="1973"/>
      <c r="F388" s="1974"/>
      <c r="G388" s="1900"/>
      <c r="H388" s="2019"/>
      <c r="I388" s="1900"/>
      <c r="J388" s="2019"/>
      <c r="K388" s="1900"/>
      <c r="L388" s="2047"/>
      <c r="M388" s="973">
        <v>4</v>
      </c>
      <c r="N388" s="1140"/>
      <c r="O388" s="1065"/>
      <c r="P388" s="2033"/>
      <c r="Q388" s="1661"/>
      <c r="R388" s="1064"/>
      <c r="S388" s="1938"/>
      <c r="T388" s="1939"/>
      <c r="U388" s="1661"/>
      <c r="V388" s="1064"/>
      <c r="W388" s="1938"/>
      <c r="X388" s="1939"/>
      <c r="Y388" s="1661"/>
      <c r="Z388" s="1064"/>
      <c r="AA388" s="2067"/>
      <c r="AB388" s="1939"/>
      <c r="AC388" s="975">
        <v>4</v>
      </c>
      <c r="AD388" s="1140"/>
      <c r="AE388" s="1661"/>
      <c r="AF388" s="1064"/>
      <c r="AG388" s="1938"/>
      <c r="AH388" s="1939"/>
      <c r="AI388" s="1661"/>
      <c r="AJ388" s="1064"/>
      <c r="AK388" s="1938"/>
      <c r="AL388" s="1939"/>
      <c r="AM388" s="1065"/>
      <c r="AN388" s="2033"/>
      <c r="AO388" s="1873"/>
      <c r="AP388" s="1067"/>
      <c r="AQ388" s="1068"/>
      <c r="AR388" s="2103"/>
      <c r="AS388" s="1493"/>
      <c r="AT388" s="2103"/>
      <c r="AU388" s="1661"/>
      <c r="AV388" s="1064"/>
      <c r="AW388" s="1938"/>
      <c r="AX388" s="1939"/>
      <c r="AY388" s="973">
        <v>4</v>
      </c>
      <c r="AZ388" s="1140"/>
      <c r="BA388" s="1661"/>
      <c r="BB388" s="1064"/>
      <c r="BC388" s="1938"/>
      <c r="BD388" s="1939"/>
      <c r="BE388" s="952">
        <v>4</v>
      </c>
      <c r="BF388" s="1149"/>
      <c r="BG388" s="1661"/>
      <c r="BH388" s="1064"/>
      <c r="BI388" s="1938"/>
      <c r="BJ388" s="1939"/>
      <c r="BK388" s="1661"/>
      <c r="BL388" s="1064"/>
      <c r="BM388" s="1938"/>
      <c r="BN388" s="1939"/>
      <c r="BO388" s="1065"/>
      <c r="BP388" s="1998"/>
      <c r="BQ388" s="1065"/>
      <c r="BR388" s="2033"/>
      <c r="BS388" s="1661"/>
      <c r="BT388" s="1064"/>
      <c r="BU388" s="1938"/>
      <c r="BV388" s="1939"/>
      <c r="BW388" s="1065"/>
      <c r="BX388" s="2033"/>
      <c r="BY388" s="1661"/>
      <c r="BZ388" s="1064"/>
      <c r="CA388" s="1938"/>
      <c r="CB388" s="1939"/>
      <c r="CC388" s="1755"/>
      <c r="CD388" s="2163"/>
      <c r="CE388" s="973">
        <v>4</v>
      </c>
      <c r="CF388" s="1140"/>
      <c r="CG388" s="1661"/>
      <c r="CH388" s="1064"/>
      <c r="CI388" s="1938"/>
      <c r="CJ388" s="1939"/>
      <c r="CK388" s="973">
        <v>4</v>
      </c>
      <c r="CL388" s="1140"/>
      <c r="CM388" s="1661"/>
      <c r="CN388" s="1064"/>
      <c r="CO388" s="1938"/>
      <c r="CP388" s="1939"/>
      <c r="CQ388" s="1661"/>
      <c r="CR388" s="1064"/>
      <c r="CS388" s="1938"/>
      <c r="CT388" s="1939"/>
      <c r="CU388" s="1661"/>
      <c r="CV388" s="1064"/>
      <c r="CW388" s="1938"/>
      <c r="CX388" s="1939"/>
      <c r="CY388" s="1661"/>
      <c r="CZ388" s="1064"/>
      <c r="DA388" s="1938"/>
      <c r="DB388" s="1939"/>
      <c r="DC388" s="1065"/>
      <c r="DD388" s="2033"/>
      <c r="DE388" s="1661"/>
      <c r="DF388" s="1064"/>
      <c r="DG388" s="1938"/>
      <c r="DH388" s="1939"/>
      <c r="DI388" s="975">
        <v>3</v>
      </c>
      <c r="DJ388" s="1140"/>
      <c r="DK388" s="1065"/>
      <c r="DL388" s="1998"/>
      <c r="DM388" s="1065"/>
      <c r="DN388" s="1998"/>
      <c r="DO388" s="1065"/>
      <c r="DP388" s="2033"/>
      <c r="DQ388" s="973">
        <v>4</v>
      </c>
      <c r="DR388" s="1148"/>
      <c r="DS388" s="1661"/>
      <c r="DT388" s="1064"/>
      <c r="DU388" s="1938"/>
      <c r="DV388" s="1939"/>
      <c r="DW388" s="973">
        <v>4</v>
      </c>
      <c r="DX388" s="1140"/>
      <c r="DY388" s="1661"/>
      <c r="DZ388" s="1064"/>
      <c r="EA388" s="1938"/>
      <c r="EB388" s="1939"/>
      <c r="EC388" s="1065"/>
      <c r="ED388" s="2033"/>
      <c r="EE388" s="973">
        <v>4</v>
      </c>
      <c r="EF388" s="1140"/>
      <c r="EG388" s="1065"/>
      <c r="EH388" s="2033"/>
      <c r="EI388" s="1661"/>
      <c r="EJ388" s="1064"/>
      <c r="EK388" s="2233"/>
      <c r="EL388" s="1939"/>
      <c r="EM388" s="2202">
        <f t="shared" si="690"/>
        <v>0</v>
      </c>
      <c r="EN388" s="1585">
        <f t="shared" si="691"/>
        <v>0</v>
      </c>
      <c r="EO388" s="1585">
        <f t="shared" si="692"/>
        <v>0</v>
      </c>
      <c r="EP388" s="1584">
        <f t="shared" si="554"/>
        <v>0</v>
      </c>
      <c r="EQ388" s="1829">
        <f t="shared" si="675"/>
        <v>0</v>
      </c>
      <c r="ER388" s="1830">
        <f t="shared" si="676"/>
        <v>0</v>
      </c>
      <c r="ES388" s="1830">
        <f t="shared" si="677"/>
        <v>0</v>
      </c>
      <c r="ET388" s="1831">
        <f t="shared" si="557"/>
        <v>0</v>
      </c>
    </row>
    <row r="389" spans="1:150" ht="30" customHeight="1" thickBot="1" x14ac:dyDescent="0.3">
      <c r="A389" s="968"/>
      <c r="B389" s="969" t="s">
        <v>1810</v>
      </c>
      <c r="C389" s="1656">
        <f t="shared" ref="C389:L389" si="693">SUM(C385:C388)</f>
        <v>0</v>
      </c>
      <c r="D389" s="1642">
        <f t="shared" si="693"/>
        <v>0</v>
      </c>
      <c r="E389" s="1926">
        <f t="shared" si="693"/>
        <v>0</v>
      </c>
      <c r="F389" s="1927">
        <f t="shared" si="693"/>
        <v>0</v>
      </c>
      <c r="G389" s="1058">
        <f t="shared" si="693"/>
        <v>0</v>
      </c>
      <c r="H389" s="1992">
        <f t="shared" si="693"/>
        <v>0</v>
      </c>
      <c r="I389" s="1058">
        <f t="shared" si="693"/>
        <v>0</v>
      </c>
      <c r="J389" s="1992">
        <f t="shared" si="693"/>
        <v>0</v>
      </c>
      <c r="K389" s="1058">
        <f t="shared" si="693"/>
        <v>0</v>
      </c>
      <c r="L389" s="1992">
        <f t="shared" si="693"/>
        <v>0</v>
      </c>
      <c r="M389" s="968"/>
      <c r="N389" s="969" t="s">
        <v>1810</v>
      </c>
      <c r="O389" s="1058">
        <f t="shared" ref="O389:AB389" si="694">SUM(O385:O388)</f>
        <v>0</v>
      </c>
      <c r="P389" s="1992">
        <f t="shared" si="694"/>
        <v>0</v>
      </c>
      <c r="Q389" s="1656">
        <f t="shared" si="694"/>
        <v>0</v>
      </c>
      <c r="R389" s="1642">
        <f t="shared" si="694"/>
        <v>0</v>
      </c>
      <c r="S389" s="1926">
        <f t="shared" si="694"/>
        <v>0</v>
      </c>
      <c r="T389" s="1927">
        <f t="shared" si="694"/>
        <v>0</v>
      </c>
      <c r="U389" s="1656">
        <f t="shared" si="694"/>
        <v>0</v>
      </c>
      <c r="V389" s="1642">
        <f t="shared" si="694"/>
        <v>0</v>
      </c>
      <c r="W389" s="1926">
        <f t="shared" si="694"/>
        <v>0</v>
      </c>
      <c r="X389" s="1927">
        <f t="shared" si="694"/>
        <v>0</v>
      </c>
      <c r="Y389" s="1656">
        <f t="shared" si="694"/>
        <v>0</v>
      </c>
      <c r="Z389" s="1642">
        <f t="shared" si="694"/>
        <v>0</v>
      </c>
      <c r="AA389" s="1926">
        <f t="shared" si="694"/>
        <v>0</v>
      </c>
      <c r="AB389" s="1927">
        <f t="shared" si="694"/>
        <v>0</v>
      </c>
      <c r="AC389" s="970"/>
      <c r="AD389" s="969" t="s">
        <v>1810</v>
      </c>
      <c r="AE389" s="1656">
        <f t="shared" ref="AE389:AX389" si="695">SUM(AE385:AE388)</f>
        <v>0</v>
      </c>
      <c r="AF389" s="1642">
        <f t="shared" si="695"/>
        <v>0</v>
      </c>
      <c r="AG389" s="1926">
        <f t="shared" si="695"/>
        <v>0</v>
      </c>
      <c r="AH389" s="1927">
        <f t="shared" si="695"/>
        <v>0</v>
      </c>
      <c r="AI389" s="1656">
        <f t="shared" si="695"/>
        <v>0</v>
      </c>
      <c r="AJ389" s="1642">
        <f t="shared" si="695"/>
        <v>0</v>
      </c>
      <c r="AK389" s="1926">
        <f t="shared" si="695"/>
        <v>0</v>
      </c>
      <c r="AL389" s="1927">
        <f t="shared" si="695"/>
        <v>0</v>
      </c>
      <c r="AM389" s="1058">
        <f t="shared" si="695"/>
        <v>0</v>
      </c>
      <c r="AN389" s="1992">
        <f t="shared" si="695"/>
        <v>0</v>
      </c>
      <c r="AO389" s="1656">
        <f t="shared" si="695"/>
        <v>0</v>
      </c>
      <c r="AP389" s="1854">
        <f t="shared" si="695"/>
        <v>0</v>
      </c>
      <c r="AQ389" s="1030">
        <f t="shared" si="695"/>
        <v>0</v>
      </c>
      <c r="AR389" s="1926">
        <f t="shared" si="695"/>
        <v>0</v>
      </c>
      <c r="AS389" s="2096">
        <f t="shared" si="695"/>
        <v>0</v>
      </c>
      <c r="AT389" s="2097">
        <f t="shared" si="695"/>
        <v>0</v>
      </c>
      <c r="AU389" s="1656">
        <f t="shared" si="695"/>
        <v>0</v>
      </c>
      <c r="AV389" s="1642">
        <f t="shared" si="695"/>
        <v>0</v>
      </c>
      <c r="AW389" s="1926">
        <f t="shared" si="695"/>
        <v>0</v>
      </c>
      <c r="AX389" s="1927">
        <f t="shared" si="695"/>
        <v>0</v>
      </c>
      <c r="AY389" s="968"/>
      <c r="AZ389" s="969" t="s">
        <v>1810</v>
      </c>
      <c r="BA389" s="1656">
        <f t="shared" ref="BA389:BD389" si="696">SUM(BA385:BA388)</f>
        <v>0</v>
      </c>
      <c r="BB389" s="1642">
        <f t="shared" si="696"/>
        <v>0</v>
      </c>
      <c r="BC389" s="1926">
        <f t="shared" si="696"/>
        <v>0</v>
      </c>
      <c r="BD389" s="1927">
        <f t="shared" si="696"/>
        <v>0</v>
      </c>
      <c r="BE389" s="968"/>
      <c r="BF389" s="969" t="s">
        <v>1810</v>
      </c>
      <c r="BG389" s="1656">
        <f t="shared" ref="BG389:CD389" si="697">SUM(BG385:BG388)</f>
        <v>0</v>
      </c>
      <c r="BH389" s="1642">
        <f t="shared" si="697"/>
        <v>0</v>
      </c>
      <c r="BI389" s="1926">
        <f t="shared" si="697"/>
        <v>0</v>
      </c>
      <c r="BJ389" s="1927">
        <f t="shared" si="697"/>
        <v>0</v>
      </c>
      <c r="BK389" s="1656">
        <f t="shared" si="697"/>
        <v>0</v>
      </c>
      <c r="BL389" s="1642">
        <f t="shared" si="697"/>
        <v>0</v>
      </c>
      <c r="BM389" s="1926">
        <f t="shared" si="697"/>
        <v>0</v>
      </c>
      <c r="BN389" s="1927">
        <f t="shared" si="697"/>
        <v>0</v>
      </c>
      <c r="BO389" s="1058">
        <f t="shared" si="697"/>
        <v>0</v>
      </c>
      <c r="BP389" s="1992">
        <f t="shared" si="697"/>
        <v>0</v>
      </c>
      <c r="BQ389" s="1058">
        <f t="shared" si="697"/>
        <v>0</v>
      </c>
      <c r="BR389" s="1992">
        <f t="shared" si="697"/>
        <v>0</v>
      </c>
      <c r="BS389" s="1656">
        <f t="shared" si="697"/>
        <v>0</v>
      </c>
      <c r="BT389" s="1642">
        <f t="shared" si="697"/>
        <v>0</v>
      </c>
      <c r="BU389" s="1926">
        <f t="shared" si="697"/>
        <v>0</v>
      </c>
      <c r="BV389" s="1927">
        <f t="shared" si="697"/>
        <v>0</v>
      </c>
      <c r="BW389" s="1058">
        <f t="shared" si="697"/>
        <v>0</v>
      </c>
      <c r="BX389" s="1992">
        <f t="shared" si="697"/>
        <v>0</v>
      </c>
      <c r="BY389" s="1656">
        <f t="shared" si="697"/>
        <v>0</v>
      </c>
      <c r="BZ389" s="1642">
        <f t="shared" si="697"/>
        <v>0</v>
      </c>
      <c r="CA389" s="1926">
        <f t="shared" si="697"/>
        <v>0</v>
      </c>
      <c r="CB389" s="1927">
        <f t="shared" si="697"/>
        <v>0</v>
      </c>
      <c r="CC389" s="1705">
        <f t="shared" si="697"/>
        <v>0</v>
      </c>
      <c r="CD389" s="2159">
        <f t="shared" si="697"/>
        <v>0</v>
      </c>
      <c r="CE389" s="968"/>
      <c r="CF389" s="969" t="s">
        <v>1810</v>
      </c>
      <c r="CG389" s="1656">
        <f t="shared" ref="CG389:CJ389" si="698">SUM(CG385:CG388)</f>
        <v>0</v>
      </c>
      <c r="CH389" s="1642">
        <f t="shared" si="698"/>
        <v>0</v>
      </c>
      <c r="CI389" s="1926">
        <f t="shared" si="698"/>
        <v>0</v>
      </c>
      <c r="CJ389" s="1927">
        <f t="shared" si="698"/>
        <v>0</v>
      </c>
      <c r="CK389" s="968"/>
      <c r="CL389" s="969" t="s">
        <v>1810</v>
      </c>
      <c r="CM389" s="1656">
        <f t="shared" ref="CM389:DH389" si="699">SUM(CM385:CM388)</f>
        <v>0</v>
      </c>
      <c r="CN389" s="1642">
        <f t="shared" si="699"/>
        <v>0</v>
      </c>
      <c r="CO389" s="1926">
        <f t="shared" si="699"/>
        <v>0</v>
      </c>
      <c r="CP389" s="1927">
        <f t="shared" si="699"/>
        <v>0</v>
      </c>
      <c r="CQ389" s="1656">
        <f t="shared" si="699"/>
        <v>0</v>
      </c>
      <c r="CR389" s="1642">
        <f t="shared" si="699"/>
        <v>0</v>
      </c>
      <c r="CS389" s="1926">
        <f t="shared" si="699"/>
        <v>0</v>
      </c>
      <c r="CT389" s="1927">
        <f t="shared" si="699"/>
        <v>0</v>
      </c>
      <c r="CU389" s="1656">
        <f t="shared" si="699"/>
        <v>0</v>
      </c>
      <c r="CV389" s="1642">
        <f t="shared" si="699"/>
        <v>0</v>
      </c>
      <c r="CW389" s="1926">
        <f t="shared" si="699"/>
        <v>0</v>
      </c>
      <c r="CX389" s="1927">
        <f t="shared" si="699"/>
        <v>0</v>
      </c>
      <c r="CY389" s="1656">
        <f t="shared" si="699"/>
        <v>0</v>
      </c>
      <c r="CZ389" s="1642">
        <f t="shared" si="699"/>
        <v>0</v>
      </c>
      <c r="DA389" s="1926">
        <f t="shared" si="699"/>
        <v>0</v>
      </c>
      <c r="DB389" s="1927">
        <f t="shared" si="699"/>
        <v>0</v>
      </c>
      <c r="DC389" s="1058">
        <f t="shared" si="699"/>
        <v>0</v>
      </c>
      <c r="DD389" s="1992">
        <f t="shared" si="699"/>
        <v>0</v>
      </c>
      <c r="DE389" s="1656">
        <f t="shared" si="699"/>
        <v>0</v>
      </c>
      <c r="DF389" s="1642">
        <f t="shared" si="699"/>
        <v>0</v>
      </c>
      <c r="DG389" s="1926">
        <f t="shared" si="699"/>
        <v>0</v>
      </c>
      <c r="DH389" s="1927">
        <f t="shared" si="699"/>
        <v>0</v>
      </c>
      <c r="DI389" s="970"/>
      <c r="DJ389" s="969" t="s">
        <v>1810</v>
      </c>
      <c r="DK389" s="1058">
        <f t="shared" ref="DK389:DL389" si="700">SUM(DK385:DK388)</f>
        <v>0</v>
      </c>
      <c r="DL389" s="1992">
        <f t="shared" si="700"/>
        <v>0</v>
      </c>
      <c r="DM389" s="1058">
        <f t="shared" ref="DM389:DP389" si="701">SUM(DM385:DM388)</f>
        <v>0</v>
      </c>
      <c r="DN389" s="1992">
        <f t="shared" si="701"/>
        <v>0</v>
      </c>
      <c r="DO389" s="1058">
        <f t="shared" si="701"/>
        <v>0</v>
      </c>
      <c r="DP389" s="1992">
        <f t="shared" si="701"/>
        <v>0</v>
      </c>
      <c r="DQ389" s="968"/>
      <c r="DR389" s="972" t="s">
        <v>1810</v>
      </c>
      <c r="DS389" s="1656">
        <f t="shared" ref="DS389:DV389" si="702">SUM(DS385:DS388)</f>
        <v>0</v>
      </c>
      <c r="DT389" s="1642">
        <f t="shared" si="702"/>
        <v>0</v>
      </c>
      <c r="DU389" s="1926">
        <f t="shared" si="702"/>
        <v>0</v>
      </c>
      <c r="DV389" s="1927">
        <f t="shared" si="702"/>
        <v>0</v>
      </c>
      <c r="DW389" s="968"/>
      <c r="DX389" s="969" t="s">
        <v>1810</v>
      </c>
      <c r="DY389" s="1656">
        <f t="shared" ref="DY389:ED389" si="703">SUM(DY385:DY388)</f>
        <v>0</v>
      </c>
      <c r="DZ389" s="1642">
        <f t="shared" si="703"/>
        <v>0</v>
      </c>
      <c r="EA389" s="1926">
        <f t="shared" si="703"/>
        <v>0</v>
      </c>
      <c r="EB389" s="1927">
        <f t="shared" si="703"/>
        <v>0</v>
      </c>
      <c r="EC389" s="1058">
        <f t="shared" si="703"/>
        <v>0</v>
      </c>
      <c r="ED389" s="1992">
        <f t="shared" si="703"/>
        <v>0</v>
      </c>
      <c r="EE389" s="968"/>
      <c r="EF389" s="969" t="s">
        <v>1810</v>
      </c>
      <c r="EG389" s="1058">
        <f t="shared" ref="EG389:EO389" si="704">SUM(EG385:EG388)</f>
        <v>0</v>
      </c>
      <c r="EH389" s="1992">
        <f t="shared" si="704"/>
        <v>0</v>
      </c>
      <c r="EI389" s="1656">
        <f t="shared" si="704"/>
        <v>0</v>
      </c>
      <c r="EJ389" s="1642">
        <f t="shared" si="704"/>
        <v>0</v>
      </c>
      <c r="EK389" s="1926">
        <f t="shared" si="704"/>
        <v>0</v>
      </c>
      <c r="EL389" s="1927">
        <f t="shared" si="704"/>
        <v>0</v>
      </c>
      <c r="EM389" s="1927">
        <f t="shared" si="704"/>
        <v>0</v>
      </c>
      <c r="EN389" s="1927">
        <f t="shared" si="704"/>
        <v>0</v>
      </c>
      <c r="EO389" s="1927">
        <f t="shared" si="704"/>
        <v>0</v>
      </c>
      <c r="EP389" s="1962">
        <f t="shared" si="554"/>
        <v>0</v>
      </c>
      <c r="EQ389" s="1707">
        <f t="shared" si="675"/>
        <v>0</v>
      </c>
      <c r="ER389" s="1786">
        <f t="shared" si="676"/>
        <v>0</v>
      </c>
      <c r="ES389" s="1786">
        <f t="shared" si="677"/>
        <v>0</v>
      </c>
      <c r="ET389" s="1061">
        <f t="shared" si="557"/>
        <v>0</v>
      </c>
    </row>
    <row r="390" spans="1:150" ht="30" customHeight="1" thickBot="1" x14ac:dyDescent="0.3">
      <c r="A390" s="2545" t="s">
        <v>1811</v>
      </c>
      <c r="B390" s="2546"/>
      <c r="C390" s="1640">
        <f t="shared" ref="C390:L390" si="705">SUM(C389+C368+C346+C340+C374+C379+C384)</f>
        <v>0</v>
      </c>
      <c r="D390" s="1389">
        <f t="shared" si="705"/>
        <v>0</v>
      </c>
      <c r="E390" s="1953">
        <f t="shared" si="705"/>
        <v>0</v>
      </c>
      <c r="F390" s="1594">
        <f t="shared" si="705"/>
        <v>0</v>
      </c>
      <c r="G390" s="1100">
        <f t="shared" si="705"/>
        <v>0</v>
      </c>
      <c r="H390" s="2007">
        <f t="shared" si="705"/>
        <v>0</v>
      </c>
      <c r="I390" s="1100">
        <f t="shared" si="705"/>
        <v>0</v>
      </c>
      <c r="J390" s="2007">
        <f t="shared" si="705"/>
        <v>0</v>
      </c>
      <c r="K390" s="1100">
        <f t="shared" si="705"/>
        <v>500</v>
      </c>
      <c r="L390" s="2007">
        <f t="shared" si="705"/>
        <v>300</v>
      </c>
      <c r="M390" s="2545" t="s">
        <v>1811</v>
      </c>
      <c r="N390" s="2546"/>
      <c r="O390" s="1100">
        <f t="shared" ref="O390:AB390" si="706">SUM(O389+O368+O346+O340+O374+O379+O384)</f>
        <v>0</v>
      </c>
      <c r="P390" s="2007">
        <f t="shared" si="706"/>
        <v>0</v>
      </c>
      <c r="Q390" s="1640">
        <f t="shared" si="706"/>
        <v>0</v>
      </c>
      <c r="R390" s="1389">
        <f t="shared" si="706"/>
        <v>0</v>
      </c>
      <c r="S390" s="1953">
        <f t="shared" si="706"/>
        <v>0</v>
      </c>
      <c r="T390" s="1594">
        <f t="shared" si="706"/>
        <v>0</v>
      </c>
      <c r="U390" s="1640">
        <f t="shared" si="706"/>
        <v>0</v>
      </c>
      <c r="V390" s="1389">
        <f t="shared" si="706"/>
        <v>0</v>
      </c>
      <c r="W390" s="1953">
        <f t="shared" si="706"/>
        <v>0</v>
      </c>
      <c r="X390" s="1594">
        <f t="shared" si="706"/>
        <v>0</v>
      </c>
      <c r="Y390" s="1640">
        <f t="shared" si="706"/>
        <v>0</v>
      </c>
      <c r="Z390" s="1389">
        <f t="shared" si="706"/>
        <v>0</v>
      </c>
      <c r="AA390" s="1953">
        <f t="shared" si="706"/>
        <v>0</v>
      </c>
      <c r="AB390" s="1594">
        <f t="shared" si="706"/>
        <v>0</v>
      </c>
      <c r="AC390" s="2547" t="s">
        <v>1811</v>
      </c>
      <c r="AD390" s="2546"/>
      <c r="AE390" s="1640">
        <f t="shared" ref="AE390:AX390" si="707">SUM(AE389+AE368+AE346+AE340+AE374+AE379+AE384)</f>
        <v>0</v>
      </c>
      <c r="AF390" s="1389">
        <f t="shared" si="707"/>
        <v>0</v>
      </c>
      <c r="AG390" s="1953">
        <f t="shared" si="707"/>
        <v>0</v>
      </c>
      <c r="AH390" s="1594">
        <f t="shared" si="707"/>
        <v>0</v>
      </c>
      <c r="AI390" s="1640">
        <f t="shared" si="707"/>
        <v>0</v>
      </c>
      <c r="AJ390" s="1389">
        <f t="shared" si="707"/>
        <v>0</v>
      </c>
      <c r="AK390" s="1953">
        <f t="shared" si="707"/>
        <v>0</v>
      </c>
      <c r="AL390" s="1594">
        <f t="shared" si="707"/>
        <v>0</v>
      </c>
      <c r="AM390" s="1100">
        <f t="shared" si="707"/>
        <v>0</v>
      </c>
      <c r="AN390" s="2007">
        <f t="shared" si="707"/>
        <v>0</v>
      </c>
      <c r="AO390" s="1640">
        <f t="shared" si="707"/>
        <v>0</v>
      </c>
      <c r="AP390" s="1375">
        <f t="shared" si="707"/>
        <v>0</v>
      </c>
      <c r="AQ390" s="1623">
        <f t="shared" si="707"/>
        <v>0</v>
      </c>
      <c r="AR390" s="1953">
        <f t="shared" si="707"/>
        <v>0</v>
      </c>
      <c r="AS390" s="1429">
        <f t="shared" si="707"/>
        <v>0</v>
      </c>
      <c r="AT390" s="2117">
        <f t="shared" si="707"/>
        <v>0</v>
      </c>
      <c r="AU390" s="1640">
        <f t="shared" si="707"/>
        <v>0</v>
      </c>
      <c r="AV390" s="1389">
        <f t="shared" si="707"/>
        <v>0</v>
      </c>
      <c r="AW390" s="1953">
        <f t="shared" si="707"/>
        <v>0</v>
      </c>
      <c r="AX390" s="1594">
        <f t="shared" si="707"/>
        <v>0</v>
      </c>
      <c r="AY390" s="2545" t="s">
        <v>1811</v>
      </c>
      <c r="AZ390" s="2546"/>
      <c r="BA390" s="1640">
        <f t="shared" ref="BA390:BD390" si="708">SUM(BA389+BA368+BA346+BA340+BA374+BA379+BA384)</f>
        <v>0</v>
      </c>
      <c r="BB390" s="1389">
        <f t="shared" si="708"/>
        <v>0</v>
      </c>
      <c r="BC390" s="1953">
        <f t="shared" si="708"/>
        <v>0</v>
      </c>
      <c r="BD390" s="1594">
        <f t="shared" si="708"/>
        <v>0</v>
      </c>
      <c r="BE390" s="2545" t="s">
        <v>1811</v>
      </c>
      <c r="BF390" s="2546"/>
      <c r="BG390" s="1640">
        <f t="shared" ref="BG390:CD390" si="709">SUM(BG389+BG368+BG346+BG340+BG374+BG379+BG384)</f>
        <v>0</v>
      </c>
      <c r="BH390" s="1389">
        <f t="shared" si="709"/>
        <v>0</v>
      </c>
      <c r="BI390" s="1953">
        <f t="shared" si="709"/>
        <v>0</v>
      </c>
      <c r="BJ390" s="1594">
        <f t="shared" si="709"/>
        <v>0</v>
      </c>
      <c r="BK390" s="1640">
        <f t="shared" si="709"/>
        <v>0</v>
      </c>
      <c r="BL390" s="1389">
        <f t="shared" si="709"/>
        <v>0</v>
      </c>
      <c r="BM390" s="1953">
        <f t="shared" si="709"/>
        <v>0</v>
      </c>
      <c r="BN390" s="1594">
        <f t="shared" si="709"/>
        <v>0</v>
      </c>
      <c r="BO390" s="1100">
        <f t="shared" si="709"/>
        <v>0</v>
      </c>
      <c r="BP390" s="2007">
        <f t="shared" si="709"/>
        <v>0</v>
      </c>
      <c r="BQ390" s="1100">
        <f t="shared" si="709"/>
        <v>0</v>
      </c>
      <c r="BR390" s="2007">
        <f t="shared" si="709"/>
        <v>0</v>
      </c>
      <c r="BS390" s="1640">
        <f t="shared" si="709"/>
        <v>0</v>
      </c>
      <c r="BT390" s="1389">
        <f t="shared" si="709"/>
        <v>0</v>
      </c>
      <c r="BU390" s="1953">
        <f t="shared" si="709"/>
        <v>0</v>
      </c>
      <c r="BV390" s="1594">
        <f t="shared" si="709"/>
        <v>0</v>
      </c>
      <c r="BW390" s="1100">
        <f t="shared" si="709"/>
        <v>0</v>
      </c>
      <c r="BX390" s="2007">
        <f t="shared" si="709"/>
        <v>0</v>
      </c>
      <c r="BY390" s="1640">
        <f t="shared" si="709"/>
        <v>0</v>
      </c>
      <c r="BZ390" s="1389">
        <f t="shared" si="709"/>
        <v>0</v>
      </c>
      <c r="CA390" s="1953">
        <f t="shared" si="709"/>
        <v>0</v>
      </c>
      <c r="CB390" s="1594">
        <f t="shared" si="709"/>
        <v>0</v>
      </c>
      <c r="CC390" s="1397">
        <f t="shared" si="709"/>
        <v>0</v>
      </c>
      <c r="CD390" s="2176">
        <f t="shared" si="709"/>
        <v>0</v>
      </c>
      <c r="CE390" s="2545" t="s">
        <v>1811</v>
      </c>
      <c r="CF390" s="2546"/>
      <c r="CG390" s="1640">
        <f t="shared" ref="CG390:CJ390" si="710">SUM(CG389+CG368+CG346+CG340+CG374+CG379+CG384)</f>
        <v>0</v>
      </c>
      <c r="CH390" s="1389">
        <f t="shared" si="710"/>
        <v>0</v>
      </c>
      <c r="CI390" s="1953">
        <f t="shared" si="710"/>
        <v>0</v>
      </c>
      <c r="CJ390" s="1594">
        <f t="shared" si="710"/>
        <v>0</v>
      </c>
      <c r="CK390" s="2545" t="s">
        <v>1811</v>
      </c>
      <c r="CL390" s="2546"/>
      <c r="CM390" s="1640">
        <f t="shared" ref="CM390:DH390" si="711">SUM(CM389+CM368+CM346+CM340+CM374+CM379+CM384)</f>
        <v>0</v>
      </c>
      <c r="CN390" s="1389">
        <f t="shared" si="711"/>
        <v>0</v>
      </c>
      <c r="CO390" s="1953">
        <f t="shared" si="711"/>
        <v>0</v>
      </c>
      <c r="CP390" s="1594">
        <f t="shared" si="711"/>
        <v>0</v>
      </c>
      <c r="CQ390" s="1640">
        <f t="shared" si="711"/>
        <v>0</v>
      </c>
      <c r="CR390" s="1389">
        <f t="shared" si="711"/>
        <v>0</v>
      </c>
      <c r="CS390" s="1953">
        <f t="shared" si="711"/>
        <v>0</v>
      </c>
      <c r="CT390" s="1594">
        <f t="shared" si="711"/>
        <v>0</v>
      </c>
      <c r="CU390" s="1640">
        <f t="shared" si="711"/>
        <v>0</v>
      </c>
      <c r="CV390" s="1389">
        <f t="shared" si="711"/>
        <v>0</v>
      </c>
      <c r="CW390" s="1953">
        <f t="shared" si="711"/>
        <v>0</v>
      </c>
      <c r="CX390" s="1594">
        <f t="shared" si="711"/>
        <v>0</v>
      </c>
      <c r="CY390" s="1640">
        <f t="shared" si="711"/>
        <v>0</v>
      </c>
      <c r="CZ390" s="1389">
        <f t="shared" si="711"/>
        <v>0</v>
      </c>
      <c r="DA390" s="1953">
        <f t="shared" si="711"/>
        <v>0</v>
      </c>
      <c r="DB390" s="1594">
        <f t="shared" si="711"/>
        <v>791850</v>
      </c>
      <c r="DC390" s="1100">
        <f t="shared" si="711"/>
        <v>240000</v>
      </c>
      <c r="DD390" s="2007">
        <f t="shared" si="711"/>
        <v>350000</v>
      </c>
      <c r="DE390" s="1640">
        <f t="shared" si="711"/>
        <v>0</v>
      </c>
      <c r="DF390" s="1389">
        <f t="shared" si="711"/>
        <v>0</v>
      </c>
      <c r="DG390" s="1953">
        <f t="shared" si="711"/>
        <v>0</v>
      </c>
      <c r="DH390" s="1594">
        <f t="shared" si="711"/>
        <v>0</v>
      </c>
      <c r="DI390" s="2547" t="s">
        <v>1811</v>
      </c>
      <c r="DJ390" s="2546"/>
      <c r="DK390" s="1100">
        <f t="shared" ref="DK390:DL390" si="712">SUM(DK389+DK368+DK346+DK340+DK374+DK379+DK384)</f>
        <v>0</v>
      </c>
      <c r="DL390" s="2007">
        <f t="shared" si="712"/>
        <v>0</v>
      </c>
      <c r="DM390" s="1100">
        <f t="shared" ref="DM390:DP390" si="713">SUM(DM389+DM368+DM346+DM340+DM374+DM379+DM384)</f>
        <v>0</v>
      </c>
      <c r="DN390" s="2007">
        <f t="shared" si="713"/>
        <v>0</v>
      </c>
      <c r="DO390" s="1100">
        <f t="shared" si="713"/>
        <v>0</v>
      </c>
      <c r="DP390" s="2007">
        <f t="shared" si="713"/>
        <v>0</v>
      </c>
      <c r="DQ390" s="2545" t="s">
        <v>1811</v>
      </c>
      <c r="DR390" s="2547"/>
      <c r="DS390" s="1640">
        <f t="shared" ref="DS390:DV390" si="714">SUM(DS389+DS368+DS346+DS340+DS374+DS379+DS384)</f>
        <v>0</v>
      </c>
      <c r="DT390" s="1389">
        <f t="shared" si="714"/>
        <v>0</v>
      </c>
      <c r="DU390" s="1953">
        <f t="shared" si="714"/>
        <v>0</v>
      </c>
      <c r="DV390" s="1594">
        <f t="shared" si="714"/>
        <v>0</v>
      </c>
      <c r="DW390" s="2545" t="s">
        <v>1811</v>
      </c>
      <c r="DX390" s="2546"/>
      <c r="DY390" s="1640">
        <f t="shared" ref="DY390:ED390" si="715">SUM(DY389+DY368+DY346+DY340+DY374+DY379+DY384)</f>
        <v>0</v>
      </c>
      <c r="DZ390" s="1389">
        <f t="shared" si="715"/>
        <v>0</v>
      </c>
      <c r="EA390" s="1953">
        <f t="shared" si="715"/>
        <v>0</v>
      </c>
      <c r="EB390" s="1594">
        <f t="shared" si="715"/>
        <v>0</v>
      </c>
      <c r="EC390" s="1100">
        <f t="shared" si="715"/>
        <v>0</v>
      </c>
      <c r="ED390" s="2007">
        <f t="shared" si="715"/>
        <v>0</v>
      </c>
      <c r="EE390" s="2545" t="s">
        <v>1811</v>
      </c>
      <c r="EF390" s="2546"/>
      <c r="EG390" s="1100">
        <f t="shared" ref="EG390:EO390" si="716">SUM(EG389+EG368+EG346+EG340+EG374+EG379+EG384)</f>
        <v>0</v>
      </c>
      <c r="EH390" s="2007">
        <f t="shared" si="716"/>
        <v>0</v>
      </c>
      <c r="EI390" s="1640">
        <f t="shared" si="716"/>
        <v>0</v>
      </c>
      <c r="EJ390" s="1389">
        <f t="shared" si="716"/>
        <v>0</v>
      </c>
      <c r="EK390" s="1953">
        <f t="shared" si="716"/>
        <v>0</v>
      </c>
      <c r="EL390" s="1594">
        <f t="shared" si="716"/>
        <v>0</v>
      </c>
      <c r="EM390" s="1594">
        <f t="shared" si="716"/>
        <v>0</v>
      </c>
      <c r="EN390" s="1594">
        <f t="shared" si="716"/>
        <v>1142150</v>
      </c>
      <c r="EO390" s="1594">
        <f t="shared" si="716"/>
        <v>0</v>
      </c>
      <c r="EP390" s="1601">
        <f t="shared" si="554"/>
        <v>1142150</v>
      </c>
      <c r="EQ390" s="1398">
        <f t="shared" si="675"/>
        <v>0</v>
      </c>
      <c r="ER390" s="1796">
        <f t="shared" si="676"/>
        <v>240500</v>
      </c>
      <c r="ES390" s="1796">
        <f t="shared" si="677"/>
        <v>0</v>
      </c>
      <c r="ET390" s="1400">
        <f t="shared" si="557"/>
        <v>240500</v>
      </c>
    </row>
    <row r="391" spans="1:150" ht="30" customHeight="1" x14ac:dyDescent="0.25">
      <c r="A391" s="1172"/>
      <c r="B391" s="1183" t="s">
        <v>1584</v>
      </c>
      <c r="C391" s="1670"/>
      <c r="D391" s="1633"/>
      <c r="E391" s="1956"/>
      <c r="F391" s="1957"/>
      <c r="G391" s="1694"/>
      <c r="H391" s="2009"/>
      <c r="I391" s="1694"/>
      <c r="J391" s="2009"/>
      <c r="K391" s="1694"/>
      <c r="L391" s="2039"/>
      <c r="M391" s="1172"/>
      <c r="N391" s="1183" t="s">
        <v>1584</v>
      </c>
      <c r="O391" s="1694"/>
      <c r="P391" s="2039"/>
      <c r="Q391" s="1670"/>
      <c r="R391" s="1633"/>
      <c r="S391" s="1956"/>
      <c r="T391" s="1957"/>
      <c r="U391" s="1670"/>
      <c r="V391" s="1633"/>
      <c r="W391" s="1956"/>
      <c r="X391" s="1957"/>
      <c r="Y391" s="1670"/>
      <c r="Z391" s="1633"/>
      <c r="AA391" s="2073"/>
      <c r="AB391" s="1957"/>
      <c r="AC391" s="2298"/>
      <c r="AD391" s="1183" t="s">
        <v>1584</v>
      </c>
      <c r="AE391" s="1670"/>
      <c r="AF391" s="1633"/>
      <c r="AG391" s="1956"/>
      <c r="AH391" s="1957"/>
      <c r="AI391" s="1670"/>
      <c r="AJ391" s="1633"/>
      <c r="AK391" s="1956"/>
      <c r="AL391" s="1957"/>
      <c r="AM391" s="1694"/>
      <c r="AN391" s="2039"/>
      <c r="AO391" s="1878"/>
      <c r="AP391" s="1726"/>
      <c r="AQ391" s="1727"/>
      <c r="AR391" s="2120"/>
      <c r="AS391" s="2121"/>
      <c r="AT391" s="2120"/>
      <c r="AU391" s="1670"/>
      <c r="AV391" s="1633"/>
      <c r="AW391" s="1956"/>
      <c r="AX391" s="1957"/>
      <c r="AY391" s="1172"/>
      <c r="AZ391" s="1183" t="s">
        <v>1584</v>
      </c>
      <c r="BA391" s="1670"/>
      <c r="BB391" s="1633"/>
      <c r="BC391" s="1956"/>
      <c r="BD391" s="1957"/>
      <c r="BE391" s="1172"/>
      <c r="BF391" s="1183" t="s">
        <v>1584</v>
      </c>
      <c r="BG391" s="1670"/>
      <c r="BH391" s="1633"/>
      <c r="BI391" s="1956"/>
      <c r="BJ391" s="1957"/>
      <c r="BK391" s="1670"/>
      <c r="BL391" s="1633"/>
      <c r="BM391" s="1956"/>
      <c r="BN391" s="1957"/>
      <c r="BO391" s="1694"/>
      <c r="BP391" s="2009"/>
      <c r="BQ391" s="1694"/>
      <c r="BR391" s="2039"/>
      <c r="BS391" s="1670"/>
      <c r="BT391" s="1633"/>
      <c r="BU391" s="1956"/>
      <c r="BV391" s="1957"/>
      <c r="BW391" s="1694"/>
      <c r="BX391" s="2039"/>
      <c r="BY391" s="1670"/>
      <c r="BZ391" s="1633"/>
      <c r="CA391" s="1956"/>
      <c r="CB391" s="1957"/>
      <c r="CC391" s="1762"/>
      <c r="CD391" s="2172"/>
      <c r="CE391" s="1172"/>
      <c r="CF391" s="1183" t="s">
        <v>1584</v>
      </c>
      <c r="CG391" s="1670"/>
      <c r="CH391" s="1633"/>
      <c r="CI391" s="1956"/>
      <c r="CJ391" s="1957"/>
      <c r="CK391" s="1172"/>
      <c r="CL391" s="1183" t="s">
        <v>1584</v>
      </c>
      <c r="CM391" s="1670"/>
      <c r="CN391" s="1633"/>
      <c r="CO391" s="1956"/>
      <c r="CP391" s="1957"/>
      <c r="CQ391" s="1670"/>
      <c r="CR391" s="1633"/>
      <c r="CS391" s="1956"/>
      <c r="CT391" s="1957"/>
      <c r="CU391" s="1670"/>
      <c r="CV391" s="1633"/>
      <c r="CW391" s="1956"/>
      <c r="CX391" s="1957"/>
      <c r="CY391" s="1670"/>
      <c r="CZ391" s="1633"/>
      <c r="DA391" s="1956"/>
      <c r="DB391" s="1957"/>
      <c r="DC391" s="1694"/>
      <c r="DD391" s="2039"/>
      <c r="DE391" s="1670"/>
      <c r="DF391" s="1633"/>
      <c r="DG391" s="1956"/>
      <c r="DH391" s="1957"/>
      <c r="DI391" s="2298"/>
      <c r="DJ391" s="1183" t="s">
        <v>1584</v>
      </c>
      <c r="DK391" s="1694"/>
      <c r="DL391" s="2009"/>
      <c r="DM391" s="1694"/>
      <c r="DN391" s="2009"/>
      <c r="DO391" s="1694"/>
      <c r="DP391" s="2039"/>
      <c r="DQ391" s="1172"/>
      <c r="DR391" s="1184" t="s">
        <v>1584</v>
      </c>
      <c r="DS391" s="1670"/>
      <c r="DT391" s="1633"/>
      <c r="DU391" s="1956"/>
      <c r="DV391" s="1957"/>
      <c r="DW391" s="1172"/>
      <c r="DX391" s="1183" t="s">
        <v>1584</v>
      </c>
      <c r="DY391" s="1670"/>
      <c r="DZ391" s="1633"/>
      <c r="EA391" s="1956"/>
      <c r="EB391" s="1957"/>
      <c r="EC391" s="1694"/>
      <c r="ED391" s="2039"/>
      <c r="EE391" s="1172"/>
      <c r="EF391" s="1183" t="s">
        <v>1584</v>
      </c>
      <c r="EG391" s="1694"/>
      <c r="EH391" s="2039"/>
      <c r="EI391" s="1670"/>
      <c r="EJ391" s="1633"/>
      <c r="EK391" s="2245"/>
      <c r="EL391" s="1957"/>
      <c r="EM391" s="2253"/>
      <c r="EN391" s="2254"/>
      <c r="EO391" s="2254"/>
      <c r="EP391" s="2254">
        <f t="shared" si="554"/>
        <v>0</v>
      </c>
      <c r="EQ391" s="1710">
        <f t="shared" si="675"/>
        <v>0</v>
      </c>
      <c r="ER391" s="1820">
        <f t="shared" si="676"/>
        <v>0</v>
      </c>
      <c r="ES391" s="1820">
        <f t="shared" si="677"/>
        <v>0</v>
      </c>
      <c r="ET391" s="1821">
        <f t="shared" si="557"/>
        <v>0</v>
      </c>
    </row>
    <row r="392" spans="1:150" x14ac:dyDescent="0.25">
      <c r="A392" s="1044">
        <v>1</v>
      </c>
      <c r="B392" s="1117"/>
      <c r="C392" s="1661"/>
      <c r="D392" s="1064"/>
      <c r="E392" s="1938"/>
      <c r="F392" s="1939"/>
      <c r="G392" s="1065"/>
      <c r="H392" s="1998"/>
      <c r="I392" s="1065"/>
      <c r="J392" s="1998"/>
      <c r="K392" s="1065"/>
      <c r="L392" s="2033"/>
      <c r="M392" s="1044">
        <v>1</v>
      </c>
      <c r="N392" s="1117"/>
      <c r="O392" s="1065"/>
      <c r="P392" s="2033"/>
      <c r="Q392" s="1661"/>
      <c r="R392" s="1064"/>
      <c r="S392" s="1938"/>
      <c r="T392" s="1939"/>
      <c r="U392" s="1661"/>
      <c r="V392" s="1064"/>
      <c r="W392" s="1938"/>
      <c r="X392" s="1939"/>
      <c r="Y392" s="1661"/>
      <c r="Z392" s="1064"/>
      <c r="AA392" s="2067"/>
      <c r="AB392" s="1939"/>
      <c r="AC392" s="1118">
        <v>1</v>
      </c>
      <c r="AD392" s="1117"/>
      <c r="AE392" s="1661"/>
      <c r="AF392" s="1064"/>
      <c r="AG392" s="1938"/>
      <c r="AH392" s="1939"/>
      <c r="AI392" s="1661"/>
      <c r="AJ392" s="1064"/>
      <c r="AK392" s="1938"/>
      <c r="AL392" s="1939"/>
      <c r="AM392" s="1065"/>
      <c r="AN392" s="2033"/>
      <c r="AO392" s="1873"/>
      <c r="AP392" s="1067"/>
      <c r="AQ392" s="1068"/>
      <c r="AR392" s="2103"/>
      <c r="AS392" s="1493"/>
      <c r="AT392" s="2103"/>
      <c r="AU392" s="1661"/>
      <c r="AV392" s="1064"/>
      <c r="AW392" s="1938"/>
      <c r="AX392" s="1939"/>
      <c r="AY392" s="1044">
        <v>1</v>
      </c>
      <c r="AZ392" s="1117"/>
      <c r="BA392" s="1661"/>
      <c r="BB392" s="1064"/>
      <c r="BC392" s="1938"/>
      <c r="BD392" s="1939"/>
      <c r="BE392" s="1044">
        <v>1</v>
      </c>
      <c r="BF392" s="1117"/>
      <c r="BG392" s="1661"/>
      <c r="BH392" s="1064"/>
      <c r="BI392" s="1938"/>
      <c r="BJ392" s="1939"/>
      <c r="BK392" s="1661"/>
      <c r="BL392" s="1064"/>
      <c r="BM392" s="1938"/>
      <c r="BN392" s="1939"/>
      <c r="BO392" s="1065"/>
      <c r="BP392" s="1998"/>
      <c r="BQ392" s="1065"/>
      <c r="BR392" s="2033"/>
      <c r="BS392" s="1661"/>
      <c r="BT392" s="1064"/>
      <c r="BU392" s="1938"/>
      <c r="BV392" s="1939"/>
      <c r="BW392" s="1065"/>
      <c r="BX392" s="2033"/>
      <c r="BY392" s="1661"/>
      <c r="BZ392" s="1064"/>
      <c r="CA392" s="1938"/>
      <c r="CB392" s="1939"/>
      <c r="CC392" s="1755"/>
      <c r="CD392" s="2163"/>
      <c r="CE392" s="1044">
        <v>1</v>
      </c>
      <c r="CF392" s="1117"/>
      <c r="CG392" s="1661"/>
      <c r="CH392" s="1064"/>
      <c r="CI392" s="1938"/>
      <c r="CJ392" s="1939"/>
      <c r="CK392" s="1044">
        <v>1</v>
      </c>
      <c r="CL392" s="1117"/>
      <c r="CM392" s="1661"/>
      <c r="CN392" s="1064"/>
      <c r="CO392" s="1938"/>
      <c r="CP392" s="1939"/>
      <c r="CQ392" s="1661"/>
      <c r="CR392" s="1064"/>
      <c r="CS392" s="1938"/>
      <c r="CT392" s="1939"/>
      <c r="CU392" s="1661"/>
      <c r="CV392" s="1064"/>
      <c r="CW392" s="1938"/>
      <c r="CX392" s="1939"/>
      <c r="CY392" s="1661"/>
      <c r="CZ392" s="1064"/>
      <c r="DA392" s="1938"/>
      <c r="DB392" s="1939"/>
      <c r="DC392" s="1065"/>
      <c r="DD392" s="2033"/>
      <c r="DE392" s="1661"/>
      <c r="DF392" s="1064"/>
      <c r="DG392" s="1938"/>
      <c r="DH392" s="1939"/>
      <c r="DI392" s="1118">
        <v>1</v>
      </c>
      <c r="DJ392" s="1117"/>
      <c r="DK392" s="1065"/>
      <c r="DL392" s="1998"/>
      <c r="DM392" s="1065"/>
      <c r="DN392" s="1998"/>
      <c r="DO392" s="1065"/>
      <c r="DP392" s="2033"/>
      <c r="DQ392" s="1044">
        <v>1</v>
      </c>
      <c r="DR392" s="1119"/>
      <c r="DS392" s="1661"/>
      <c r="DT392" s="1064"/>
      <c r="DU392" s="1938"/>
      <c r="DV392" s="1939"/>
      <c r="DW392" s="1044">
        <v>1</v>
      </c>
      <c r="DX392" s="1117"/>
      <c r="DY392" s="1661"/>
      <c r="DZ392" s="1064"/>
      <c r="EA392" s="1938"/>
      <c r="EB392" s="1939"/>
      <c r="EC392" s="1065"/>
      <c r="ED392" s="2033"/>
      <c r="EE392" s="1044">
        <v>1</v>
      </c>
      <c r="EF392" s="1117"/>
      <c r="EG392" s="1065"/>
      <c r="EH392" s="2033"/>
      <c r="EI392" s="1661"/>
      <c r="EJ392" s="1064"/>
      <c r="EK392" s="2233"/>
      <c r="EL392" s="1939"/>
      <c r="EM392" s="2202">
        <f t="shared" ref="EM392:EM393" si="717">E392+S392+W392+AA392+AG392+AK392+AN392+AR392+AW392+BC392+BI392+BM392+BR392+BU392+CA392+CD392+CI392+CO392+CS392+CW392+DA392+DG392+DU392+EA392+EK392</f>
        <v>0</v>
      </c>
      <c r="EN392" s="1585">
        <f t="shared" ref="EN392:EN393" si="718">F392+H392+J392+L392+P392+T392+X392+AB392+AH392+AL392+AS392+AX392+BD392+BJ392+BN392+BP392+BV392+BX392+CB392+CJ392+CP392+CT392+CX392+DB392+DD392+DH392+DN392+DP392+DV392+EB392+ED392+EH392+EL392+DL392</f>
        <v>0</v>
      </c>
      <c r="EO392" s="1585">
        <f t="shared" ref="EO392:EO393" si="719">AQ392</f>
        <v>0</v>
      </c>
      <c r="EP392" s="1584">
        <f t="shared" ref="EP392:EP405" si="720">SUM(EM392:EO392)</f>
        <v>0</v>
      </c>
      <c r="EQ392" s="1829">
        <f t="shared" si="675"/>
        <v>0</v>
      </c>
      <c r="ER392" s="1830">
        <f t="shared" si="676"/>
        <v>0</v>
      </c>
      <c r="ES392" s="1830">
        <f t="shared" si="677"/>
        <v>0</v>
      </c>
      <c r="ET392" s="1831">
        <f t="shared" si="557"/>
        <v>0</v>
      </c>
    </row>
    <row r="393" spans="1:150" x14ac:dyDescent="0.25">
      <c r="A393" s="1044">
        <v>2</v>
      </c>
      <c r="B393" s="1117"/>
      <c r="C393" s="1661"/>
      <c r="D393" s="1064"/>
      <c r="E393" s="1938"/>
      <c r="F393" s="1939"/>
      <c r="G393" s="1065"/>
      <c r="H393" s="1998"/>
      <c r="I393" s="1065"/>
      <c r="J393" s="1998"/>
      <c r="K393" s="1065"/>
      <c r="L393" s="2033"/>
      <c r="M393" s="1044">
        <v>2</v>
      </c>
      <c r="N393" s="1117"/>
      <c r="O393" s="1065"/>
      <c r="P393" s="2033"/>
      <c r="Q393" s="1661"/>
      <c r="R393" s="1064"/>
      <c r="S393" s="1938"/>
      <c r="T393" s="1939"/>
      <c r="U393" s="1661"/>
      <c r="V393" s="1064"/>
      <c r="W393" s="1938"/>
      <c r="X393" s="1939"/>
      <c r="Y393" s="1661"/>
      <c r="Z393" s="1064"/>
      <c r="AA393" s="2067"/>
      <c r="AB393" s="1939"/>
      <c r="AC393" s="1118">
        <v>2</v>
      </c>
      <c r="AD393" s="1117"/>
      <c r="AE393" s="1661"/>
      <c r="AF393" s="1064"/>
      <c r="AG393" s="1938"/>
      <c r="AH393" s="1939"/>
      <c r="AI393" s="1661"/>
      <c r="AJ393" s="1064"/>
      <c r="AK393" s="1938"/>
      <c r="AL393" s="1939"/>
      <c r="AM393" s="1065"/>
      <c r="AN393" s="2033"/>
      <c r="AO393" s="1873"/>
      <c r="AP393" s="1067"/>
      <c r="AQ393" s="1068"/>
      <c r="AR393" s="2103"/>
      <c r="AS393" s="1493"/>
      <c r="AT393" s="2103"/>
      <c r="AU393" s="1661"/>
      <c r="AV393" s="1064"/>
      <c r="AW393" s="1938"/>
      <c r="AX393" s="1939"/>
      <c r="AY393" s="1044">
        <v>2</v>
      </c>
      <c r="AZ393" s="1177"/>
      <c r="BA393" s="1661"/>
      <c r="BB393" s="1064"/>
      <c r="BC393" s="1938"/>
      <c r="BD393" s="1939"/>
      <c r="BE393" s="1044">
        <v>2</v>
      </c>
      <c r="BF393" s="1117"/>
      <c r="BG393" s="1661"/>
      <c r="BH393" s="1064"/>
      <c r="BI393" s="1938"/>
      <c r="BJ393" s="1939"/>
      <c r="BK393" s="1661"/>
      <c r="BL393" s="1064"/>
      <c r="BM393" s="1938"/>
      <c r="BN393" s="1939"/>
      <c r="BO393" s="1065"/>
      <c r="BP393" s="1998"/>
      <c r="BQ393" s="1065"/>
      <c r="BR393" s="2033"/>
      <c r="BS393" s="1661"/>
      <c r="BT393" s="1064"/>
      <c r="BU393" s="1938"/>
      <c r="BV393" s="1939"/>
      <c r="BW393" s="1065"/>
      <c r="BX393" s="2033"/>
      <c r="BY393" s="1661"/>
      <c r="BZ393" s="1064"/>
      <c r="CA393" s="1938"/>
      <c r="CB393" s="1939"/>
      <c r="CC393" s="1755"/>
      <c r="CD393" s="2163"/>
      <c r="CE393" s="1044">
        <v>2</v>
      </c>
      <c r="CF393" s="1177"/>
      <c r="CG393" s="1661"/>
      <c r="CH393" s="1064"/>
      <c r="CI393" s="1938"/>
      <c r="CJ393" s="1939"/>
      <c r="CK393" s="1044">
        <v>2</v>
      </c>
      <c r="CL393" s="1117"/>
      <c r="CM393" s="1661"/>
      <c r="CN393" s="1064"/>
      <c r="CO393" s="1938"/>
      <c r="CP393" s="1939"/>
      <c r="CQ393" s="1661"/>
      <c r="CR393" s="1064"/>
      <c r="CS393" s="1938"/>
      <c r="CT393" s="1939"/>
      <c r="CU393" s="1661"/>
      <c r="CV393" s="1064"/>
      <c r="CW393" s="1938"/>
      <c r="CX393" s="1939"/>
      <c r="CY393" s="1661"/>
      <c r="CZ393" s="1064"/>
      <c r="DA393" s="1938"/>
      <c r="DB393" s="1939"/>
      <c r="DC393" s="1065"/>
      <c r="DD393" s="2033"/>
      <c r="DE393" s="1661"/>
      <c r="DF393" s="1064"/>
      <c r="DG393" s="1938"/>
      <c r="DH393" s="1939"/>
      <c r="DI393" s="1118">
        <v>2</v>
      </c>
      <c r="DJ393" s="1117"/>
      <c r="DK393" s="1065"/>
      <c r="DL393" s="1998"/>
      <c r="DM393" s="1065"/>
      <c r="DN393" s="1998"/>
      <c r="DO393" s="1065"/>
      <c r="DP393" s="2033"/>
      <c r="DQ393" s="1044">
        <v>2</v>
      </c>
      <c r="DR393" s="1119"/>
      <c r="DS393" s="1661"/>
      <c r="DT393" s="1064"/>
      <c r="DU393" s="1938"/>
      <c r="DV393" s="1939"/>
      <c r="DW393" s="1044">
        <v>2</v>
      </c>
      <c r="DX393" s="1117"/>
      <c r="DY393" s="1661"/>
      <c r="DZ393" s="1064"/>
      <c r="EA393" s="1938"/>
      <c r="EB393" s="1939"/>
      <c r="EC393" s="1065"/>
      <c r="ED393" s="2033"/>
      <c r="EE393" s="1044">
        <v>2</v>
      </c>
      <c r="EF393" s="1117"/>
      <c r="EG393" s="1065"/>
      <c r="EH393" s="2033"/>
      <c r="EI393" s="1661"/>
      <c r="EJ393" s="1064"/>
      <c r="EK393" s="2233"/>
      <c r="EL393" s="1939"/>
      <c r="EM393" s="2202">
        <f t="shared" si="717"/>
        <v>0</v>
      </c>
      <c r="EN393" s="1585">
        <f t="shared" si="718"/>
        <v>0</v>
      </c>
      <c r="EO393" s="1585">
        <f t="shared" si="719"/>
        <v>0</v>
      </c>
      <c r="EP393" s="1584">
        <f t="shared" si="720"/>
        <v>0</v>
      </c>
      <c r="EQ393" s="1829">
        <f t="shared" si="675"/>
        <v>0</v>
      </c>
      <c r="ER393" s="1830">
        <f t="shared" si="676"/>
        <v>0</v>
      </c>
      <c r="ES393" s="1830">
        <f t="shared" si="677"/>
        <v>0</v>
      </c>
      <c r="ET393" s="1831">
        <f t="shared" ref="ET393:ET406" si="721">SUM(EQ393:ES393)</f>
        <v>0</v>
      </c>
    </row>
    <row r="394" spans="1:150" ht="19.95" customHeight="1" thickBot="1" x14ac:dyDescent="0.3">
      <c r="A394" s="1124"/>
      <c r="B394" s="1125" t="s">
        <v>1812</v>
      </c>
      <c r="C394" s="1656">
        <f t="shared" ref="C394:L394" si="722">SUM(C391:C393)</f>
        <v>0</v>
      </c>
      <c r="D394" s="1642">
        <f t="shared" si="722"/>
        <v>0</v>
      </c>
      <c r="E394" s="1926">
        <f t="shared" si="722"/>
        <v>0</v>
      </c>
      <c r="F394" s="1927">
        <f t="shared" si="722"/>
        <v>0</v>
      </c>
      <c r="G394" s="1058">
        <f t="shared" si="722"/>
        <v>0</v>
      </c>
      <c r="H394" s="1992">
        <f t="shared" si="722"/>
        <v>0</v>
      </c>
      <c r="I394" s="1058">
        <f t="shared" si="722"/>
        <v>0</v>
      </c>
      <c r="J394" s="1992">
        <f t="shared" si="722"/>
        <v>0</v>
      </c>
      <c r="K394" s="1058">
        <f t="shared" si="722"/>
        <v>0</v>
      </c>
      <c r="L394" s="1992">
        <f t="shared" si="722"/>
        <v>0</v>
      </c>
      <c r="M394" s="1124"/>
      <c r="N394" s="1125" t="s">
        <v>1812</v>
      </c>
      <c r="O394" s="1058">
        <f t="shared" ref="O394:AB394" si="723">SUM(O391:O393)</f>
        <v>0</v>
      </c>
      <c r="P394" s="1992">
        <f t="shared" si="723"/>
        <v>0</v>
      </c>
      <c r="Q394" s="1656">
        <f t="shared" si="723"/>
        <v>0</v>
      </c>
      <c r="R394" s="1642">
        <f t="shared" si="723"/>
        <v>0</v>
      </c>
      <c r="S394" s="1926">
        <f t="shared" si="723"/>
        <v>0</v>
      </c>
      <c r="T394" s="1927">
        <f t="shared" si="723"/>
        <v>0</v>
      </c>
      <c r="U394" s="1656">
        <f t="shared" si="723"/>
        <v>0</v>
      </c>
      <c r="V394" s="1642">
        <f t="shared" si="723"/>
        <v>0</v>
      </c>
      <c r="W394" s="1926">
        <f t="shared" si="723"/>
        <v>0</v>
      </c>
      <c r="X394" s="1927">
        <f t="shared" si="723"/>
        <v>0</v>
      </c>
      <c r="Y394" s="1656">
        <f t="shared" si="723"/>
        <v>0</v>
      </c>
      <c r="Z394" s="1642">
        <f t="shared" si="723"/>
        <v>0</v>
      </c>
      <c r="AA394" s="1926">
        <f t="shared" si="723"/>
        <v>0</v>
      </c>
      <c r="AB394" s="1927">
        <f t="shared" si="723"/>
        <v>0</v>
      </c>
      <c r="AC394" s="1126"/>
      <c r="AD394" s="1125" t="s">
        <v>1812</v>
      </c>
      <c r="AE394" s="1656">
        <f t="shared" ref="AE394:AX394" si="724">SUM(AE391:AE393)</f>
        <v>0</v>
      </c>
      <c r="AF394" s="1642">
        <f t="shared" si="724"/>
        <v>0</v>
      </c>
      <c r="AG394" s="1926">
        <f t="shared" si="724"/>
        <v>0</v>
      </c>
      <c r="AH394" s="1927">
        <f t="shared" si="724"/>
        <v>0</v>
      </c>
      <c r="AI394" s="1656">
        <f t="shared" si="724"/>
        <v>0</v>
      </c>
      <c r="AJ394" s="1642">
        <f t="shared" si="724"/>
        <v>0</v>
      </c>
      <c r="AK394" s="1926">
        <f t="shared" si="724"/>
        <v>0</v>
      </c>
      <c r="AL394" s="1927">
        <f t="shared" si="724"/>
        <v>0</v>
      </c>
      <c r="AM394" s="1058">
        <f t="shared" si="724"/>
        <v>0</v>
      </c>
      <c r="AN394" s="1992">
        <f t="shared" si="724"/>
        <v>0</v>
      </c>
      <c r="AO394" s="1656">
        <f t="shared" si="724"/>
        <v>0</v>
      </c>
      <c r="AP394" s="1854">
        <f t="shared" si="724"/>
        <v>0</v>
      </c>
      <c r="AQ394" s="1030">
        <f t="shared" si="724"/>
        <v>0</v>
      </c>
      <c r="AR394" s="1926">
        <f t="shared" si="724"/>
        <v>0</v>
      </c>
      <c r="AS394" s="2096">
        <f t="shared" si="724"/>
        <v>0</v>
      </c>
      <c r="AT394" s="2097">
        <f t="shared" si="724"/>
        <v>0</v>
      </c>
      <c r="AU394" s="1656">
        <f t="shared" si="724"/>
        <v>0</v>
      </c>
      <c r="AV394" s="1642">
        <f t="shared" si="724"/>
        <v>0</v>
      </c>
      <c r="AW394" s="1926">
        <f t="shared" si="724"/>
        <v>0</v>
      </c>
      <c r="AX394" s="1927">
        <f t="shared" si="724"/>
        <v>0</v>
      </c>
      <c r="AY394" s="1124"/>
      <c r="AZ394" s="1125" t="s">
        <v>1812</v>
      </c>
      <c r="BA394" s="1656">
        <f t="shared" ref="BA394:BD394" si="725">SUM(BA391:BA393)</f>
        <v>0</v>
      </c>
      <c r="BB394" s="1642">
        <f t="shared" si="725"/>
        <v>0</v>
      </c>
      <c r="BC394" s="1926">
        <f t="shared" si="725"/>
        <v>0</v>
      </c>
      <c r="BD394" s="1927">
        <f t="shared" si="725"/>
        <v>0</v>
      </c>
      <c r="BE394" s="1124"/>
      <c r="BF394" s="1125" t="s">
        <v>1812</v>
      </c>
      <c r="BG394" s="1656">
        <f t="shared" ref="BG394:CD394" si="726">SUM(BG391:BG393)</f>
        <v>0</v>
      </c>
      <c r="BH394" s="1642">
        <f t="shared" si="726"/>
        <v>0</v>
      </c>
      <c r="BI394" s="1926">
        <f t="shared" si="726"/>
        <v>0</v>
      </c>
      <c r="BJ394" s="1927">
        <f t="shared" si="726"/>
        <v>0</v>
      </c>
      <c r="BK394" s="1656">
        <f t="shared" si="726"/>
        <v>0</v>
      </c>
      <c r="BL394" s="1642">
        <f t="shared" si="726"/>
        <v>0</v>
      </c>
      <c r="BM394" s="1926">
        <f t="shared" si="726"/>
        <v>0</v>
      </c>
      <c r="BN394" s="1927">
        <f t="shared" si="726"/>
        <v>0</v>
      </c>
      <c r="BO394" s="1058">
        <f t="shared" si="726"/>
        <v>0</v>
      </c>
      <c r="BP394" s="1992">
        <f t="shared" si="726"/>
        <v>0</v>
      </c>
      <c r="BQ394" s="1058">
        <f t="shared" si="726"/>
        <v>0</v>
      </c>
      <c r="BR394" s="1992">
        <f t="shared" si="726"/>
        <v>0</v>
      </c>
      <c r="BS394" s="1656">
        <f t="shared" si="726"/>
        <v>0</v>
      </c>
      <c r="BT394" s="1642">
        <f t="shared" si="726"/>
        <v>0</v>
      </c>
      <c r="BU394" s="1926">
        <f t="shared" si="726"/>
        <v>0</v>
      </c>
      <c r="BV394" s="1927">
        <f t="shared" si="726"/>
        <v>0</v>
      </c>
      <c r="BW394" s="1058">
        <f t="shared" si="726"/>
        <v>0</v>
      </c>
      <c r="BX394" s="1992">
        <f t="shared" si="726"/>
        <v>0</v>
      </c>
      <c r="BY394" s="1656">
        <f t="shared" si="726"/>
        <v>0</v>
      </c>
      <c r="BZ394" s="1642">
        <f t="shared" si="726"/>
        <v>0</v>
      </c>
      <c r="CA394" s="1926">
        <f t="shared" si="726"/>
        <v>0</v>
      </c>
      <c r="CB394" s="1927">
        <f t="shared" si="726"/>
        <v>0</v>
      </c>
      <c r="CC394" s="1705">
        <f t="shared" si="726"/>
        <v>0</v>
      </c>
      <c r="CD394" s="2159">
        <f t="shared" si="726"/>
        <v>0</v>
      </c>
      <c r="CE394" s="1124"/>
      <c r="CF394" s="1125" t="s">
        <v>1812</v>
      </c>
      <c r="CG394" s="1656">
        <f t="shared" ref="CG394:CJ394" si="727">SUM(CG391:CG393)</f>
        <v>0</v>
      </c>
      <c r="CH394" s="1642">
        <f t="shared" si="727"/>
        <v>0</v>
      </c>
      <c r="CI394" s="1926">
        <f t="shared" si="727"/>
        <v>0</v>
      </c>
      <c r="CJ394" s="1927">
        <f t="shared" si="727"/>
        <v>0</v>
      </c>
      <c r="CK394" s="1124"/>
      <c r="CL394" s="1125" t="s">
        <v>1812</v>
      </c>
      <c r="CM394" s="1656">
        <f t="shared" ref="CM394:DH394" si="728">SUM(CM391:CM393)</f>
        <v>0</v>
      </c>
      <c r="CN394" s="1642">
        <f t="shared" si="728"/>
        <v>0</v>
      </c>
      <c r="CO394" s="1926">
        <f t="shared" si="728"/>
        <v>0</v>
      </c>
      <c r="CP394" s="1927">
        <f t="shared" si="728"/>
        <v>0</v>
      </c>
      <c r="CQ394" s="1656">
        <f t="shared" si="728"/>
        <v>0</v>
      </c>
      <c r="CR394" s="1642">
        <f t="shared" si="728"/>
        <v>0</v>
      </c>
      <c r="CS394" s="1926">
        <f t="shared" si="728"/>
        <v>0</v>
      </c>
      <c r="CT394" s="1927">
        <f t="shared" si="728"/>
        <v>0</v>
      </c>
      <c r="CU394" s="1656">
        <f t="shared" si="728"/>
        <v>0</v>
      </c>
      <c r="CV394" s="1642">
        <f t="shared" si="728"/>
        <v>0</v>
      </c>
      <c r="CW394" s="1926">
        <f t="shared" si="728"/>
        <v>0</v>
      </c>
      <c r="CX394" s="1927">
        <f t="shared" si="728"/>
        <v>0</v>
      </c>
      <c r="CY394" s="1656">
        <f t="shared" si="728"/>
        <v>0</v>
      </c>
      <c r="CZ394" s="1642">
        <f t="shared" si="728"/>
        <v>0</v>
      </c>
      <c r="DA394" s="1926">
        <f t="shared" si="728"/>
        <v>0</v>
      </c>
      <c r="DB394" s="1927">
        <f t="shared" si="728"/>
        <v>0</v>
      </c>
      <c r="DC394" s="1058">
        <f t="shared" si="728"/>
        <v>0</v>
      </c>
      <c r="DD394" s="1992">
        <f t="shared" si="728"/>
        <v>0</v>
      </c>
      <c r="DE394" s="1656">
        <f t="shared" si="728"/>
        <v>0</v>
      </c>
      <c r="DF394" s="1642">
        <f t="shared" si="728"/>
        <v>0</v>
      </c>
      <c r="DG394" s="1926">
        <f t="shared" si="728"/>
        <v>0</v>
      </c>
      <c r="DH394" s="1927">
        <f t="shared" si="728"/>
        <v>0</v>
      </c>
      <c r="DI394" s="1126"/>
      <c r="DJ394" s="1125" t="s">
        <v>1812</v>
      </c>
      <c r="DK394" s="1058">
        <f t="shared" ref="DK394:DL394" si="729">SUM(DK391:DK393)</f>
        <v>0</v>
      </c>
      <c r="DL394" s="1992">
        <f t="shared" si="729"/>
        <v>0</v>
      </c>
      <c r="DM394" s="1058">
        <f t="shared" ref="DM394:DP394" si="730">SUM(DM391:DM393)</f>
        <v>0</v>
      </c>
      <c r="DN394" s="1992">
        <f t="shared" si="730"/>
        <v>0</v>
      </c>
      <c r="DO394" s="1058">
        <f t="shared" si="730"/>
        <v>0</v>
      </c>
      <c r="DP394" s="1992">
        <f t="shared" si="730"/>
        <v>0</v>
      </c>
      <c r="DQ394" s="1124"/>
      <c r="DR394" s="1127" t="s">
        <v>1812</v>
      </c>
      <c r="DS394" s="1656">
        <f t="shared" ref="DS394:DV394" si="731">SUM(DS391:DS393)</f>
        <v>0</v>
      </c>
      <c r="DT394" s="1642">
        <f t="shared" si="731"/>
        <v>0</v>
      </c>
      <c r="DU394" s="1926">
        <f t="shared" si="731"/>
        <v>0</v>
      </c>
      <c r="DV394" s="1927">
        <f t="shared" si="731"/>
        <v>0</v>
      </c>
      <c r="DW394" s="1124"/>
      <c r="DX394" s="1125" t="s">
        <v>1812</v>
      </c>
      <c r="DY394" s="1656">
        <f t="shared" ref="DY394:ED394" si="732">SUM(DY391:DY393)</f>
        <v>0</v>
      </c>
      <c r="DZ394" s="1642">
        <f t="shared" si="732"/>
        <v>0</v>
      </c>
      <c r="EA394" s="1926">
        <f t="shared" si="732"/>
        <v>0</v>
      </c>
      <c r="EB394" s="1927">
        <f t="shared" si="732"/>
        <v>0</v>
      </c>
      <c r="EC394" s="1058">
        <f t="shared" si="732"/>
        <v>0</v>
      </c>
      <c r="ED394" s="1992">
        <f t="shared" si="732"/>
        <v>0</v>
      </c>
      <c r="EE394" s="1124"/>
      <c r="EF394" s="1125" t="s">
        <v>1812</v>
      </c>
      <c r="EG394" s="1058">
        <f t="shared" ref="EG394:EO394" si="733">SUM(EG391:EG393)</f>
        <v>0</v>
      </c>
      <c r="EH394" s="1992">
        <f t="shared" si="733"/>
        <v>0</v>
      </c>
      <c r="EI394" s="1656">
        <f t="shared" si="733"/>
        <v>0</v>
      </c>
      <c r="EJ394" s="1642">
        <f t="shared" si="733"/>
        <v>0</v>
      </c>
      <c r="EK394" s="1926">
        <f t="shared" si="733"/>
        <v>0</v>
      </c>
      <c r="EL394" s="1927">
        <f t="shared" si="733"/>
        <v>0</v>
      </c>
      <c r="EM394" s="1927">
        <f t="shared" si="733"/>
        <v>0</v>
      </c>
      <c r="EN394" s="1927">
        <f t="shared" si="733"/>
        <v>0</v>
      </c>
      <c r="EO394" s="1927">
        <f t="shared" si="733"/>
        <v>0</v>
      </c>
      <c r="EP394" s="1962">
        <f t="shared" si="720"/>
        <v>0</v>
      </c>
      <c r="EQ394" s="1707">
        <f t="shared" si="675"/>
        <v>0</v>
      </c>
      <c r="ER394" s="1786">
        <f t="shared" si="676"/>
        <v>0</v>
      </c>
      <c r="ES394" s="1786">
        <f t="shared" si="677"/>
        <v>0</v>
      </c>
      <c r="ET394" s="1061">
        <f t="shared" si="721"/>
        <v>0</v>
      </c>
    </row>
    <row r="395" spans="1:150" ht="19.95" customHeight="1" x14ac:dyDescent="0.25">
      <c r="A395" s="1172"/>
      <c r="B395" s="1183" t="s">
        <v>161</v>
      </c>
      <c r="C395" s="1670"/>
      <c r="D395" s="1633"/>
      <c r="E395" s="1956"/>
      <c r="F395" s="1957"/>
      <c r="G395" s="1694"/>
      <c r="H395" s="2009"/>
      <c r="I395" s="1694"/>
      <c r="J395" s="2009"/>
      <c r="K395" s="1694"/>
      <c r="L395" s="2039"/>
      <c r="M395" s="1172"/>
      <c r="N395" s="1183" t="s">
        <v>1770</v>
      </c>
      <c r="O395" s="1694"/>
      <c r="P395" s="2039"/>
      <c r="Q395" s="1670"/>
      <c r="R395" s="1633"/>
      <c r="S395" s="1956"/>
      <c r="T395" s="1957"/>
      <c r="U395" s="1670"/>
      <c r="V395" s="1633"/>
      <c r="W395" s="1956"/>
      <c r="X395" s="1957"/>
      <c r="Y395" s="1670"/>
      <c r="Z395" s="1633"/>
      <c r="AA395" s="2073"/>
      <c r="AB395" s="1957"/>
      <c r="AC395" s="2298"/>
      <c r="AD395" s="1183" t="s">
        <v>1770</v>
      </c>
      <c r="AE395" s="1670"/>
      <c r="AF395" s="1633"/>
      <c r="AG395" s="1956"/>
      <c r="AH395" s="1957"/>
      <c r="AI395" s="1670"/>
      <c r="AJ395" s="1633"/>
      <c r="AK395" s="1956"/>
      <c r="AL395" s="1957"/>
      <c r="AM395" s="1694"/>
      <c r="AN395" s="2039"/>
      <c r="AO395" s="1878"/>
      <c r="AP395" s="1726"/>
      <c r="AQ395" s="1727"/>
      <c r="AR395" s="2120"/>
      <c r="AS395" s="2121"/>
      <c r="AT395" s="2120"/>
      <c r="AU395" s="1670"/>
      <c r="AV395" s="1633"/>
      <c r="AW395" s="1956"/>
      <c r="AX395" s="1957"/>
      <c r="AY395" s="1172"/>
      <c r="AZ395" s="1183" t="s">
        <v>1770</v>
      </c>
      <c r="BA395" s="1670"/>
      <c r="BB395" s="1633"/>
      <c r="BC395" s="1956"/>
      <c r="BD395" s="1957"/>
      <c r="BE395" s="1172"/>
      <c r="BF395" s="1183" t="s">
        <v>1770</v>
      </c>
      <c r="BG395" s="1670"/>
      <c r="BH395" s="1633"/>
      <c r="BI395" s="1956"/>
      <c r="BJ395" s="1957"/>
      <c r="BK395" s="1670"/>
      <c r="BL395" s="1633"/>
      <c r="BM395" s="1956"/>
      <c r="BN395" s="1957"/>
      <c r="BO395" s="1694"/>
      <c r="BP395" s="2009"/>
      <c r="BQ395" s="1694"/>
      <c r="BR395" s="2039"/>
      <c r="BS395" s="1670"/>
      <c r="BT395" s="1633"/>
      <c r="BU395" s="1956"/>
      <c r="BV395" s="1957"/>
      <c r="BW395" s="1694"/>
      <c r="BX395" s="2039"/>
      <c r="BY395" s="1670"/>
      <c r="BZ395" s="1633"/>
      <c r="CA395" s="1956"/>
      <c r="CB395" s="1957"/>
      <c r="CC395" s="1762"/>
      <c r="CD395" s="2172"/>
      <c r="CE395" s="1172"/>
      <c r="CF395" s="1183" t="s">
        <v>1770</v>
      </c>
      <c r="CG395" s="1670"/>
      <c r="CH395" s="1633"/>
      <c r="CI395" s="1956"/>
      <c r="CJ395" s="1957"/>
      <c r="CK395" s="1172"/>
      <c r="CL395" s="1183" t="s">
        <v>1770</v>
      </c>
      <c r="CM395" s="1670"/>
      <c r="CN395" s="1633"/>
      <c r="CO395" s="1956"/>
      <c r="CP395" s="1957"/>
      <c r="CQ395" s="1670"/>
      <c r="CR395" s="1633"/>
      <c r="CS395" s="1956"/>
      <c r="CT395" s="1957"/>
      <c r="CU395" s="1670"/>
      <c r="CV395" s="1633"/>
      <c r="CW395" s="1956"/>
      <c r="CX395" s="1957"/>
      <c r="CY395" s="1670"/>
      <c r="CZ395" s="1633"/>
      <c r="DA395" s="1956"/>
      <c r="DB395" s="1957"/>
      <c r="DC395" s="1694"/>
      <c r="DD395" s="2039"/>
      <c r="DE395" s="1670"/>
      <c r="DF395" s="1633"/>
      <c r="DG395" s="1956"/>
      <c r="DH395" s="1957"/>
      <c r="DI395" s="2298"/>
      <c r="DJ395" s="1183" t="s">
        <v>1770</v>
      </c>
      <c r="DK395" s="1694"/>
      <c r="DL395" s="2009"/>
      <c r="DM395" s="1694"/>
      <c r="DN395" s="2009"/>
      <c r="DO395" s="1694"/>
      <c r="DP395" s="2039"/>
      <c r="DQ395" s="1172"/>
      <c r="DR395" s="1184" t="s">
        <v>1770</v>
      </c>
      <c r="DS395" s="1670"/>
      <c r="DT395" s="1633"/>
      <c r="DU395" s="1956"/>
      <c r="DV395" s="1957"/>
      <c r="DW395" s="1172"/>
      <c r="DX395" s="1183" t="s">
        <v>1770</v>
      </c>
      <c r="DY395" s="1670"/>
      <c r="DZ395" s="1633"/>
      <c r="EA395" s="1956"/>
      <c r="EB395" s="1957"/>
      <c r="EC395" s="1694"/>
      <c r="ED395" s="2039"/>
      <c r="EE395" s="1172"/>
      <c r="EF395" s="1183" t="s">
        <v>1770</v>
      </c>
      <c r="EG395" s="1694"/>
      <c r="EH395" s="2039"/>
      <c r="EI395" s="1670"/>
      <c r="EJ395" s="1633"/>
      <c r="EK395" s="2245"/>
      <c r="EL395" s="1957"/>
      <c r="EM395" s="2253"/>
      <c r="EN395" s="2254"/>
      <c r="EO395" s="2254"/>
      <c r="EP395" s="2254">
        <f t="shared" si="720"/>
        <v>0</v>
      </c>
      <c r="EQ395" s="1710">
        <f t="shared" si="675"/>
        <v>0</v>
      </c>
      <c r="ER395" s="1820">
        <f t="shared" si="676"/>
        <v>0</v>
      </c>
      <c r="ES395" s="1820">
        <f t="shared" si="677"/>
        <v>0</v>
      </c>
      <c r="ET395" s="1821">
        <f t="shared" si="721"/>
        <v>0</v>
      </c>
    </row>
    <row r="396" spans="1:150" x14ac:dyDescent="0.25">
      <c r="A396" s="1044">
        <v>1</v>
      </c>
      <c r="B396" s="1117"/>
      <c r="C396" s="1661"/>
      <c r="D396" s="1064"/>
      <c r="E396" s="1938"/>
      <c r="F396" s="1939"/>
      <c r="G396" s="1065"/>
      <c r="H396" s="1998"/>
      <c r="I396" s="1065"/>
      <c r="J396" s="1998"/>
      <c r="K396" s="1065"/>
      <c r="L396" s="2033"/>
      <c r="M396" s="1044">
        <v>1</v>
      </c>
      <c r="N396" s="1117"/>
      <c r="O396" s="1065"/>
      <c r="P396" s="2033"/>
      <c r="Q396" s="1661"/>
      <c r="R396" s="1064"/>
      <c r="S396" s="1938"/>
      <c r="T396" s="1939"/>
      <c r="U396" s="1661"/>
      <c r="V396" s="1064"/>
      <c r="W396" s="1938"/>
      <c r="X396" s="1939"/>
      <c r="Y396" s="1661"/>
      <c r="Z396" s="1064"/>
      <c r="AA396" s="2067"/>
      <c r="AB396" s="1939"/>
      <c r="AC396" s="1118">
        <v>1</v>
      </c>
      <c r="AD396" s="1176" t="s">
        <v>1771</v>
      </c>
      <c r="AE396" s="1661"/>
      <c r="AF396" s="1064"/>
      <c r="AG396" s="1938"/>
      <c r="AH396" s="1939"/>
      <c r="AI396" s="1661"/>
      <c r="AJ396" s="1064"/>
      <c r="AK396" s="1938"/>
      <c r="AL396" s="1939"/>
      <c r="AM396" s="1065"/>
      <c r="AN396" s="2033"/>
      <c r="AO396" s="1873"/>
      <c r="AP396" s="1067"/>
      <c r="AQ396" s="1068"/>
      <c r="AR396" s="2103"/>
      <c r="AS396" s="1493"/>
      <c r="AT396" s="2103"/>
      <c r="AU396" s="1661"/>
      <c r="AV396" s="1064"/>
      <c r="AW396" s="1938"/>
      <c r="AX396" s="1939"/>
      <c r="AY396" s="1044">
        <v>1</v>
      </c>
      <c r="AZ396" s="1117"/>
      <c r="BA396" s="1661"/>
      <c r="BB396" s="1064"/>
      <c r="BC396" s="1938"/>
      <c r="BD396" s="1939"/>
      <c r="BE396" s="1044">
        <v>1</v>
      </c>
      <c r="BF396" s="1117"/>
      <c r="BG396" s="1661"/>
      <c r="BH396" s="1064"/>
      <c r="BI396" s="1938"/>
      <c r="BJ396" s="1939"/>
      <c r="BK396" s="1661"/>
      <c r="BL396" s="1064"/>
      <c r="BM396" s="1938"/>
      <c r="BN396" s="1939"/>
      <c r="BO396" s="1065"/>
      <c r="BP396" s="1998"/>
      <c r="BQ396" s="1065"/>
      <c r="BR396" s="2033"/>
      <c r="BS396" s="1661"/>
      <c r="BT396" s="1064"/>
      <c r="BU396" s="1938"/>
      <c r="BV396" s="1939"/>
      <c r="BW396" s="1065"/>
      <c r="BX396" s="2033"/>
      <c r="BY396" s="1661"/>
      <c r="BZ396" s="1064"/>
      <c r="CA396" s="1938"/>
      <c r="CB396" s="1939"/>
      <c r="CC396" s="1755"/>
      <c r="CD396" s="2163"/>
      <c r="CE396" s="1044">
        <v>1</v>
      </c>
      <c r="CF396" s="1117"/>
      <c r="CG396" s="1661"/>
      <c r="CH396" s="1064"/>
      <c r="CI396" s="1938"/>
      <c r="CJ396" s="1939"/>
      <c r="CK396" s="1044">
        <v>1</v>
      </c>
      <c r="CL396" s="1117"/>
      <c r="CM396" s="1661"/>
      <c r="CN396" s="1064"/>
      <c r="CO396" s="1938"/>
      <c r="CP396" s="1939"/>
      <c r="CQ396" s="1661"/>
      <c r="CR396" s="1064"/>
      <c r="CS396" s="1938"/>
      <c r="CT396" s="1939"/>
      <c r="CU396" s="1661"/>
      <c r="CV396" s="1064"/>
      <c r="CW396" s="1938"/>
      <c r="CX396" s="1939"/>
      <c r="CY396" s="1661"/>
      <c r="CZ396" s="1064"/>
      <c r="DA396" s="1938"/>
      <c r="DB396" s="1939"/>
      <c r="DC396" s="1065"/>
      <c r="DD396" s="2033"/>
      <c r="DE396" s="1661"/>
      <c r="DF396" s="1064"/>
      <c r="DG396" s="1938"/>
      <c r="DH396" s="1939"/>
      <c r="DI396" s="1118">
        <v>1</v>
      </c>
      <c r="DJ396" s="1117"/>
      <c r="DK396" s="1065"/>
      <c r="DL396" s="1998"/>
      <c r="DM396" s="1065"/>
      <c r="DN396" s="1998"/>
      <c r="DO396" s="1065"/>
      <c r="DP396" s="2033"/>
      <c r="DQ396" s="1044">
        <v>1</v>
      </c>
      <c r="DR396" s="1119"/>
      <c r="DS396" s="1661"/>
      <c r="DT396" s="1064"/>
      <c r="DU396" s="1938"/>
      <c r="DV396" s="1939"/>
      <c r="DW396" s="1044">
        <v>1</v>
      </c>
      <c r="DX396" s="1117"/>
      <c r="DY396" s="1661"/>
      <c r="DZ396" s="1064"/>
      <c r="EA396" s="1938"/>
      <c r="EB396" s="1939"/>
      <c r="EC396" s="1065"/>
      <c r="ED396" s="2033"/>
      <c r="EE396" s="1044">
        <v>1</v>
      </c>
      <c r="EF396" s="1117"/>
      <c r="EG396" s="1065"/>
      <c r="EH396" s="2033"/>
      <c r="EI396" s="1661"/>
      <c r="EJ396" s="1064"/>
      <c r="EK396" s="2233"/>
      <c r="EL396" s="1939"/>
      <c r="EM396" s="2202">
        <f t="shared" ref="EM396:EM397" si="734">E396+S396+W396+AA396+AG396+AK396+AN396+AR396+AW396+BC396+BI396+BM396+BR396+BU396+CA396+CD396+CI396+CO396+CS396+CW396+DA396+DG396+DU396+EA396+EK396</f>
        <v>0</v>
      </c>
      <c r="EN396" s="1585">
        <f t="shared" ref="EN396:EN397" si="735">F396+H396+J396+L396+P396+T396+X396+AB396+AH396+AL396+AS396+AX396+BD396+BJ396+BN396+BP396+BV396+BX396+CB396+CJ396+CP396+CT396+CX396+DB396+DD396+DH396+DN396+DP396+DV396+EB396+ED396+EH396+EL396+DL396</f>
        <v>0</v>
      </c>
      <c r="EO396" s="1585">
        <f t="shared" ref="EO396:EO397" si="736">AQ396</f>
        <v>0</v>
      </c>
      <c r="EP396" s="1584">
        <f t="shared" si="720"/>
        <v>0</v>
      </c>
      <c r="EQ396" s="1829">
        <f t="shared" si="675"/>
        <v>0</v>
      </c>
      <c r="ER396" s="1830">
        <f t="shared" si="676"/>
        <v>0</v>
      </c>
      <c r="ES396" s="1830">
        <f t="shared" si="677"/>
        <v>0</v>
      </c>
      <c r="ET396" s="1831">
        <f t="shared" si="721"/>
        <v>0</v>
      </c>
    </row>
    <row r="397" spans="1:150" x14ac:dyDescent="0.25">
      <c r="A397" s="1044">
        <v>2</v>
      </c>
      <c r="B397" s="1117"/>
      <c r="C397" s="1661"/>
      <c r="D397" s="1064"/>
      <c r="E397" s="1938"/>
      <c r="F397" s="1939"/>
      <c r="G397" s="1065"/>
      <c r="H397" s="1998"/>
      <c r="I397" s="1065"/>
      <c r="J397" s="1998"/>
      <c r="K397" s="1065"/>
      <c r="L397" s="2033"/>
      <c r="M397" s="1044">
        <v>2</v>
      </c>
      <c r="N397" s="1117"/>
      <c r="O397" s="1065"/>
      <c r="P397" s="2033"/>
      <c r="Q397" s="1661"/>
      <c r="R397" s="1064"/>
      <c r="S397" s="1938"/>
      <c r="T397" s="1939"/>
      <c r="U397" s="1661"/>
      <c r="V397" s="1064"/>
      <c r="W397" s="1938"/>
      <c r="X397" s="1939"/>
      <c r="Y397" s="1661"/>
      <c r="Z397" s="1064"/>
      <c r="AA397" s="2067"/>
      <c r="AB397" s="1939"/>
      <c r="AC397" s="1118">
        <v>2</v>
      </c>
      <c r="AD397" s="1178" t="s">
        <v>1772</v>
      </c>
      <c r="AE397" s="1661"/>
      <c r="AF397" s="1064"/>
      <c r="AG397" s="1938"/>
      <c r="AH397" s="1939"/>
      <c r="AI397" s="1661"/>
      <c r="AJ397" s="1064"/>
      <c r="AK397" s="1938"/>
      <c r="AL397" s="1939"/>
      <c r="AM397" s="1065"/>
      <c r="AN397" s="2033"/>
      <c r="AO397" s="1873"/>
      <c r="AP397" s="1067"/>
      <c r="AQ397" s="1068"/>
      <c r="AR397" s="2103"/>
      <c r="AS397" s="1493"/>
      <c r="AT397" s="2103"/>
      <c r="AU397" s="1661"/>
      <c r="AV397" s="1064"/>
      <c r="AW397" s="1973">
        <f>'címrend kötelező'!K70</f>
        <v>0</v>
      </c>
      <c r="AX397" s="1974">
        <f>'címrend önként'!K70</f>
        <v>4398793</v>
      </c>
      <c r="AY397" s="1044">
        <v>2</v>
      </c>
      <c r="AZ397" s="1117"/>
      <c r="BA397" s="1661"/>
      <c r="BB397" s="1064"/>
      <c r="BC397" s="1938"/>
      <c r="BD397" s="1939"/>
      <c r="BE397" s="1044">
        <v>2</v>
      </c>
      <c r="BF397" s="1117"/>
      <c r="BG397" s="1661"/>
      <c r="BH397" s="1064"/>
      <c r="BI397" s="1938"/>
      <c r="BJ397" s="1939"/>
      <c r="BK397" s="1661"/>
      <c r="BL397" s="1064"/>
      <c r="BM397" s="1938"/>
      <c r="BN397" s="1939"/>
      <c r="BO397" s="1065"/>
      <c r="BP397" s="1998"/>
      <c r="BQ397" s="1065"/>
      <c r="BR397" s="2033"/>
      <c r="BS397" s="1661"/>
      <c r="BT397" s="1064"/>
      <c r="BU397" s="1938"/>
      <c r="BV397" s="1939"/>
      <c r="BW397" s="1065"/>
      <c r="BX397" s="2033"/>
      <c r="BY397" s="1661"/>
      <c r="BZ397" s="1064"/>
      <c r="CA397" s="1938"/>
      <c r="CB397" s="1939"/>
      <c r="CC397" s="1755"/>
      <c r="CD397" s="2163"/>
      <c r="CE397" s="1044">
        <v>2</v>
      </c>
      <c r="CF397" s="1117"/>
      <c r="CG397" s="1661"/>
      <c r="CH397" s="1064"/>
      <c r="CI397" s="1938"/>
      <c r="CJ397" s="1939"/>
      <c r="CK397" s="1044">
        <v>2</v>
      </c>
      <c r="CL397" s="1117"/>
      <c r="CM397" s="1661"/>
      <c r="CN397" s="1064"/>
      <c r="CO397" s="1938"/>
      <c r="CP397" s="1939"/>
      <c r="CQ397" s="1661"/>
      <c r="CR397" s="1064"/>
      <c r="CS397" s="1938"/>
      <c r="CT397" s="1939"/>
      <c r="CU397" s="1661"/>
      <c r="CV397" s="1064"/>
      <c r="CW397" s="1938"/>
      <c r="CX397" s="1939"/>
      <c r="CY397" s="1661"/>
      <c r="CZ397" s="1064"/>
      <c r="DA397" s="1938"/>
      <c r="DB397" s="1939"/>
      <c r="DC397" s="1065"/>
      <c r="DD397" s="2033"/>
      <c r="DE397" s="1661"/>
      <c r="DF397" s="1064"/>
      <c r="DG397" s="1938"/>
      <c r="DH397" s="1939"/>
      <c r="DI397" s="1118">
        <v>2</v>
      </c>
      <c r="DJ397" s="1117"/>
      <c r="DK397" s="1065"/>
      <c r="DL397" s="1998"/>
      <c r="DM397" s="1065"/>
      <c r="DN397" s="1998"/>
      <c r="DO397" s="1065"/>
      <c r="DP397" s="2033"/>
      <c r="DQ397" s="1044">
        <v>2</v>
      </c>
      <c r="DR397" s="1119"/>
      <c r="DS397" s="1661"/>
      <c r="DT397" s="1064"/>
      <c r="DU397" s="1938"/>
      <c r="DV397" s="1939"/>
      <c r="DW397" s="1044">
        <v>2</v>
      </c>
      <c r="DX397" s="1117"/>
      <c r="DY397" s="1661"/>
      <c r="DZ397" s="1064"/>
      <c r="EA397" s="1938"/>
      <c r="EB397" s="1939"/>
      <c r="EC397" s="1065"/>
      <c r="ED397" s="2033"/>
      <c r="EE397" s="1044">
        <v>2</v>
      </c>
      <c r="EF397" s="1117"/>
      <c r="EG397" s="1065"/>
      <c r="EH397" s="2033"/>
      <c r="EI397" s="1661"/>
      <c r="EJ397" s="1064"/>
      <c r="EK397" s="2233"/>
      <c r="EL397" s="1939"/>
      <c r="EM397" s="2202">
        <f t="shared" si="734"/>
        <v>0</v>
      </c>
      <c r="EN397" s="1585">
        <f t="shared" si="735"/>
        <v>4398793</v>
      </c>
      <c r="EO397" s="1585">
        <f t="shared" si="736"/>
        <v>0</v>
      </c>
      <c r="EP397" s="1584">
        <f t="shared" si="720"/>
        <v>4398793</v>
      </c>
      <c r="EQ397" s="1829">
        <f t="shared" si="675"/>
        <v>0</v>
      </c>
      <c r="ER397" s="1830">
        <f t="shared" si="676"/>
        <v>0</v>
      </c>
      <c r="ES397" s="1830">
        <f t="shared" si="677"/>
        <v>0</v>
      </c>
      <c r="ET397" s="1831">
        <f t="shared" si="721"/>
        <v>0</v>
      </c>
    </row>
    <row r="398" spans="1:150" ht="19.95" customHeight="1" thickBot="1" x14ac:dyDescent="0.3">
      <c r="A398" s="1124"/>
      <c r="B398" s="1130" t="s">
        <v>2267</v>
      </c>
      <c r="C398" s="1656">
        <f t="shared" ref="C398:L398" si="737">SUM(C395:C397)</f>
        <v>0</v>
      </c>
      <c r="D398" s="1642">
        <f t="shared" si="737"/>
        <v>0</v>
      </c>
      <c r="E398" s="1926">
        <f t="shared" si="737"/>
        <v>0</v>
      </c>
      <c r="F398" s="1927">
        <f t="shared" si="737"/>
        <v>0</v>
      </c>
      <c r="G398" s="1058">
        <f t="shared" si="737"/>
        <v>0</v>
      </c>
      <c r="H398" s="1992">
        <f t="shared" si="737"/>
        <v>0</v>
      </c>
      <c r="I398" s="1058">
        <f t="shared" si="737"/>
        <v>0</v>
      </c>
      <c r="J398" s="1992">
        <f t="shared" si="737"/>
        <v>0</v>
      </c>
      <c r="K398" s="1058">
        <f t="shared" si="737"/>
        <v>0</v>
      </c>
      <c r="L398" s="1992">
        <f t="shared" si="737"/>
        <v>0</v>
      </c>
      <c r="M398" s="1124"/>
      <c r="N398" s="1130" t="s">
        <v>1773</v>
      </c>
      <c r="O398" s="1058">
        <f t="shared" ref="O398:AB398" si="738">SUM(O395:O397)</f>
        <v>0</v>
      </c>
      <c r="P398" s="1992">
        <f t="shared" si="738"/>
        <v>0</v>
      </c>
      <c r="Q398" s="1656">
        <f t="shared" si="738"/>
        <v>0</v>
      </c>
      <c r="R398" s="1642">
        <f t="shared" si="738"/>
        <v>0</v>
      </c>
      <c r="S398" s="1926">
        <f t="shared" si="738"/>
        <v>0</v>
      </c>
      <c r="T398" s="1927">
        <f t="shared" si="738"/>
        <v>0</v>
      </c>
      <c r="U398" s="1656">
        <f t="shared" si="738"/>
        <v>0</v>
      </c>
      <c r="V398" s="1642">
        <f t="shared" si="738"/>
        <v>0</v>
      </c>
      <c r="W398" s="1926">
        <f t="shared" si="738"/>
        <v>0</v>
      </c>
      <c r="X398" s="1927">
        <f t="shared" si="738"/>
        <v>0</v>
      </c>
      <c r="Y398" s="1656">
        <f t="shared" si="738"/>
        <v>0</v>
      </c>
      <c r="Z398" s="1642">
        <f t="shared" si="738"/>
        <v>0</v>
      </c>
      <c r="AA398" s="1926">
        <f t="shared" si="738"/>
        <v>0</v>
      </c>
      <c r="AB398" s="1927">
        <f t="shared" si="738"/>
        <v>0</v>
      </c>
      <c r="AC398" s="1126"/>
      <c r="AD398" s="1130" t="s">
        <v>1773</v>
      </c>
      <c r="AE398" s="1656">
        <f t="shared" ref="AE398:AX398" si="739">SUM(AE395:AE397)</f>
        <v>0</v>
      </c>
      <c r="AF398" s="1642">
        <f t="shared" si="739"/>
        <v>0</v>
      </c>
      <c r="AG398" s="1926">
        <f t="shared" si="739"/>
        <v>0</v>
      </c>
      <c r="AH398" s="1927">
        <f t="shared" si="739"/>
        <v>0</v>
      </c>
      <c r="AI398" s="1656">
        <f t="shared" si="739"/>
        <v>0</v>
      </c>
      <c r="AJ398" s="1642">
        <f t="shared" si="739"/>
        <v>0</v>
      </c>
      <c r="AK398" s="1926">
        <f t="shared" si="739"/>
        <v>0</v>
      </c>
      <c r="AL398" s="1927">
        <f t="shared" si="739"/>
        <v>0</v>
      </c>
      <c r="AM398" s="1058">
        <f t="shared" si="739"/>
        <v>0</v>
      </c>
      <c r="AN398" s="1992">
        <f t="shared" si="739"/>
        <v>0</v>
      </c>
      <c r="AO398" s="1656">
        <f t="shared" si="739"/>
        <v>0</v>
      </c>
      <c r="AP398" s="1854">
        <f t="shared" si="739"/>
        <v>0</v>
      </c>
      <c r="AQ398" s="1030">
        <f t="shared" si="739"/>
        <v>0</v>
      </c>
      <c r="AR398" s="1926">
        <f t="shared" si="739"/>
        <v>0</v>
      </c>
      <c r="AS398" s="2096">
        <f t="shared" si="739"/>
        <v>0</v>
      </c>
      <c r="AT398" s="2097">
        <f t="shared" si="739"/>
        <v>0</v>
      </c>
      <c r="AU398" s="1656">
        <f t="shared" si="739"/>
        <v>0</v>
      </c>
      <c r="AV398" s="1642">
        <f t="shared" si="739"/>
        <v>0</v>
      </c>
      <c r="AW398" s="1926">
        <f t="shared" si="739"/>
        <v>0</v>
      </c>
      <c r="AX398" s="1927">
        <f t="shared" si="739"/>
        <v>4398793</v>
      </c>
      <c r="AY398" s="1124"/>
      <c r="AZ398" s="1130" t="s">
        <v>1773</v>
      </c>
      <c r="BA398" s="1656">
        <f t="shared" ref="BA398:BD398" si="740">SUM(BA395:BA397)</f>
        <v>0</v>
      </c>
      <c r="BB398" s="1642">
        <f t="shared" si="740"/>
        <v>0</v>
      </c>
      <c r="BC398" s="1926">
        <f t="shared" si="740"/>
        <v>0</v>
      </c>
      <c r="BD398" s="1927">
        <f t="shared" si="740"/>
        <v>0</v>
      </c>
      <c r="BE398" s="1124"/>
      <c r="BF398" s="1130" t="s">
        <v>1773</v>
      </c>
      <c r="BG398" s="1656">
        <f t="shared" ref="BG398:CD398" si="741">SUM(BG395:BG397)</f>
        <v>0</v>
      </c>
      <c r="BH398" s="1642">
        <f t="shared" si="741"/>
        <v>0</v>
      </c>
      <c r="BI398" s="1926">
        <f t="shared" si="741"/>
        <v>0</v>
      </c>
      <c r="BJ398" s="1927">
        <f t="shared" si="741"/>
        <v>0</v>
      </c>
      <c r="BK398" s="1656">
        <f t="shared" si="741"/>
        <v>0</v>
      </c>
      <c r="BL398" s="1642">
        <f t="shared" si="741"/>
        <v>0</v>
      </c>
      <c r="BM398" s="1926">
        <f t="shared" si="741"/>
        <v>0</v>
      </c>
      <c r="BN398" s="1927">
        <f t="shared" si="741"/>
        <v>0</v>
      </c>
      <c r="BO398" s="1058">
        <f t="shared" si="741"/>
        <v>0</v>
      </c>
      <c r="BP398" s="1992">
        <f t="shared" si="741"/>
        <v>0</v>
      </c>
      <c r="BQ398" s="1058">
        <f t="shared" si="741"/>
        <v>0</v>
      </c>
      <c r="BR398" s="1992">
        <f t="shared" si="741"/>
        <v>0</v>
      </c>
      <c r="BS398" s="1656">
        <f t="shared" si="741"/>
        <v>0</v>
      </c>
      <c r="BT398" s="1642">
        <f t="shared" si="741"/>
        <v>0</v>
      </c>
      <c r="BU398" s="1926">
        <f t="shared" si="741"/>
        <v>0</v>
      </c>
      <c r="BV398" s="1927">
        <f t="shared" si="741"/>
        <v>0</v>
      </c>
      <c r="BW398" s="1058">
        <f t="shared" si="741"/>
        <v>0</v>
      </c>
      <c r="BX398" s="1992">
        <f t="shared" si="741"/>
        <v>0</v>
      </c>
      <c r="BY398" s="1656">
        <f t="shared" si="741"/>
        <v>0</v>
      </c>
      <c r="BZ398" s="1642">
        <f t="shared" si="741"/>
        <v>0</v>
      </c>
      <c r="CA398" s="1926">
        <f t="shared" si="741"/>
        <v>0</v>
      </c>
      <c r="CB398" s="1927">
        <f t="shared" si="741"/>
        <v>0</v>
      </c>
      <c r="CC398" s="1705">
        <f t="shared" si="741"/>
        <v>0</v>
      </c>
      <c r="CD398" s="2159">
        <f t="shared" si="741"/>
        <v>0</v>
      </c>
      <c r="CE398" s="1124"/>
      <c r="CF398" s="1130" t="s">
        <v>1773</v>
      </c>
      <c r="CG398" s="1656">
        <f t="shared" ref="CG398:CJ398" si="742">SUM(CG395:CG397)</f>
        <v>0</v>
      </c>
      <c r="CH398" s="1642">
        <f t="shared" si="742"/>
        <v>0</v>
      </c>
      <c r="CI398" s="1926">
        <f t="shared" si="742"/>
        <v>0</v>
      </c>
      <c r="CJ398" s="1927">
        <f t="shared" si="742"/>
        <v>0</v>
      </c>
      <c r="CK398" s="1124"/>
      <c r="CL398" s="1130" t="s">
        <v>1773</v>
      </c>
      <c r="CM398" s="1656">
        <f t="shared" ref="CM398:DH398" si="743">SUM(CM395:CM397)</f>
        <v>0</v>
      </c>
      <c r="CN398" s="1642">
        <f t="shared" si="743"/>
        <v>0</v>
      </c>
      <c r="CO398" s="1926">
        <f t="shared" si="743"/>
        <v>0</v>
      </c>
      <c r="CP398" s="1927">
        <f t="shared" si="743"/>
        <v>0</v>
      </c>
      <c r="CQ398" s="1656">
        <f t="shared" si="743"/>
        <v>0</v>
      </c>
      <c r="CR398" s="1642">
        <f t="shared" si="743"/>
        <v>0</v>
      </c>
      <c r="CS398" s="1926">
        <f t="shared" si="743"/>
        <v>0</v>
      </c>
      <c r="CT398" s="1927">
        <f t="shared" si="743"/>
        <v>0</v>
      </c>
      <c r="CU398" s="1656">
        <f t="shared" si="743"/>
        <v>0</v>
      </c>
      <c r="CV398" s="1642">
        <f t="shared" si="743"/>
        <v>0</v>
      </c>
      <c r="CW398" s="1926">
        <f t="shared" si="743"/>
        <v>0</v>
      </c>
      <c r="CX398" s="1927">
        <f t="shared" si="743"/>
        <v>0</v>
      </c>
      <c r="CY398" s="1656">
        <f t="shared" si="743"/>
        <v>0</v>
      </c>
      <c r="CZ398" s="1642">
        <f t="shared" si="743"/>
        <v>0</v>
      </c>
      <c r="DA398" s="1926">
        <f t="shared" si="743"/>
        <v>0</v>
      </c>
      <c r="DB398" s="1927">
        <f t="shared" si="743"/>
        <v>0</v>
      </c>
      <c r="DC398" s="1058">
        <f t="shared" si="743"/>
        <v>0</v>
      </c>
      <c r="DD398" s="1992">
        <f t="shared" si="743"/>
        <v>0</v>
      </c>
      <c r="DE398" s="1656">
        <f t="shared" si="743"/>
        <v>0</v>
      </c>
      <c r="DF398" s="1642">
        <f t="shared" si="743"/>
        <v>0</v>
      </c>
      <c r="DG398" s="1926">
        <f t="shared" si="743"/>
        <v>0</v>
      </c>
      <c r="DH398" s="1927">
        <f t="shared" si="743"/>
        <v>0</v>
      </c>
      <c r="DI398" s="1126"/>
      <c r="DJ398" s="1130" t="s">
        <v>1773</v>
      </c>
      <c r="DK398" s="1058">
        <f t="shared" ref="DK398:DL398" si="744">SUM(DK395:DK397)</f>
        <v>0</v>
      </c>
      <c r="DL398" s="1992">
        <f t="shared" si="744"/>
        <v>0</v>
      </c>
      <c r="DM398" s="1058">
        <f t="shared" ref="DM398:DP398" si="745">SUM(DM395:DM397)</f>
        <v>0</v>
      </c>
      <c r="DN398" s="1992">
        <f t="shared" si="745"/>
        <v>0</v>
      </c>
      <c r="DO398" s="1058">
        <f t="shared" si="745"/>
        <v>0</v>
      </c>
      <c r="DP398" s="1992">
        <f t="shared" si="745"/>
        <v>0</v>
      </c>
      <c r="DQ398" s="1124"/>
      <c r="DR398" s="1132" t="s">
        <v>1773</v>
      </c>
      <c r="DS398" s="1656">
        <f t="shared" ref="DS398:DV398" si="746">SUM(DS395:DS397)</f>
        <v>0</v>
      </c>
      <c r="DT398" s="1642">
        <f t="shared" si="746"/>
        <v>0</v>
      </c>
      <c r="DU398" s="1926">
        <f t="shared" si="746"/>
        <v>0</v>
      </c>
      <c r="DV398" s="1927">
        <f t="shared" si="746"/>
        <v>0</v>
      </c>
      <c r="DW398" s="1124"/>
      <c r="DX398" s="1130" t="s">
        <v>1773</v>
      </c>
      <c r="DY398" s="1656">
        <f t="shared" ref="DY398:ED398" si="747">SUM(DY395:DY397)</f>
        <v>0</v>
      </c>
      <c r="DZ398" s="1642">
        <f t="shared" si="747"/>
        <v>0</v>
      </c>
      <c r="EA398" s="1926">
        <f t="shared" si="747"/>
        <v>0</v>
      </c>
      <c r="EB398" s="1927">
        <f t="shared" si="747"/>
        <v>0</v>
      </c>
      <c r="EC398" s="1058">
        <f t="shared" si="747"/>
        <v>0</v>
      </c>
      <c r="ED398" s="1992">
        <f t="shared" si="747"/>
        <v>0</v>
      </c>
      <c r="EE398" s="1124"/>
      <c r="EF398" s="1130" t="s">
        <v>1773</v>
      </c>
      <c r="EG398" s="1058">
        <f t="shared" ref="EG398:EO398" si="748">SUM(EG395:EG397)</f>
        <v>0</v>
      </c>
      <c r="EH398" s="1992">
        <f t="shared" si="748"/>
        <v>0</v>
      </c>
      <c r="EI398" s="1656">
        <f t="shared" si="748"/>
        <v>0</v>
      </c>
      <c r="EJ398" s="1642">
        <f t="shared" si="748"/>
        <v>0</v>
      </c>
      <c r="EK398" s="1926">
        <f t="shared" si="748"/>
        <v>0</v>
      </c>
      <c r="EL398" s="1927">
        <f t="shared" si="748"/>
        <v>0</v>
      </c>
      <c r="EM398" s="1927">
        <f t="shared" si="748"/>
        <v>0</v>
      </c>
      <c r="EN398" s="1927">
        <f t="shared" si="748"/>
        <v>4398793</v>
      </c>
      <c r="EO398" s="1927">
        <f t="shared" si="748"/>
        <v>0</v>
      </c>
      <c r="EP398" s="1962">
        <f t="shared" si="720"/>
        <v>4398793</v>
      </c>
      <c r="EQ398" s="1707">
        <f t="shared" si="675"/>
        <v>0</v>
      </c>
      <c r="ER398" s="1786">
        <f t="shared" si="676"/>
        <v>0</v>
      </c>
      <c r="ES398" s="1786">
        <f t="shared" si="677"/>
        <v>0</v>
      </c>
      <c r="ET398" s="1061">
        <f t="shared" si="721"/>
        <v>0</v>
      </c>
    </row>
    <row r="399" spans="1:150" ht="19.95" customHeight="1" x14ac:dyDescent="0.25">
      <c r="A399" s="1172"/>
      <c r="B399" s="1183" t="s">
        <v>1774</v>
      </c>
      <c r="C399" s="1670"/>
      <c r="D399" s="1633"/>
      <c r="E399" s="1956"/>
      <c r="F399" s="1957"/>
      <c r="G399" s="1694"/>
      <c r="H399" s="2009"/>
      <c r="I399" s="1694"/>
      <c r="J399" s="2009"/>
      <c r="K399" s="1694"/>
      <c r="L399" s="2039"/>
      <c r="M399" s="1172"/>
      <c r="N399" s="1183" t="s">
        <v>1774</v>
      </c>
      <c r="O399" s="1694"/>
      <c r="P399" s="2039"/>
      <c r="Q399" s="1670"/>
      <c r="R399" s="1633"/>
      <c r="S399" s="1956"/>
      <c r="T399" s="1957"/>
      <c r="U399" s="1670"/>
      <c r="V399" s="1633"/>
      <c r="W399" s="1956"/>
      <c r="X399" s="1957"/>
      <c r="Y399" s="1670"/>
      <c r="Z399" s="1633"/>
      <c r="AA399" s="2073"/>
      <c r="AB399" s="1957"/>
      <c r="AC399" s="2298"/>
      <c r="AD399" s="1183" t="s">
        <v>1774</v>
      </c>
      <c r="AE399" s="1670"/>
      <c r="AF399" s="1633"/>
      <c r="AG399" s="1956"/>
      <c r="AH399" s="1957"/>
      <c r="AI399" s="1670"/>
      <c r="AJ399" s="1633"/>
      <c r="AK399" s="1956"/>
      <c r="AL399" s="1957"/>
      <c r="AM399" s="1694"/>
      <c r="AN399" s="2039"/>
      <c r="AO399" s="1878"/>
      <c r="AP399" s="1726"/>
      <c r="AQ399" s="1727"/>
      <c r="AR399" s="2120"/>
      <c r="AS399" s="2121"/>
      <c r="AT399" s="2120"/>
      <c r="AU399" s="1670"/>
      <c r="AV399" s="1633"/>
      <c r="AW399" s="1956"/>
      <c r="AX399" s="1957"/>
      <c r="AY399" s="1172"/>
      <c r="AZ399" s="1183" t="s">
        <v>1774</v>
      </c>
      <c r="BA399" s="1670"/>
      <c r="BB399" s="1633"/>
      <c r="BC399" s="1956"/>
      <c r="BD399" s="1957"/>
      <c r="BE399" s="1172"/>
      <c r="BF399" s="1183" t="s">
        <v>1774</v>
      </c>
      <c r="BG399" s="1670"/>
      <c r="BH399" s="1633"/>
      <c r="BI399" s="1956"/>
      <c r="BJ399" s="1957"/>
      <c r="BK399" s="1670"/>
      <c r="BL399" s="1633"/>
      <c r="BM399" s="1956"/>
      <c r="BN399" s="1957"/>
      <c r="BO399" s="1694"/>
      <c r="BP399" s="2009"/>
      <c r="BQ399" s="1694"/>
      <c r="BR399" s="2039"/>
      <c r="BS399" s="1670"/>
      <c r="BT399" s="1633"/>
      <c r="BU399" s="1956"/>
      <c r="BV399" s="1957"/>
      <c r="BW399" s="1694"/>
      <c r="BX399" s="2039"/>
      <c r="BY399" s="1670"/>
      <c r="BZ399" s="1633"/>
      <c r="CA399" s="1956"/>
      <c r="CB399" s="1957"/>
      <c r="CC399" s="1762"/>
      <c r="CD399" s="2172"/>
      <c r="CE399" s="1172"/>
      <c r="CF399" s="1183" t="s">
        <v>1774</v>
      </c>
      <c r="CG399" s="1670"/>
      <c r="CH399" s="1633"/>
      <c r="CI399" s="1956"/>
      <c r="CJ399" s="1957"/>
      <c r="CK399" s="1172"/>
      <c r="CL399" s="1183" t="s">
        <v>1774</v>
      </c>
      <c r="CM399" s="1670"/>
      <c r="CN399" s="1633"/>
      <c r="CO399" s="1956"/>
      <c r="CP399" s="1957"/>
      <c r="CQ399" s="1670"/>
      <c r="CR399" s="1633"/>
      <c r="CS399" s="1956"/>
      <c r="CT399" s="1957"/>
      <c r="CU399" s="1670"/>
      <c r="CV399" s="1633"/>
      <c r="CW399" s="1956"/>
      <c r="CX399" s="1957"/>
      <c r="CY399" s="1670"/>
      <c r="CZ399" s="1633"/>
      <c r="DA399" s="1956"/>
      <c r="DB399" s="1957"/>
      <c r="DC399" s="1694"/>
      <c r="DD399" s="2039"/>
      <c r="DE399" s="1670"/>
      <c r="DF399" s="1633"/>
      <c r="DG399" s="1956"/>
      <c r="DH399" s="1957"/>
      <c r="DI399" s="2298"/>
      <c r="DJ399" s="1183" t="s">
        <v>1774</v>
      </c>
      <c r="DK399" s="1694"/>
      <c r="DL399" s="2009"/>
      <c r="DM399" s="1694"/>
      <c r="DN399" s="2009"/>
      <c r="DO399" s="1694"/>
      <c r="DP399" s="2039"/>
      <c r="DQ399" s="1172"/>
      <c r="DR399" s="1184" t="s">
        <v>1774</v>
      </c>
      <c r="DS399" s="1670"/>
      <c r="DT399" s="1633"/>
      <c r="DU399" s="1956"/>
      <c r="DV399" s="1957"/>
      <c r="DW399" s="1172"/>
      <c r="DX399" s="1183" t="s">
        <v>1774</v>
      </c>
      <c r="DY399" s="1670"/>
      <c r="DZ399" s="1633"/>
      <c r="EA399" s="1956"/>
      <c r="EB399" s="1957"/>
      <c r="EC399" s="1694"/>
      <c r="ED399" s="2039"/>
      <c r="EE399" s="1172"/>
      <c r="EF399" s="1183" t="s">
        <v>1774</v>
      </c>
      <c r="EG399" s="1694"/>
      <c r="EH399" s="2039"/>
      <c r="EI399" s="1670"/>
      <c r="EJ399" s="1633"/>
      <c r="EK399" s="2245"/>
      <c r="EL399" s="1957"/>
      <c r="EM399" s="2253"/>
      <c r="EN399" s="2254"/>
      <c r="EO399" s="2254"/>
      <c r="EP399" s="2254">
        <f t="shared" si="720"/>
        <v>0</v>
      </c>
      <c r="EQ399" s="1710">
        <f t="shared" si="675"/>
        <v>0</v>
      </c>
      <c r="ER399" s="1820">
        <f t="shared" si="676"/>
        <v>0</v>
      </c>
      <c r="ES399" s="1820">
        <f t="shared" si="677"/>
        <v>0</v>
      </c>
      <c r="ET399" s="1821">
        <f t="shared" si="721"/>
        <v>0</v>
      </c>
    </row>
    <row r="400" spans="1:150" x14ac:dyDescent="0.25">
      <c r="A400" s="1120">
        <v>1</v>
      </c>
      <c r="B400" s="1095"/>
      <c r="C400" s="1672"/>
      <c r="D400" s="1634"/>
      <c r="E400" s="1958"/>
      <c r="F400" s="1959"/>
      <c r="G400" s="1696"/>
      <c r="H400" s="2010"/>
      <c r="I400" s="1696"/>
      <c r="J400" s="2010"/>
      <c r="K400" s="1696"/>
      <c r="L400" s="2040"/>
      <c r="M400" s="1120">
        <v>1</v>
      </c>
      <c r="N400" s="1095"/>
      <c r="O400" s="1696"/>
      <c r="P400" s="2040"/>
      <c r="Q400" s="1672"/>
      <c r="R400" s="1634"/>
      <c r="S400" s="1958"/>
      <c r="T400" s="1959"/>
      <c r="U400" s="1672"/>
      <c r="V400" s="1634"/>
      <c r="W400" s="1958"/>
      <c r="X400" s="1959"/>
      <c r="Y400" s="1672"/>
      <c r="Z400" s="1634"/>
      <c r="AA400" s="2074"/>
      <c r="AB400" s="1959"/>
      <c r="AC400" s="1121">
        <v>1</v>
      </c>
      <c r="AD400" s="1176" t="s">
        <v>1771</v>
      </c>
      <c r="AE400" s="1672"/>
      <c r="AF400" s="1634"/>
      <c r="AG400" s="1958"/>
      <c r="AH400" s="1959"/>
      <c r="AI400" s="1672"/>
      <c r="AJ400" s="1634"/>
      <c r="AK400" s="1958"/>
      <c r="AL400" s="1959"/>
      <c r="AM400" s="1696"/>
      <c r="AN400" s="2040"/>
      <c r="AO400" s="1879"/>
      <c r="AP400" s="1262"/>
      <c r="AQ400" s="1728"/>
      <c r="AR400" s="2122"/>
      <c r="AS400" s="1552"/>
      <c r="AT400" s="2122"/>
      <c r="AU400" s="1672"/>
      <c r="AV400" s="1634"/>
      <c r="AW400" s="1958"/>
      <c r="AX400" s="1959"/>
      <c r="AY400" s="1120">
        <v>1</v>
      </c>
      <c r="AZ400" s="1095"/>
      <c r="BA400" s="1672"/>
      <c r="BB400" s="1634"/>
      <c r="BC400" s="1958"/>
      <c r="BD400" s="1959"/>
      <c r="BE400" s="1120">
        <v>1</v>
      </c>
      <c r="BF400" s="1095"/>
      <c r="BG400" s="1672"/>
      <c r="BH400" s="1634"/>
      <c r="BI400" s="1958"/>
      <c r="BJ400" s="1959"/>
      <c r="BK400" s="1672"/>
      <c r="BL400" s="1634"/>
      <c r="BM400" s="1958"/>
      <c r="BN400" s="1959"/>
      <c r="BO400" s="1696"/>
      <c r="BP400" s="2010"/>
      <c r="BQ400" s="1696"/>
      <c r="BR400" s="2040"/>
      <c r="BS400" s="1672"/>
      <c r="BT400" s="1634"/>
      <c r="BU400" s="1958"/>
      <c r="BV400" s="1959"/>
      <c r="BW400" s="1696"/>
      <c r="BX400" s="2040"/>
      <c r="BY400" s="1672"/>
      <c r="BZ400" s="1634"/>
      <c r="CA400" s="1958"/>
      <c r="CB400" s="1959"/>
      <c r="CC400" s="1763"/>
      <c r="CD400" s="2174"/>
      <c r="CE400" s="1120">
        <v>1</v>
      </c>
      <c r="CF400" s="1095"/>
      <c r="CG400" s="1672"/>
      <c r="CH400" s="1634"/>
      <c r="CI400" s="1958"/>
      <c r="CJ400" s="1959"/>
      <c r="CK400" s="1120">
        <v>1</v>
      </c>
      <c r="CL400" s="1095"/>
      <c r="CM400" s="1672"/>
      <c r="CN400" s="1634"/>
      <c r="CO400" s="1958"/>
      <c r="CP400" s="1959"/>
      <c r="CQ400" s="1672"/>
      <c r="CR400" s="1634"/>
      <c r="CS400" s="1958"/>
      <c r="CT400" s="1959"/>
      <c r="CU400" s="1672"/>
      <c r="CV400" s="1634"/>
      <c r="CW400" s="1958"/>
      <c r="CX400" s="1959"/>
      <c r="CY400" s="1672"/>
      <c r="CZ400" s="1634"/>
      <c r="DA400" s="1958"/>
      <c r="DB400" s="1959"/>
      <c r="DC400" s="1696"/>
      <c r="DD400" s="2040"/>
      <c r="DE400" s="1672"/>
      <c r="DF400" s="1634"/>
      <c r="DG400" s="1958"/>
      <c r="DH400" s="1959"/>
      <c r="DI400" s="1121">
        <v>1</v>
      </c>
      <c r="DJ400" s="1095"/>
      <c r="DK400" s="1696"/>
      <c r="DL400" s="2010"/>
      <c r="DM400" s="1696"/>
      <c r="DN400" s="2010"/>
      <c r="DO400" s="1696"/>
      <c r="DP400" s="2040"/>
      <c r="DQ400" s="1120">
        <v>1</v>
      </c>
      <c r="DR400" s="1194"/>
      <c r="DS400" s="1672"/>
      <c r="DT400" s="1634"/>
      <c r="DU400" s="1958"/>
      <c r="DV400" s="1959"/>
      <c r="DW400" s="1120">
        <v>1</v>
      </c>
      <c r="DX400" s="1095"/>
      <c r="DY400" s="1672"/>
      <c r="DZ400" s="1634"/>
      <c r="EA400" s="1958"/>
      <c r="EB400" s="1959"/>
      <c r="EC400" s="1696"/>
      <c r="ED400" s="2040"/>
      <c r="EE400" s="1120">
        <v>1</v>
      </c>
      <c r="EF400" s="1095"/>
      <c r="EG400" s="1696"/>
      <c r="EH400" s="2040"/>
      <c r="EI400" s="1672"/>
      <c r="EJ400" s="1634"/>
      <c r="EK400" s="2232"/>
      <c r="EL400" s="1959"/>
      <c r="EM400" s="2202">
        <f t="shared" ref="EM400:EM401" si="749">E400+S400+W400+AA400+AG400+AK400+AN400+AR400+AW400+BC400+BI400+BM400+BR400+BU400+CA400+CD400+CI400+CO400+CS400+CW400+DA400+DG400+DU400+EA400+EK400</f>
        <v>0</v>
      </c>
      <c r="EN400" s="1585">
        <f t="shared" ref="EN400:EN401" si="750">F400+H400+J400+L400+P400+T400+X400+AB400+AH400+AL400+AS400+AX400+BD400+BJ400+BN400+BP400+BV400+BX400+CB400+CJ400+CP400+CT400+CX400+DB400+DD400+DH400+DN400+DP400+DV400+EB400+ED400+EH400+EL400+DL400</f>
        <v>0</v>
      </c>
      <c r="EO400" s="1585">
        <f t="shared" ref="EO400:EO401" si="751">AQ400</f>
        <v>0</v>
      </c>
      <c r="EP400" s="1596">
        <f t="shared" si="720"/>
        <v>0</v>
      </c>
      <c r="EQ400" s="1729">
        <f t="shared" si="675"/>
        <v>0</v>
      </c>
      <c r="ER400" s="1797">
        <f t="shared" si="676"/>
        <v>0</v>
      </c>
      <c r="ES400" s="1797">
        <f t="shared" si="677"/>
        <v>0</v>
      </c>
      <c r="ET400" s="1798">
        <f t="shared" si="721"/>
        <v>0</v>
      </c>
    </row>
    <row r="401" spans="1:150" x14ac:dyDescent="0.25">
      <c r="A401" s="1120">
        <v>2</v>
      </c>
      <c r="B401" s="1095"/>
      <c r="C401" s="1672"/>
      <c r="D401" s="1634"/>
      <c r="E401" s="1958"/>
      <c r="F401" s="1959"/>
      <c r="G401" s="1696"/>
      <c r="H401" s="2010"/>
      <c r="I401" s="1696"/>
      <c r="J401" s="2010"/>
      <c r="K401" s="1696"/>
      <c r="L401" s="2040"/>
      <c r="M401" s="1120">
        <v>2</v>
      </c>
      <c r="N401" s="1095"/>
      <c r="O401" s="1696"/>
      <c r="P401" s="2040"/>
      <c r="Q401" s="1672"/>
      <c r="R401" s="1634"/>
      <c r="S401" s="1958"/>
      <c r="T401" s="1959"/>
      <c r="U401" s="1672"/>
      <c r="V401" s="1634"/>
      <c r="W401" s="1958"/>
      <c r="X401" s="1959"/>
      <c r="Y401" s="1672"/>
      <c r="Z401" s="1634"/>
      <c r="AA401" s="2074"/>
      <c r="AB401" s="1959"/>
      <c r="AC401" s="1121">
        <v>2</v>
      </c>
      <c r="AD401" s="1178" t="s">
        <v>1775</v>
      </c>
      <c r="AE401" s="1672"/>
      <c r="AF401" s="1634"/>
      <c r="AG401" s="1958"/>
      <c r="AH401" s="1959"/>
      <c r="AI401" s="1672"/>
      <c r="AJ401" s="1634"/>
      <c r="AK401" s="1958"/>
      <c r="AL401" s="1959"/>
      <c r="AM401" s="1696"/>
      <c r="AN401" s="2040"/>
      <c r="AO401" s="1879"/>
      <c r="AP401" s="1262"/>
      <c r="AQ401" s="1728"/>
      <c r="AR401" s="2122"/>
      <c r="AS401" s="1552"/>
      <c r="AT401" s="2122"/>
      <c r="AU401" s="1672"/>
      <c r="AV401" s="1634"/>
      <c r="AW401" s="1958"/>
      <c r="AX401" s="1959"/>
      <c r="AY401" s="1120">
        <v>2</v>
      </c>
      <c r="AZ401" s="1095"/>
      <c r="BA401" s="1672"/>
      <c r="BB401" s="1634"/>
      <c r="BC401" s="1958"/>
      <c r="BD401" s="1959"/>
      <c r="BE401" s="1120">
        <v>2</v>
      </c>
      <c r="BF401" s="1095"/>
      <c r="BG401" s="1672"/>
      <c r="BH401" s="1634"/>
      <c r="BI401" s="1958"/>
      <c r="BJ401" s="1959"/>
      <c r="BK401" s="1672"/>
      <c r="BL401" s="1634"/>
      <c r="BM401" s="1958"/>
      <c r="BN401" s="1959"/>
      <c r="BO401" s="1696"/>
      <c r="BP401" s="2010"/>
      <c r="BQ401" s="1696"/>
      <c r="BR401" s="2040"/>
      <c r="BS401" s="1672"/>
      <c r="BT401" s="1634"/>
      <c r="BU401" s="1958"/>
      <c r="BV401" s="1959"/>
      <c r="BW401" s="1696"/>
      <c r="BX401" s="2040"/>
      <c r="BY401" s="1672"/>
      <c r="BZ401" s="1634"/>
      <c r="CA401" s="1958"/>
      <c r="CB401" s="1959"/>
      <c r="CC401" s="1860"/>
      <c r="CD401" s="2174"/>
      <c r="CE401" s="1120">
        <v>2</v>
      </c>
      <c r="CF401" s="1095"/>
      <c r="CG401" s="1672"/>
      <c r="CH401" s="1634"/>
      <c r="CI401" s="1958"/>
      <c r="CJ401" s="1959"/>
      <c r="CK401" s="1120">
        <v>2</v>
      </c>
      <c r="CL401" s="1095"/>
      <c r="CM401" s="1672"/>
      <c r="CN401" s="1634"/>
      <c r="CO401" s="1958"/>
      <c r="CP401" s="1959"/>
      <c r="CQ401" s="1672"/>
      <c r="CR401" s="1634"/>
      <c r="CS401" s="1958"/>
      <c r="CT401" s="1959"/>
      <c r="CU401" s="1672"/>
      <c r="CV401" s="1634"/>
      <c r="CW401" s="1958"/>
      <c r="CX401" s="1959"/>
      <c r="CY401" s="1672"/>
      <c r="CZ401" s="1634"/>
      <c r="DA401" s="1958"/>
      <c r="DB401" s="1959"/>
      <c r="DC401" s="1696"/>
      <c r="DD401" s="2040"/>
      <c r="DE401" s="1672"/>
      <c r="DF401" s="1634"/>
      <c r="DG401" s="1958"/>
      <c r="DH401" s="1959"/>
      <c r="DI401" s="1121">
        <v>2</v>
      </c>
      <c r="DJ401" s="1095"/>
      <c r="DK401" s="1696"/>
      <c r="DL401" s="2010"/>
      <c r="DM401" s="1696"/>
      <c r="DN401" s="2010"/>
      <c r="DO401" s="1696"/>
      <c r="DP401" s="2040"/>
      <c r="DQ401" s="1120">
        <v>2</v>
      </c>
      <c r="DR401" s="1194"/>
      <c r="DS401" s="1672"/>
      <c r="DT401" s="1634"/>
      <c r="DU401" s="1958"/>
      <c r="DV401" s="1959"/>
      <c r="DW401" s="1120">
        <v>2</v>
      </c>
      <c r="DX401" s="1095"/>
      <c r="DY401" s="1672"/>
      <c r="DZ401" s="1634"/>
      <c r="EA401" s="1958"/>
      <c r="EB401" s="1959"/>
      <c r="EC401" s="1696"/>
      <c r="ED401" s="2040"/>
      <c r="EE401" s="1120">
        <v>2</v>
      </c>
      <c r="EF401" s="1095"/>
      <c r="EG401" s="1696"/>
      <c r="EH401" s="2040"/>
      <c r="EI401" s="1672"/>
      <c r="EJ401" s="1634"/>
      <c r="EK401" s="2232"/>
      <c r="EL401" s="1959"/>
      <c r="EM401" s="2202">
        <f t="shared" si="749"/>
        <v>0</v>
      </c>
      <c r="EN401" s="1585">
        <f t="shared" si="750"/>
        <v>0</v>
      </c>
      <c r="EO401" s="1585">
        <f t="shared" si="751"/>
        <v>0</v>
      </c>
      <c r="EP401" s="1596">
        <f t="shared" si="720"/>
        <v>0</v>
      </c>
      <c r="EQ401" s="1729">
        <f t="shared" si="675"/>
        <v>0</v>
      </c>
      <c r="ER401" s="1797">
        <f t="shared" si="676"/>
        <v>0</v>
      </c>
      <c r="ES401" s="1797">
        <f t="shared" si="677"/>
        <v>0</v>
      </c>
      <c r="ET401" s="1798">
        <f t="shared" si="721"/>
        <v>0</v>
      </c>
    </row>
    <row r="402" spans="1:150" ht="30" customHeight="1" thickBot="1" x14ac:dyDescent="0.3">
      <c r="A402" s="1129"/>
      <c r="B402" s="1130" t="s">
        <v>1813</v>
      </c>
      <c r="C402" s="1656">
        <f t="shared" ref="C402:L402" si="752">SUM(C399:C401)</f>
        <v>0</v>
      </c>
      <c r="D402" s="1039">
        <f t="shared" si="752"/>
        <v>0</v>
      </c>
      <c r="E402" s="1926">
        <f t="shared" si="752"/>
        <v>0</v>
      </c>
      <c r="F402" s="1931">
        <f t="shared" si="752"/>
        <v>0</v>
      </c>
      <c r="G402" s="1072">
        <f t="shared" si="752"/>
        <v>0</v>
      </c>
      <c r="H402" s="1994">
        <f t="shared" si="752"/>
        <v>0</v>
      </c>
      <c r="I402" s="1072">
        <f t="shared" si="752"/>
        <v>0</v>
      </c>
      <c r="J402" s="1994">
        <f t="shared" si="752"/>
        <v>0</v>
      </c>
      <c r="K402" s="1072">
        <f t="shared" si="752"/>
        <v>0</v>
      </c>
      <c r="L402" s="1994">
        <f t="shared" si="752"/>
        <v>0</v>
      </c>
      <c r="M402" s="1129"/>
      <c r="N402" s="1130" t="s">
        <v>1813</v>
      </c>
      <c r="O402" s="1072">
        <f t="shared" ref="O402:AB402" si="753">SUM(O399:O401)</f>
        <v>0</v>
      </c>
      <c r="P402" s="1994">
        <f t="shared" si="753"/>
        <v>0</v>
      </c>
      <c r="Q402" s="1656">
        <f t="shared" si="753"/>
        <v>0</v>
      </c>
      <c r="R402" s="1039">
        <f t="shared" si="753"/>
        <v>0</v>
      </c>
      <c r="S402" s="1926">
        <f t="shared" si="753"/>
        <v>0</v>
      </c>
      <c r="T402" s="1931">
        <f t="shared" si="753"/>
        <v>0</v>
      </c>
      <c r="U402" s="1656">
        <f t="shared" si="753"/>
        <v>0</v>
      </c>
      <c r="V402" s="1039">
        <f t="shared" si="753"/>
        <v>0</v>
      </c>
      <c r="W402" s="1926">
        <f t="shared" si="753"/>
        <v>0</v>
      </c>
      <c r="X402" s="1931">
        <f t="shared" si="753"/>
        <v>0</v>
      </c>
      <c r="Y402" s="1656">
        <f t="shared" si="753"/>
        <v>0</v>
      </c>
      <c r="Z402" s="1039">
        <f t="shared" si="753"/>
        <v>0</v>
      </c>
      <c r="AA402" s="1926">
        <f t="shared" si="753"/>
        <v>0</v>
      </c>
      <c r="AB402" s="1931">
        <f t="shared" si="753"/>
        <v>0</v>
      </c>
      <c r="AC402" s="1131"/>
      <c r="AD402" s="1130" t="s">
        <v>1813</v>
      </c>
      <c r="AE402" s="1656">
        <f t="shared" ref="AE402:AX402" si="754">SUM(AE399:AE401)</f>
        <v>0</v>
      </c>
      <c r="AF402" s="1039">
        <f t="shared" si="754"/>
        <v>0</v>
      </c>
      <c r="AG402" s="1926">
        <f t="shared" si="754"/>
        <v>0</v>
      </c>
      <c r="AH402" s="1931">
        <f t="shared" si="754"/>
        <v>0</v>
      </c>
      <c r="AI402" s="1656">
        <f t="shared" si="754"/>
        <v>0</v>
      </c>
      <c r="AJ402" s="1039">
        <f t="shared" si="754"/>
        <v>0</v>
      </c>
      <c r="AK402" s="1926">
        <f t="shared" si="754"/>
        <v>0</v>
      </c>
      <c r="AL402" s="1931">
        <f t="shared" si="754"/>
        <v>0</v>
      </c>
      <c r="AM402" s="1072">
        <f t="shared" si="754"/>
        <v>0</v>
      </c>
      <c r="AN402" s="1994">
        <f t="shared" si="754"/>
        <v>0</v>
      </c>
      <c r="AO402" s="1656">
        <f t="shared" si="754"/>
        <v>0</v>
      </c>
      <c r="AP402" s="1854">
        <f t="shared" si="754"/>
        <v>0</v>
      </c>
      <c r="AQ402" s="1041">
        <f t="shared" si="754"/>
        <v>0</v>
      </c>
      <c r="AR402" s="1926">
        <f t="shared" si="754"/>
        <v>0</v>
      </c>
      <c r="AS402" s="2096">
        <f t="shared" si="754"/>
        <v>0</v>
      </c>
      <c r="AT402" s="2125">
        <f t="shared" si="754"/>
        <v>0</v>
      </c>
      <c r="AU402" s="1656">
        <f t="shared" si="754"/>
        <v>0</v>
      </c>
      <c r="AV402" s="1039">
        <f t="shared" si="754"/>
        <v>0</v>
      </c>
      <c r="AW402" s="1926">
        <f t="shared" si="754"/>
        <v>0</v>
      </c>
      <c r="AX402" s="1931">
        <f t="shared" si="754"/>
        <v>0</v>
      </c>
      <c r="AY402" s="1129"/>
      <c r="AZ402" s="1130" t="s">
        <v>1813</v>
      </c>
      <c r="BA402" s="1656">
        <f t="shared" ref="BA402:BD402" si="755">SUM(BA399:BA401)</f>
        <v>0</v>
      </c>
      <c r="BB402" s="1039">
        <f t="shared" si="755"/>
        <v>0</v>
      </c>
      <c r="BC402" s="1926">
        <f t="shared" si="755"/>
        <v>0</v>
      </c>
      <c r="BD402" s="1931">
        <f t="shared" si="755"/>
        <v>0</v>
      </c>
      <c r="BE402" s="1129"/>
      <c r="BF402" s="1130" t="s">
        <v>1813</v>
      </c>
      <c r="BG402" s="1656">
        <f t="shared" ref="BG402:CD402" si="756">SUM(BG399:BG401)</f>
        <v>0</v>
      </c>
      <c r="BH402" s="1039">
        <f t="shared" si="756"/>
        <v>0</v>
      </c>
      <c r="BI402" s="1926">
        <f t="shared" si="756"/>
        <v>0</v>
      </c>
      <c r="BJ402" s="1931">
        <f t="shared" si="756"/>
        <v>0</v>
      </c>
      <c r="BK402" s="1656">
        <f t="shared" si="756"/>
        <v>0</v>
      </c>
      <c r="BL402" s="1039">
        <f t="shared" si="756"/>
        <v>0</v>
      </c>
      <c r="BM402" s="1926">
        <f t="shared" si="756"/>
        <v>0</v>
      </c>
      <c r="BN402" s="1931">
        <f t="shared" si="756"/>
        <v>0</v>
      </c>
      <c r="BO402" s="1072">
        <f t="shared" si="756"/>
        <v>0</v>
      </c>
      <c r="BP402" s="1994">
        <f t="shared" si="756"/>
        <v>0</v>
      </c>
      <c r="BQ402" s="1072">
        <f t="shared" si="756"/>
        <v>0</v>
      </c>
      <c r="BR402" s="1994">
        <f t="shared" si="756"/>
        <v>0</v>
      </c>
      <c r="BS402" s="1656">
        <f t="shared" si="756"/>
        <v>0</v>
      </c>
      <c r="BT402" s="1039">
        <f t="shared" si="756"/>
        <v>0</v>
      </c>
      <c r="BU402" s="1926">
        <f t="shared" si="756"/>
        <v>0</v>
      </c>
      <c r="BV402" s="1931">
        <f t="shared" si="756"/>
        <v>0</v>
      </c>
      <c r="BW402" s="1072">
        <f t="shared" si="756"/>
        <v>0</v>
      </c>
      <c r="BX402" s="1994">
        <f t="shared" si="756"/>
        <v>0</v>
      </c>
      <c r="BY402" s="1656">
        <f t="shared" si="756"/>
        <v>0</v>
      </c>
      <c r="BZ402" s="1039">
        <f t="shared" si="756"/>
        <v>0</v>
      </c>
      <c r="CA402" s="1926">
        <f t="shared" si="756"/>
        <v>0</v>
      </c>
      <c r="CB402" s="1931">
        <f t="shared" si="756"/>
        <v>0</v>
      </c>
      <c r="CC402" s="1901">
        <f t="shared" si="756"/>
        <v>0</v>
      </c>
      <c r="CD402" s="2186">
        <f t="shared" si="756"/>
        <v>0</v>
      </c>
      <c r="CE402" s="1129"/>
      <c r="CF402" s="1130" t="s">
        <v>1813</v>
      </c>
      <c r="CG402" s="1656">
        <f t="shared" ref="CG402:CJ402" si="757">SUM(CG399:CG401)</f>
        <v>0</v>
      </c>
      <c r="CH402" s="1039">
        <f t="shared" si="757"/>
        <v>0</v>
      </c>
      <c r="CI402" s="1926">
        <f t="shared" si="757"/>
        <v>0</v>
      </c>
      <c r="CJ402" s="1931">
        <f t="shared" si="757"/>
        <v>0</v>
      </c>
      <c r="CK402" s="1129"/>
      <c r="CL402" s="1130" t="s">
        <v>1813</v>
      </c>
      <c r="CM402" s="1656">
        <f t="shared" ref="CM402:DH402" si="758">SUM(CM399:CM401)</f>
        <v>0</v>
      </c>
      <c r="CN402" s="1039">
        <f t="shared" si="758"/>
        <v>0</v>
      </c>
      <c r="CO402" s="1926">
        <f t="shared" si="758"/>
        <v>0</v>
      </c>
      <c r="CP402" s="1931">
        <f t="shared" si="758"/>
        <v>0</v>
      </c>
      <c r="CQ402" s="1656">
        <f t="shared" si="758"/>
        <v>0</v>
      </c>
      <c r="CR402" s="1039">
        <f t="shared" si="758"/>
        <v>0</v>
      </c>
      <c r="CS402" s="1926">
        <f t="shared" si="758"/>
        <v>0</v>
      </c>
      <c r="CT402" s="1931">
        <f t="shared" si="758"/>
        <v>0</v>
      </c>
      <c r="CU402" s="1656">
        <f t="shared" si="758"/>
        <v>0</v>
      </c>
      <c r="CV402" s="1039">
        <f t="shared" si="758"/>
        <v>0</v>
      </c>
      <c r="CW402" s="1926">
        <f t="shared" si="758"/>
        <v>0</v>
      </c>
      <c r="CX402" s="1931">
        <f t="shared" si="758"/>
        <v>0</v>
      </c>
      <c r="CY402" s="1656">
        <f t="shared" si="758"/>
        <v>0</v>
      </c>
      <c r="CZ402" s="1039">
        <f t="shared" si="758"/>
        <v>0</v>
      </c>
      <c r="DA402" s="1926">
        <f t="shared" si="758"/>
        <v>0</v>
      </c>
      <c r="DB402" s="1931">
        <f t="shared" si="758"/>
        <v>0</v>
      </c>
      <c r="DC402" s="1072">
        <f t="shared" si="758"/>
        <v>0</v>
      </c>
      <c r="DD402" s="1994">
        <f t="shared" si="758"/>
        <v>0</v>
      </c>
      <c r="DE402" s="1656">
        <f t="shared" si="758"/>
        <v>0</v>
      </c>
      <c r="DF402" s="1039">
        <f t="shared" si="758"/>
        <v>0</v>
      </c>
      <c r="DG402" s="1926">
        <f t="shared" si="758"/>
        <v>0</v>
      </c>
      <c r="DH402" s="1931">
        <f t="shared" si="758"/>
        <v>0</v>
      </c>
      <c r="DI402" s="1131"/>
      <c r="DJ402" s="1130" t="s">
        <v>1813</v>
      </c>
      <c r="DK402" s="1072">
        <f t="shared" ref="DK402:DL402" si="759">SUM(DK399:DK401)</f>
        <v>0</v>
      </c>
      <c r="DL402" s="1994">
        <f t="shared" si="759"/>
        <v>0</v>
      </c>
      <c r="DM402" s="1072">
        <f t="shared" ref="DM402:DP402" si="760">SUM(DM399:DM401)</f>
        <v>0</v>
      </c>
      <c r="DN402" s="1994">
        <f t="shared" si="760"/>
        <v>0</v>
      </c>
      <c r="DO402" s="1072">
        <f t="shared" si="760"/>
        <v>0</v>
      </c>
      <c r="DP402" s="1994">
        <f t="shared" si="760"/>
        <v>0</v>
      </c>
      <c r="DQ402" s="1129"/>
      <c r="DR402" s="1132" t="s">
        <v>1813</v>
      </c>
      <c r="DS402" s="1656">
        <f t="shared" ref="DS402:DV402" si="761">SUM(DS399:DS401)</f>
        <v>0</v>
      </c>
      <c r="DT402" s="1039">
        <f t="shared" si="761"/>
        <v>0</v>
      </c>
      <c r="DU402" s="1926">
        <f t="shared" si="761"/>
        <v>0</v>
      </c>
      <c r="DV402" s="1931">
        <f t="shared" si="761"/>
        <v>0</v>
      </c>
      <c r="DW402" s="1129"/>
      <c r="DX402" s="1130" t="s">
        <v>1813</v>
      </c>
      <c r="DY402" s="1656">
        <f t="shared" ref="DY402:ED402" si="762">SUM(DY399:DY401)</f>
        <v>0</v>
      </c>
      <c r="DZ402" s="1039">
        <f t="shared" si="762"/>
        <v>0</v>
      </c>
      <c r="EA402" s="1926">
        <f t="shared" si="762"/>
        <v>0</v>
      </c>
      <c r="EB402" s="1931">
        <f t="shared" si="762"/>
        <v>0</v>
      </c>
      <c r="EC402" s="1072">
        <f t="shared" si="762"/>
        <v>0</v>
      </c>
      <c r="ED402" s="1994">
        <f t="shared" si="762"/>
        <v>0</v>
      </c>
      <c r="EE402" s="1129"/>
      <c r="EF402" s="1130" t="s">
        <v>1813</v>
      </c>
      <c r="EG402" s="1072">
        <f t="shared" ref="EG402:EO402" si="763">SUM(EG399:EG401)</f>
        <v>0</v>
      </c>
      <c r="EH402" s="1994">
        <f t="shared" si="763"/>
        <v>0</v>
      </c>
      <c r="EI402" s="1656">
        <f t="shared" si="763"/>
        <v>0</v>
      </c>
      <c r="EJ402" s="1039">
        <f t="shared" si="763"/>
        <v>0</v>
      </c>
      <c r="EK402" s="1926">
        <f t="shared" si="763"/>
        <v>0</v>
      </c>
      <c r="EL402" s="1931">
        <f t="shared" si="763"/>
        <v>0</v>
      </c>
      <c r="EM402" s="1931">
        <f t="shared" si="763"/>
        <v>0</v>
      </c>
      <c r="EN402" s="1931">
        <f t="shared" si="763"/>
        <v>0</v>
      </c>
      <c r="EO402" s="1931">
        <f t="shared" si="763"/>
        <v>0</v>
      </c>
      <c r="EP402" s="1600">
        <f t="shared" si="720"/>
        <v>0</v>
      </c>
      <c r="EQ402" s="1074">
        <f t="shared" si="675"/>
        <v>0</v>
      </c>
      <c r="ER402" s="1787">
        <f t="shared" si="676"/>
        <v>0</v>
      </c>
      <c r="ES402" s="1787">
        <f t="shared" si="677"/>
        <v>0</v>
      </c>
      <c r="ET402" s="1410">
        <f t="shared" si="721"/>
        <v>0</v>
      </c>
    </row>
    <row r="403" spans="1:150" ht="30" customHeight="1" thickBot="1" x14ac:dyDescent="0.3">
      <c r="A403" s="2545" t="s">
        <v>1814</v>
      </c>
      <c r="B403" s="2546"/>
      <c r="C403" s="1640">
        <f t="shared" ref="C403:L403" si="764">C402+C398+C394</f>
        <v>0</v>
      </c>
      <c r="D403" s="1389">
        <f t="shared" si="764"/>
        <v>0</v>
      </c>
      <c r="E403" s="1953">
        <f t="shared" si="764"/>
        <v>0</v>
      </c>
      <c r="F403" s="1594">
        <f t="shared" si="764"/>
        <v>0</v>
      </c>
      <c r="G403" s="1100">
        <f t="shared" si="764"/>
        <v>0</v>
      </c>
      <c r="H403" s="2007">
        <f t="shared" si="764"/>
        <v>0</v>
      </c>
      <c r="I403" s="1100">
        <f t="shared" si="764"/>
        <v>0</v>
      </c>
      <c r="J403" s="2007">
        <f t="shared" si="764"/>
        <v>0</v>
      </c>
      <c r="K403" s="1100">
        <f t="shared" si="764"/>
        <v>0</v>
      </c>
      <c r="L403" s="2007">
        <f t="shared" si="764"/>
        <v>0</v>
      </c>
      <c r="M403" s="2545" t="s">
        <v>1814</v>
      </c>
      <c r="N403" s="2546"/>
      <c r="O403" s="1100">
        <f t="shared" ref="O403:AB403" si="765">O402+O398+O394</f>
        <v>0</v>
      </c>
      <c r="P403" s="2007">
        <f t="shared" si="765"/>
        <v>0</v>
      </c>
      <c r="Q403" s="1640">
        <f t="shared" si="765"/>
        <v>0</v>
      </c>
      <c r="R403" s="1389">
        <f t="shared" si="765"/>
        <v>0</v>
      </c>
      <c r="S403" s="1953">
        <f t="shared" si="765"/>
        <v>0</v>
      </c>
      <c r="T403" s="1594">
        <f t="shared" si="765"/>
        <v>0</v>
      </c>
      <c r="U403" s="1640">
        <f t="shared" si="765"/>
        <v>0</v>
      </c>
      <c r="V403" s="1389">
        <f t="shared" si="765"/>
        <v>0</v>
      </c>
      <c r="W403" s="1953">
        <f t="shared" si="765"/>
        <v>0</v>
      </c>
      <c r="X403" s="1594">
        <f t="shared" si="765"/>
        <v>0</v>
      </c>
      <c r="Y403" s="1640">
        <f t="shared" si="765"/>
        <v>0</v>
      </c>
      <c r="Z403" s="1389">
        <f t="shared" si="765"/>
        <v>0</v>
      </c>
      <c r="AA403" s="1953">
        <f t="shared" si="765"/>
        <v>0</v>
      </c>
      <c r="AB403" s="1594">
        <f t="shared" si="765"/>
        <v>0</v>
      </c>
      <c r="AC403" s="2547" t="s">
        <v>1814</v>
      </c>
      <c r="AD403" s="2546"/>
      <c r="AE403" s="1640">
        <f t="shared" ref="AE403:AX403" si="766">AE402+AE398+AE394</f>
        <v>0</v>
      </c>
      <c r="AF403" s="1389">
        <f t="shared" si="766"/>
        <v>0</v>
      </c>
      <c r="AG403" s="1953">
        <f t="shared" si="766"/>
        <v>0</v>
      </c>
      <c r="AH403" s="1594">
        <f t="shared" si="766"/>
        <v>0</v>
      </c>
      <c r="AI403" s="1640">
        <f t="shared" si="766"/>
        <v>0</v>
      </c>
      <c r="AJ403" s="1389">
        <f t="shared" si="766"/>
        <v>0</v>
      </c>
      <c r="AK403" s="1953">
        <f t="shared" si="766"/>
        <v>0</v>
      </c>
      <c r="AL403" s="1594">
        <f t="shared" si="766"/>
        <v>0</v>
      </c>
      <c r="AM403" s="1100">
        <f t="shared" si="766"/>
        <v>0</v>
      </c>
      <c r="AN403" s="2007">
        <f t="shared" si="766"/>
        <v>0</v>
      </c>
      <c r="AO403" s="1640">
        <f t="shared" si="766"/>
        <v>0</v>
      </c>
      <c r="AP403" s="1375">
        <f t="shared" si="766"/>
        <v>0</v>
      </c>
      <c r="AQ403" s="1623">
        <f t="shared" si="766"/>
        <v>0</v>
      </c>
      <c r="AR403" s="1953">
        <f t="shared" si="766"/>
        <v>0</v>
      </c>
      <c r="AS403" s="1429">
        <f t="shared" si="766"/>
        <v>0</v>
      </c>
      <c r="AT403" s="2117">
        <f t="shared" si="766"/>
        <v>0</v>
      </c>
      <c r="AU403" s="1640">
        <f t="shared" si="766"/>
        <v>0</v>
      </c>
      <c r="AV403" s="1389">
        <f t="shared" si="766"/>
        <v>0</v>
      </c>
      <c r="AW403" s="1953">
        <f t="shared" si="766"/>
        <v>0</v>
      </c>
      <c r="AX403" s="1594">
        <f t="shared" si="766"/>
        <v>4398793</v>
      </c>
      <c r="AY403" s="2545" t="s">
        <v>1814</v>
      </c>
      <c r="AZ403" s="2546"/>
      <c r="BA403" s="1640">
        <f t="shared" ref="BA403:BD403" si="767">BA402+BA398+BA394</f>
        <v>0</v>
      </c>
      <c r="BB403" s="1389">
        <f t="shared" si="767"/>
        <v>0</v>
      </c>
      <c r="BC403" s="1953">
        <f t="shared" si="767"/>
        <v>0</v>
      </c>
      <c r="BD403" s="1594">
        <f t="shared" si="767"/>
        <v>0</v>
      </c>
      <c r="BE403" s="2545" t="s">
        <v>1814</v>
      </c>
      <c r="BF403" s="2546"/>
      <c r="BG403" s="1640">
        <f t="shared" ref="BG403:CD403" si="768">BG402+BG398+BG394</f>
        <v>0</v>
      </c>
      <c r="BH403" s="1389">
        <f t="shared" si="768"/>
        <v>0</v>
      </c>
      <c r="BI403" s="1953">
        <f t="shared" si="768"/>
        <v>0</v>
      </c>
      <c r="BJ403" s="1594">
        <f t="shared" si="768"/>
        <v>0</v>
      </c>
      <c r="BK403" s="1640">
        <f t="shared" si="768"/>
        <v>0</v>
      </c>
      <c r="BL403" s="1389">
        <f t="shared" si="768"/>
        <v>0</v>
      </c>
      <c r="BM403" s="1953">
        <f t="shared" si="768"/>
        <v>0</v>
      </c>
      <c r="BN403" s="1594">
        <f t="shared" si="768"/>
        <v>0</v>
      </c>
      <c r="BO403" s="1100">
        <f t="shared" si="768"/>
        <v>0</v>
      </c>
      <c r="BP403" s="2007">
        <f t="shared" si="768"/>
        <v>0</v>
      </c>
      <c r="BQ403" s="1100">
        <f t="shared" si="768"/>
        <v>0</v>
      </c>
      <c r="BR403" s="2007">
        <f t="shared" si="768"/>
        <v>0</v>
      </c>
      <c r="BS403" s="1640">
        <f t="shared" si="768"/>
        <v>0</v>
      </c>
      <c r="BT403" s="1389">
        <f t="shared" si="768"/>
        <v>0</v>
      </c>
      <c r="BU403" s="1953">
        <f t="shared" si="768"/>
        <v>0</v>
      </c>
      <c r="BV403" s="1594">
        <f t="shared" si="768"/>
        <v>0</v>
      </c>
      <c r="BW403" s="1100">
        <f t="shared" si="768"/>
        <v>0</v>
      </c>
      <c r="BX403" s="2007">
        <f t="shared" si="768"/>
        <v>0</v>
      </c>
      <c r="BY403" s="1640">
        <f t="shared" si="768"/>
        <v>0</v>
      </c>
      <c r="BZ403" s="1389">
        <f t="shared" si="768"/>
        <v>0</v>
      </c>
      <c r="CA403" s="1953">
        <f t="shared" si="768"/>
        <v>0</v>
      </c>
      <c r="CB403" s="1594">
        <f t="shared" si="768"/>
        <v>0</v>
      </c>
      <c r="CC403" s="1902">
        <f t="shared" si="768"/>
        <v>0</v>
      </c>
      <c r="CD403" s="2187">
        <f t="shared" si="768"/>
        <v>0</v>
      </c>
      <c r="CE403" s="2545" t="s">
        <v>1814</v>
      </c>
      <c r="CF403" s="2546"/>
      <c r="CG403" s="1640">
        <f t="shared" ref="CG403:CJ403" si="769">CG402+CG398+CG394</f>
        <v>0</v>
      </c>
      <c r="CH403" s="1389">
        <f t="shared" si="769"/>
        <v>0</v>
      </c>
      <c r="CI403" s="1953">
        <f t="shared" si="769"/>
        <v>0</v>
      </c>
      <c r="CJ403" s="1594">
        <f t="shared" si="769"/>
        <v>0</v>
      </c>
      <c r="CK403" s="2545" t="s">
        <v>1814</v>
      </c>
      <c r="CL403" s="2546"/>
      <c r="CM403" s="1640">
        <f t="shared" ref="CM403:DH403" si="770">CM402+CM398+CM394</f>
        <v>0</v>
      </c>
      <c r="CN403" s="1389">
        <f t="shared" si="770"/>
        <v>0</v>
      </c>
      <c r="CO403" s="1953">
        <f t="shared" si="770"/>
        <v>0</v>
      </c>
      <c r="CP403" s="1594">
        <f t="shared" si="770"/>
        <v>0</v>
      </c>
      <c r="CQ403" s="1640">
        <f t="shared" si="770"/>
        <v>0</v>
      </c>
      <c r="CR403" s="1389">
        <f t="shared" si="770"/>
        <v>0</v>
      </c>
      <c r="CS403" s="1953">
        <f t="shared" si="770"/>
        <v>0</v>
      </c>
      <c r="CT403" s="1594">
        <f t="shared" si="770"/>
        <v>0</v>
      </c>
      <c r="CU403" s="1640">
        <f t="shared" si="770"/>
        <v>0</v>
      </c>
      <c r="CV403" s="1389">
        <f t="shared" si="770"/>
        <v>0</v>
      </c>
      <c r="CW403" s="1953">
        <f t="shared" si="770"/>
        <v>0</v>
      </c>
      <c r="CX403" s="1594">
        <f t="shared" si="770"/>
        <v>0</v>
      </c>
      <c r="CY403" s="1640">
        <f t="shared" si="770"/>
        <v>0</v>
      </c>
      <c r="CZ403" s="1389">
        <f t="shared" si="770"/>
        <v>0</v>
      </c>
      <c r="DA403" s="1953">
        <f t="shared" si="770"/>
        <v>0</v>
      </c>
      <c r="DB403" s="1594">
        <f t="shared" si="770"/>
        <v>0</v>
      </c>
      <c r="DC403" s="1100">
        <f t="shared" si="770"/>
        <v>0</v>
      </c>
      <c r="DD403" s="2007">
        <f t="shared" si="770"/>
        <v>0</v>
      </c>
      <c r="DE403" s="1640">
        <f t="shared" si="770"/>
        <v>0</v>
      </c>
      <c r="DF403" s="1389">
        <f t="shared" si="770"/>
        <v>0</v>
      </c>
      <c r="DG403" s="1953">
        <f t="shared" si="770"/>
        <v>0</v>
      </c>
      <c r="DH403" s="1594">
        <f t="shared" si="770"/>
        <v>0</v>
      </c>
      <c r="DI403" s="2547" t="s">
        <v>1814</v>
      </c>
      <c r="DJ403" s="2546"/>
      <c r="DK403" s="1100">
        <f t="shared" ref="DK403:DL403" si="771">DK402+DK398+DK394</f>
        <v>0</v>
      </c>
      <c r="DL403" s="2007">
        <f t="shared" si="771"/>
        <v>0</v>
      </c>
      <c r="DM403" s="1100">
        <f t="shared" ref="DM403:DP403" si="772">DM402+DM398+DM394</f>
        <v>0</v>
      </c>
      <c r="DN403" s="2007">
        <f t="shared" si="772"/>
        <v>0</v>
      </c>
      <c r="DO403" s="1100">
        <f t="shared" si="772"/>
        <v>0</v>
      </c>
      <c r="DP403" s="2007">
        <f t="shared" si="772"/>
        <v>0</v>
      </c>
      <c r="DQ403" s="2545" t="s">
        <v>1814</v>
      </c>
      <c r="DR403" s="2547"/>
      <c r="DS403" s="1640">
        <f t="shared" ref="DS403:DV403" si="773">DS402+DS398+DS394</f>
        <v>0</v>
      </c>
      <c r="DT403" s="1389">
        <f t="shared" si="773"/>
        <v>0</v>
      </c>
      <c r="DU403" s="1953">
        <f t="shared" si="773"/>
        <v>0</v>
      </c>
      <c r="DV403" s="1594">
        <f t="shared" si="773"/>
        <v>0</v>
      </c>
      <c r="DW403" s="2545" t="s">
        <v>1814</v>
      </c>
      <c r="DX403" s="2546"/>
      <c r="DY403" s="1640">
        <f t="shared" ref="DY403:ED403" si="774">DY402+DY398+DY394</f>
        <v>0</v>
      </c>
      <c r="DZ403" s="1389">
        <f t="shared" si="774"/>
        <v>0</v>
      </c>
      <c r="EA403" s="1953">
        <f t="shared" si="774"/>
        <v>0</v>
      </c>
      <c r="EB403" s="1594">
        <f t="shared" si="774"/>
        <v>0</v>
      </c>
      <c r="EC403" s="1100">
        <f t="shared" si="774"/>
        <v>0</v>
      </c>
      <c r="ED403" s="2007">
        <f t="shared" si="774"/>
        <v>0</v>
      </c>
      <c r="EE403" s="2545" t="s">
        <v>1814</v>
      </c>
      <c r="EF403" s="2546"/>
      <c r="EG403" s="1100">
        <f t="shared" ref="EG403:EO403" si="775">EG402+EG398+EG394</f>
        <v>0</v>
      </c>
      <c r="EH403" s="2007">
        <f t="shared" si="775"/>
        <v>0</v>
      </c>
      <c r="EI403" s="1640">
        <f t="shared" si="775"/>
        <v>0</v>
      </c>
      <c r="EJ403" s="1389">
        <f t="shared" si="775"/>
        <v>0</v>
      </c>
      <c r="EK403" s="1953">
        <f t="shared" si="775"/>
        <v>0</v>
      </c>
      <c r="EL403" s="1594">
        <f t="shared" si="775"/>
        <v>0</v>
      </c>
      <c r="EM403" s="1594">
        <f t="shared" si="775"/>
        <v>0</v>
      </c>
      <c r="EN403" s="1594">
        <f t="shared" si="775"/>
        <v>4398793</v>
      </c>
      <c r="EO403" s="1594">
        <f t="shared" si="775"/>
        <v>0</v>
      </c>
      <c r="EP403" s="1601">
        <f t="shared" si="720"/>
        <v>4398793</v>
      </c>
      <c r="EQ403" s="1398">
        <f t="shared" si="675"/>
        <v>0</v>
      </c>
      <c r="ER403" s="1796">
        <f t="shared" si="676"/>
        <v>0</v>
      </c>
      <c r="ES403" s="1796">
        <f t="shared" si="677"/>
        <v>0</v>
      </c>
      <c r="ET403" s="1400">
        <f t="shared" si="721"/>
        <v>0</v>
      </c>
    </row>
    <row r="404" spans="1:150" ht="30" customHeight="1" thickBot="1" x14ac:dyDescent="0.3">
      <c r="A404" s="2545" t="s">
        <v>1815</v>
      </c>
      <c r="B404" s="2546"/>
      <c r="C404" s="1657">
        <f t="shared" ref="C404:L404" si="776">SUM(C390+C318+C403+C336)</f>
        <v>0</v>
      </c>
      <c r="D404" s="1389">
        <f t="shared" si="776"/>
        <v>0</v>
      </c>
      <c r="E404" s="1975">
        <f t="shared" si="776"/>
        <v>0</v>
      </c>
      <c r="F404" s="1594">
        <f t="shared" si="776"/>
        <v>0</v>
      </c>
      <c r="G404" s="1100">
        <f t="shared" si="776"/>
        <v>0</v>
      </c>
      <c r="H404" s="2007">
        <f t="shared" si="776"/>
        <v>0</v>
      </c>
      <c r="I404" s="1100">
        <f t="shared" si="776"/>
        <v>0</v>
      </c>
      <c r="J404" s="2007">
        <f t="shared" si="776"/>
        <v>0</v>
      </c>
      <c r="K404" s="1100">
        <f t="shared" si="776"/>
        <v>500</v>
      </c>
      <c r="L404" s="2007">
        <f t="shared" si="776"/>
        <v>300</v>
      </c>
      <c r="M404" s="2545" t="s">
        <v>1815</v>
      </c>
      <c r="N404" s="2546"/>
      <c r="O404" s="1100">
        <f t="shared" ref="O404:AB404" si="777">SUM(O390+O318+O403+O336)</f>
        <v>0</v>
      </c>
      <c r="P404" s="2007">
        <f t="shared" si="777"/>
        <v>0</v>
      </c>
      <c r="Q404" s="1640">
        <f t="shared" si="777"/>
        <v>0</v>
      </c>
      <c r="R404" s="1389">
        <f t="shared" si="777"/>
        <v>0</v>
      </c>
      <c r="S404" s="1953">
        <f t="shared" si="777"/>
        <v>0</v>
      </c>
      <c r="T404" s="1594">
        <f t="shared" si="777"/>
        <v>0</v>
      </c>
      <c r="U404" s="1640">
        <f t="shared" si="777"/>
        <v>5603</v>
      </c>
      <c r="V404" s="1389">
        <f t="shared" si="777"/>
        <v>0</v>
      </c>
      <c r="W404" s="1953">
        <f t="shared" si="777"/>
        <v>5698</v>
      </c>
      <c r="X404" s="1594">
        <f t="shared" si="777"/>
        <v>0</v>
      </c>
      <c r="Y404" s="1640">
        <f t="shared" si="777"/>
        <v>0</v>
      </c>
      <c r="Z404" s="1389">
        <f t="shared" si="777"/>
        <v>0</v>
      </c>
      <c r="AA404" s="1953">
        <f t="shared" si="777"/>
        <v>0</v>
      </c>
      <c r="AB404" s="1594">
        <f t="shared" si="777"/>
        <v>0</v>
      </c>
      <c r="AC404" s="2547" t="s">
        <v>1815</v>
      </c>
      <c r="AD404" s="2546"/>
      <c r="AE404" s="1640">
        <f t="shared" ref="AE404:AX404" si="778">SUM(AE390+AE318+AE403+AE336)</f>
        <v>0</v>
      </c>
      <c r="AF404" s="1389">
        <f t="shared" si="778"/>
        <v>0</v>
      </c>
      <c r="AG404" s="1953">
        <f t="shared" si="778"/>
        <v>0</v>
      </c>
      <c r="AH404" s="1594">
        <f t="shared" si="778"/>
        <v>0</v>
      </c>
      <c r="AI404" s="1640">
        <f t="shared" si="778"/>
        <v>0</v>
      </c>
      <c r="AJ404" s="1389">
        <f t="shared" si="778"/>
        <v>0</v>
      </c>
      <c r="AK404" s="1953">
        <f t="shared" si="778"/>
        <v>0</v>
      </c>
      <c r="AL404" s="1594">
        <f t="shared" si="778"/>
        <v>0</v>
      </c>
      <c r="AM404" s="1100">
        <f t="shared" si="778"/>
        <v>7807000</v>
      </c>
      <c r="AN404" s="2007">
        <f t="shared" si="778"/>
        <v>8835936</v>
      </c>
      <c r="AO404" s="1657">
        <f t="shared" si="778"/>
        <v>0</v>
      </c>
      <c r="AP404" s="1891">
        <f t="shared" si="778"/>
        <v>8467</v>
      </c>
      <c r="AQ404" s="1623">
        <f t="shared" si="778"/>
        <v>0</v>
      </c>
      <c r="AR404" s="1975">
        <f t="shared" si="778"/>
        <v>2020372.764</v>
      </c>
      <c r="AS404" s="2139">
        <f t="shared" si="778"/>
        <v>9879</v>
      </c>
      <c r="AT404" s="2117">
        <f t="shared" si="778"/>
        <v>0</v>
      </c>
      <c r="AU404" s="1640">
        <f t="shared" si="778"/>
        <v>0</v>
      </c>
      <c r="AV404" s="1389">
        <f t="shared" si="778"/>
        <v>0</v>
      </c>
      <c r="AW404" s="1953">
        <f t="shared" si="778"/>
        <v>621074</v>
      </c>
      <c r="AX404" s="1594">
        <f t="shared" si="778"/>
        <v>4566684</v>
      </c>
      <c r="AY404" s="2545" t="s">
        <v>1815</v>
      </c>
      <c r="AZ404" s="2546"/>
      <c r="BA404" s="1640">
        <f t="shared" ref="BA404:BD404" si="779">SUM(BA390+BA318+BA403+BA336)</f>
        <v>4000</v>
      </c>
      <c r="BB404" s="1389">
        <f t="shared" si="779"/>
        <v>0</v>
      </c>
      <c r="BC404" s="1953">
        <f t="shared" si="779"/>
        <v>4000</v>
      </c>
      <c r="BD404" s="1594">
        <f t="shared" si="779"/>
        <v>0</v>
      </c>
      <c r="BE404" s="2545" t="s">
        <v>1815</v>
      </c>
      <c r="BF404" s="2546"/>
      <c r="BG404" s="1640">
        <f t="shared" ref="BG404:CD404" si="780">SUM(BG390+BG318+BG403+BG336)</f>
        <v>1529011</v>
      </c>
      <c r="BH404" s="1389">
        <f t="shared" si="780"/>
        <v>0</v>
      </c>
      <c r="BI404" s="1953">
        <f t="shared" si="780"/>
        <v>1315610</v>
      </c>
      <c r="BJ404" s="1594">
        <f t="shared" si="780"/>
        <v>334000</v>
      </c>
      <c r="BK404" s="1640">
        <f t="shared" si="780"/>
        <v>269000</v>
      </c>
      <c r="BL404" s="1389">
        <f t="shared" si="780"/>
        <v>0</v>
      </c>
      <c r="BM404" s="1953">
        <f t="shared" si="780"/>
        <v>300000</v>
      </c>
      <c r="BN404" s="1594">
        <f t="shared" si="780"/>
        <v>0</v>
      </c>
      <c r="BO404" s="1100">
        <f t="shared" si="780"/>
        <v>0</v>
      </c>
      <c r="BP404" s="2007">
        <f t="shared" si="780"/>
        <v>0</v>
      </c>
      <c r="BQ404" s="1100">
        <f t="shared" si="780"/>
        <v>0</v>
      </c>
      <c r="BR404" s="2007">
        <f t="shared" si="780"/>
        <v>0</v>
      </c>
      <c r="BS404" s="1640">
        <f t="shared" si="780"/>
        <v>58944</v>
      </c>
      <c r="BT404" s="1389">
        <f t="shared" si="780"/>
        <v>0</v>
      </c>
      <c r="BU404" s="1953">
        <f t="shared" si="780"/>
        <v>71954</v>
      </c>
      <c r="BV404" s="1594">
        <f t="shared" si="780"/>
        <v>0</v>
      </c>
      <c r="BW404" s="1100">
        <f t="shared" si="780"/>
        <v>0</v>
      </c>
      <c r="BX404" s="2007">
        <f t="shared" si="780"/>
        <v>0</v>
      </c>
      <c r="BY404" s="1640">
        <f t="shared" si="780"/>
        <v>0</v>
      </c>
      <c r="BZ404" s="1389">
        <f t="shared" si="780"/>
        <v>0</v>
      </c>
      <c r="CA404" s="1953">
        <f t="shared" si="780"/>
        <v>0</v>
      </c>
      <c r="CB404" s="1594">
        <f t="shared" si="780"/>
        <v>0</v>
      </c>
      <c r="CC404" s="1902">
        <f t="shared" si="780"/>
        <v>0</v>
      </c>
      <c r="CD404" s="2187">
        <f t="shared" si="780"/>
        <v>0</v>
      </c>
      <c r="CE404" s="2545" t="s">
        <v>1815</v>
      </c>
      <c r="CF404" s="2546"/>
      <c r="CG404" s="1640">
        <f t="shared" ref="CG404:CJ404" si="781">SUM(CG390+CG318+CG403+CG336)</f>
        <v>1300</v>
      </c>
      <c r="CH404" s="1389">
        <f t="shared" si="781"/>
        <v>0</v>
      </c>
      <c r="CI404" s="1953">
        <f t="shared" si="781"/>
        <v>0</v>
      </c>
      <c r="CJ404" s="1594">
        <f t="shared" si="781"/>
        <v>0</v>
      </c>
      <c r="CK404" s="2545" t="s">
        <v>1815</v>
      </c>
      <c r="CL404" s="2546"/>
      <c r="CM404" s="1640">
        <f t="shared" ref="CM404:DH404" si="782">SUM(CM390+CM318+CM403+CM336)</f>
        <v>0</v>
      </c>
      <c r="CN404" s="1389">
        <f t="shared" si="782"/>
        <v>0</v>
      </c>
      <c r="CO404" s="1953">
        <f t="shared" si="782"/>
        <v>86583</v>
      </c>
      <c r="CP404" s="1594">
        <f t="shared" si="782"/>
        <v>59379</v>
      </c>
      <c r="CQ404" s="1640">
        <f t="shared" si="782"/>
        <v>0</v>
      </c>
      <c r="CR404" s="1389">
        <f t="shared" si="782"/>
        <v>20000</v>
      </c>
      <c r="CS404" s="1953">
        <f t="shared" si="782"/>
        <v>25000</v>
      </c>
      <c r="CT404" s="1594">
        <f t="shared" si="782"/>
        <v>0</v>
      </c>
      <c r="CU404" s="1640">
        <f t="shared" si="782"/>
        <v>100000</v>
      </c>
      <c r="CV404" s="1389">
        <f t="shared" si="782"/>
        <v>0</v>
      </c>
      <c r="CW404" s="1953">
        <f t="shared" si="782"/>
        <v>110000</v>
      </c>
      <c r="CX404" s="1594">
        <f t="shared" si="782"/>
        <v>0</v>
      </c>
      <c r="CY404" s="1640">
        <f t="shared" si="782"/>
        <v>0</v>
      </c>
      <c r="CZ404" s="1389">
        <f t="shared" si="782"/>
        <v>0</v>
      </c>
      <c r="DA404" s="1953">
        <f t="shared" si="782"/>
        <v>1940600</v>
      </c>
      <c r="DB404" s="1594">
        <f t="shared" si="782"/>
        <v>858700</v>
      </c>
      <c r="DC404" s="1100">
        <f t="shared" si="782"/>
        <v>240000</v>
      </c>
      <c r="DD404" s="2007">
        <f t="shared" si="782"/>
        <v>350000</v>
      </c>
      <c r="DE404" s="1640">
        <f t="shared" si="782"/>
        <v>0</v>
      </c>
      <c r="DF404" s="1389">
        <f t="shared" si="782"/>
        <v>0</v>
      </c>
      <c r="DG404" s="1953">
        <f t="shared" si="782"/>
        <v>0</v>
      </c>
      <c r="DH404" s="1594">
        <f t="shared" si="782"/>
        <v>0</v>
      </c>
      <c r="DI404" s="2547" t="s">
        <v>1815</v>
      </c>
      <c r="DJ404" s="2546"/>
      <c r="DK404" s="1100">
        <f t="shared" ref="DK404:DL404" si="783">SUM(DK390+DK318+DK403+DK336)</f>
        <v>0</v>
      </c>
      <c r="DL404" s="2007">
        <f t="shared" si="783"/>
        <v>0</v>
      </c>
      <c r="DM404" s="1100">
        <f t="shared" ref="DM404:DP404" si="784">SUM(DM390+DM318+DM403+DM336)</f>
        <v>0</v>
      </c>
      <c r="DN404" s="2007">
        <f t="shared" si="784"/>
        <v>0</v>
      </c>
      <c r="DO404" s="1100">
        <f t="shared" si="784"/>
        <v>0</v>
      </c>
      <c r="DP404" s="2007">
        <f t="shared" si="784"/>
        <v>0</v>
      </c>
      <c r="DQ404" s="2545" t="s">
        <v>1815</v>
      </c>
      <c r="DR404" s="2547"/>
      <c r="DS404" s="1640">
        <f t="shared" ref="DS404:DV404" si="785">SUM(DS390+DS318+DS403+DS336)</f>
        <v>0</v>
      </c>
      <c r="DT404" s="1389">
        <f t="shared" si="785"/>
        <v>0</v>
      </c>
      <c r="DU404" s="1953">
        <f t="shared" si="785"/>
        <v>0</v>
      </c>
      <c r="DV404" s="1594">
        <f t="shared" si="785"/>
        <v>0</v>
      </c>
      <c r="DW404" s="2545" t="s">
        <v>1815</v>
      </c>
      <c r="DX404" s="2546"/>
      <c r="DY404" s="1640">
        <f t="shared" ref="DY404:ED404" si="786">SUM(DY390+DY318+DY403+DY336)</f>
        <v>15000</v>
      </c>
      <c r="DZ404" s="1389">
        <f t="shared" si="786"/>
        <v>0</v>
      </c>
      <c r="EA404" s="1953">
        <f t="shared" si="786"/>
        <v>76446</v>
      </c>
      <c r="EB404" s="1594">
        <f t="shared" si="786"/>
        <v>0</v>
      </c>
      <c r="EC404" s="1100">
        <f t="shared" si="786"/>
        <v>0</v>
      </c>
      <c r="ED404" s="2007">
        <f t="shared" si="786"/>
        <v>0</v>
      </c>
      <c r="EE404" s="2545" t="s">
        <v>1815</v>
      </c>
      <c r="EF404" s="2546"/>
      <c r="EG404" s="1100">
        <f t="shared" ref="EG404:EO404" si="787">SUM(EG390+EG318+EG403+EG336)</f>
        <v>0</v>
      </c>
      <c r="EH404" s="2007">
        <f t="shared" si="787"/>
        <v>0</v>
      </c>
      <c r="EI404" s="1640">
        <f t="shared" si="787"/>
        <v>0</v>
      </c>
      <c r="EJ404" s="1389">
        <f t="shared" si="787"/>
        <v>35000</v>
      </c>
      <c r="EK404" s="1953">
        <f t="shared" si="787"/>
        <v>0</v>
      </c>
      <c r="EL404" s="1594">
        <f t="shared" si="787"/>
        <v>100000</v>
      </c>
      <c r="EM404" s="1594">
        <f t="shared" si="787"/>
        <v>15413273.764</v>
      </c>
      <c r="EN404" s="1594">
        <f t="shared" si="787"/>
        <v>6278942</v>
      </c>
      <c r="EO404" s="1594">
        <f t="shared" si="787"/>
        <v>0</v>
      </c>
      <c r="EP404" s="2223">
        <f t="shared" si="720"/>
        <v>21692215.763999999</v>
      </c>
      <c r="EQ404" s="1791">
        <f t="shared" si="675"/>
        <v>9789858</v>
      </c>
      <c r="ER404" s="1770">
        <f t="shared" si="676"/>
        <v>303967</v>
      </c>
      <c r="ES404" s="1770">
        <f t="shared" si="677"/>
        <v>0</v>
      </c>
      <c r="ET404" s="1417">
        <f t="shared" si="721"/>
        <v>10093825</v>
      </c>
    </row>
    <row r="405" spans="1:150" ht="19.95" customHeight="1" thickBot="1" x14ac:dyDescent="0.3">
      <c r="A405" s="2541" t="s">
        <v>1687</v>
      </c>
      <c r="B405" s="2542"/>
      <c r="C405" s="1640">
        <f t="shared" ref="C405:G405" si="788">SUM(C404-C245)</f>
        <v>0</v>
      </c>
      <c r="D405" s="1648">
        <f t="shared" si="788"/>
        <v>0</v>
      </c>
      <c r="E405" s="1953">
        <f t="shared" ref="E405:F405" si="789">SUM(E404-E245)</f>
        <v>0</v>
      </c>
      <c r="F405" s="1976">
        <f t="shared" si="789"/>
        <v>0</v>
      </c>
      <c r="G405" s="1195">
        <f t="shared" si="788"/>
        <v>0</v>
      </c>
      <c r="H405" s="2020">
        <f t="shared" ref="H405:L405" si="790">SUM(H404-H245)</f>
        <v>0</v>
      </c>
      <c r="I405" s="1195">
        <f t="shared" si="790"/>
        <v>0</v>
      </c>
      <c r="J405" s="2020">
        <f t="shared" si="790"/>
        <v>0</v>
      </c>
      <c r="K405" s="1195">
        <f t="shared" si="790"/>
        <v>0</v>
      </c>
      <c r="L405" s="2020">
        <f t="shared" si="790"/>
        <v>0</v>
      </c>
      <c r="M405" s="2541" t="s">
        <v>1687</v>
      </c>
      <c r="N405" s="2542"/>
      <c r="O405" s="1195">
        <f t="shared" ref="O405:AB405" si="791">SUM(O404-O245)</f>
        <v>0</v>
      </c>
      <c r="P405" s="2020">
        <f t="shared" si="791"/>
        <v>0</v>
      </c>
      <c r="Q405" s="1703">
        <f t="shared" si="791"/>
        <v>0</v>
      </c>
      <c r="R405" s="1648">
        <f t="shared" si="791"/>
        <v>0</v>
      </c>
      <c r="S405" s="2049">
        <f t="shared" si="791"/>
        <v>0</v>
      </c>
      <c r="T405" s="1976">
        <f t="shared" si="791"/>
        <v>0</v>
      </c>
      <c r="U405" s="1703">
        <f t="shared" si="791"/>
        <v>0</v>
      </c>
      <c r="V405" s="1648">
        <f t="shared" si="791"/>
        <v>0</v>
      </c>
      <c r="W405" s="2049">
        <f t="shared" si="791"/>
        <v>0</v>
      </c>
      <c r="X405" s="1976">
        <f t="shared" si="791"/>
        <v>0</v>
      </c>
      <c r="Y405" s="1703">
        <f t="shared" si="791"/>
        <v>0</v>
      </c>
      <c r="Z405" s="1648">
        <f t="shared" si="791"/>
        <v>0</v>
      </c>
      <c r="AA405" s="2049">
        <f t="shared" si="791"/>
        <v>0</v>
      </c>
      <c r="AB405" s="1976">
        <f t="shared" si="791"/>
        <v>0</v>
      </c>
      <c r="AC405" s="2548" t="s">
        <v>1687</v>
      </c>
      <c r="AD405" s="2542"/>
      <c r="AE405" s="1703">
        <f t="shared" ref="AE405:AX405" si="792">SUM(AE404-AE245)</f>
        <v>0</v>
      </c>
      <c r="AF405" s="1648">
        <f t="shared" si="792"/>
        <v>0</v>
      </c>
      <c r="AG405" s="2049">
        <f t="shared" si="792"/>
        <v>0</v>
      </c>
      <c r="AH405" s="1976">
        <f t="shared" si="792"/>
        <v>0</v>
      </c>
      <c r="AI405" s="1703">
        <f t="shared" si="792"/>
        <v>0</v>
      </c>
      <c r="AJ405" s="1648">
        <f t="shared" si="792"/>
        <v>0</v>
      </c>
      <c r="AK405" s="2049">
        <f t="shared" si="792"/>
        <v>0</v>
      </c>
      <c r="AL405" s="1976">
        <f t="shared" si="792"/>
        <v>0</v>
      </c>
      <c r="AM405" s="1195">
        <f t="shared" si="792"/>
        <v>0</v>
      </c>
      <c r="AN405" s="2020">
        <f t="shared" si="792"/>
        <v>0</v>
      </c>
      <c r="AO405" s="1640">
        <f t="shared" si="792"/>
        <v>0</v>
      </c>
      <c r="AP405" s="1375">
        <f t="shared" si="792"/>
        <v>0</v>
      </c>
      <c r="AQ405" s="1624">
        <f t="shared" si="792"/>
        <v>0</v>
      </c>
      <c r="AR405" s="1953">
        <f t="shared" si="792"/>
        <v>0</v>
      </c>
      <c r="AS405" s="1429">
        <f t="shared" si="792"/>
        <v>0</v>
      </c>
      <c r="AT405" s="2140">
        <f t="shared" si="792"/>
        <v>0</v>
      </c>
      <c r="AU405" s="1640">
        <f t="shared" si="792"/>
        <v>0</v>
      </c>
      <c r="AV405" s="1648">
        <f t="shared" si="792"/>
        <v>0</v>
      </c>
      <c r="AW405" s="1953">
        <f t="shared" si="792"/>
        <v>0</v>
      </c>
      <c r="AX405" s="1976">
        <f t="shared" si="792"/>
        <v>0</v>
      </c>
      <c r="AY405" s="2541" t="s">
        <v>1687</v>
      </c>
      <c r="AZ405" s="2542"/>
      <c r="BA405" s="1703">
        <f t="shared" ref="BA405:BD405" si="793">SUM(BA404-BA245)</f>
        <v>0</v>
      </c>
      <c r="BB405" s="1648">
        <f t="shared" si="793"/>
        <v>0</v>
      </c>
      <c r="BC405" s="2049">
        <f t="shared" si="793"/>
        <v>0</v>
      </c>
      <c r="BD405" s="1976">
        <f t="shared" si="793"/>
        <v>0</v>
      </c>
      <c r="BE405" s="2541" t="s">
        <v>1687</v>
      </c>
      <c r="BF405" s="2542"/>
      <c r="BG405" s="1703">
        <f t="shared" ref="BG405:CD405" si="794">SUM(BG404-BG245)</f>
        <v>0</v>
      </c>
      <c r="BH405" s="1648">
        <f t="shared" si="794"/>
        <v>0</v>
      </c>
      <c r="BI405" s="2049">
        <f t="shared" si="794"/>
        <v>0</v>
      </c>
      <c r="BJ405" s="1976">
        <f t="shared" si="794"/>
        <v>0</v>
      </c>
      <c r="BK405" s="1703">
        <f t="shared" si="794"/>
        <v>0</v>
      </c>
      <c r="BL405" s="1648">
        <f t="shared" si="794"/>
        <v>0</v>
      </c>
      <c r="BM405" s="2049">
        <f t="shared" si="794"/>
        <v>0</v>
      </c>
      <c r="BN405" s="1976">
        <f t="shared" si="794"/>
        <v>0</v>
      </c>
      <c r="BO405" s="1195">
        <f t="shared" si="794"/>
        <v>0</v>
      </c>
      <c r="BP405" s="2020">
        <f t="shared" si="794"/>
        <v>0</v>
      </c>
      <c r="BQ405" s="1195">
        <f t="shared" si="794"/>
        <v>0</v>
      </c>
      <c r="BR405" s="2020">
        <f t="shared" si="794"/>
        <v>0</v>
      </c>
      <c r="BS405" s="1703">
        <f t="shared" si="794"/>
        <v>0</v>
      </c>
      <c r="BT405" s="1648">
        <f t="shared" si="794"/>
        <v>0</v>
      </c>
      <c r="BU405" s="2049">
        <f t="shared" si="794"/>
        <v>0</v>
      </c>
      <c r="BV405" s="1976">
        <f t="shared" si="794"/>
        <v>0</v>
      </c>
      <c r="BW405" s="1195">
        <f t="shared" si="794"/>
        <v>0</v>
      </c>
      <c r="BX405" s="2020">
        <f t="shared" si="794"/>
        <v>0</v>
      </c>
      <c r="BY405" s="1703">
        <f t="shared" si="794"/>
        <v>0</v>
      </c>
      <c r="BZ405" s="1648">
        <f t="shared" si="794"/>
        <v>0</v>
      </c>
      <c r="CA405" s="2049">
        <f t="shared" si="794"/>
        <v>0</v>
      </c>
      <c r="CB405" s="1976">
        <f t="shared" si="794"/>
        <v>0</v>
      </c>
      <c r="CC405" s="1839">
        <f t="shared" si="794"/>
        <v>0</v>
      </c>
      <c r="CD405" s="2011">
        <f t="shared" si="794"/>
        <v>0</v>
      </c>
      <c r="CE405" s="2541" t="s">
        <v>1687</v>
      </c>
      <c r="CF405" s="2542"/>
      <c r="CG405" s="1703">
        <f t="shared" ref="CG405:CJ405" si="795">SUM(CG404-CG245)</f>
        <v>0</v>
      </c>
      <c r="CH405" s="1648">
        <f t="shared" si="795"/>
        <v>0</v>
      </c>
      <c r="CI405" s="2049">
        <f t="shared" si="795"/>
        <v>0</v>
      </c>
      <c r="CJ405" s="1976">
        <f t="shared" si="795"/>
        <v>0</v>
      </c>
      <c r="CK405" s="2541" t="s">
        <v>1687</v>
      </c>
      <c r="CL405" s="2542"/>
      <c r="CM405" s="1703">
        <f t="shared" ref="CM405:DH405" si="796">SUM(CM404-CM245)</f>
        <v>0</v>
      </c>
      <c r="CN405" s="1648">
        <f t="shared" si="796"/>
        <v>0</v>
      </c>
      <c r="CO405" s="2049">
        <f t="shared" si="796"/>
        <v>0</v>
      </c>
      <c r="CP405" s="1976">
        <f t="shared" si="796"/>
        <v>0</v>
      </c>
      <c r="CQ405" s="1703">
        <f t="shared" si="796"/>
        <v>0</v>
      </c>
      <c r="CR405" s="1648">
        <f t="shared" si="796"/>
        <v>0</v>
      </c>
      <c r="CS405" s="2049">
        <f t="shared" si="796"/>
        <v>0</v>
      </c>
      <c r="CT405" s="1976">
        <f t="shared" si="796"/>
        <v>0</v>
      </c>
      <c r="CU405" s="1703">
        <f t="shared" si="796"/>
        <v>0</v>
      </c>
      <c r="CV405" s="1648">
        <f t="shared" si="796"/>
        <v>0</v>
      </c>
      <c r="CW405" s="2049">
        <f t="shared" si="796"/>
        <v>0</v>
      </c>
      <c r="CX405" s="1976">
        <f t="shared" si="796"/>
        <v>0</v>
      </c>
      <c r="CY405" s="1703">
        <f t="shared" si="796"/>
        <v>0</v>
      </c>
      <c r="CZ405" s="1648">
        <f t="shared" si="796"/>
        <v>0</v>
      </c>
      <c r="DA405" s="2049">
        <f t="shared" si="796"/>
        <v>0</v>
      </c>
      <c r="DB405" s="1976">
        <f t="shared" si="796"/>
        <v>0</v>
      </c>
      <c r="DC405" s="1195">
        <f t="shared" si="796"/>
        <v>0</v>
      </c>
      <c r="DD405" s="2020">
        <f t="shared" si="796"/>
        <v>0</v>
      </c>
      <c r="DE405" s="1703">
        <f t="shared" si="796"/>
        <v>0</v>
      </c>
      <c r="DF405" s="1648">
        <f t="shared" si="796"/>
        <v>0</v>
      </c>
      <c r="DG405" s="2049">
        <f t="shared" si="796"/>
        <v>0</v>
      </c>
      <c r="DH405" s="1976">
        <f t="shared" si="796"/>
        <v>0</v>
      </c>
      <c r="DI405" s="2543" t="s">
        <v>1687</v>
      </c>
      <c r="DJ405" s="2544"/>
      <c r="DK405" s="1195">
        <f t="shared" ref="DK405:DL405" si="797">SUM(DK404-DK245)</f>
        <v>0</v>
      </c>
      <c r="DL405" s="2020">
        <f t="shared" si="797"/>
        <v>0</v>
      </c>
      <c r="DM405" s="1195">
        <f t="shared" ref="DM405:DP405" si="798">SUM(DM404-DM245)</f>
        <v>0</v>
      </c>
      <c r="DN405" s="2020">
        <f t="shared" si="798"/>
        <v>0</v>
      </c>
      <c r="DO405" s="1195">
        <f t="shared" si="798"/>
        <v>0</v>
      </c>
      <c r="DP405" s="2020">
        <f t="shared" si="798"/>
        <v>0</v>
      </c>
      <c r="DQ405" s="2541" t="s">
        <v>1687</v>
      </c>
      <c r="DR405" s="2548"/>
      <c r="DS405" s="1703">
        <f t="shared" ref="DS405:DV405" si="799">SUM(DS404-DS245)</f>
        <v>0</v>
      </c>
      <c r="DT405" s="1648">
        <f t="shared" si="799"/>
        <v>0</v>
      </c>
      <c r="DU405" s="2049">
        <f t="shared" si="799"/>
        <v>0</v>
      </c>
      <c r="DV405" s="1976">
        <f t="shared" si="799"/>
        <v>0</v>
      </c>
      <c r="DW405" s="2541" t="s">
        <v>1687</v>
      </c>
      <c r="DX405" s="2542"/>
      <c r="DY405" s="1703">
        <f t="shared" ref="DY405:ED405" si="800">SUM(DY404-DY245)</f>
        <v>0</v>
      </c>
      <c r="DZ405" s="1648">
        <f t="shared" si="800"/>
        <v>0</v>
      </c>
      <c r="EA405" s="2049">
        <f t="shared" si="800"/>
        <v>0</v>
      </c>
      <c r="EB405" s="1976">
        <f t="shared" si="800"/>
        <v>0</v>
      </c>
      <c r="EC405" s="1195">
        <f t="shared" si="800"/>
        <v>0</v>
      </c>
      <c r="ED405" s="2020">
        <f t="shared" si="800"/>
        <v>0</v>
      </c>
      <c r="EE405" s="2541" t="s">
        <v>1687</v>
      </c>
      <c r="EF405" s="2542"/>
      <c r="EG405" s="1195">
        <f t="shared" ref="EG405:EO405" si="801">SUM(EG404-EG245)</f>
        <v>0</v>
      </c>
      <c r="EH405" s="2020">
        <f t="shared" si="801"/>
        <v>0</v>
      </c>
      <c r="EI405" s="1703">
        <f t="shared" si="801"/>
        <v>0</v>
      </c>
      <c r="EJ405" s="1648">
        <f t="shared" si="801"/>
        <v>0</v>
      </c>
      <c r="EK405" s="2049">
        <f t="shared" si="801"/>
        <v>0</v>
      </c>
      <c r="EL405" s="1976">
        <f t="shared" si="801"/>
        <v>0</v>
      </c>
      <c r="EM405" s="1976">
        <f t="shared" si="801"/>
        <v>0</v>
      </c>
      <c r="EN405" s="1976">
        <f t="shared" si="801"/>
        <v>0</v>
      </c>
      <c r="EO405" s="1976">
        <f t="shared" si="801"/>
        <v>0</v>
      </c>
      <c r="EP405" s="1617">
        <f t="shared" si="720"/>
        <v>0</v>
      </c>
      <c r="EQ405" s="1413">
        <f t="shared" si="675"/>
        <v>0</v>
      </c>
      <c r="ER405" s="1828">
        <f t="shared" si="676"/>
        <v>0</v>
      </c>
      <c r="ES405" s="1828">
        <f t="shared" si="677"/>
        <v>0</v>
      </c>
      <c r="ET405" s="1414">
        <f t="shared" si="721"/>
        <v>0</v>
      </c>
    </row>
    <row r="406" spans="1:150" x14ac:dyDescent="0.25">
      <c r="B406" s="1196"/>
      <c r="C406" s="1197"/>
      <c r="D406" s="1197"/>
      <c r="E406" s="1977"/>
      <c r="F406" s="1977"/>
      <c r="G406" s="1197"/>
      <c r="H406" s="1977"/>
      <c r="I406" s="1197"/>
      <c r="J406" s="1977"/>
      <c r="K406" s="1197"/>
      <c r="L406" s="1979"/>
      <c r="N406" s="1196"/>
      <c r="O406" s="1197"/>
      <c r="P406" s="1977"/>
      <c r="Q406" s="1197"/>
      <c r="R406" s="1197"/>
      <c r="S406" s="1977"/>
      <c r="T406" s="1977"/>
      <c r="U406" s="1197"/>
      <c r="V406" s="1197"/>
      <c r="W406" s="1977"/>
      <c r="X406" s="1977"/>
      <c r="Y406" s="1197"/>
      <c r="Z406" s="1197"/>
      <c r="AA406" s="1979"/>
      <c r="AB406" s="1979"/>
      <c r="AD406" s="1196"/>
      <c r="AE406" s="1197"/>
      <c r="AF406" s="1197"/>
      <c r="AG406" s="1977"/>
      <c r="AH406" s="1977"/>
      <c r="AI406" s="1197"/>
      <c r="AJ406" s="1197"/>
      <c r="AK406" s="1977"/>
      <c r="AL406" s="1977"/>
      <c r="AM406" s="1197"/>
      <c r="AN406" s="1977"/>
      <c r="AO406" s="1197"/>
      <c r="AP406" s="1197"/>
      <c r="AQ406" s="1197"/>
      <c r="AR406" s="1977"/>
      <c r="AS406" s="1977"/>
      <c r="AT406" s="1977"/>
      <c r="AU406" s="1197"/>
      <c r="AV406" s="1197"/>
      <c r="AW406" s="1979"/>
      <c r="AX406" s="1979"/>
      <c r="AZ406" s="1196"/>
      <c r="BA406" s="1197"/>
      <c r="BB406" s="1197"/>
      <c r="BC406" s="1979"/>
      <c r="BD406" s="1979"/>
      <c r="BF406" s="1196"/>
      <c r="BG406" s="1197"/>
      <c r="BH406" s="1197"/>
      <c r="BI406" s="1977"/>
      <c r="BJ406" s="1977"/>
      <c r="BK406" s="1197"/>
      <c r="BL406" s="1197"/>
      <c r="BM406" s="1977"/>
      <c r="BN406" s="1977"/>
      <c r="BO406" s="1197"/>
      <c r="BP406" s="1977"/>
      <c r="BQ406" s="1197"/>
      <c r="BR406" s="1977"/>
      <c r="BS406" s="1197"/>
      <c r="BT406" s="1197"/>
      <c r="BU406" s="1977"/>
      <c r="BV406" s="1977"/>
      <c r="BW406" s="1197"/>
      <c r="BX406" s="1977"/>
      <c r="BY406" s="1197"/>
      <c r="BZ406" s="1197"/>
      <c r="CA406" s="1977"/>
      <c r="CB406" s="1977"/>
      <c r="CC406" s="1197"/>
      <c r="CD406" s="1979"/>
      <c r="CF406" s="1196"/>
      <c r="CG406" s="1197"/>
      <c r="CH406" s="1197"/>
      <c r="CI406" s="1979"/>
      <c r="CJ406" s="1979"/>
      <c r="CL406" s="1196"/>
      <c r="CM406" s="1197"/>
      <c r="CN406" s="1197"/>
      <c r="CO406" s="1977"/>
      <c r="CP406" s="1977"/>
      <c r="CQ406" s="1197"/>
      <c r="CR406" s="1197"/>
      <c r="CS406" s="1977"/>
      <c r="CT406" s="1977"/>
      <c r="CU406" s="1197"/>
      <c r="CV406" s="1197"/>
      <c r="CW406" s="1977"/>
      <c r="CX406" s="1977"/>
      <c r="CY406" s="1197"/>
      <c r="CZ406" s="1197"/>
      <c r="DA406" s="1977"/>
      <c r="DB406" s="1977"/>
      <c r="DC406" s="1197"/>
      <c r="DD406" s="1977"/>
      <c r="DE406" s="1197"/>
      <c r="DF406" s="1197"/>
      <c r="DG406" s="1979"/>
      <c r="DH406" s="1979"/>
      <c r="DM406" s="1197"/>
      <c r="DN406" s="1977"/>
      <c r="DO406" s="1197"/>
      <c r="DP406" s="1979"/>
      <c r="DR406" s="1196"/>
      <c r="DS406" s="1197"/>
      <c r="DT406" s="1197"/>
      <c r="DU406" s="1979"/>
      <c r="DV406" s="1979"/>
      <c r="DX406" s="1196"/>
      <c r="DY406" s="1197"/>
      <c r="DZ406" s="1197"/>
      <c r="EA406" s="1977"/>
      <c r="EB406" s="1977"/>
      <c r="EC406" s="1197"/>
      <c r="ED406" s="1979"/>
      <c r="EF406" s="1196"/>
      <c r="EG406" s="1197"/>
      <c r="EH406" s="1977"/>
      <c r="EI406" s="1197"/>
      <c r="EJ406" s="1197"/>
      <c r="EK406" s="1977"/>
      <c r="EL406" s="1977"/>
      <c r="EM406" s="1977"/>
      <c r="EN406" s="1977"/>
      <c r="EO406" s="1977"/>
      <c r="EP406" s="1977"/>
      <c r="EQ406" s="1197">
        <f t="shared" si="675"/>
        <v>0</v>
      </c>
      <c r="ER406" s="1832">
        <f>SUM(D406+I406+K406+O406+R406+V406+Z406+AF406+AJ406+AP406+AV406+BB406+BH406+BL406+BO406+BT406+BW406+CH406+CN406+CR406+CV406+CZ406+DC406+DF406+DM406+DO406+DT406+DZ406+EC406+EG406+EJ406)</f>
        <v>0</v>
      </c>
      <c r="ES406" s="1197">
        <f t="shared" si="677"/>
        <v>0</v>
      </c>
      <c r="ET406" s="1197">
        <f t="shared" si="721"/>
        <v>0</v>
      </c>
    </row>
    <row r="407" spans="1:150" x14ac:dyDescent="0.25">
      <c r="B407" s="1198"/>
      <c r="C407" s="1200">
        <f t="shared" ref="C407:BN407" si="802">SUM(C243)</f>
        <v>63908</v>
      </c>
      <c r="D407" s="1200">
        <f t="shared" si="802"/>
        <v>103107</v>
      </c>
      <c r="E407" s="1978">
        <f t="shared" si="802"/>
        <v>62256</v>
      </c>
      <c r="F407" s="1978">
        <f t="shared" si="802"/>
        <v>144607</v>
      </c>
      <c r="G407" s="1200">
        <f t="shared" si="802"/>
        <v>0</v>
      </c>
      <c r="H407" s="1978">
        <f t="shared" si="802"/>
        <v>0</v>
      </c>
      <c r="I407" s="1200">
        <f t="shared" si="802"/>
        <v>3353</v>
      </c>
      <c r="J407" s="1978">
        <f t="shared" si="802"/>
        <v>3353</v>
      </c>
      <c r="K407" s="1200">
        <f t="shared" si="802"/>
        <v>6832</v>
      </c>
      <c r="L407" s="1978">
        <f t="shared" si="802"/>
        <v>22185.599999999999</v>
      </c>
      <c r="M407" s="1199"/>
      <c r="N407" s="1199"/>
      <c r="O407" s="1200">
        <f t="shared" si="802"/>
        <v>160628</v>
      </c>
      <c r="P407" s="1978">
        <f t="shared" si="802"/>
        <v>29715</v>
      </c>
      <c r="Q407" s="1200">
        <f t="shared" si="802"/>
        <v>1200</v>
      </c>
      <c r="R407" s="1200">
        <f t="shared" si="802"/>
        <v>3850</v>
      </c>
      <c r="S407" s="1978">
        <f t="shared" si="802"/>
        <v>600</v>
      </c>
      <c r="T407" s="1978">
        <f t="shared" si="802"/>
        <v>14250</v>
      </c>
      <c r="U407" s="1200">
        <f t="shared" si="802"/>
        <v>12710</v>
      </c>
      <c r="V407" s="1200">
        <f t="shared" si="802"/>
        <v>500</v>
      </c>
      <c r="W407" s="1978">
        <f t="shared" si="802"/>
        <v>13300</v>
      </c>
      <c r="X407" s="1978">
        <f t="shared" si="802"/>
        <v>16890</v>
      </c>
      <c r="Y407" s="1200">
        <f t="shared" si="802"/>
        <v>22680</v>
      </c>
      <c r="Z407" s="1200">
        <f t="shared" si="802"/>
        <v>53062</v>
      </c>
      <c r="AA407" s="1978">
        <f t="shared" si="802"/>
        <v>22680</v>
      </c>
      <c r="AB407" s="1978">
        <f t="shared" si="802"/>
        <v>63416</v>
      </c>
      <c r="AC407" s="1199"/>
      <c r="AD407" s="1199"/>
      <c r="AE407" s="1200">
        <f t="shared" si="802"/>
        <v>0</v>
      </c>
      <c r="AF407" s="1200">
        <f t="shared" si="802"/>
        <v>0</v>
      </c>
      <c r="AG407" s="1978">
        <f t="shared" si="802"/>
        <v>196759</v>
      </c>
      <c r="AH407" s="1978">
        <f t="shared" si="802"/>
        <v>87707</v>
      </c>
      <c r="AI407" s="1200">
        <f t="shared" si="802"/>
        <v>1232768</v>
      </c>
      <c r="AJ407" s="1200">
        <f t="shared" si="802"/>
        <v>0</v>
      </c>
      <c r="AK407" s="1978">
        <f t="shared" si="802"/>
        <v>0</v>
      </c>
      <c r="AL407" s="1978">
        <f t="shared" si="802"/>
        <v>761036</v>
      </c>
      <c r="AM407" s="1200">
        <f t="shared" si="802"/>
        <v>7000</v>
      </c>
      <c r="AN407" s="1978">
        <f t="shared" si="802"/>
        <v>5504</v>
      </c>
      <c r="AO407" s="1200">
        <f t="shared" si="802"/>
        <v>0</v>
      </c>
      <c r="AP407" s="1200">
        <f t="shared" si="802"/>
        <v>0</v>
      </c>
      <c r="AQ407" s="1200">
        <f t="shared" si="802"/>
        <v>0</v>
      </c>
      <c r="AR407" s="1978">
        <f t="shared" si="802"/>
        <v>5968432</v>
      </c>
      <c r="AS407" s="1978">
        <f t="shared" si="802"/>
        <v>712623</v>
      </c>
      <c r="AT407" s="1978">
        <f t="shared" si="802"/>
        <v>266242</v>
      </c>
      <c r="AU407" s="1200">
        <f t="shared" si="802"/>
        <v>0</v>
      </c>
      <c r="AV407" s="1200">
        <f t="shared" si="802"/>
        <v>0</v>
      </c>
      <c r="AW407" s="1978">
        <f t="shared" si="802"/>
        <v>0</v>
      </c>
      <c r="AX407" s="1978">
        <f t="shared" si="802"/>
        <v>0</v>
      </c>
      <c r="AY407" s="1200"/>
      <c r="AZ407" s="1200"/>
      <c r="BA407" s="1200">
        <f t="shared" si="802"/>
        <v>68500</v>
      </c>
      <c r="BB407" s="1200">
        <f t="shared" si="802"/>
        <v>75401</v>
      </c>
      <c r="BC407" s="1978">
        <f t="shared" si="802"/>
        <v>67000</v>
      </c>
      <c r="BD407" s="1978">
        <f t="shared" si="802"/>
        <v>57200</v>
      </c>
      <c r="BE407" s="1200"/>
      <c r="BF407" s="1200"/>
      <c r="BG407" s="1200">
        <f t="shared" si="802"/>
        <v>1121188</v>
      </c>
      <c r="BH407" s="1200">
        <f t="shared" si="802"/>
        <v>0</v>
      </c>
      <c r="BI407" s="1978">
        <f t="shared" si="802"/>
        <v>752333</v>
      </c>
      <c r="BJ407" s="1978">
        <f t="shared" si="802"/>
        <v>355767</v>
      </c>
      <c r="BK407" s="1200">
        <f t="shared" si="802"/>
        <v>58189</v>
      </c>
      <c r="BL407" s="1200">
        <f t="shared" si="802"/>
        <v>1500</v>
      </c>
      <c r="BM407" s="1978">
        <f t="shared" si="802"/>
        <v>114780</v>
      </c>
      <c r="BN407" s="1978">
        <f t="shared" si="802"/>
        <v>2500</v>
      </c>
      <c r="BO407" s="1200">
        <f t="shared" ref="BO407:EB407" si="803">SUM(BO243)</f>
        <v>0</v>
      </c>
      <c r="BP407" s="1978">
        <f t="shared" si="803"/>
        <v>20000</v>
      </c>
      <c r="BQ407" s="1200">
        <f t="shared" si="803"/>
        <v>300</v>
      </c>
      <c r="BR407" s="1978">
        <f t="shared" si="803"/>
        <v>300</v>
      </c>
      <c r="BS407" s="1200">
        <f t="shared" si="803"/>
        <v>144246</v>
      </c>
      <c r="BT407" s="1200">
        <f t="shared" si="803"/>
        <v>2642</v>
      </c>
      <c r="BU407" s="1978">
        <f t="shared" si="803"/>
        <v>167734</v>
      </c>
      <c r="BV407" s="1978">
        <f t="shared" si="803"/>
        <v>2642</v>
      </c>
      <c r="BW407" s="1200">
        <f t="shared" si="803"/>
        <v>15000</v>
      </c>
      <c r="BX407" s="1978">
        <f t="shared" si="803"/>
        <v>10000</v>
      </c>
      <c r="BY407" s="1200">
        <f t="shared" si="803"/>
        <v>0</v>
      </c>
      <c r="BZ407" s="1200">
        <f t="shared" si="803"/>
        <v>0</v>
      </c>
      <c r="CA407" s="1978">
        <f t="shared" si="803"/>
        <v>0</v>
      </c>
      <c r="CB407" s="1978">
        <f t="shared" si="803"/>
        <v>0</v>
      </c>
      <c r="CC407" s="1200">
        <f t="shared" si="803"/>
        <v>19500</v>
      </c>
      <c r="CD407" s="1978">
        <f t="shared" si="803"/>
        <v>3800</v>
      </c>
      <c r="CE407" s="1200"/>
      <c r="CF407" s="1200"/>
      <c r="CG407" s="1200">
        <f t="shared" si="803"/>
        <v>135907</v>
      </c>
      <c r="CH407" s="1200">
        <f t="shared" si="803"/>
        <v>36200</v>
      </c>
      <c r="CI407" s="1978">
        <f t="shared" si="803"/>
        <v>185650</v>
      </c>
      <c r="CJ407" s="1978">
        <f t="shared" si="803"/>
        <v>1200</v>
      </c>
      <c r="CK407" s="1200"/>
      <c r="CL407" s="1200"/>
      <c r="CM407" s="1200">
        <f t="shared" si="803"/>
        <v>0</v>
      </c>
      <c r="CN407" s="1200">
        <f t="shared" si="803"/>
        <v>0</v>
      </c>
      <c r="CO407" s="1978">
        <f t="shared" si="803"/>
        <v>33900</v>
      </c>
      <c r="CP407" s="1978">
        <f t="shared" si="803"/>
        <v>2490597</v>
      </c>
      <c r="CQ407" s="1200">
        <f t="shared" si="803"/>
        <v>0</v>
      </c>
      <c r="CR407" s="1200">
        <f t="shared" si="803"/>
        <v>137489</v>
      </c>
      <c r="CS407" s="1978">
        <f t="shared" si="803"/>
        <v>122060</v>
      </c>
      <c r="CT407" s="1978">
        <f t="shared" si="803"/>
        <v>6144</v>
      </c>
      <c r="CU407" s="1200">
        <f t="shared" si="803"/>
        <v>700570</v>
      </c>
      <c r="CV407" s="1200">
        <f t="shared" si="803"/>
        <v>242997</v>
      </c>
      <c r="CW407" s="1978">
        <f t="shared" si="803"/>
        <v>777184</v>
      </c>
      <c r="CX407" s="1978">
        <f t="shared" si="803"/>
        <v>404551</v>
      </c>
      <c r="CY407" s="1200">
        <f t="shared" si="803"/>
        <v>0</v>
      </c>
      <c r="CZ407" s="1200">
        <f t="shared" si="803"/>
        <v>0</v>
      </c>
      <c r="DA407" s="1978">
        <f t="shared" si="803"/>
        <v>3075091</v>
      </c>
      <c r="DB407" s="1978">
        <f t="shared" si="803"/>
        <v>958654</v>
      </c>
      <c r="DC407" s="1200">
        <f t="shared" si="803"/>
        <v>1000000</v>
      </c>
      <c r="DD407" s="1978">
        <f t="shared" si="803"/>
        <v>300000</v>
      </c>
      <c r="DE407" s="1200">
        <f t="shared" si="803"/>
        <v>42600</v>
      </c>
      <c r="DF407" s="1200">
        <f t="shared" si="803"/>
        <v>221182</v>
      </c>
      <c r="DG407" s="1978">
        <f t="shared" si="803"/>
        <v>33090</v>
      </c>
      <c r="DH407" s="1978">
        <f t="shared" si="803"/>
        <v>227375</v>
      </c>
      <c r="DI407" s="1200"/>
      <c r="DJ407" s="1200"/>
      <c r="DK407" s="1200">
        <f t="shared" ref="DK407:DL407" si="804">SUM(DK243)</f>
        <v>0</v>
      </c>
      <c r="DL407" s="1978">
        <f t="shared" si="804"/>
        <v>1298195</v>
      </c>
      <c r="DM407" s="1200">
        <f t="shared" si="803"/>
        <v>0</v>
      </c>
      <c r="DN407" s="1978">
        <f t="shared" si="803"/>
        <v>193677</v>
      </c>
      <c r="DO407" s="1200">
        <f t="shared" si="803"/>
        <v>0</v>
      </c>
      <c r="DP407" s="1978">
        <f t="shared" si="803"/>
        <v>530493</v>
      </c>
      <c r="DQ407" s="1200"/>
      <c r="DR407" s="1200"/>
      <c r="DS407" s="1200">
        <f t="shared" si="803"/>
        <v>6000</v>
      </c>
      <c r="DT407" s="1200">
        <f t="shared" si="803"/>
        <v>2500</v>
      </c>
      <c r="DU407" s="1978">
        <f t="shared" si="803"/>
        <v>0</v>
      </c>
      <c r="DV407" s="1978">
        <f t="shared" si="803"/>
        <v>12200</v>
      </c>
      <c r="DW407" s="1200"/>
      <c r="DX407" s="1200"/>
      <c r="DY407" s="1200">
        <f t="shared" si="803"/>
        <v>73930</v>
      </c>
      <c r="DZ407" s="1200">
        <f t="shared" si="803"/>
        <v>28638</v>
      </c>
      <c r="EA407" s="1978">
        <f t="shared" si="803"/>
        <v>59930</v>
      </c>
      <c r="EB407" s="1978">
        <f t="shared" si="803"/>
        <v>64200</v>
      </c>
      <c r="EC407" s="1200">
        <f t="shared" ref="EC407:ET407" si="805">SUM(EC243)</f>
        <v>1000</v>
      </c>
      <c r="ED407" s="1978">
        <f t="shared" si="805"/>
        <v>1000</v>
      </c>
      <c r="EE407" s="1200"/>
      <c r="EF407" s="1200"/>
      <c r="EG407" s="1200">
        <f t="shared" si="805"/>
        <v>143716</v>
      </c>
      <c r="EH407" s="1978">
        <f t="shared" si="805"/>
        <v>132644</v>
      </c>
      <c r="EI407" s="1200">
        <f t="shared" si="805"/>
        <v>167997</v>
      </c>
      <c r="EJ407" s="1200">
        <f t="shared" si="805"/>
        <v>800961</v>
      </c>
      <c r="EK407" s="1978">
        <f t="shared" si="805"/>
        <v>161687</v>
      </c>
      <c r="EL407" s="1978">
        <f t="shared" si="805"/>
        <v>677082</v>
      </c>
      <c r="EM407" s="1978">
        <f t="shared" si="805"/>
        <v>11868970</v>
      </c>
      <c r="EN407" s="1978">
        <f t="shared" si="805"/>
        <v>9557003.5999999996</v>
      </c>
      <c r="EO407" s="1978">
        <f t="shared" si="805"/>
        <v>266242</v>
      </c>
      <c r="EP407" s="1978">
        <f t="shared" si="805"/>
        <v>21692215.600000001</v>
      </c>
      <c r="EQ407" s="1200">
        <f t="shared" si="805"/>
        <v>3879193</v>
      </c>
      <c r="ER407" s="1200">
        <f t="shared" si="805"/>
        <v>3040558</v>
      </c>
      <c r="ES407" s="1200">
        <f t="shared" si="805"/>
        <v>0</v>
      </c>
      <c r="ET407" s="1200">
        <f t="shared" si="805"/>
        <v>6919751</v>
      </c>
    </row>
    <row r="408" spans="1:150" x14ac:dyDescent="0.25">
      <c r="B408" s="1198"/>
      <c r="C408" s="1200">
        <f t="shared" ref="C408:BN408" si="806">SUM(C404)</f>
        <v>0</v>
      </c>
      <c r="D408" s="1200">
        <f t="shared" si="806"/>
        <v>0</v>
      </c>
      <c r="E408" s="1978">
        <f t="shared" si="806"/>
        <v>0</v>
      </c>
      <c r="F408" s="1978">
        <f t="shared" si="806"/>
        <v>0</v>
      </c>
      <c r="G408" s="1200">
        <f t="shared" si="806"/>
        <v>0</v>
      </c>
      <c r="H408" s="1978">
        <f t="shared" si="806"/>
        <v>0</v>
      </c>
      <c r="I408" s="1200">
        <f t="shared" si="806"/>
        <v>0</v>
      </c>
      <c r="J408" s="1978">
        <f t="shared" si="806"/>
        <v>0</v>
      </c>
      <c r="K408" s="1200">
        <f t="shared" si="806"/>
        <v>500</v>
      </c>
      <c r="L408" s="1978">
        <f t="shared" si="806"/>
        <v>300</v>
      </c>
      <c r="M408" s="1199"/>
      <c r="N408" s="1199"/>
      <c r="O408" s="1200">
        <f t="shared" si="806"/>
        <v>0</v>
      </c>
      <c r="P408" s="1978">
        <f t="shared" si="806"/>
        <v>0</v>
      </c>
      <c r="Q408" s="1200">
        <f t="shared" si="806"/>
        <v>0</v>
      </c>
      <c r="R408" s="1200">
        <f t="shared" si="806"/>
        <v>0</v>
      </c>
      <c r="S408" s="1978">
        <f t="shared" si="806"/>
        <v>0</v>
      </c>
      <c r="T408" s="1978">
        <f t="shared" si="806"/>
        <v>0</v>
      </c>
      <c r="U408" s="1200">
        <f t="shared" si="806"/>
        <v>5603</v>
      </c>
      <c r="V408" s="1200">
        <f t="shared" si="806"/>
        <v>0</v>
      </c>
      <c r="W408" s="1978">
        <f t="shared" si="806"/>
        <v>5698</v>
      </c>
      <c r="X408" s="1978">
        <f t="shared" si="806"/>
        <v>0</v>
      </c>
      <c r="Y408" s="1200">
        <f t="shared" si="806"/>
        <v>0</v>
      </c>
      <c r="Z408" s="1200">
        <f t="shared" si="806"/>
        <v>0</v>
      </c>
      <c r="AA408" s="1978">
        <f t="shared" si="806"/>
        <v>0</v>
      </c>
      <c r="AB408" s="1978">
        <f t="shared" si="806"/>
        <v>0</v>
      </c>
      <c r="AC408" s="1199"/>
      <c r="AD408" s="1199"/>
      <c r="AE408" s="1200">
        <f t="shared" si="806"/>
        <v>0</v>
      </c>
      <c r="AF408" s="1200">
        <f t="shared" si="806"/>
        <v>0</v>
      </c>
      <c r="AG408" s="1978">
        <f t="shared" si="806"/>
        <v>0</v>
      </c>
      <c r="AH408" s="1978">
        <f t="shared" si="806"/>
        <v>0</v>
      </c>
      <c r="AI408" s="1200">
        <f t="shared" si="806"/>
        <v>0</v>
      </c>
      <c r="AJ408" s="1200">
        <f t="shared" si="806"/>
        <v>0</v>
      </c>
      <c r="AK408" s="1978">
        <f t="shared" si="806"/>
        <v>0</v>
      </c>
      <c r="AL408" s="1978">
        <f t="shared" si="806"/>
        <v>0</v>
      </c>
      <c r="AM408" s="1200">
        <f t="shared" si="806"/>
        <v>7807000</v>
      </c>
      <c r="AN408" s="1978">
        <f t="shared" si="806"/>
        <v>8835936</v>
      </c>
      <c r="AO408" s="1200">
        <f t="shared" si="806"/>
        <v>0</v>
      </c>
      <c r="AP408" s="1200">
        <f t="shared" si="806"/>
        <v>8467</v>
      </c>
      <c r="AQ408" s="1200">
        <f t="shared" si="806"/>
        <v>0</v>
      </c>
      <c r="AR408" s="1978">
        <f t="shared" si="806"/>
        <v>2020372.764</v>
      </c>
      <c r="AS408" s="1978">
        <f t="shared" si="806"/>
        <v>9879</v>
      </c>
      <c r="AT408" s="1978">
        <f t="shared" si="806"/>
        <v>0</v>
      </c>
      <c r="AU408" s="1200">
        <f t="shared" si="806"/>
        <v>0</v>
      </c>
      <c r="AV408" s="1200">
        <f t="shared" si="806"/>
        <v>0</v>
      </c>
      <c r="AW408" s="1978">
        <f t="shared" si="806"/>
        <v>621074</v>
      </c>
      <c r="AX408" s="1978">
        <f t="shared" si="806"/>
        <v>4566684</v>
      </c>
      <c r="AY408" s="1200"/>
      <c r="AZ408" s="1200"/>
      <c r="BA408" s="1200">
        <f t="shared" si="806"/>
        <v>4000</v>
      </c>
      <c r="BB408" s="1200">
        <f t="shared" si="806"/>
        <v>0</v>
      </c>
      <c r="BC408" s="1978">
        <f t="shared" si="806"/>
        <v>4000</v>
      </c>
      <c r="BD408" s="1978">
        <f t="shared" si="806"/>
        <v>0</v>
      </c>
      <c r="BE408" s="1200"/>
      <c r="BF408" s="1200"/>
      <c r="BG408" s="1200">
        <f t="shared" si="806"/>
        <v>1529011</v>
      </c>
      <c r="BH408" s="1200">
        <f t="shared" si="806"/>
        <v>0</v>
      </c>
      <c r="BI408" s="1978">
        <f t="shared" si="806"/>
        <v>1315610</v>
      </c>
      <c r="BJ408" s="1978">
        <f t="shared" si="806"/>
        <v>334000</v>
      </c>
      <c r="BK408" s="1200">
        <f t="shared" si="806"/>
        <v>269000</v>
      </c>
      <c r="BL408" s="1200">
        <f t="shared" si="806"/>
        <v>0</v>
      </c>
      <c r="BM408" s="1978">
        <f t="shared" si="806"/>
        <v>300000</v>
      </c>
      <c r="BN408" s="1978">
        <f t="shared" si="806"/>
        <v>0</v>
      </c>
      <c r="BO408" s="1200">
        <f t="shared" ref="BO408:EB408" si="807">SUM(BO404)</f>
        <v>0</v>
      </c>
      <c r="BP408" s="1978">
        <f t="shared" si="807"/>
        <v>0</v>
      </c>
      <c r="BQ408" s="1200">
        <f t="shared" si="807"/>
        <v>0</v>
      </c>
      <c r="BR408" s="1978">
        <f t="shared" si="807"/>
        <v>0</v>
      </c>
      <c r="BS408" s="1200">
        <f t="shared" si="807"/>
        <v>58944</v>
      </c>
      <c r="BT408" s="1200">
        <f t="shared" si="807"/>
        <v>0</v>
      </c>
      <c r="BU408" s="1978">
        <f t="shared" si="807"/>
        <v>71954</v>
      </c>
      <c r="BV408" s="1978">
        <f t="shared" si="807"/>
        <v>0</v>
      </c>
      <c r="BW408" s="1200">
        <f t="shared" si="807"/>
        <v>0</v>
      </c>
      <c r="BX408" s="1978">
        <f t="shared" si="807"/>
        <v>0</v>
      </c>
      <c r="BY408" s="1200">
        <f t="shared" si="807"/>
        <v>0</v>
      </c>
      <c r="BZ408" s="1200">
        <f t="shared" si="807"/>
        <v>0</v>
      </c>
      <c r="CA408" s="1978">
        <f t="shared" si="807"/>
        <v>0</v>
      </c>
      <c r="CB408" s="1978">
        <f t="shared" si="807"/>
        <v>0</v>
      </c>
      <c r="CC408" s="1200">
        <f t="shared" si="807"/>
        <v>0</v>
      </c>
      <c r="CD408" s="1978">
        <f t="shared" si="807"/>
        <v>0</v>
      </c>
      <c r="CE408" s="1200"/>
      <c r="CF408" s="1200"/>
      <c r="CG408" s="1200">
        <f t="shared" si="807"/>
        <v>1300</v>
      </c>
      <c r="CH408" s="1200">
        <f t="shared" si="807"/>
        <v>0</v>
      </c>
      <c r="CI408" s="1978">
        <f t="shared" si="807"/>
        <v>0</v>
      </c>
      <c r="CJ408" s="1978">
        <f t="shared" si="807"/>
        <v>0</v>
      </c>
      <c r="CK408" s="1200"/>
      <c r="CL408" s="1200"/>
      <c r="CM408" s="1200">
        <f t="shared" si="807"/>
        <v>0</v>
      </c>
      <c r="CN408" s="1200">
        <f t="shared" si="807"/>
        <v>0</v>
      </c>
      <c r="CO408" s="1978">
        <f t="shared" si="807"/>
        <v>86583</v>
      </c>
      <c r="CP408" s="1978">
        <f t="shared" si="807"/>
        <v>59379</v>
      </c>
      <c r="CQ408" s="1200">
        <f t="shared" si="807"/>
        <v>0</v>
      </c>
      <c r="CR408" s="1200">
        <f t="shared" si="807"/>
        <v>20000</v>
      </c>
      <c r="CS408" s="1978">
        <f t="shared" si="807"/>
        <v>25000</v>
      </c>
      <c r="CT408" s="1978">
        <f t="shared" si="807"/>
        <v>0</v>
      </c>
      <c r="CU408" s="1200">
        <f t="shared" si="807"/>
        <v>100000</v>
      </c>
      <c r="CV408" s="1200">
        <f t="shared" si="807"/>
        <v>0</v>
      </c>
      <c r="CW408" s="1978">
        <f t="shared" si="807"/>
        <v>110000</v>
      </c>
      <c r="CX408" s="1978">
        <f t="shared" si="807"/>
        <v>0</v>
      </c>
      <c r="CY408" s="1200">
        <f t="shared" si="807"/>
        <v>0</v>
      </c>
      <c r="CZ408" s="1200">
        <f t="shared" si="807"/>
        <v>0</v>
      </c>
      <c r="DA408" s="1978">
        <f t="shared" si="807"/>
        <v>1940600</v>
      </c>
      <c r="DB408" s="1978">
        <f t="shared" si="807"/>
        <v>858700</v>
      </c>
      <c r="DC408" s="1200">
        <f t="shared" si="807"/>
        <v>240000</v>
      </c>
      <c r="DD408" s="1978">
        <f t="shared" si="807"/>
        <v>350000</v>
      </c>
      <c r="DE408" s="1200">
        <f t="shared" si="807"/>
        <v>0</v>
      </c>
      <c r="DF408" s="1200">
        <f t="shared" si="807"/>
        <v>0</v>
      </c>
      <c r="DG408" s="1978">
        <f t="shared" si="807"/>
        <v>0</v>
      </c>
      <c r="DH408" s="1978">
        <f t="shared" si="807"/>
        <v>0</v>
      </c>
      <c r="DI408" s="1200"/>
      <c r="DJ408" s="1200"/>
      <c r="DK408" s="1200">
        <f t="shared" ref="DK408:DL408" si="808">SUM(DK404)</f>
        <v>0</v>
      </c>
      <c r="DL408" s="1978">
        <f t="shared" si="808"/>
        <v>0</v>
      </c>
      <c r="DM408" s="1200">
        <f t="shared" si="807"/>
        <v>0</v>
      </c>
      <c r="DN408" s="1978">
        <f t="shared" si="807"/>
        <v>0</v>
      </c>
      <c r="DO408" s="1200">
        <f t="shared" si="807"/>
        <v>0</v>
      </c>
      <c r="DP408" s="1978">
        <f t="shared" si="807"/>
        <v>0</v>
      </c>
      <c r="DQ408" s="1200"/>
      <c r="DR408" s="1200"/>
      <c r="DS408" s="1200">
        <f t="shared" si="807"/>
        <v>0</v>
      </c>
      <c r="DT408" s="1200">
        <f t="shared" si="807"/>
        <v>0</v>
      </c>
      <c r="DU408" s="1978">
        <f t="shared" si="807"/>
        <v>0</v>
      </c>
      <c r="DV408" s="1978">
        <f t="shared" si="807"/>
        <v>0</v>
      </c>
      <c r="DW408" s="1200"/>
      <c r="DX408" s="1200"/>
      <c r="DY408" s="1200">
        <f t="shared" si="807"/>
        <v>15000</v>
      </c>
      <c r="DZ408" s="1200">
        <f t="shared" si="807"/>
        <v>0</v>
      </c>
      <c r="EA408" s="1978">
        <f t="shared" si="807"/>
        <v>76446</v>
      </c>
      <c r="EB408" s="1978">
        <f t="shared" si="807"/>
        <v>0</v>
      </c>
      <c r="EC408" s="1200">
        <f t="shared" ref="EC408:ET408" si="809">SUM(EC404)</f>
        <v>0</v>
      </c>
      <c r="ED408" s="1978">
        <f t="shared" si="809"/>
        <v>0</v>
      </c>
      <c r="EE408" s="1200"/>
      <c r="EF408" s="1200"/>
      <c r="EG408" s="1200">
        <f t="shared" si="809"/>
        <v>0</v>
      </c>
      <c r="EH408" s="1978">
        <f t="shared" si="809"/>
        <v>0</v>
      </c>
      <c r="EI408" s="1200">
        <f t="shared" si="809"/>
        <v>0</v>
      </c>
      <c r="EJ408" s="1200">
        <f t="shared" si="809"/>
        <v>35000</v>
      </c>
      <c r="EK408" s="1978">
        <f t="shared" si="809"/>
        <v>0</v>
      </c>
      <c r="EL408" s="1978">
        <f t="shared" si="809"/>
        <v>100000</v>
      </c>
      <c r="EM408" s="1978">
        <f t="shared" si="809"/>
        <v>15413273.764</v>
      </c>
      <c r="EN408" s="1978">
        <f t="shared" si="809"/>
        <v>6278942</v>
      </c>
      <c r="EO408" s="1978">
        <f t="shared" si="809"/>
        <v>0</v>
      </c>
      <c r="EP408" s="1978">
        <f t="shared" si="809"/>
        <v>21692215.763999999</v>
      </c>
      <c r="EQ408" s="1200">
        <f t="shared" si="809"/>
        <v>9789858</v>
      </c>
      <c r="ER408" s="1200">
        <f t="shared" si="809"/>
        <v>303967</v>
      </c>
      <c r="ES408" s="1200">
        <f t="shared" si="809"/>
        <v>0</v>
      </c>
      <c r="ET408" s="1200">
        <f t="shared" si="809"/>
        <v>10093825</v>
      </c>
    </row>
    <row r="409" spans="1:150" x14ac:dyDescent="0.25">
      <c r="B409" s="1198"/>
      <c r="C409" s="1201"/>
      <c r="D409" s="1201"/>
      <c r="E409" s="1979"/>
      <c r="F409" s="1979"/>
      <c r="G409" s="1201"/>
      <c r="H409" s="1979"/>
      <c r="I409" s="1201"/>
      <c r="J409" s="1979"/>
      <c r="K409" s="1201"/>
      <c r="L409" s="1979"/>
      <c r="M409" s="1198"/>
      <c r="N409" s="1198"/>
      <c r="O409" s="1201"/>
      <c r="P409" s="1979"/>
      <c r="Q409" s="1201"/>
      <c r="R409" s="1201"/>
      <c r="S409" s="1979"/>
      <c r="T409" s="1979"/>
      <c r="U409" s="1201"/>
      <c r="V409" s="1201"/>
      <c r="W409" s="1979"/>
      <c r="X409" s="1979"/>
      <c r="Y409" s="1201"/>
      <c r="Z409" s="1201"/>
      <c r="AA409" s="1979"/>
      <c r="AB409" s="1979"/>
      <c r="AC409" s="1198"/>
      <c r="AD409" s="1198"/>
      <c r="AE409" s="1201"/>
      <c r="AF409" s="1201"/>
      <c r="AG409" s="1979"/>
      <c r="AH409" s="1979"/>
      <c r="AI409" s="1201"/>
      <c r="AJ409" s="1201"/>
      <c r="AK409" s="1979"/>
      <c r="AL409" s="1979"/>
      <c r="AM409" s="1201"/>
      <c r="AN409" s="1979"/>
      <c r="AO409" s="1201"/>
      <c r="AP409" s="1201"/>
      <c r="AQ409" s="1201"/>
      <c r="AR409" s="1979"/>
      <c r="AS409" s="1979"/>
      <c r="AT409" s="1979"/>
      <c r="AU409" s="1201"/>
      <c r="AV409" s="1201"/>
      <c r="AW409" s="1979"/>
      <c r="AX409" s="1979"/>
      <c r="AY409" s="1201"/>
      <c r="AZ409" s="1201"/>
      <c r="BA409" s="1201"/>
      <c r="BB409" s="1201"/>
      <c r="BC409" s="1979"/>
      <c r="BD409" s="1979"/>
      <c r="BE409" s="1201"/>
      <c r="BF409" s="1201"/>
      <c r="BG409" s="1201"/>
      <c r="BH409" s="1201"/>
      <c r="BI409" s="1979"/>
      <c r="BJ409" s="1979"/>
      <c r="BK409" s="1201"/>
      <c r="BL409" s="1201"/>
      <c r="BM409" s="1979"/>
      <c r="BN409" s="1979"/>
      <c r="BO409" s="1201"/>
      <c r="BP409" s="1979"/>
      <c r="BQ409" s="1201"/>
      <c r="BR409" s="1979"/>
      <c r="BS409" s="1201"/>
      <c r="BT409" s="1201"/>
      <c r="BU409" s="1979"/>
      <c r="BV409" s="1979"/>
      <c r="BW409" s="1201"/>
      <c r="BX409" s="1979"/>
      <c r="BY409" s="1201"/>
      <c r="BZ409" s="1201"/>
      <c r="CA409" s="1979"/>
      <c r="CB409" s="1979"/>
      <c r="CC409" s="1201"/>
      <c r="CD409" s="1979"/>
      <c r="CE409" s="1201"/>
      <c r="CF409" s="1201"/>
      <c r="CG409" s="1201"/>
      <c r="CH409" s="1201"/>
      <c r="CI409" s="1979"/>
      <c r="CJ409" s="1979"/>
      <c r="CK409" s="1201"/>
      <c r="CL409" s="1201"/>
      <c r="CM409" s="1201"/>
      <c r="CN409" s="1201"/>
      <c r="CO409" s="1979"/>
      <c r="CP409" s="1979"/>
      <c r="CQ409" s="1201"/>
      <c r="CR409" s="1201"/>
      <c r="CS409" s="1979"/>
      <c r="CT409" s="1979"/>
      <c r="CU409" s="1201"/>
      <c r="CV409" s="1201"/>
      <c r="CW409" s="1979"/>
      <c r="CX409" s="1979"/>
      <c r="CY409" s="1201"/>
      <c r="CZ409" s="1201"/>
      <c r="DA409" s="1979"/>
      <c r="DB409" s="1979"/>
      <c r="DC409" s="1201"/>
      <c r="DD409" s="1979"/>
      <c r="DE409" s="1201"/>
      <c r="DF409" s="1201"/>
      <c r="DG409" s="1979"/>
      <c r="DH409" s="1979"/>
      <c r="DI409" s="1201"/>
      <c r="DJ409" s="1201"/>
      <c r="DK409" s="1201"/>
      <c r="DL409" s="1979"/>
      <c r="DM409" s="1201"/>
      <c r="DN409" s="1979"/>
      <c r="DO409" s="1201"/>
      <c r="DP409" s="1979"/>
      <c r="DQ409" s="1201"/>
      <c r="DR409" s="1201"/>
      <c r="DS409" s="1201"/>
      <c r="DT409" s="1201"/>
      <c r="DU409" s="1979"/>
      <c r="DV409" s="1979"/>
      <c r="DW409" s="1201"/>
      <c r="DX409" s="1201"/>
      <c r="DY409" s="1201"/>
      <c r="DZ409" s="1201"/>
      <c r="EA409" s="1979"/>
      <c r="EB409" s="1979"/>
      <c r="EC409" s="1201"/>
      <c r="ED409" s="1979"/>
      <c r="EE409" s="1201"/>
      <c r="EF409" s="1201"/>
      <c r="EG409" s="1201"/>
      <c r="EH409" s="1979"/>
      <c r="EI409" s="1201"/>
      <c r="EJ409" s="1201"/>
      <c r="EK409" s="1979"/>
      <c r="EL409" s="1979"/>
      <c r="EM409" s="1979"/>
      <c r="EN409" s="1979"/>
      <c r="EO409" s="1979"/>
      <c r="EP409" s="1979"/>
      <c r="EQ409" s="1201"/>
      <c r="ER409" s="1201"/>
      <c r="ES409" s="1201"/>
      <c r="ET409" s="1201"/>
    </row>
    <row r="410" spans="1:150" s="1204" customFormat="1" ht="15" customHeight="1" x14ac:dyDescent="0.25">
      <c r="A410" s="1202"/>
      <c r="B410" s="1202"/>
      <c r="C410" s="1203">
        <f t="shared" ref="C410:BN410" si="810">SUM(C243-C404)</f>
        <v>63908</v>
      </c>
      <c r="D410" s="1203">
        <f t="shared" si="810"/>
        <v>103107</v>
      </c>
      <c r="E410" s="1980">
        <f t="shared" si="810"/>
        <v>62256</v>
      </c>
      <c r="F410" s="1980">
        <f t="shared" si="810"/>
        <v>144607</v>
      </c>
      <c r="G410" s="1203">
        <f t="shared" si="810"/>
        <v>0</v>
      </c>
      <c r="H410" s="1980">
        <f t="shared" si="810"/>
        <v>0</v>
      </c>
      <c r="I410" s="1203">
        <f t="shared" si="810"/>
        <v>3353</v>
      </c>
      <c r="J410" s="1980">
        <f t="shared" si="810"/>
        <v>3353</v>
      </c>
      <c r="K410" s="1203">
        <f t="shared" si="810"/>
        <v>6332</v>
      </c>
      <c r="L410" s="1980">
        <f t="shared" si="810"/>
        <v>21885.599999999999</v>
      </c>
      <c r="M410" s="1202"/>
      <c r="N410" s="1202"/>
      <c r="O410" s="1203">
        <f t="shared" si="810"/>
        <v>160628</v>
      </c>
      <c r="P410" s="1980">
        <f t="shared" si="810"/>
        <v>29715</v>
      </c>
      <c r="Q410" s="1203">
        <f t="shared" si="810"/>
        <v>1200</v>
      </c>
      <c r="R410" s="1203">
        <f t="shared" si="810"/>
        <v>3850</v>
      </c>
      <c r="S410" s="1980">
        <f t="shared" si="810"/>
        <v>600</v>
      </c>
      <c r="T410" s="1980">
        <f t="shared" si="810"/>
        <v>14250</v>
      </c>
      <c r="U410" s="1203">
        <f t="shared" si="810"/>
        <v>7107</v>
      </c>
      <c r="V410" s="1203">
        <f t="shared" si="810"/>
        <v>500</v>
      </c>
      <c r="W410" s="1980">
        <f t="shared" si="810"/>
        <v>7602</v>
      </c>
      <c r="X410" s="1980">
        <f t="shared" si="810"/>
        <v>16890</v>
      </c>
      <c r="Y410" s="1203">
        <f t="shared" si="810"/>
        <v>22680</v>
      </c>
      <c r="Z410" s="1203">
        <f t="shared" si="810"/>
        <v>53062</v>
      </c>
      <c r="AA410" s="1980">
        <f t="shared" si="810"/>
        <v>22680</v>
      </c>
      <c r="AB410" s="1980">
        <f t="shared" si="810"/>
        <v>63416</v>
      </c>
      <c r="AC410" s="1202"/>
      <c r="AD410" s="1202"/>
      <c r="AE410" s="1203">
        <f t="shared" si="810"/>
        <v>0</v>
      </c>
      <c r="AF410" s="1203">
        <f t="shared" si="810"/>
        <v>0</v>
      </c>
      <c r="AG410" s="1980">
        <f t="shared" si="810"/>
        <v>196759</v>
      </c>
      <c r="AH410" s="1980">
        <f t="shared" si="810"/>
        <v>87707</v>
      </c>
      <c r="AI410" s="1203">
        <f t="shared" si="810"/>
        <v>1232768</v>
      </c>
      <c r="AJ410" s="1203">
        <f t="shared" si="810"/>
        <v>0</v>
      </c>
      <c r="AK410" s="1980">
        <f t="shared" si="810"/>
        <v>0</v>
      </c>
      <c r="AL410" s="1980">
        <f t="shared" si="810"/>
        <v>761036</v>
      </c>
      <c r="AM410" s="1203">
        <f t="shared" si="810"/>
        <v>-7800000</v>
      </c>
      <c r="AN410" s="1980">
        <f t="shared" si="810"/>
        <v>-8830432</v>
      </c>
      <c r="AO410" s="1203">
        <f t="shared" si="810"/>
        <v>0</v>
      </c>
      <c r="AP410" s="1203">
        <f t="shared" si="810"/>
        <v>-8467</v>
      </c>
      <c r="AQ410" s="1203">
        <f t="shared" si="810"/>
        <v>0</v>
      </c>
      <c r="AR410" s="1980">
        <f t="shared" si="810"/>
        <v>3948059.236</v>
      </c>
      <c r="AS410" s="1980">
        <f t="shared" si="810"/>
        <v>702744</v>
      </c>
      <c r="AT410" s="1980">
        <f t="shared" si="810"/>
        <v>266242</v>
      </c>
      <c r="AU410" s="1203">
        <f t="shared" si="810"/>
        <v>0</v>
      </c>
      <c r="AV410" s="1203">
        <f t="shared" si="810"/>
        <v>0</v>
      </c>
      <c r="AW410" s="1980">
        <f t="shared" si="810"/>
        <v>-621074</v>
      </c>
      <c r="AX410" s="1980">
        <f t="shared" si="810"/>
        <v>-4566684</v>
      </c>
      <c r="AY410" s="1203"/>
      <c r="AZ410" s="1203"/>
      <c r="BA410" s="1203">
        <f t="shared" si="810"/>
        <v>64500</v>
      </c>
      <c r="BB410" s="1203">
        <f t="shared" si="810"/>
        <v>75401</v>
      </c>
      <c r="BC410" s="1980">
        <f t="shared" si="810"/>
        <v>63000</v>
      </c>
      <c r="BD410" s="1980">
        <f t="shared" si="810"/>
        <v>57200</v>
      </c>
      <c r="BE410" s="1203"/>
      <c r="BF410" s="1203"/>
      <c r="BG410" s="1203">
        <f t="shared" si="810"/>
        <v>-407823</v>
      </c>
      <c r="BH410" s="1203">
        <f t="shared" si="810"/>
        <v>0</v>
      </c>
      <c r="BI410" s="1980">
        <f t="shared" si="810"/>
        <v>-563277</v>
      </c>
      <c r="BJ410" s="1980">
        <f t="shared" si="810"/>
        <v>21767</v>
      </c>
      <c r="BK410" s="1203">
        <f t="shared" si="810"/>
        <v>-210811</v>
      </c>
      <c r="BL410" s="1203">
        <f t="shared" si="810"/>
        <v>1500</v>
      </c>
      <c r="BM410" s="1980">
        <f t="shared" si="810"/>
        <v>-185220</v>
      </c>
      <c r="BN410" s="1980">
        <f t="shared" si="810"/>
        <v>2500</v>
      </c>
      <c r="BO410" s="1203">
        <f t="shared" ref="BO410:EB410" si="811">SUM(BO243-BO404)</f>
        <v>0</v>
      </c>
      <c r="BP410" s="1980">
        <f t="shared" si="811"/>
        <v>20000</v>
      </c>
      <c r="BQ410" s="1203">
        <f t="shared" si="811"/>
        <v>300</v>
      </c>
      <c r="BR410" s="1980">
        <f t="shared" si="811"/>
        <v>300</v>
      </c>
      <c r="BS410" s="1203">
        <f t="shared" si="811"/>
        <v>85302</v>
      </c>
      <c r="BT410" s="1203">
        <f t="shared" si="811"/>
        <v>2642</v>
      </c>
      <c r="BU410" s="1980">
        <f t="shared" si="811"/>
        <v>95780</v>
      </c>
      <c r="BV410" s="1980">
        <f t="shared" si="811"/>
        <v>2642</v>
      </c>
      <c r="BW410" s="1203">
        <f t="shared" si="811"/>
        <v>15000</v>
      </c>
      <c r="BX410" s="1980">
        <f t="shared" si="811"/>
        <v>10000</v>
      </c>
      <c r="BY410" s="1203">
        <f t="shared" si="811"/>
        <v>0</v>
      </c>
      <c r="BZ410" s="1203">
        <f t="shared" si="811"/>
        <v>0</v>
      </c>
      <c r="CA410" s="1980">
        <f t="shared" si="811"/>
        <v>0</v>
      </c>
      <c r="CB410" s="1980">
        <f t="shared" si="811"/>
        <v>0</v>
      </c>
      <c r="CC410" s="1203">
        <f t="shared" si="811"/>
        <v>19500</v>
      </c>
      <c r="CD410" s="1980">
        <f t="shared" si="811"/>
        <v>3800</v>
      </c>
      <c r="CE410" s="1203"/>
      <c r="CF410" s="1203"/>
      <c r="CG410" s="1203">
        <f t="shared" si="811"/>
        <v>134607</v>
      </c>
      <c r="CH410" s="1203">
        <f t="shared" si="811"/>
        <v>36200</v>
      </c>
      <c r="CI410" s="1980">
        <f t="shared" si="811"/>
        <v>185650</v>
      </c>
      <c r="CJ410" s="1980">
        <f t="shared" si="811"/>
        <v>1200</v>
      </c>
      <c r="CK410" s="1203"/>
      <c r="CL410" s="1203"/>
      <c r="CM410" s="1203">
        <f t="shared" si="811"/>
        <v>0</v>
      </c>
      <c r="CN410" s="1203">
        <f t="shared" si="811"/>
        <v>0</v>
      </c>
      <c r="CO410" s="1980">
        <f t="shared" si="811"/>
        <v>-52683</v>
      </c>
      <c r="CP410" s="1980">
        <f t="shared" si="811"/>
        <v>2431218</v>
      </c>
      <c r="CQ410" s="1203">
        <f t="shared" si="811"/>
        <v>0</v>
      </c>
      <c r="CR410" s="1203">
        <f t="shared" si="811"/>
        <v>117489</v>
      </c>
      <c r="CS410" s="1980">
        <f t="shared" si="811"/>
        <v>97060</v>
      </c>
      <c r="CT410" s="1980">
        <f t="shared" si="811"/>
        <v>6144</v>
      </c>
      <c r="CU410" s="1203">
        <f t="shared" si="811"/>
        <v>600570</v>
      </c>
      <c r="CV410" s="1203">
        <f t="shared" si="811"/>
        <v>242997</v>
      </c>
      <c r="CW410" s="1980">
        <f t="shared" si="811"/>
        <v>667184</v>
      </c>
      <c r="CX410" s="1980">
        <f t="shared" si="811"/>
        <v>404551</v>
      </c>
      <c r="CY410" s="1203">
        <f t="shared" si="811"/>
        <v>0</v>
      </c>
      <c r="CZ410" s="1203">
        <f t="shared" si="811"/>
        <v>0</v>
      </c>
      <c r="DA410" s="1980">
        <f t="shared" si="811"/>
        <v>1134491</v>
      </c>
      <c r="DB410" s="1980">
        <f t="shared" si="811"/>
        <v>99954</v>
      </c>
      <c r="DC410" s="1203">
        <f t="shared" si="811"/>
        <v>760000</v>
      </c>
      <c r="DD410" s="1980">
        <f t="shared" si="811"/>
        <v>-50000</v>
      </c>
      <c r="DE410" s="1203">
        <f t="shared" si="811"/>
        <v>42600</v>
      </c>
      <c r="DF410" s="1203">
        <f t="shared" si="811"/>
        <v>221182</v>
      </c>
      <c r="DG410" s="1980">
        <f t="shared" si="811"/>
        <v>33090</v>
      </c>
      <c r="DH410" s="1980">
        <f t="shared" si="811"/>
        <v>227375</v>
      </c>
      <c r="DI410" s="1203"/>
      <c r="DJ410" s="1203"/>
      <c r="DK410" s="1203">
        <f t="shared" ref="DK410:DL410" si="812">SUM(DK243-DK404)</f>
        <v>0</v>
      </c>
      <c r="DL410" s="1980">
        <f t="shared" si="812"/>
        <v>1298195</v>
      </c>
      <c r="DM410" s="1203">
        <f t="shared" si="811"/>
        <v>0</v>
      </c>
      <c r="DN410" s="1980">
        <f t="shared" si="811"/>
        <v>193677</v>
      </c>
      <c r="DO410" s="1203">
        <f t="shared" si="811"/>
        <v>0</v>
      </c>
      <c r="DP410" s="1980">
        <f t="shared" si="811"/>
        <v>530493</v>
      </c>
      <c r="DQ410" s="1203"/>
      <c r="DR410" s="1203"/>
      <c r="DS410" s="1203">
        <f t="shared" si="811"/>
        <v>6000</v>
      </c>
      <c r="DT410" s="1203">
        <f t="shared" si="811"/>
        <v>2500</v>
      </c>
      <c r="DU410" s="1980">
        <f t="shared" si="811"/>
        <v>0</v>
      </c>
      <c r="DV410" s="1980">
        <f t="shared" si="811"/>
        <v>12200</v>
      </c>
      <c r="DW410" s="1203"/>
      <c r="DX410" s="1203"/>
      <c r="DY410" s="1203">
        <f t="shared" si="811"/>
        <v>58930</v>
      </c>
      <c r="DZ410" s="1203">
        <f t="shared" si="811"/>
        <v>28638</v>
      </c>
      <c r="EA410" s="1980">
        <f t="shared" si="811"/>
        <v>-16516</v>
      </c>
      <c r="EB410" s="1980">
        <f t="shared" si="811"/>
        <v>64200</v>
      </c>
      <c r="EC410" s="1203">
        <f t="shared" ref="EC410:ET410" si="813">SUM(EC243-EC404)</f>
        <v>1000</v>
      </c>
      <c r="ED410" s="1980">
        <f t="shared" si="813"/>
        <v>1000</v>
      </c>
      <c r="EE410" s="1203"/>
      <c r="EF410" s="1203"/>
      <c r="EG410" s="1203">
        <f t="shared" si="813"/>
        <v>143716</v>
      </c>
      <c r="EH410" s="1980">
        <f t="shared" si="813"/>
        <v>132644</v>
      </c>
      <c r="EI410" s="1203">
        <f t="shared" si="813"/>
        <v>167997</v>
      </c>
      <c r="EJ410" s="1203">
        <f t="shared" si="813"/>
        <v>765961</v>
      </c>
      <c r="EK410" s="1980">
        <f t="shared" si="813"/>
        <v>161687</v>
      </c>
      <c r="EL410" s="1980">
        <f t="shared" si="813"/>
        <v>577082</v>
      </c>
      <c r="EM410" s="1980">
        <f t="shared" si="813"/>
        <v>-3544303.7640000004</v>
      </c>
      <c r="EN410" s="1980">
        <f t="shared" si="813"/>
        <v>3278061.5999999996</v>
      </c>
      <c r="EO410" s="1980">
        <f t="shared" si="813"/>
        <v>266242</v>
      </c>
      <c r="EP410" s="1980">
        <f t="shared" si="813"/>
        <v>-0.16399999707937241</v>
      </c>
      <c r="EQ410" s="1203">
        <f t="shared" si="813"/>
        <v>-5910665</v>
      </c>
      <c r="ER410" s="1203">
        <f t="shared" si="813"/>
        <v>2736591</v>
      </c>
      <c r="ES410" s="1203">
        <f t="shared" si="813"/>
        <v>0</v>
      </c>
      <c r="ET410" s="1203">
        <f t="shared" si="813"/>
        <v>-3174074</v>
      </c>
    </row>
    <row r="411" spans="1:150" x14ac:dyDescent="0.25">
      <c r="B411" s="1198"/>
      <c r="C411" s="1201"/>
      <c r="D411" s="1201"/>
      <c r="E411" s="1201"/>
      <c r="F411" s="1201"/>
      <c r="G411" s="1201"/>
      <c r="H411" s="1201"/>
      <c r="I411" s="1201"/>
      <c r="J411" s="1201"/>
      <c r="K411" s="1201"/>
      <c r="L411" s="1201"/>
      <c r="N411" s="1198"/>
      <c r="O411" s="1201"/>
      <c r="P411" s="1201"/>
      <c r="Q411" s="1201"/>
      <c r="R411" s="1201"/>
      <c r="S411" s="1201"/>
      <c r="T411" s="1201"/>
      <c r="U411" s="1201"/>
      <c r="V411" s="1201"/>
      <c r="W411" s="1201"/>
      <c r="X411" s="1201"/>
      <c r="Y411" s="1201"/>
      <c r="Z411" s="1201"/>
      <c r="AA411" s="1201"/>
      <c r="AB411" s="1201"/>
      <c r="AD411" s="1198"/>
      <c r="AE411" s="1201"/>
      <c r="AF411" s="1201"/>
      <c r="AG411" s="1201"/>
      <c r="AH411" s="1201"/>
      <c r="AI411" s="1201"/>
      <c r="AJ411" s="1201"/>
      <c r="AK411" s="1201"/>
      <c r="AL411" s="1201"/>
      <c r="AM411" s="1201"/>
      <c r="AN411" s="1201"/>
      <c r="AO411" s="1201"/>
      <c r="AP411" s="1201"/>
      <c r="AQ411" s="1201"/>
      <c r="AR411" s="1201"/>
      <c r="AS411" s="1201"/>
      <c r="AT411" s="1201"/>
      <c r="AU411" s="1201"/>
      <c r="AV411" s="1201"/>
      <c r="AW411" s="1201"/>
      <c r="AX411" s="1201"/>
      <c r="AZ411" s="1198"/>
      <c r="BA411" s="1201"/>
      <c r="BB411" s="1201"/>
      <c r="BC411" s="1201"/>
      <c r="BD411" s="1201"/>
      <c r="BF411" s="1198"/>
      <c r="BG411" s="1201"/>
      <c r="BH411" s="1201"/>
      <c r="BI411" s="1201"/>
      <c r="BJ411" s="1201"/>
      <c r="BK411" s="1201"/>
      <c r="BL411" s="1201"/>
      <c r="BM411" s="1201"/>
      <c r="BN411" s="1201"/>
      <c r="BO411" s="1201"/>
      <c r="BP411" s="1201"/>
      <c r="BQ411" s="1201"/>
      <c r="BR411" s="1201"/>
      <c r="BS411" s="1201"/>
      <c r="BT411" s="1201"/>
      <c r="BU411" s="1201"/>
      <c r="BV411" s="1201"/>
      <c r="BW411" s="1201"/>
      <c r="BX411" s="1201"/>
      <c r="BY411" s="1201"/>
      <c r="BZ411" s="1201"/>
      <c r="CA411" s="1201"/>
      <c r="CB411" s="1201"/>
      <c r="CC411" s="1201"/>
      <c r="CD411" s="1201"/>
      <c r="CG411" s="1201"/>
      <c r="CH411" s="1201"/>
      <c r="CI411" s="1201"/>
      <c r="CJ411" s="1201"/>
      <c r="CL411" s="1198"/>
      <c r="CM411" s="1201"/>
      <c r="CN411" s="1201"/>
      <c r="CO411" s="1201"/>
      <c r="CP411" s="1201"/>
      <c r="CQ411" s="1201"/>
      <c r="CR411" s="1201"/>
      <c r="CS411" s="1201"/>
      <c r="CT411" s="1201"/>
      <c r="CU411" s="1201"/>
      <c r="CV411" s="1201"/>
      <c r="CW411" s="1201"/>
      <c r="CX411" s="1201"/>
      <c r="CY411" s="1201"/>
      <c r="CZ411" s="1201"/>
      <c r="DA411" s="1201"/>
      <c r="DB411" s="1201"/>
      <c r="DC411" s="1201"/>
      <c r="DD411" s="1201"/>
      <c r="DE411" s="1201"/>
      <c r="DF411" s="1201"/>
      <c r="DG411" s="1201"/>
      <c r="DH411" s="1201"/>
      <c r="DM411" s="1201"/>
      <c r="DN411" s="1201"/>
      <c r="DO411" s="1201"/>
      <c r="DP411" s="1201"/>
      <c r="DR411" s="1198"/>
      <c r="DS411" s="1201"/>
      <c r="DT411" s="1201"/>
      <c r="DU411" s="1201"/>
      <c r="DV411" s="1201"/>
      <c r="DX411" s="1198"/>
      <c r="DY411" s="1201"/>
      <c r="DZ411" s="1201"/>
      <c r="EA411" s="1201"/>
      <c r="EB411" s="1201"/>
      <c r="EC411" s="1201"/>
      <c r="ED411" s="1201"/>
      <c r="EF411" s="1198"/>
      <c r="EG411" s="1201"/>
      <c r="EH411" s="1201"/>
      <c r="EI411" s="1201"/>
      <c r="EJ411" s="1201"/>
      <c r="EK411" s="1201"/>
      <c r="EL411" s="1201"/>
      <c r="EM411" s="1201"/>
      <c r="EN411" s="1201"/>
      <c r="EO411" s="1201"/>
      <c r="EP411" s="1201"/>
      <c r="EQ411" s="1201"/>
      <c r="ER411" s="1833"/>
      <c r="ES411" s="1201"/>
      <c r="ET411" s="1201"/>
    </row>
    <row r="785" spans="1:150" x14ac:dyDescent="0.25">
      <c r="A785" s="1206"/>
      <c r="B785" s="1206"/>
      <c r="C785" s="1207"/>
      <c r="D785" s="1207"/>
      <c r="E785" s="1207"/>
      <c r="F785" s="1207"/>
      <c r="Q785" s="1207"/>
      <c r="R785" s="1207"/>
      <c r="S785" s="1207"/>
      <c r="T785" s="1207"/>
      <c r="U785" s="1207"/>
      <c r="V785" s="1207"/>
      <c r="W785" s="1207"/>
      <c r="X785" s="1207"/>
      <c r="Y785" s="1207"/>
      <c r="Z785" s="1207"/>
      <c r="AA785" s="1207"/>
      <c r="AB785" s="1207"/>
      <c r="AE785" s="1207"/>
      <c r="AF785" s="1207"/>
      <c r="AG785" s="1207"/>
      <c r="AH785" s="1207"/>
      <c r="AI785" s="1207"/>
      <c r="AJ785" s="1207"/>
      <c r="AK785" s="1207"/>
      <c r="AL785" s="1207"/>
      <c r="AU785" s="1207"/>
      <c r="AV785" s="1207"/>
      <c r="AW785" s="1207"/>
      <c r="AX785" s="1207"/>
      <c r="BA785" s="1207"/>
      <c r="BB785" s="1207"/>
      <c r="BC785" s="1207"/>
      <c r="BD785" s="1207"/>
      <c r="BG785" s="1207"/>
      <c r="BH785" s="1207"/>
      <c r="BI785" s="1207"/>
      <c r="BJ785" s="1207"/>
      <c r="BK785" s="1207"/>
      <c r="BL785" s="1207"/>
      <c r="BM785" s="1207"/>
      <c r="BN785" s="1207"/>
      <c r="BS785" s="1207"/>
      <c r="BT785" s="1207"/>
      <c r="BU785" s="1207"/>
      <c r="BV785" s="1207"/>
      <c r="BY785" s="1207"/>
      <c r="BZ785" s="1207"/>
      <c r="CA785" s="1207"/>
      <c r="CB785" s="1207"/>
      <c r="CG785" s="1207"/>
      <c r="CH785" s="1207"/>
      <c r="CI785" s="1207"/>
      <c r="CJ785" s="1207"/>
      <c r="CM785" s="1207"/>
      <c r="CN785" s="1207"/>
      <c r="CO785" s="1207"/>
      <c r="CP785" s="1207"/>
      <c r="CQ785" s="1207"/>
      <c r="CR785" s="1207"/>
      <c r="CS785" s="1207"/>
      <c r="CT785" s="1207"/>
      <c r="CU785" s="1207"/>
      <c r="CV785" s="1207"/>
      <c r="CW785" s="1207"/>
      <c r="CX785" s="1207"/>
      <c r="CY785" s="1207"/>
      <c r="CZ785" s="1207"/>
      <c r="DA785" s="1207"/>
      <c r="DB785" s="1207"/>
      <c r="DE785" s="1207"/>
      <c r="DF785" s="1207"/>
      <c r="DG785" s="1207"/>
      <c r="DH785" s="1207"/>
      <c r="DS785" s="1207"/>
      <c r="DT785" s="1207"/>
      <c r="DU785" s="1207"/>
      <c r="DV785" s="1207"/>
      <c r="DY785" s="1207"/>
      <c r="DZ785" s="1207"/>
      <c r="EA785" s="1207"/>
      <c r="EB785" s="1207"/>
      <c r="EI785" s="1207"/>
      <c r="EJ785" s="1207"/>
      <c r="EK785" s="1207"/>
      <c r="EL785" s="1207"/>
      <c r="EM785" s="107"/>
      <c r="EN785" s="107"/>
      <c r="EO785" s="107"/>
      <c r="EP785" s="107"/>
      <c r="EQ785" s="368"/>
      <c r="ER785" s="368"/>
      <c r="ES785" s="368"/>
      <c r="ET785" s="368"/>
    </row>
    <row r="786" spans="1:150" x14ac:dyDescent="0.25">
      <c r="A786" s="1206"/>
      <c r="B786" s="1206"/>
      <c r="C786" s="1207"/>
      <c r="D786" s="1207"/>
      <c r="E786" s="1207"/>
      <c r="F786" s="1207"/>
      <c r="Q786" s="1207"/>
      <c r="R786" s="1207"/>
      <c r="S786" s="1207"/>
      <c r="T786" s="1207"/>
      <c r="U786" s="1207"/>
      <c r="V786" s="1207"/>
      <c r="W786" s="1207"/>
      <c r="X786" s="1207"/>
      <c r="Y786" s="1207"/>
      <c r="Z786" s="1207"/>
      <c r="AA786" s="1207"/>
      <c r="AB786" s="1207"/>
      <c r="AE786" s="1207"/>
      <c r="AF786" s="1207"/>
      <c r="AG786" s="1207"/>
      <c r="AH786" s="1207"/>
      <c r="AI786" s="1207"/>
      <c r="AJ786" s="1207"/>
      <c r="AK786" s="1207"/>
      <c r="AL786" s="1207"/>
      <c r="AU786" s="1207"/>
      <c r="AV786" s="1207"/>
      <c r="AW786" s="1207"/>
      <c r="AX786" s="1207"/>
      <c r="BA786" s="1207"/>
      <c r="BB786" s="1207"/>
      <c r="BC786" s="1207"/>
      <c r="BD786" s="1207"/>
      <c r="BG786" s="1207"/>
      <c r="BH786" s="1207"/>
      <c r="BI786" s="1207"/>
      <c r="BJ786" s="1207"/>
      <c r="BK786" s="1207"/>
      <c r="BL786" s="1207"/>
      <c r="BM786" s="1207"/>
      <c r="BN786" s="1207"/>
      <c r="BS786" s="1207"/>
      <c r="BT786" s="1207"/>
      <c r="BU786" s="1207"/>
      <c r="BV786" s="1207"/>
      <c r="BY786" s="1207"/>
      <c r="BZ786" s="1207"/>
      <c r="CA786" s="1207"/>
      <c r="CB786" s="1207"/>
      <c r="CG786" s="1207"/>
      <c r="CH786" s="1207"/>
      <c r="CI786" s="1207"/>
      <c r="CJ786" s="1207"/>
      <c r="CM786" s="1207"/>
      <c r="CN786" s="1207"/>
      <c r="CO786" s="1207"/>
      <c r="CP786" s="1207"/>
      <c r="CQ786" s="1207"/>
      <c r="CR786" s="1207"/>
      <c r="CS786" s="1207"/>
      <c r="CT786" s="1207"/>
      <c r="CU786" s="1207"/>
      <c r="CV786" s="1207"/>
      <c r="CW786" s="1207"/>
      <c r="CX786" s="1207"/>
      <c r="CY786" s="1207"/>
      <c r="CZ786" s="1207"/>
      <c r="DA786" s="1207"/>
      <c r="DB786" s="1207"/>
      <c r="DE786" s="1207"/>
      <c r="DF786" s="1207"/>
      <c r="DG786" s="1207"/>
      <c r="DH786" s="1207"/>
      <c r="DS786" s="1207"/>
      <c r="DT786" s="1207"/>
      <c r="DU786" s="1207"/>
      <c r="DV786" s="1207"/>
      <c r="DY786" s="1207"/>
      <c r="DZ786" s="1207"/>
      <c r="EA786" s="1207"/>
      <c r="EB786" s="1207"/>
      <c r="EI786" s="1207"/>
      <c r="EJ786" s="1207"/>
      <c r="EK786" s="1207"/>
      <c r="EL786" s="1207"/>
      <c r="EM786" s="107"/>
      <c r="EN786" s="107"/>
      <c r="EO786" s="107"/>
      <c r="EP786" s="107"/>
      <c r="EQ786" s="368"/>
      <c r="ER786" s="368"/>
      <c r="ES786" s="368"/>
      <c r="ET786" s="368"/>
    </row>
    <row r="787" spans="1:150" x14ac:dyDescent="0.25">
      <c r="A787" s="1206"/>
      <c r="B787" s="1206"/>
      <c r="C787" s="1207"/>
      <c r="D787" s="1207"/>
      <c r="E787" s="1207"/>
      <c r="F787" s="1207"/>
      <c r="Q787" s="1207"/>
      <c r="R787" s="1207"/>
      <c r="S787" s="1207"/>
      <c r="T787" s="1207"/>
      <c r="U787" s="1207"/>
      <c r="V787" s="1207"/>
      <c r="W787" s="1207"/>
      <c r="X787" s="1207"/>
      <c r="Y787" s="1207"/>
      <c r="Z787" s="1207"/>
      <c r="AA787" s="1207"/>
      <c r="AB787" s="1207"/>
      <c r="AE787" s="1207"/>
      <c r="AF787" s="1207"/>
      <c r="AG787" s="1207"/>
      <c r="AH787" s="1207"/>
      <c r="AI787" s="1207"/>
      <c r="AJ787" s="1207"/>
      <c r="AK787" s="1207"/>
      <c r="AL787" s="1207"/>
      <c r="AU787" s="1207"/>
      <c r="AV787" s="1207"/>
      <c r="AW787" s="1207"/>
      <c r="AX787" s="1207"/>
      <c r="BA787" s="1207"/>
      <c r="BB787" s="1207"/>
      <c r="BC787" s="1207"/>
      <c r="BD787" s="1207"/>
      <c r="BG787" s="1207"/>
      <c r="BH787" s="1207"/>
      <c r="BI787" s="1207"/>
      <c r="BJ787" s="1207"/>
      <c r="BK787" s="1207"/>
      <c r="BL787" s="1207"/>
      <c r="BM787" s="1207"/>
      <c r="BN787" s="1207"/>
      <c r="BS787" s="1207"/>
      <c r="BT787" s="1207"/>
      <c r="BU787" s="1207"/>
      <c r="BV787" s="1207"/>
      <c r="BY787" s="1207"/>
      <c r="BZ787" s="1207"/>
      <c r="CA787" s="1207"/>
      <c r="CB787" s="1207"/>
      <c r="CG787" s="1207"/>
      <c r="CH787" s="1207"/>
      <c r="CI787" s="1207"/>
      <c r="CJ787" s="1207"/>
      <c r="CM787" s="1207"/>
      <c r="CN787" s="1207"/>
      <c r="CO787" s="1207"/>
      <c r="CP787" s="1207"/>
      <c r="CQ787" s="1207"/>
      <c r="CR787" s="1207"/>
      <c r="CS787" s="1207"/>
      <c r="CT787" s="1207"/>
      <c r="CU787" s="1207"/>
      <c r="CV787" s="1207"/>
      <c r="CW787" s="1207"/>
      <c r="CX787" s="1207"/>
      <c r="CY787" s="1207"/>
      <c r="CZ787" s="1207"/>
      <c r="DA787" s="1207"/>
      <c r="DB787" s="1207"/>
      <c r="DE787" s="1207"/>
      <c r="DF787" s="1207"/>
      <c r="DG787" s="1207"/>
      <c r="DH787" s="1207"/>
      <c r="DS787" s="1207"/>
      <c r="DT787" s="1207"/>
      <c r="DU787" s="1207"/>
      <c r="DV787" s="1207"/>
      <c r="DY787" s="1207"/>
      <c r="DZ787" s="1207"/>
      <c r="EA787" s="1207"/>
      <c r="EB787" s="1207"/>
      <c r="EI787" s="1207"/>
      <c r="EJ787" s="1207"/>
      <c r="EK787" s="1207"/>
      <c r="EL787" s="1207"/>
      <c r="EM787" s="107"/>
      <c r="EN787" s="107"/>
      <c r="EO787" s="107"/>
      <c r="EP787" s="107"/>
      <c r="EQ787" s="368"/>
      <c r="ER787" s="368"/>
      <c r="ES787" s="368"/>
      <c r="ET787" s="368"/>
    </row>
    <row r="788" spans="1:150" x14ac:dyDescent="0.25">
      <c r="A788" s="1206"/>
      <c r="B788" s="1206"/>
      <c r="C788" s="1207"/>
      <c r="D788" s="1207"/>
      <c r="E788" s="1207"/>
      <c r="F788" s="1207"/>
      <c r="Q788" s="1207"/>
      <c r="R788" s="1207"/>
      <c r="S788" s="1207"/>
      <c r="T788" s="1207"/>
      <c r="U788" s="1207"/>
      <c r="V788" s="1207"/>
      <c r="W788" s="1207"/>
      <c r="X788" s="1207"/>
      <c r="Y788" s="1207"/>
      <c r="Z788" s="1207"/>
      <c r="AA788" s="1207"/>
      <c r="AB788" s="1207"/>
      <c r="AE788" s="1207"/>
      <c r="AF788" s="1207"/>
      <c r="AG788" s="1207"/>
      <c r="AH788" s="1207"/>
      <c r="AI788" s="1207"/>
      <c r="AJ788" s="1207"/>
      <c r="AK788" s="1207"/>
      <c r="AL788" s="1207"/>
      <c r="AU788" s="1207"/>
      <c r="AV788" s="1207"/>
      <c r="AW788" s="1207"/>
      <c r="AX788" s="1207"/>
      <c r="BA788" s="1207"/>
      <c r="BB788" s="1207"/>
      <c r="BC788" s="1207"/>
      <c r="BD788" s="1207"/>
      <c r="BG788" s="1207"/>
      <c r="BH788" s="1207"/>
      <c r="BI788" s="1207"/>
      <c r="BJ788" s="1207"/>
      <c r="BK788" s="1207"/>
      <c r="BL788" s="1207"/>
      <c r="BM788" s="1207"/>
      <c r="BN788" s="1207"/>
      <c r="BS788" s="1207"/>
      <c r="BT788" s="1207"/>
      <c r="BU788" s="1207"/>
      <c r="BV788" s="1207"/>
      <c r="BY788" s="1207"/>
      <c r="BZ788" s="1207"/>
      <c r="CA788" s="1207"/>
      <c r="CB788" s="1207"/>
      <c r="CG788" s="1207"/>
      <c r="CH788" s="1207"/>
      <c r="CI788" s="1207"/>
      <c r="CJ788" s="1207"/>
      <c r="CM788" s="1207"/>
      <c r="CN788" s="1207"/>
      <c r="CO788" s="1207"/>
      <c r="CP788" s="1207"/>
      <c r="CQ788" s="1207"/>
      <c r="CR788" s="1207"/>
      <c r="CS788" s="1207"/>
      <c r="CT788" s="1207"/>
      <c r="CU788" s="1207"/>
      <c r="CV788" s="1207"/>
      <c r="CW788" s="1207"/>
      <c r="CX788" s="1207"/>
      <c r="CY788" s="1207"/>
      <c r="CZ788" s="1207"/>
      <c r="DA788" s="1207"/>
      <c r="DB788" s="1207"/>
      <c r="DE788" s="1207"/>
      <c r="DF788" s="1207"/>
      <c r="DG788" s="1207"/>
      <c r="DH788" s="1207"/>
      <c r="DS788" s="1207"/>
      <c r="DT788" s="1207"/>
      <c r="DU788" s="1207"/>
      <c r="DV788" s="1207"/>
      <c r="DY788" s="1207"/>
      <c r="DZ788" s="1207"/>
      <c r="EA788" s="1207"/>
      <c r="EB788" s="1207"/>
      <c r="EI788" s="1207"/>
      <c r="EJ788" s="1207"/>
      <c r="EK788" s="1207"/>
      <c r="EL788" s="1207"/>
      <c r="EM788" s="107"/>
      <c r="EN788" s="107"/>
      <c r="EO788" s="107"/>
      <c r="EP788" s="107"/>
      <c r="EQ788" s="368"/>
      <c r="ER788" s="368"/>
      <c r="ES788" s="368"/>
      <c r="ET788" s="368"/>
    </row>
    <row r="789" spans="1:150" x14ac:dyDescent="0.25">
      <c r="A789" s="1206"/>
      <c r="B789" s="1206"/>
      <c r="C789" s="1207"/>
      <c r="D789" s="1207"/>
      <c r="E789" s="1207"/>
      <c r="F789" s="1207"/>
      <c r="Q789" s="1207"/>
      <c r="R789" s="1207"/>
      <c r="S789" s="1207"/>
      <c r="T789" s="1207"/>
      <c r="U789" s="1207"/>
      <c r="V789" s="1207"/>
      <c r="W789" s="1207"/>
      <c r="X789" s="1207"/>
      <c r="Y789" s="1207"/>
      <c r="Z789" s="1207"/>
      <c r="AA789" s="1207"/>
      <c r="AB789" s="1207"/>
      <c r="AE789" s="1207"/>
      <c r="AF789" s="1207"/>
      <c r="AG789" s="1207"/>
      <c r="AH789" s="1207"/>
      <c r="AI789" s="1207"/>
      <c r="AJ789" s="1207"/>
      <c r="AK789" s="1207"/>
      <c r="AL789" s="1207"/>
      <c r="AU789" s="1207"/>
      <c r="AV789" s="1207"/>
      <c r="AW789" s="1207"/>
      <c r="AX789" s="1207"/>
      <c r="BA789" s="1207"/>
      <c r="BB789" s="1207"/>
      <c r="BC789" s="1207"/>
      <c r="BD789" s="1207"/>
      <c r="BG789" s="1207"/>
      <c r="BH789" s="1207"/>
      <c r="BI789" s="1207"/>
      <c r="BJ789" s="1207"/>
      <c r="BK789" s="1207"/>
      <c r="BL789" s="1207"/>
      <c r="BM789" s="1207"/>
      <c r="BN789" s="1207"/>
      <c r="BS789" s="1207"/>
      <c r="BT789" s="1207"/>
      <c r="BU789" s="1207"/>
      <c r="BV789" s="1207"/>
      <c r="BY789" s="1207"/>
      <c r="BZ789" s="1207"/>
      <c r="CA789" s="1207"/>
      <c r="CB789" s="1207"/>
      <c r="CG789" s="1207"/>
      <c r="CH789" s="1207"/>
      <c r="CI789" s="1207"/>
      <c r="CJ789" s="1207"/>
      <c r="CM789" s="1207"/>
      <c r="CN789" s="1207"/>
      <c r="CO789" s="1207"/>
      <c r="CP789" s="1207"/>
      <c r="CQ789" s="1207"/>
      <c r="CR789" s="1207"/>
      <c r="CS789" s="1207"/>
      <c r="CT789" s="1207"/>
      <c r="CU789" s="1207"/>
      <c r="CV789" s="1207"/>
      <c r="CW789" s="1207"/>
      <c r="CX789" s="1207"/>
      <c r="CY789" s="1207"/>
      <c r="CZ789" s="1207"/>
      <c r="DA789" s="1207"/>
      <c r="DB789" s="1207"/>
      <c r="DE789" s="1207"/>
      <c r="DF789" s="1207"/>
      <c r="DG789" s="1207"/>
      <c r="DH789" s="1207"/>
      <c r="DS789" s="1207"/>
      <c r="DT789" s="1207"/>
      <c r="DU789" s="1207"/>
      <c r="DV789" s="1207"/>
      <c r="DY789" s="1207"/>
      <c r="DZ789" s="1207"/>
      <c r="EA789" s="1207"/>
      <c r="EB789" s="1207"/>
      <c r="EI789" s="1207"/>
      <c r="EJ789" s="1207"/>
      <c r="EK789" s="1207"/>
      <c r="EL789" s="1207"/>
      <c r="EM789" s="107"/>
      <c r="EN789" s="107"/>
      <c r="EO789" s="107"/>
      <c r="EP789" s="107"/>
      <c r="EQ789" s="368"/>
      <c r="ER789" s="368"/>
      <c r="ES789" s="368"/>
      <c r="ET789" s="368"/>
    </row>
    <row r="790" spans="1:150" x14ac:dyDescent="0.25">
      <c r="A790" s="1206"/>
      <c r="B790" s="1206"/>
      <c r="C790" s="1207"/>
      <c r="D790" s="1207"/>
      <c r="E790" s="1207"/>
      <c r="F790" s="1207"/>
      <c r="Q790" s="1207"/>
      <c r="R790" s="1207"/>
      <c r="S790" s="1207"/>
      <c r="T790" s="1207"/>
      <c r="U790" s="1207"/>
      <c r="V790" s="1207"/>
      <c r="W790" s="1207"/>
      <c r="X790" s="1207"/>
      <c r="Y790" s="1207"/>
      <c r="Z790" s="1207"/>
      <c r="AA790" s="1207"/>
      <c r="AB790" s="1207"/>
      <c r="AE790" s="1207"/>
      <c r="AF790" s="1207"/>
      <c r="AG790" s="1207"/>
      <c r="AH790" s="1207"/>
      <c r="AI790" s="1207"/>
      <c r="AJ790" s="1207"/>
      <c r="AK790" s="1207"/>
      <c r="AL790" s="1207"/>
      <c r="AU790" s="1207"/>
      <c r="AV790" s="1207"/>
      <c r="AW790" s="1207"/>
      <c r="AX790" s="1207"/>
      <c r="BA790" s="1207"/>
      <c r="BB790" s="1207"/>
      <c r="BC790" s="1207"/>
      <c r="BD790" s="1207"/>
      <c r="BG790" s="1207"/>
      <c r="BH790" s="1207"/>
      <c r="BI790" s="1207"/>
      <c r="BJ790" s="1207"/>
      <c r="BK790" s="1207"/>
      <c r="BL790" s="1207"/>
      <c r="BM790" s="1207"/>
      <c r="BN790" s="1207"/>
      <c r="BS790" s="1207"/>
      <c r="BT790" s="1207"/>
      <c r="BU790" s="1207"/>
      <c r="BV790" s="1207"/>
      <c r="BY790" s="1207"/>
      <c r="BZ790" s="1207"/>
      <c r="CA790" s="1207"/>
      <c r="CB790" s="1207"/>
      <c r="CG790" s="1207"/>
      <c r="CH790" s="1207"/>
      <c r="CI790" s="1207"/>
      <c r="CJ790" s="1207"/>
      <c r="CM790" s="1207"/>
      <c r="CN790" s="1207"/>
      <c r="CO790" s="1207"/>
      <c r="CP790" s="1207"/>
      <c r="CQ790" s="1207"/>
      <c r="CR790" s="1207"/>
      <c r="CS790" s="1207"/>
      <c r="CT790" s="1207"/>
      <c r="CU790" s="1207"/>
      <c r="CV790" s="1207"/>
      <c r="CW790" s="1207"/>
      <c r="CX790" s="1207"/>
      <c r="CY790" s="1207"/>
      <c r="CZ790" s="1207"/>
      <c r="DA790" s="1207"/>
      <c r="DB790" s="1207"/>
      <c r="DE790" s="1207"/>
      <c r="DF790" s="1207"/>
      <c r="DG790" s="1207"/>
      <c r="DH790" s="1207"/>
      <c r="DS790" s="1207"/>
      <c r="DT790" s="1207"/>
      <c r="DU790" s="1207"/>
      <c r="DV790" s="1207"/>
      <c r="DY790" s="1207"/>
      <c r="DZ790" s="1207"/>
      <c r="EA790" s="1207"/>
      <c r="EB790" s="1207"/>
      <c r="EI790" s="1207"/>
      <c r="EJ790" s="1207"/>
      <c r="EK790" s="1207"/>
      <c r="EL790" s="1207"/>
      <c r="EM790" s="107"/>
      <c r="EN790" s="107"/>
      <c r="EO790" s="107"/>
      <c r="EP790" s="107"/>
      <c r="EQ790" s="368"/>
      <c r="ER790" s="368"/>
      <c r="ES790" s="368"/>
      <c r="ET790" s="368"/>
    </row>
    <row r="791" spans="1:150" x14ac:dyDescent="0.25">
      <c r="A791" s="1206"/>
      <c r="B791" s="1206"/>
      <c r="C791" s="1207"/>
      <c r="D791" s="1207"/>
      <c r="E791" s="1207"/>
      <c r="F791" s="1207"/>
      <c r="Q791" s="1207"/>
      <c r="R791" s="1207"/>
      <c r="S791" s="1207"/>
      <c r="T791" s="1207"/>
      <c r="U791" s="1207"/>
      <c r="V791" s="1207"/>
      <c r="W791" s="1207"/>
      <c r="X791" s="1207"/>
      <c r="Y791" s="1207"/>
      <c r="Z791" s="1207"/>
      <c r="AA791" s="1207"/>
      <c r="AB791" s="1207"/>
      <c r="AE791" s="1207"/>
      <c r="AF791" s="1207"/>
      <c r="AG791" s="1207"/>
      <c r="AH791" s="1207"/>
      <c r="AI791" s="1207"/>
      <c r="AJ791" s="1207"/>
      <c r="AK791" s="1207"/>
      <c r="AL791" s="1207"/>
      <c r="AU791" s="1207"/>
      <c r="AV791" s="1207"/>
      <c r="AW791" s="1207"/>
      <c r="AX791" s="1207"/>
      <c r="BA791" s="1207"/>
      <c r="BB791" s="1207"/>
      <c r="BC791" s="1207"/>
      <c r="BD791" s="1207"/>
      <c r="BG791" s="1207"/>
      <c r="BH791" s="1207"/>
      <c r="BI791" s="1207"/>
      <c r="BJ791" s="1207"/>
      <c r="BK791" s="1207"/>
      <c r="BL791" s="1207"/>
      <c r="BM791" s="1207"/>
      <c r="BN791" s="1207"/>
      <c r="BS791" s="1207"/>
      <c r="BT791" s="1207"/>
      <c r="BU791" s="1207"/>
      <c r="BV791" s="1207"/>
      <c r="BY791" s="1207"/>
      <c r="BZ791" s="1207"/>
      <c r="CA791" s="1207"/>
      <c r="CB791" s="1207"/>
      <c r="CG791" s="1207"/>
      <c r="CH791" s="1207"/>
      <c r="CI791" s="1207"/>
      <c r="CJ791" s="1207"/>
      <c r="CM791" s="1207"/>
      <c r="CN791" s="1207"/>
      <c r="CO791" s="1207"/>
      <c r="CP791" s="1207"/>
      <c r="CQ791" s="1207"/>
      <c r="CR791" s="1207"/>
      <c r="CS791" s="1207"/>
      <c r="CT791" s="1207"/>
      <c r="CU791" s="1207"/>
      <c r="CV791" s="1207"/>
      <c r="CW791" s="1207"/>
      <c r="CX791" s="1207"/>
      <c r="CY791" s="1207"/>
      <c r="CZ791" s="1207"/>
      <c r="DA791" s="1207"/>
      <c r="DB791" s="1207"/>
      <c r="DE791" s="1207"/>
      <c r="DF791" s="1207"/>
      <c r="DG791" s="1207"/>
      <c r="DH791" s="1207"/>
      <c r="DS791" s="1207"/>
      <c r="DT791" s="1207"/>
      <c r="DU791" s="1207"/>
      <c r="DV791" s="1207"/>
      <c r="DY791" s="1207"/>
      <c r="DZ791" s="1207"/>
      <c r="EA791" s="1207"/>
      <c r="EB791" s="1207"/>
      <c r="EI791" s="1207"/>
      <c r="EJ791" s="1207"/>
      <c r="EK791" s="1207"/>
      <c r="EL791" s="1207"/>
      <c r="EM791" s="107"/>
      <c r="EN791" s="107"/>
      <c r="EO791" s="107"/>
      <c r="EP791" s="107"/>
      <c r="EQ791" s="368"/>
      <c r="ER791" s="368"/>
      <c r="ES791" s="368"/>
      <c r="ET791" s="368"/>
    </row>
    <row r="792" spans="1:150" x14ac:dyDescent="0.25">
      <c r="A792" s="1206"/>
      <c r="B792" s="1206"/>
      <c r="C792" s="1207"/>
      <c r="D792" s="1207"/>
      <c r="E792" s="1207"/>
      <c r="F792" s="1207"/>
      <c r="Q792" s="1207"/>
      <c r="R792" s="1207"/>
      <c r="S792" s="1207"/>
      <c r="T792" s="1207"/>
      <c r="U792" s="1207"/>
      <c r="V792" s="1207"/>
      <c r="W792" s="1207"/>
      <c r="X792" s="1207"/>
      <c r="Y792" s="1207"/>
      <c r="Z792" s="1207"/>
      <c r="AA792" s="1207"/>
      <c r="AB792" s="1207"/>
      <c r="AE792" s="1207"/>
      <c r="AF792" s="1207"/>
      <c r="AG792" s="1207"/>
      <c r="AH792" s="1207"/>
      <c r="AI792" s="1207"/>
      <c r="AJ792" s="1207"/>
      <c r="AK792" s="1207"/>
      <c r="AL792" s="1207"/>
      <c r="AU792" s="1207"/>
      <c r="AV792" s="1207"/>
      <c r="AW792" s="1207"/>
      <c r="AX792" s="1207"/>
      <c r="BA792" s="1207"/>
      <c r="BB792" s="1207"/>
      <c r="BC792" s="1207"/>
      <c r="BD792" s="1207"/>
      <c r="BG792" s="1207"/>
      <c r="BH792" s="1207"/>
      <c r="BI792" s="1207"/>
      <c r="BJ792" s="1207"/>
      <c r="BK792" s="1207"/>
      <c r="BL792" s="1207"/>
      <c r="BM792" s="1207"/>
      <c r="BN792" s="1207"/>
      <c r="BS792" s="1207"/>
      <c r="BT792" s="1207"/>
      <c r="BU792" s="1207"/>
      <c r="BV792" s="1207"/>
      <c r="BY792" s="1207"/>
      <c r="BZ792" s="1207"/>
      <c r="CA792" s="1207"/>
      <c r="CB792" s="1207"/>
      <c r="CG792" s="1207"/>
      <c r="CH792" s="1207"/>
      <c r="CI792" s="1207"/>
      <c r="CJ792" s="1207"/>
      <c r="CM792" s="1207"/>
      <c r="CN792" s="1207"/>
      <c r="CO792" s="1207"/>
      <c r="CP792" s="1207"/>
      <c r="CQ792" s="1207"/>
      <c r="CR792" s="1207"/>
      <c r="CS792" s="1207"/>
      <c r="CT792" s="1207"/>
      <c r="CU792" s="1207"/>
      <c r="CV792" s="1207"/>
      <c r="CW792" s="1207"/>
      <c r="CX792" s="1207"/>
      <c r="CY792" s="1207"/>
      <c r="CZ792" s="1207"/>
      <c r="DA792" s="1207"/>
      <c r="DB792" s="1207"/>
      <c r="DE792" s="1207"/>
      <c r="DF792" s="1207"/>
      <c r="DG792" s="1207"/>
      <c r="DH792" s="1207"/>
      <c r="DS792" s="1207"/>
      <c r="DT792" s="1207"/>
      <c r="DU792" s="1207"/>
      <c r="DV792" s="1207"/>
      <c r="DY792" s="1207"/>
      <c r="DZ792" s="1207"/>
      <c r="EA792" s="1207"/>
      <c r="EB792" s="1207"/>
      <c r="EI792" s="1207"/>
      <c r="EJ792" s="1207"/>
      <c r="EK792" s="1207"/>
      <c r="EL792" s="1207"/>
      <c r="EM792" s="107"/>
      <c r="EN792" s="107"/>
      <c r="EO792" s="107"/>
      <c r="EP792" s="107"/>
      <c r="EQ792" s="368"/>
      <c r="ER792" s="368"/>
      <c r="ES792" s="368"/>
      <c r="ET792" s="368"/>
    </row>
    <row r="793" spans="1:150" x14ac:dyDescent="0.25">
      <c r="A793" s="1206"/>
      <c r="B793" s="1206"/>
      <c r="C793" s="1207"/>
      <c r="D793" s="1207"/>
      <c r="E793" s="1207"/>
      <c r="F793" s="1207"/>
      <c r="Q793" s="1207"/>
      <c r="R793" s="1207"/>
      <c r="S793" s="1207"/>
      <c r="T793" s="1207"/>
      <c r="U793" s="1207"/>
      <c r="V793" s="1207"/>
      <c r="W793" s="1207"/>
      <c r="X793" s="1207"/>
      <c r="Y793" s="1207"/>
      <c r="Z793" s="1207"/>
      <c r="AA793" s="1207"/>
      <c r="AB793" s="1207"/>
      <c r="AE793" s="1207"/>
      <c r="AF793" s="1207"/>
      <c r="AG793" s="1207"/>
      <c r="AH793" s="1207"/>
      <c r="AI793" s="1207"/>
      <c r="AJ793" s="1207"/>
      <c r="AK793" s="1207"/>
      <c r="AL793" s="1207"/>
      <c r="AU793" s="1207"/>
      <c r="AV793" s="1207"/>
      <c r="AW793" s="1207"/>
      <c r="AX793" s="1207"/>
      <c r="BA793" s="1207"/>
      <c r="BB793" s="1207"/>
      <c r="BC793" s="1207"/>
      <c r="BD793" s="1207"/>
      <c r="BG793" s="1207"/>
      <c r="BH793" s="1207"/>
      <c r="BI793" s="1207"/>
      <c r="BJ793" s="1207"/>
      <c r="BK793" s="1207"/>
      <c r="BL793" s="1207"/>
      <c r="BM793" s="1207"/>
      <c r="BN793" s="1207"/>
      <c r="BS793" s="1207"/>
      <c r="BT793" s="1207"/>
      <c r="BU793" s="1207"/>
      <c r="BV793" s="1207"/>
      <c r="BY793" s="1207"/>
      <c r="BZ793" s="1207"/>
      <c r="CA793" s="1207"/>
      <c r="CB793" s="1207"/>
      <c r="CG793" s="1207"/>
      <c r="CH793" s="1207"/>
      <c r="CI793" s="1207"/>
      <c r="CJ793" s="1207"/>
      <c r="CM793" s="1207"/>
      <c r="CN793" s="1207"/>
      <c r="CO793" s="1207"/>
      <c r="CP793" s="1207"/>
      <c r="CQ793" s="1207"/>
      <c r="CR793" s="1207"/>
      <c r="CS793" s="1207"/>
      <c r="CT793" s="1207"/>
      <c r="CU793" s="1207"/>
      <c r="CV793" s="1207"/>
      <c r="CW793" s="1207"/>
      <c r="CX793" s="1207"/>
      <c r="CY793" s="1207"/>
      <c r="CZ793" s="1207"/>
      <c r="DA793" s="1207"/>
      <c r="DB793" s="1207"/>
      <c r="DE793" s="1207"/>
      <c r="DF793" s="1207"/>
      <c r="DG793" s="1207"/>
      <c r="DH793" s="1207"/>
      <c r="DS793" s="1207"/>
      <c r="DT793" s="1207"/>
      <c r="DU793" s="1207"/>
      <c r="DV793" s="1207"/>
      <c r="DY793" s="1207"/>
      <c r="DZ793" s="1207"/>
      <c r="EA793" s="1207"/>
      <c r="EB793" s="1207"/>
      <c r="EI793" s="1207"/>
      <c r="EJ793" s="1207"/>
      <c r="EK793" s="1207"/>
      <c r="EL793" s="1207"/>
      <c r="EM793" s="107"/>
      <c r="EN793" s="107"/>
      <c r="EO793" s="107"/>
      <c r="EP793" s="107"/>
      <c r="EQ793" s="368"/>
      <c r="ER793" s="368"/>
      <c r="ES793" s="368"/>
      <c r="ET793" s="368"/>
    </row>
    <row r="794" spans="1:150" x14ac:dyDescent="0.25">
      <c r="A794" s="1206"/>
      <c r="B794" s="1206"/>
      <c r="C794" s="1207"/>
      <c r="D794" s="1207"/>
      <c r="E794" s="1207"/>
      <c r="F794" s="1207"/>
      <c r="Q794" s="1207"/>
      <c r="R794" s="1207"/>
      <c r="S794" s="1207"/>
      <c r="T794" s="1207"/>
      <c r="U794" s="1207"/>
      <c r="V794" s="1207"/>
      <c r="W794" s="1207"/>
      <c r="X794" s="1207"/>
      <c r="Y794" s="1207"/>
      <c r="Z794" s="1207"/>
      <c r="AA794" s="1207"/>
      <c r="AB794" s="1207"/>
      <c r="AE794" s="1207"/>
      <c r="AF794" s="1207"/>
      <c r="AG794" s="1207"/>
      <c r="AH794" s="1207"/>
      <c r="AI794" s="1207"/>
      <c r="AJ794" s="1207"/>
      <c r="AK794" s="1207"/>
      <c r="AL794" s="1207"/>
      <c r="AU794" s="1207"/>
      <c r="AV794" s="1207"/>
      <c r="AW794" s="1207"/>
      <c r="AX794" s="1207"/>
      <c r="BA794" s="1207"/>
      <c r="BB794" s="1207"/>
      <c r="BC794" s="1207"/>
      <c r="BD794" s="1207"/>
      <c r="BG794" s="1207"/>
      <c r="BH794" s="1207"/>
      <c r="BI794" s="1207"/>
      <c r="BJ794" s="1207"/>
      <c r="BK794" s="1207"/>
      <c r="BL794" s="1207"/>
      <c r="BM794" s="1207"/>
      <c r="BN794" s="1207"/>
      <c r="BS794" s="1207"/>
      <c r="BT794" s="1207"/>
      <c r="BU794" s="1207"/>
      <c r="BV794" s="1207"/>
      <c r="BY794" s="1207"/>
      <c r="BZ794" s="1207"/>
      <c r="CA794" s="1207"/>
      <c r="CB794" s="1207"/>
      <c r="CG794" s="1207"/>
      <c r="CH794" s="1207"/>
      <c r="CI794" s="1207"/>
      <c r="CJ794" s="1207"/>
      <c r="CM794" s="1207"/>
      <c r="CN794" s="1207"/>
      <c r="CO794" s="1207"/>
      <c r="CP794" s="1207"/>
      <c r="CQ794" s="1207"/>
      <c r="CR794" s="1207"/>
      <c r="CS794" s="1207"/>
      <c r="CT794" s="1207"/>
      <c r="CU794" s="1207"/>
      <c r="CV794" s="1207"/>
      <c r="CW794" s="1207"/>
      <c r="CX794" s="1207"/>
      <c r="CY794" s="1207"/>
      <c r="CZ794" s="1207"/>
      <c r="DA794" s="1207"/>
      <c r="DB794" s="1207"/>
      <c r="DE794" s="1207"/>
      <c r="DF794" s="1207"/>
      <c r="DG794" s="1207"/>
      <c r="DH794" s="1207"/>
      <c r="DS794" s="1207"/>
      <c r="DT794" s="1207"/>
      <c r="DU794" s="1207"/>
      <c r="DV794" s="1207"/>
      <c r="DY794" s="1207"/>
      <c r="DZ794" s="1207"/>
      <c r="EA794" s="1207"/>
      <c r="EB794" s="1207"/>
      <c r="EI794" s="1207"/>
      <c r="EJ794" s="1207"/>
      <c r="EK794" s="1207"/>
      <c r="EL794" s="1207"/>
      <c r="EM794" s="107"/>
      <c r="EN794" s="107"/>
      <c r="EO794" s="107"/>
      <c r="EP794" s="107"/>
      <c r="EQ794" s="368"/>
      <c r="ER794" s="368"/>
      <c r="ES794" s="368"/>
      <c r="ET794" s="368"/>
    </row>
    <row r="795" spans="1:150" x14ac:dyDescent="0.25">
      <c r="A795" s="1206"/>
      <c r="B795" s="1206"/>
      <c r="C795" s="1207"/>
      <c r="D795" s="1207"/>
      <c r="E795" s="1207"/>
      <c r="F795" s="1207"/>
      <c r="Q795" s="1207"/>
      <c r="R795" s="1207"/>
      <c r="S795" s="1207"/>
      <c r="T795" s="1207"/>
      <c r="U795" s="1207"/>
      <c r="V795" s="1207"/>
      <c r="W795" s="1207"/>
      <c r="X795" s="1207"/>
      <c r="Y795" s="1207"/>
      <c r="Z795" s="1207"/>
      <c r="AA795" s="1207"/>
      <c r="AB795" s="1207"/>
      <c r="AE795" s="1207"/>
      <c r="AF795" s="1207"/>
      <c r="AG795" s="1207"/>
      <c r="AH795" s="1207"/>
      <c r="AI795" s="1207"/>
      <c r="AJ795" s="1207"/>
      <c r="AK795" s="1207"/>
      <c r="AL795" s="1207"/>
      <c r="AU795" s="1207"/>
      <c r="AV795" s="1207"/>
      <c r="AW795" s="1207"/>
      <c r="AX795" s="1207"/>
      <c r="BA795" s="1207"/>
      <c r="BB795" s="1207"/>
      <c r="BC795" s="1207"/>
      <c r="BD795" s="1207"/>
      <c r="BG795" s="1207"/>
      <c r="BH795" s="1207"/>
      <c r="BI795" s="1207"/>
      <c r="BJ795" s="1207"/>
      <c r="BK795" s="1207"/>
      <c r="BL795" s="1207"/>
      <c r="BM795" s="1207"/>
      <c r="BN795" s="1207"/>
      <c r="BS795" s="1207"/>
      <c r="BT795" s="1207"/>
      <c r="BU795" s="1207"/>
      <c r="BV795" s="1207"/>
      <c r="BY795" s="1207"/>
      <c r="BZ795" s="1207"/>
      <c r="CA795" s="1207"/>
      <c r="CB795" s="1207"/>
      <c r="CG795" s="1207"/>
      <c r="CH795" s="1207"/>
      <c r="CI795" s="1207"/>
      <c r="CJ795" s="1207"/>
      <c r="CM795" s="1207"/>
      <c r="CN795" s="1207"/>
      <c r="CO795" s="1207"/>
      <c r="CP795" s="1207"/>
      <c r="CQ795" s="1207"/>
      <c r="CR795" s="1207"/>
      <c r="CS795" s="1207"/>
      <c r="CT795" s="1207"/>
      <c r="CU795" s="1207"/>
      <c r="CV795" s="1207"/>
      <c r="CW795" s="1207"/>
      <c r="CX795" s="1207"/>
      <c r="CY795" s="1207"/>
      <c r="CZ795" s="1207"/>
      <c r="DA795" s="1207"/>
      <c r="DB795" s="1207"/>
      <c r="DE795" s="1207"/>
      <c r="DF795" s="1207"/>
      <c r="DG795" s="1207"/>
      <c r="DH795" s="1207"/>
      <c r="DS795" s="1207"/>
      <c r="DT795" s="1207"/>
      <c r="DU795" s="1207"/>
      <c r="DV795" s="1207"/>
      <c r="DY795" s="1207"/>
      <c r="DZ795" s="1207"/>
      <c r="EA795" s="1207"/>
      <c r="EB795" s="1207"/>
      <c r="EI795" s="1207"/>
      <c r="EJ795" s="1207"/>
      <c r="EK795" s="1207"/>
      <c r="EL795" s="1207"/>
      <c r="EM795" s="107"/>
      <c r="EN795" s="107"/>
      <c r="EO795" s="107"/>
      <c r="EP795" s="107"/>
      <c r="EQ795" s="368"/>
      <c r="ER795" s="368"/>
      <c r="ES795" s="368"/>
      <c r="ET795" s="368"/>
    </row>
    <row r="796" spans="1:150" x14ac:dyDescent="0.25">
      <c r="A796" s="1206"/>
      <c r="B796" s="1206"/>
      <c r="C796" s="1207"/>
      <c r="D796" s="1207"/>
      <c r="E796" s="1207"/>
      <c r="F796" s="1207"/>
      <c r="Q796" s="1207"/>
      <c r="R796" s="1207"/>
      <c r="S796" s="1207"/>
      <c r="T796" s="1207"/>
      <c r="U796" s="1207"/>
      <c r="V796" s="1207"/>
      <c r="W796" s="1207"/>
      <c r="X796" s="1207"/>
      <c r="Y796" s="1207"/>
      <c r="Z796" s="1207"/>
      <c r="AA796" s="1207"/>
      <c r="AB796" s="1207"/>
      <c r="AE796" s="1207"/>
      <c r="AF796" s="1207"/>
      <c r="AG796" s="1207"/>
      <c r="AH796" s="1207"/>
      <c r="AI796" s="1207"/>
      <c r="AJ796" s="1207"/>
      <c r="AK796" s="1207"/>
      <c r="AL796" s="1207"/>
      <c r="AU796" s="1207"/>
      <c r="AV796" s="1207"/>
      <c r="AW796" s="1207"/>
      <c r="AX796" s="1207"/>
      <c r="BA796" s="1207"/>
      <c r="BB796" s="1207"/>
      <c r="BC796" s="1207"/>
      <c r="BD796" s="1207"/>
      <c r="BG796" s="1207"/>
      <c r="BH796" s="1207"/>
      <c r="BI796" s="1207"/>
      <c r="BJ796" s="1207"/>
      <c r="BK796" s="1207"/>
      <c r="BL796" s="1207"/>
      <c r="BM796" s="1207"/>
      <c r="BN796" s="1207"/>
      <c r="BS796" s="1207"/>
      <c r="BT796" s="1207"/>
      <c r="BU796" s="1207"/>
      <c r="BV796" s="1207"/>
      <c r="BY796" s="1207"/>
      <c r="BZ796" s="1207"/>
      <c r="CA796" s="1207"/>
      <c r="CB796" s="1207"/>
      <c r="CG796" s="1207"/>
      <c r="CH796" s="1207"/>
      <c r="CI796" s="1207"/>
      <c r="CJ796" s="1207"/>
      <c r="CM796" s="1207"/>
      <c r="CN796" s="1207"/>
      <c r="CO796" s="1207"/>
      <c r="CP796" s="1207"/>
      <c r="CQ796" s="1207"/>
      <c r="CR796" s="1207"/>
      <c r="CS796" s="1207"/>
      <c r="CT796" s="1207"/>
      <c r="CU796" s="1207"/>
      <c r="CV796" s="1207"/>
      <c r="CW796" s="1207"/>
      <c r="CX796" s="1207"/>
      <c r="CY796" s="1207"/>
      <c r="CZ796" s="1207"/>
      <c r="DA796" s="1207"/>
      <c r="DB796" s="1207"/>
      <c r="DE796" s="1207"/>
      <c r="DF796" s="1207"/>
      <c r="DG796" s="1207"/>
      <c r="DH796" s="1207"/>
      <c r="DS796" s="1207"/>
      <c r="DT796" s="1207"/>
      <c r="DU796" s="1207"/>
      <c r="DV796" s="1207"/>
      <c r="DY796" s="1207"/>
      <c r="DZ796" s="1207"/>
      <c r="EA796" s="1207"/>
      <c r="EB796" s="1207"/>
      <c r="EI796" s="1207"/>
      <c r="EJ796" s="1207"/>
      <c r="EK796" s="1207"/>
      <c r="EL796" s="1207"/>
      <c r="EM796" s="107"/>
      <c r="EN796" s="107"/>
      <c r="EO796" s="107"/>
      <c r="EP796" s="107"/>
      <c r="EQ796" s="368"/>
      <c r="ER796" s="368"/>
      <c r="ES796" s="368"/>
      <c r="ET796" s="368"/>
    </row>
    <row r="797" spans="1:150" x14ac:dyDescent="0.25">
      <c r="A797" s="1206"/>
      <c r="B797" s="1206"/>
      <c r="C797" s="1207"/>
      <c r="D797" s="1207"/>
      <c r="E797" s="1207"/>
      <c r="F797" s="1207"/>
      <c r="Q797" s="1207"/>
      <c r="R797" s="1207"/>
      <c r="S797" s="1207"/>
      <c r="T797" s="1207"/>
      <c r="U797" s="1207"/>
      <c r="V797" s="1207"/>
      <c r="W797" s="1207"/>
      <c r="X797" s="1207"/>
      <c r="Y797" s="1207"/>
      <c r="Z797" s="1207"/>
      <c r="AA797" s="1207"/>
      <c r="AB797" s="1207"/>
      <c r="AE797" s="1207"/>
      <c r="AF797" s="1207"/>
      <c r="AG797" s="1207"/>
      <c r="AH797" s="1207"/>
      <c r="AI797" s="1207"/>
      <c r="AJ797" s="1207"/>
      <c r="AK797" s="1207"/>
      <c r="AL797" s="1207"/>
      <c r="AU797" s="1207"/>
      <c r="AV797" s="1207"/>
      <c r="AW797" s="1207"/>
      <c r="AX797" s="1207"/>
      <c r="BA797" s="1207"/>
      <c r="BB797" s="1207"/>
      <c r="BC797" s="1207"/>
      <c r="BD797" s="1207"/>
      <c r="BG797" s="1207"/>
      <c r="BH797" s="1207"/>
      <c r="BI797" s="1207"/>
      <c r="BJ797" s="1207"/>
      <c r="BK797" s="1207"/>
      <c r="BL797" s="1207"/>
      <c r="BM797" s="1207"/>
      <c r="BN797" s="1207"/>
      <c r="BS797" s="1207"/>
      <c r="BT797" s="1207"/>
      <c r="BU797" s="1207"/>
      <c r="BV797" s="1207"/>
      <c r="BY797" s="1207"/>
      <c r="BZ797" s="1207"/>
      <c r="CA797" s="1207"/>
      <c r="CB797" s="1207"/>
      <c r="CG797" s="1207"/>
      <c r="CH797" s="1207"/>
      <c r="CI797" s="1207"/>
      <c r="CJ797" s="1207"/>
      <c r="CM797" s="1207"/>
      <c r="CN797" s="1207"/>
      <c r="CO797" s="1207"/>
      <c r="CP797" s="1207"/>
      <c r="CQ797" s="1207"/>
      <c r="CR797" s="1207"/>
      <c r="CS797" s="1207"/>
      <c r="CT797" s="1207"/>
      <c r="CU797" s="1207"/>
      <c r="CV797" s="1207"/>
      <c r="CW797" s="1207"/>
      <c r="CX797" s="1207"/>
      <c r="CY797" s="1207"/>
      <c r="CZ797" s="1207"/>
      <c r="DA797" s="1207"/>
      <c r="DB797" s="1207"/>
      <c r="DE797" s="1207"/>
      <c r="DF797" s="1207"/>
      <c r="DG797" s="1207"/>
      <c r="DH797" s="1207"/>
      <c r="DS797" s="1207"/>
      <c r="DT797" s="1207"/>
      <c r="DU797" s="1207"/>
      <c r="DV797" s="1207"/>
      <c r="DY797" s="1207"/>
      <c r="DZ797" s="1207"/>
      <c r="EA797" s="1207"/>
      <c r="EB797" s="1207"/>
      <c r="EI797" s="1207"/>
      <c r="EJ797" s="1207"/>
      <c r="EK797" s="1207"/>
      <c r="EL797" s="1207"/>
      <c r="EM797" s="107"/>
      <c r="EN797" s="107"/>
      <c r="EO797" s="107"/>
      <c r="EP797" s="107"/>
      <c r="EQ797" s="368"/>
      <c r="ER797" s="368"/>
      <c r="ES797" s="368"/>
      <c r="ET797" s="368"/>
    </row>
    <row r="798" spans="1:150" x14ac:dyDescent="0.25">
      <c r="A798" s="1206"/>
      <c r="B798" s="1206"/>
      <c r="C798" s="1207"/>
      <c r="D798" s="1207"/>
      <c r="E798" s="1207"/>
      <c r="F798" s="1207"/>
      <c r="Q798" s="1207"/>
      <c r="R798" s="1207"/>
      <c r="S798" s="1207"/>
      <c r="T798" s="1207"/>
      <c r="U798" s="1207"/>
      <c r="V798" s="1207"/>
      <c r="W798" s="1207"/>
      <c r="X798" s="1207"/>
      <c r="Y798" s="1207"/>
      <c r="Z798" s="1207"/>
      <c r="AA798" s="1207"/>
      <c r="AB798" s="1207"/>
      <c r="AE798" s="1207"/>
      <c r="AF798" s="1207"/>
      <c r="AG798" s="1207"/>
      <c r="AH798" s="1207"/>
      <c r="AI798" s="1207"/>
      <c r="AJ798" s="1207"/>
      <c r="AK798" s="1207"/>
      <c r="AL798" s="1207"/>
      <c r="AU798" s="1207"/>
      <c r="AV798" s="1207"/>
      <c r="AW798" s="1207"/>
      <c r="AX798" s="1207"/>
      <c r="BA798" s="1207"/>
      <c r="BB798" s="1207"/>
      <c r="BC798" s="1207"/>
      <c r="BD798" s="1207"/>
      <c r="BG798" s="1207"/>
      <c r="BH798" s="1207"/>
      <c r="BI798" s="1207"/>
      <c r="BJ798" s="1207"/>
      <c r="BK798" s="1207"/>
      <c r="BL798" s="1207"/>
      <c r="BM798" s="1207"/>
      <c r="BN798" s="1207"/>
      <c r="BS798" s="1207"/>
      <c r="BT798" s="1207"/>
      <c r="BU798" s="1207"/>
      <c r="BV798" s="1207"/>
      <c r="BY798" s="1207"/>
      <c r="BZ798" s="1207"/>
      <c r="CA798" s="1207"/>
      <c r="CB798" s="1207"/>
      <c r="CG798" s="1207"/>
      <c r="CH798" s="1207"/>
      <c r="CI798" s="1207"/>
      <c r="CJ798" s="1207"/>
      <c r="CM798" s="1207"/>
      <c r="CN798" s="1207"/>
      <c r="CO798" s="1207"/>
      <c r="CP798" s="1207"/>
      <c r="CQ798" s="1207"/>
      <c r="CR798" s="1207"/>
      <c r="CS798" s="1207"/>
      <c r="CT798" s="1207"/>
      <c r="CU798" s="1207"/>
      <c r="CV798" s="1207"/>
      <c r="CW798" s="1207"/>
      <c r="CX798" s="1207"/>
      <c r="CY798" s="1207"/>
      <c r="CZ798" s="1207"/>
      <c r="DA798" s="1207"/>
      <c r="DB798" s="1207"/>
      <c r="DE798" s="1207"/>
      <c r="DF798" s="1207"/>
      <c r="DG798" s="1207"/>
      <c r="DH798" s="1207"/>
      <c r="DS798" s="1207"/>
      <c r="DT798" s="1207"/>
      <c r="DU798" s="1207"/>
      <c r="DV798" s="1207"/>
      <c r="DY798" s="1207"/>
      <c r="DZ798" s="1207"/>
      <c r="EA798" s="1207"/>
      <c r="EB798" s="1207"/>
      <c r="EI798" s="1207"/>
      <c r="EJ798" s="1207"/>
      <c r="EK798" s="1207"/>
      <c r="EL798" s="1207"/>
      <c r="EM798" s="107"/>
      <c r="EN798" s="107"/>
      <c r="EO798" s="107"/>
      <c r="EP798" s="107"/>
      <c r="EQ798" s="368"/>
      <c r="ER798" s="368"/>
      <c r="ES798" s="368"/>
      <c r="ET798" s="368"/>
    </row>
    <row r="799" spans="1:150" x14ac:dyDescent="0.25">
      <c r="A799" s="1206"/>
      <c r="B799" s="1206"/>
      <c r="C799" s="1207"/>
      <c r="D799" s="1207"/>
      <c r="E799" s="1207"/>
      <c r="F799" s="1207"/>
      <c r="Q799" s="1207"/>
      <c r="R799" s="1207"/>
      <c r="S799" s="1207"/>
      <c r="T799" s="1207"/>
      <c r="U799" s="1207"/>
      <c r="V799" s="1207"/>
      <c r="W799" s="1207"/>
      <c r="X799" s="1207"/>
      <c r="Y799" s="1207"/>
      <c r="Z799" s="1207"/>
      <c r="AA799" s="1207"/>
      <c r="AB799" s="1207"/>
      <c r="AE799" s="1207"/>
      <c r="AF799" s="1207"/>
      <c r="AG799" s="1207"/>
      <c r="AH799" s="1207"/>
      <c r="AI799" s="1207"/>
      <c r="AJ799" s="1207"/>
      <c r="AK799" s="1207"/>
      <c r="AL799" s="1207"/>
      <c r="AU799" s="1207"/>
      <c r="AV799" s="1207"/>
      <c r="AW799" s="1207"/>
      <c r="AX799" s="1207"/>
      <c r="BA799" s="1207"/>
      <c r="BB799" s="1207"/>
      <c r="BC799" s="1207"/>
      <c r="BD799" s="1207"/>
      <c r="BG799" s="1207"/>
      <c r="BH799" s="1207"/>
      <c r="BI799" s="1207"/>
      <c r="BJ799" s="1207"/>
      <c r="BK799" s="1207"/>
      <c r="BL799" s="1207"/>
      <c r="BM799" s="1207"/>
      <c r="BN799" s="1207"/>
      <c r="BS799" s="1207"/>
      <c r="BT799" s="1207"/>
      <c r="BU799" s="1207"/>
      <c r="BV799" s="1207"/>
      <c r="BY799" s="1207"/>
      <c r="BZ799" s="1207"/>
      <c r="CA799" s="1207"/>
      <c r="CB799" s="1207"/>
      <c r="CG799" s="1207"/>
      <c r="CH799" s="1207"/>
      <c r="CI799" s="1207"/>
      <c r="CJ799" s="1207"/>
      <c r="CM799" s="1207"/>
      <c r="CN799" s="1207"/>
      <c r="CO799" s="1207"/>
      <c r="CP799" s="1207"/>
      <c r="CQ799" s="1207"/>
      <c r="CR799" s="1207"/>
      <c r="CS799" s="1207"/>
      <c r="CT799" s="1207"/>
      <c r="CU799" s="1207"/>
      <c r="CV799" s="1207"/>
      <c r="CW799" s="1207"/>
      <c r="CX799" s="1207"/>
      <c r="CY799" s="1207"/>
      <c r="CZ799" s="1207"/>
      <c r="DA799" s="1207"/>
      <c r="DB799" s="1207"/>
      <c r="DE799" s="1207"/>
      <c r="DF799" s="1207"/>
      <c r="DG799" s="1207"/>
      <c r="DH799" s="1207"/>
      <c r="DS799" s="1207"/>
      <c r="DT799" s="1207"/>
      <c r="DU799" s="1207"/>
      <c r="DV799" s="1207"/>
      <c r="DY799" s="1207"/>
      <c r="DZ799" s="1207"/>
      <c r="EA799" s="1207"/>
      <c r="EB799" s="1207"/>
      <c r="EI799" s="1207"/>
      <c r="EJ799" s="1207"/>
      <c r="EK799" s="1207"/>
      <c r="EL799" s="1207"/>
      <c r="EM799" s="107"/>
      <c r="EN799" s="107"/>
      <c r="EO799" s="107"/>
      <c r="EP799" s="107"/>
      <c r="EQ799" s="368"/>
      <c r="ER799" s="368"/>
      <c r="ES799" s="368"/>
      <c r="ET799" s="368"/>
    </row>
    <row r="800" spans="1:150" x14ac:dyDescent="0.25">
      <c r="A800" s="1206"/>
      <c r="B800" s="1206"/>
      <c r="C800" s="1207"/>
      <c r="D800" s="1207"/>
      <c r="E800" s="1207"/>
      <c r="F800" s="1207"/>
      <c r="Q800" s="1207"/>
      <c r="R800" s="1207"/>
      <c r="S800" s="1207"/>
      <c r="T800" s="1207"/>
      <c r="U800" s="1207"/>
      <c r="V800" s="1207"/>
      <c r="W800" s="1207"/>
      <c r="X800" s="1207"/>
      <c r="Y800" s="1207"/>
      <c r="Z800" s="1207"/>
      <c r="AA800" s="1207"/>
      <c r="AB800" s="1207"/>
      <c r="AE800" s="1207"/>
      <c r="AF800" s="1207"/>
      <c r="AG800" s="1207"/>
      <c r="AH800" s="1207"/>
      <c r="AI800" s="1207"/>
      <c r="AJ800" s="1207"/>
      <c r="AK800" s="1207"/>
      <c r="AL800" s="1207"/>
      <c r="AU800" s="1207"/>
      <c r="AV800" s="1207"/>
      <c r="AW800" s="1207"/>
      <c r="AX800" s="1207"/>
      <c r="BA800" s="1207"/>
      <c r="BB800" s="1207"/>
      <c r="BC800" s="1207"/>
      <c r="BD800" s="1207"/>
      <c r="BG800" s="1207"/>
      <c r="BH800" s="1207"/>
      <c r="BI800" s="1207"/>
      <c r="BJ800" s="1207"/>
      <c r="BK800" s="1207"/>
      <c r="BL800" s="1207"/>
      <c r="BM800" s="1207"/>
      <c r="BN800" s="1207"/>
      <c r="BS800" s="1207"/>
      <c r="BT800" s="1207"/>
      <c r="BU800" s="1207"/>
      <c r="BV800" s="1207"/>
      <c r="BY800" s="1207"/>
      <c r="BZ800" s="1207"/>
      <c r="CA800" s="1207"/>
      <c r="CB800" s="1207"/>
      <c r="CG800" s="1207"/>
      <c r="CH800" s="1207"/>
      <c r="CI800" s="1207"/>
      <c r="CJ800" s="1207"/>
      <c r="CM800" s="1207"/>
      <c r="CN800" s="1207"/>
      <c r="CO800" s="1207"/>
      <c r="CP800" s="1207"/>
      <c r="CQ800" s="1207"/>
      <c r="CR800" s="1207"/>
      <c r="CS800" s="1207"/>
      <c r="CT800" s="1207"/>
      <c r="CU800" s="1207"/>
      <c r="CV800" s="1207"/>
      <c r="CW800" s="1207"/>
      <c r="CX800" s="1207"/>
      <c r="CY800" s="1207"/>
      <c r="CZ800" s="1207"/>
      <c r="DA800" s="1207"/>
      <c r="DB800" s="1207"/>
      <c r="DE800" s="1207"/>
      <c r="DF800" s="1207"/>
      <c r="DG800" s="1207"/>
      <c r="DH800" s="1207"/>
      <c r="DS800" s="1207"/>
      <c r="DT800" s="1207"/>
      <c r="DU800" s="1207"/>
      <c r="DV800" s="1207"/>
      <c r="DY800" s="1207"/>
      <c r="DZ800" s="1207"/>
      <c r="EA800" s="1207"/>
      <c r="EB800" s="1207"/>
      <c r="EI800" s="1207"/>
      <c r="EJ800" s="1207"/>
      <c r="EK800" s="1207"/>
      <c r="EL800" s="1207"/>
      <c r="EM800" s="107"/>
      <c r="EN800" s="107"/>
      <c r="EO800" s="107"/>
      <c r="EP800" s="107"/>
      <c r="EQ800" s="368"/>
      <c r="ER800" s="368"/>
      <c r="ES800" s="368"/>
      <c r="ET800" s="368"/>
    </row>
    <row r="801" spans="1:150" x14ac:dyDescent="0.25">
      <c r="A801" s="1206"/>
      <c r="B801" s="1206"/>
      <c r="C801" s="1207"/>
      <c r="D801" s="1207"/>
      <c r="E801" s="1207"/>
      <c r="F801" s="1207"/>
      <c r="Q801" s="1207"/>
      <c r="R801" s="1207"/>
      <c r="S801" s="1207"/>
      <c r="T801" s="1207"/>
      <c r="U801" s="1207"/>
      <c r="V801" s="1207"/>
      <c r="W801" s="1207"/>
      <c r="X801" s="1207"/>
      <c r="Y801" s="1207"/>
      <c r="Z801" s="1207"/>
      <c r="AA801" s="1207"/>
      <c r="AB801" s="1207"/>
      <c r="AE801" s="1207"/>
      <c r="AF801" s="1207"/>
      <c r="AG801" s="1207"/>
      <c r="AH801" s="1207"/>
      <c r="AI801" s="1207"/>
      <c r="AJ801" s="1207"/>
      <c r="AK801" s="1207"/>
      <c r="AL801" s="1207"/>
      <c r="AU801" s="1207"/>
      <c r="AV801" s="1207"/>
      <c r="AW801" s="1207"/>
      <c r="AX801" s="1207"/>
      <c r="BA801" s="1207"/>
      <c r="BB801" s="1207"/>
      <c r="BC801" s="1207"/>
      <c r="BD801" s="1207"/>
      <c r="BG801" s="1207"/>
      <c r="BH801" s="1207"/>
      <c r="BI801" s="1207"/>
      <c r="BJ801" s="1207"/>
      <c r="BK801" s="1207"/>
      <c r="BL801" s="1207"/>
      <c r="BM801" s="1207"/>
      <c r="BN801" s="1207"/>
      <c r="BS801" s="1207"/>
      <c r="BT801" s="1207"/>
      <c r="BU801" s="1207"/>
      <c r="BV801" s="1207"/>
      <c r="BY801" s="1207"/>
      <c r="BZ801" s="1207"/>
      <c r="CA801" s="1207"/>
      <c r="CB801" s="1207"/>
      <c r="CG801" s="1207"/>
      <c r="CH801" s="1207"/>
      <c r="CI801" s="1207"/>
      <c r="CJ801" s="1207"/>
      <c r="CM801" s="1207"/>
      <c r="CN801" s="1207"/>
      <c r="CO801" s="1207"/>
      <c r="CP801" s="1207"/>
      <c r="CQ801" s="1207"/>
      <c r="CR801" s="1207"/>
      <c r="CS801" s="1207"/>
      <c r="CT801" s="1207"/>
      <c r="CU801" s="1207"/>
      <c r="CV801" s="1207"/>
      <c r="CW801" s="1207"/>
      <c r="CX801" s="1207"/>
      <c r="CY801" s="1207"/>
      <c r="CZ801" s="1207"/>
      <c r="DA801" s="1207"/>
      <c r="DB801" s="1207"/>
      <c r="DE801" s="1207"/>
      <c r="DF801" s="1207"/>
      <c r="DG801" s="1207"/>
      <c r="DH801" s="1207"/>
      <c r="DS801" s="1207"/>
      <c r="DT801" s="1207"/>
      <c r="DU801" s="1207"/>
      <c r="DV801" s="1207"/>
      <c r="DY801" s="1207"/>
      <c r="DZ801" s="1207"/>
      <c r="EA801" s="1207"/>
      <c r="EB801" s="1207"/>
      <c r="EI801" s="1207"/>
      <c r="EJ801" s="1207"/>
      <c r="EK801" s="1207"/>
      <c r="EL801" s="1207"/>
      <c r="EM801" s="107"/>
      <c r="EN801" s="107"/>
      <c r="EO801" s="107"/>
      <c r="EP801" s="107"/>
      <c r="EQ801" s="368"/>
      <c r="ER801" s="368"/>
      <c r="ES801" s="368"/>
      <c r="ET801" s="368"/>
    </row>
    <row r="802" spans="1:150" x14ac:dyDescent="0.25">
      <c r="A802" s="1206"/>
      <c r="B802" s="1206"/>
      <c r="C802" s="1207"/>
      <c r="D802" s="1207"/>
      <c r="E802" s="1207"/>
      <c r="F802" s="1207"/>
      <c r="Q802" s="1207"/>
      <c r="R802" s="1207"/>
      <c r="S802" s="1207"/>
      <c r="T802" s="1207"/>
      <c r="U802" s="1207"/>
      <c r="V802" s="1207"/>
      <c r="W802" s="1207"/>
      <c r="X802" s="1207"/>
      <c r="Y802" s="1207"/>
      <c r="Z802" s="1207"/>
      <c r="AA802" s="1207"/>
      <c r="AB802" s="1207"/>
      <c r="AE802" s="1207"/>
      <c r="AF802" s="1207"/>
      <c r="AG802" s="1207"/>
      <c r="AH802" s="1207"/>
      <c r="AI802" s="1207"/>
      <c r="AJ802" s="1207"/>
      <c r="AK802" s="1207"/>
      <c r="AL802" s="1207"/>
      <c r="AU802" s="1207"/>
      <c r="AV802" s="1207"/>
      <c r="AW802" s="1207"/>
      <c r="AX802" s="1207"/>
      <c r="BA802" s="1207"/>
      <c r="BB802" s="1207"/>
      <c r="BC802" s="1207"/>
      <c r="BD802" s="1207"/>
      <c r="BG802" s="1207"/>
      <c r="BH802" s="1207"/>
      <c r="BI802" s="1207"/>
      <c r="BJ802" s="1207"/>
      <c r="BK802" s="1207"/>
      <c r="BL802" s="1207"/>
      <c r="BM802" s="1207"/>
      <c r="BN802" s="1207"/>
      <c r="BS802" s="1207"/>
      <c r="BT802" s="1207"/>
      <c r="BU802" s="1207"/>
      <c r="BV802" s="1207"/>
      <c r="BY802" s="1207"/>
      <c r="BZ802" s="1207"/>
      <c r="CA802" s="1207"/>
      <c r="CB802" s="1207"/>
      <c r="CG802" s="1207"/>
      <c r="CH802" s="1207"/>
      <c r="CI802" s="1207"/>
      <c r="CJ802" s="1207"/>
      <c r="CM802" s="1207"/>
      <c r="CN802" s="1207"/>
      <c r="CO802" s="1207"/>
      <c r="CP802" s="1207"/>
      <c r="CQ802" s="1207"/>
      <c r="CR802" s="1207"/>
      <c r="CS802" s="1207"/>
      <c r="CT802" s="1207"/>
      <c r="CU802" s="1207"/>
      <c r="CV802" s="1207"/>
      <c r="CW802" s="1207"/>
      <c r="CX802" s="1207"/>
      <c r="CY802" s="1207"/>
      <c r="CZ802" s="1207"/>
      <c r="DA802" s="1207"/>
      <c r="DB802" s="1207"/>
      <c r="DE802" s="1207"/>
      <c r="DF802" s="1207"/>
      <c r="DG802" s="1207"/>
      <c r="DH802" s="1207"/>
      <c r="DS802" s="1207"/>
      <c r="DT802" s="1207"/>
      <c r="DU802" s="1207"/>
      <c r="DV802" s="1207"/>
      <c r="DY802" s="1207"/>
      <c r="DZ802" s="1207"/>
      <c r="EA802" s="1207"/>
      <c r="EB802" s="1207"/>
      <c r="EI802" s="1207"/>
      <c r="EJ802" s="1207"/>
      <c r="EK802" s="1207"/>
      <c r="EL802" s="1207"/>
      <c r="EM802" s="107"/>
      <c r="EN802" s="107"/>
      <c r="EO802" s="107"/>
      <c r="EP802" s="107"/>
      <c r="EQ802" s="368"/>
      <c r="ER802" s="368"/>
      <c r="ES802" s="368"/>
      <c r="ET802" s="368"/>
    </row>
    <row r="803" spans="1:150" x14ac:dyDescent="0.25">
      <c r="A803" s="1206"/>
      <c r="B803" s="1206"/>
      <c r="C803" s="1207"/>
      <c r="D803" s="1207"/>
      <c r="E803" s="1207"/>
      <c r="F803" s="1207"/>
      <c r="Q803" s="1207"/>
      <c r="R803" s="1207"/>
      <c r="S803" s="1207"/>
      <c r="T803" s="1207"/>
      <c r="U803" s="1207"/>
      <c r="V803" s="1207"/>
      <c r="W803" s="1207"/>
      <c r="X803" s="1207"/>
      <c r="Y803" s="1207"/>
      <c r="Z803" s="1207"/>
      <c r="AA803" s="1207"/>
      <c r="AB803" s="1207"/>
      <c r="AE803" s="1207"/>
      <c r="AF803" s="1207"/>
      <c r="AG803" s="1207"/>
      <c r="AH803" s="1207"/>
      <c r="AI803" s="1207"/>
      <c r="AJ803" s="1207"/>
      <c r="AK803" s="1207"/>
      <c r="AL803" s="1207"/>
      <c r="AU803" s="1207"/>
      <c r="AV803" s="1207"/>
      <c r="AW803" s="1207"/>
      <c r="AX803" s="1207"/>
      <c r="BA803" s="1207"/>
      <c r="BB803" s="1207"/>
      <c r="BC803" s="1207"/>
      <c r="BD803" s="1207"/>
      <c r="BG803" s="1207"/>
      <c r="BH803" s="1207"/>
      <c r="BI803" s="1207"/>
      <c r="BJ803" s="1207"/>
      <c r="BK803" s="1207"/>
      <c r="BL803" s="1207"/>
      <c r="BM803" s="1207"/>
      <c r="BN803" s="1207"/>
      <c r="BS803" s="1207"/>
      <c r="BT803" s="1207"/>
      <c r="BU803" s="1207"/>
      <c r="BV803" s="1207"/>
      <c r="BY803" s="1207"/>
      <c r="BZ803" s="1207"/>
      <c r="CA803" s="1207"/>
      <c r="CB803" s="1207"/>
      <c r="CG803" s="1207"/>
      <c r="CH803" s="1207"/>
      <c r="CI803" s="1207"/>
      <c r="CJ803" s="1207"/>
      <c r="CM803" s="1207"/>
      <c r="CN803" s="1207"/>
      <c r="CO803" s="1207"/>
      <c r="CP803" s="1207"/>
      <c r="CQ803" s="1207"/>
      <c r="CR803" s="1207"/>
      <c r="CS803" s="1207"/>
      <c r="CT803" s="1207"/>
      <c r="CU803" s="1207"/>
      <c r="CV803" s="1207"/>
      <c r="CW803" s="1207"/>
      <c r="CX803" s="1207"/>
      <c r="CY803" s="1207"/>
      <c r="CZ803" s="1207"/>
      <c r="DA803" s="1207"/>
      <c r="DB803" s="1207"/>
      <c r="DE803" s="1207"/>
      <c r="DF803" s="1207"/>
      <c r="DG803" s="1207"/>
      <c r="DH803" s="1207"/>
      <c r="DS803" s="1207"/>
      <c r="DT803" s="1207"/>
      <c r="DU803" s="1207"/>
      <c r="DV803" s="1207"/>
      <c r="DY803" s="1207"/>
      <c r="DZ803" s="1207"/>
      <c r="EA803" s="1207"/>
      <c r="EB803" s="1207"/>
      <c r="EI803" s="1207"/>
      <c r="EJ803" s="1207"/>
      <c r="EK803" s="1207"/>
      <c r="EL803" s="1207"/>
      <c r="EM803" s="107"/>
      <c r="EN803" s="107"/>
      <c r="EO803" s="107"/>
      <c r="EP803" s="107"/>
      <c r="EQ803" s="368"/>
      <c r="ER803" s="368"/>
      <c r="ES803" s="368"/>
      <c r="ET803" s="368"/>
    </row>
    <row r="804" spans="1:150" x14ac:dyDescent="0.25">
      <c r="A804" s="1206"/>
      <c r="B804" s="1206"/>
      <c r="C804" s="1207"/>
      <c r="D804" s="1207"/>
      <c r="E804" s="1207"/>
      <c r="F804" s="1207"/>
      <c r="Q804" s="1207"/>
      <c r="R804" s="1207"/>
      <c r="S804" s="1207"/>
      <c r="T804" s="1207"/>
      <c r="U804" s="1207"/>
      <c r="V804" s="1207"/>
      <c r="W804" s="1207"/>
      <c r="X804" s="1207"/>
      <c r="Y804" s="1207"/>
      <c r="Z804" s="1207"/>
      <c r="AA804" s="1207"/>
      <c r="AB804" s="1207"/>
      <c r="AE804" s="1207"/>
      <c r="AF804" s="1207"/>
      <c r="AG804" s="1207"/>
      <c r="AH804" s="1207"/>
      <c r="AI804" s="1207"/>
      <c r="AJ804" s="1207"/>
      <c r="AK804" s="1207"/>
      <c r="AL804" s="1207"/>
      <c r="AU804" s="1207"/>
      <c r="AV804" s="1207"/>
      <c r="AW804" s="1207"/>
      <c r="AX804" s="1207"/>
      <c r="BA804" s="1207"/>
      <c r="BB804" s="1207"/>
      <c r="BC804" s="1207"/>
      <c r="BD804" s="1207"/>
      <c r="BG804" s="1207"/>
      <c r="BH804" s="1207"/>
      <c r="BI804" s="1207"/>
      <c r="BJ804" s="1207"/>
      <c r="BK804" s="1207"/>
      <c r="BL804" s="1207"/>
      <c r="BM804" s="1207"/>
      <c r="BN804" s="1207"/>
      <c r="BS804" s="1207"/>
      <c r="BT804" s="1207"/>
      <c r="BU804" s="1207"/>
      <c r="BV804" s="1207"/>
      <c r="BY804" s="1207"/>
      <c r="BZ804" s="1207"/>
      <c r="CA804" s="1207"/>
      <c r="CB804" s="1207"/>
      <c r="CG804" s="1207"/>
      <c r="CH804" s="1207"/>
      <c r="CI804" s="1207"/>
      <c r="CJ804" s="1207"/>
      <c r="CM804" s="1207"/>
      <c r="CN804" s="1207"/>
      <c r="CO804" s="1207"/>
      <c r="CP804" s="1207"/>
      <c r="CQ804" s="1207"/>
      <c r="CR804" s="1207"/>
      <c r="CS804" s="1207"/>
      <c r="CT804" s="1207"/>
      <c r="CU804" s="1207"/>
      <c r="CV804" s="1207"/>
      <c r="CW804" s="1207"/>
      <c r="CX804" s="1207"/>
      <c r="CY804" s="1207"/>
      <c r="CZ804" s="1207"/>
      <c r="DA804" s="1207"/>
      <c r="DB804" s="1207"/>
      <c r="DE804" s="1207"/>
      <c r="DF804" s="1207"/>
      <c r="DG804" s="1207"/>
      <c r="DH804" s="1207"/>
      <c r="DS804" s="1207"/>
      <c r="DT804" s="1207"/>
      <c r="DU804" s="1207"/>
      <c r="DV804" s="1207"/>
      <c r="DY804" s="1207"/>
      <c r="DZ804" s="1207"/>
      <c r="EA804" s="1207"/>
      <c r="EB804" s="1207"/>
      <c r="EI804" s="1207"/>
      <c r="EJ804" s="1207"/>
      <c r="EK804" s="1207"/>
      <c r="EL804" s="1207"/>
      <c r="EM804" s="107"/>
      <c r="EN804" s="107"/>
      <c r="EO804" s="107"/>
      <c r="EP804" s="107"/>
      <c r="EQ804" s="368"/>
      <c r="ER804" s="368"/>
      <c r="ES804" s="368"/>
      <c r="ET804" s="368"/>
    </row>
    <row r="805" spans="1:150" x14ac:dyDescent="0.25">
      <c r="A805" s="1206"/>
      <c r="B805" s="1206"/>
      <c r="C805" s="1207"/>
      <c r="D805" s="1207"/>
      <c r="E805" s="1207"/>
      <c r="F805" s="1207"/>
      <c r="Q805" s="1207"/>
      <c r="R805" s="1207"/>
      <c r="S805" s="1207"/>
      <c r="T805" s="1207"/>
      <c r="U805" s="1207"/>
      <c r="V805" s="1207"/>
      <c r="W805" s="1207"/>
      <c r="X805" s="1207"/>
      <c r="Y805" s="1207"/>
      <c r="Z805" s="1207"/>
      <c r="AA805" s="1207"/>
      <c r="AB805" s="1207"/>
      <c r="AE805" s="1207"/>
      <c r="AF805" s="1207"/>
      <c r="AG805" s="1207"/>
      <c r="AH805" s="1207"/>
      <c r="AI805" s="1207"/>
      <c r="AJ805" s="1207"/>
      <c r="AK805" s="1207"/>
      <c r="AL805" s="1207"/>
      <c r="AU805" s="1207"/>
      <c r="AV805" s="1207"/>
      <c r="AW805" s="1207"/>
      <c r="AX805" s="1207"/>
      <c r="BA805" s="1207"/>
      <c r="BB805" s="1207"/>
      <c r="BC805" s="1207"/>
      <c r="BD805" s="1207"/>
      <c r="BG805" s="1207"/>
      <c r="BH805" s="1207"/>
      <c r="BI805" s="1207"/>
      <c r="BJ805" s="1207"/>
      <c r="BK805" s="1207"/>
      <c r="BL805" s="1207"/>
      <c r="BM805" s="1207"/>
      <c r="BN805" s="1207"/>
      <c r="BS805" s="1207"/>
      <c r="BT805" s="1207"/>
      <c r="BU805" s="1207"/>
      <c r="BV805" s="1207"/>
      <c r="BY805" s="1207"/>
      <c r="BZ805" s="1207"/>
      <c r="CA805" s="1207"/>
      <c r="CB805" s="1207"/>
      <c r="CG805" s="1207"/>
      <c r="CH805" s="1207"/>
      <c r="CI805" s="1207"/>
      <c r="CJ805" s="1207"/>
      <c r="CM805" s="1207"/>
      <c r="CN805" s="1207"/>
      <c r="CO805" s="1207"/>
      <c r="CP805" s="1207"/>
      <c r="CQ805" s="1207"/>
      <c r="CR805" s="1207"/>
      <c r="CS805" s="1207"/>
      <c r="CT805" s="1207"/>
      <c r="CU805" s="1207"/>
      <c r="CV805" s="1207"/>
      <c r="CW805" s="1207"/>
      <c r="CX805" s="1207"/>
      <c r="CY805" s="1207"/>
      <c r="CZ805" s="1207"/>
      <c r="DA805" s="1207"/>
      <c r="DB805" s="1207"/>
      <c r="DE805" s="1207"/>
      <c r="DF805" s="1207"/>
      <c r="DG805" s="1207"/>
      <c r="DH805" s="1207"/>
      <c r="DS805" s="1207"/>
      <c r="DT805" s="1207"/>
      <c r="DU805" s="1207"/>
      <c r="DV805" s="1207"/>
      <c r="DY805" s="1207"/>
      <c r="DZ805" s="1207"/>
      <c r="EA805" s="1207"/>
      <c r="EB805" s="1207"/>
      <c r="EI805" s="1207"/>
      <c r="EJ805" s="1207"/>
      <c r="EK805" s="1207"/>
      <c r="EL805" s="1207"/>
      <c r="EM805" s="107"/>
      <c r="EN805" s="107"/>
      <c r="EO805" s="107"/>
      <c r="EP805" s="107"/>
      <c r="EQ805" s="368"/>
      <c r="ER805" s="368"/>
      <c r="ES805" s="368"/>
      <c r="ET805" s="368"/>
    </row>
    <row r="806" spans="1:150" x14ac:dyDescent="0.25">
      <c r="A806" s="1206"/>
      <c r="B806" s="1206"/>
      <c r="C806" s="1207"/>
      <c r="D806" s="1207"/>
      <c r="E806" s="1207"/>
      <c r="F806" s="1207"/>
      <c r="Q806" s="1207"/>
      <c r="R806" s="1207"/>
      <c r="S806" s="1207"/>
      <c r="T806" s="1207"/>
      <c r="U806" s="1207"/>
      <c r="V806" s="1207"/>
      <c r="W806" s="1207"/>
      <c r="X806" s="1207"/>
      <c r="Y806" s="1207"/>
      <c r="Z806" s="1207"/>
      <c r="AA806" s="1207"/>
      <c r="AB806" s="1207"/>
      <c r="AE806" s="1207"/>
      <c r="AF806" s="1207"/>
      <c r="AG806" s="1207"/>
      <c r="AH806" s="1207"/>
      <c r="AI806" s="1207"/>
      <c r="AJ806" s="1207"/>
      <c r="AK806" s="1207"/>
      <c r="AL806" s="1207"/>
      <c r="AU806" s="1207"/>
      <c r="AV806" s="1207"/>
      <c r="AW806" s="1207"/>
      <c r="AX806" s="1207"/>
      <c r="BA806" s="1207"/>
      <c r="BB806" s="1207"/>
      <c r="BC806" s="1207"/>
      <c r="BD806" s="1207"/>
      <c r="BG806" s="1207"/>
      <c r="BH806" s="1207"/>
      <c r="BI806" s="1207"/>
      <c r="BJ806" s="1207"/>
      <c r="BK806" s="1207"/>
      <c r="BL806" s="1207"/>
      <c r="BM806" s="1207"/>
      <c r="BN806" s="1207"/>
      <c r="BS806" s="1207"/>
      <c r="BT806" s="1207"/>
      <c r="BU806" s="1207"/>
      <c r="BV806" s="1207"/>
      <c r="BY806" s="1207"/>
      <c r="BZ806" s="1207"/>
      <c r="CA806" s="1207"/>
      <c r="CB806" s="1207"/>
      <c r="CG806" s="1207"/>
      <c r="CH806" s="1207"/>
      <c r="CI806" s="1207"/>
      <c r="CJ806" s="1207"/>
      <c r="CM806" s="1207"/>
      <c r="CN806" s="1207"/>
      <c r="CO806" s="1207"/>
      <c r="CP806" s="1207"/>
      <c r="CQ806" s="1207"/>
      <c r="CR806" s="1207"/>
      <c r="CS806" s="1207"/>
      <c r="CT806" s="1207"/>
      <c r="CU806" s="1207"/>
      <c r="CV806" s="1207"/>
      <c r="CW806" s="1207"/>
      <c r="CX806" s="1207"/>
      <c r="CY806" s="1207"/>
      <c r="CZ806" s="1207"/>
      <c r="DA806" s="1207"/>
      <c r="DB806" s="1207"/>
      <c r="DE806" s="1207"/>
      <c r="DF806" s="1207"/>
      <c r="DG806" s="1207"/>
      <c r="DH806" s="1207"/>
      <c r="DS806" s="1207"/>
      <c r="DT806" s="1207"/>
      <c r="DU806" s="1207"/>
      <c r="DV806" s="1207"/>
      <c r="DY806" s="1207"/>
      <c r="DZ806" s="1207"/>
      <c r="EA806" s="1207"/>
      <c r="EB806" s="1207"/>
      <c r="EI806" s="1207"/>
      <c r="EJ806" s="1207"/>
      <c r="EK806" s="1207"/>
      <c r="EL806" s="1207"/>
      <c r="EM806" s="107"/>
      <c r="EN806" s="107"/>
      <c r="EO806" s="107"/>
      <c r="EP806" s="107"/>
      <c r="EQ806" s="368"/>
      <c r="ER806" s="368"/>
      <c r="ES806" s="368"/>
      <c r="ET806" s="368"/>
    </row>
    <row r="807" spans="1:150" x14ac:dyDescent="0.25">
      <c r="A807" s="1206"/>
      <c r="B807" s="1206"/>
      <c r="C807" s="1207"/>
      <c r="D807" s="1207"/>
      <c r="E807" s="1207"/>
      <c r="F807" s="1207"/>
      <c r="Q807" s="1207"/>
      <c r="R807" s="1207"/>
      <c r="S807" s="1207"/>
      <c r="T807" s="1207"/>
      <c r="U807" s="1207"/>
      <c r="V807" s="1207"/>
      <c r="W807" s="1207"/>
      <c r="X807" s="1207"/>
      <c r="Y807" s="1207"/>
      <c r="Z807" s="1207"/>
      <c r="AA807" s="1207"/>
      <c r="AB807" s="1207"/>
      <c r="AE807" s="1207"/>
      <c r="AF807" s="1207"/>
      <c r="AG807" s="1207"/>
      <c r="AH807" s="1207"/>
      <c r="AI807" s="1207"/>
      <c r="AJ807" s="1207"/>
      <c r="AK807" s="1207"/>
      <c r="AL807" s="1207"/>
      <c r="AU807" s="1207"/>
      <c r="AV807" s="1207"/>
      <c r="AW807" s="1207"/>
      <c r="AX807" s="1207"/>
      <c r="BA807" s="1207"/>
      <c r="BB807" s="1207"/>
      <c r="BC807" s="1207"/>
      <c r="BD807" s="1207"/>
      <c r="BG807" s="1207"/>
      <c r="BH807" s="1207"/>
      <c r="BI807" s="1207"/>
      <c r="BJ807" s="1207"/>
      <c r="BK807" s="1207"/>
      <c r="BL807" s="1207"/>
      <c r="BM807" s="1207"/>
      <c r="BN807" s="1207"/>
      <c r="BS807" s="1207"/>
      <c r="BT807" s="1207"/>
      <c r="BU807" s="1207"/>
      <c r="BV807" s="1207"/>
      <c r="BY807" s="1207"/>
      <c r="BZ807" s="1207"/>
      <c r="CA807" s="1207"/>
      <c r="CB807" s="1207"/>
      <c r="CG807" s="1207"/>
      <c r="CH807" s="1207"/>
      <c r="CI807" s="1207"/>
      <c r="CJ807" s="1207"/>
      <c r="CM807" s="1207"/>
      <c r="CN807" s="1207"/>
      <c r="CO807" s="1207"/>
      <c r="CP807" s="1207"/>
      <c r="CQ807" s="1207"/>
      <c r="CR807" s="1207"/>
      <c r="CS807" s="1207"/>
      <c r="CT807" s="1207"/>
      <c r="CU807" s="1207"/>
      <c r="CV807" s="1207"/>
      <c r="CW807" s="1207"/>
      <c r="CX807" s="1207"/>
      <c r="CY807" s="1207"/>
      <c r="CZ807" s="1207"/>
      <c r="DA807" s="1207"/>
      <c r="DB807" s="1207"/>
      <c r="DE807" s="1207"/>
      <c r="DF807" s="1207"/>
      <c r="DG807" s="1207"/>
      <c r="DH807" s="1207"/>
      <c r="DS807" s="1207"/>
      <c r="DT807" s="1207"/>
      <c r="DU807" s="1207"/>
      <c r="DV807" s="1207"/>
      <c r="DY807" s="1207"/>
      <c r="DZ807" s="1207"/>
      <c r="EA807" s="1207"/>
      <c r="EB807" s="1207"/>
      <c r="EI807" s="1207"/>
      <c r="EJ807" s="1207"/>
      <c r="EK807" s="1207"/>
      <c r="EL807" s="1207"/>
      <c r="EM807" s="107"/>
      <c r="EN807" s="107"/>
      <c r="EO807" s="107"/>
      <c r="EP807" s="107"/>
      <c r="EQ807" s="368"/>
      <c r="ER807" s="368"/>
      <c r="ES807" s="368"/>
      <c r="ET807" s="368"/>
    </row>
    <row r="808" spans="1:150" x14ac:dyDescent="0.25">
      <c r="A808" s="1206"/>
      <c r="B808" s="1206"/>
      <c r="C808" s="1207"/>
      <c r="D808" s="1207"/>
      <c r="E808" s="1207"/>
      <c r="F808" s="1207"/>
      <c r="Q808" s="1207"/>
      <c r="R808" s="1207"/>
      <c r="S808" s="1207"/>
      <c r="T808" s="1207"/>
      <c r="U808" s="1207"/>
      <c r="V808" s="1207"/>
      <c r="W808" s="1207"/>
      <c r="X808" s="1207"/>
      <c r="Y808" s="1207"/>
      <c r="Z808" s="1207"/>
      <c r="AA808" s="1207"/>
      <c r="AB808" s="1207"/>
      <c r="AE808" s="1207"/>
      <c r="AF808" s="1207"/>
      <c r="AG808" s="1207"/>
      <c r="AH808" s="1207"/>
      <c r="AI808" s="1207"/>
      <c r="AJ808" s="1207"/>
      <c r="AK808" s="1207"/>
      <c r="AL808" s="1207"/>
      <c r="AU808" s="1207"/>
      <c r="AV808" s="1207"/>
      <c r="AW808" s="1207"/>
      <c r="AX808" s="1207"/>
      <c r="BA808" s="1207"/>
      <c r="BB808" s="1207"/>
      <c r="BC808" s="1207"/>
      <c r="BD808" s="1207"/>
      <c r="BG808" s="1207"/>
      <c r="BH808" s="1207"/>
      <c r="BI808" s="1207"/>
      <c r="BJ808" s="1207"/>
      <c r="BK808" s="1207"/>
      <c r="BL808" s="1207"/>
      <c r="BM808" s="1207"/>
      <c r="BN808" s="1207"/>
      <c r="BS808" s="1207"/>
      <c r="BT808" s="1207"/>
      <c r="BU808" s="1207"/>
      <c r="BV808" s="1207"/>
      <c r="BY808" s="1207"/>
      <c r="BZ808" s="1207"/>
      <c r="CA808" s="1207"/>
      <c r="CB808" s="1207"/>
      <c r="CG808" s="1207"/>
      <c r="CH808" s="1207"/>
      <c r="CI808" s="1207"/>
      <c r="CJ808" s="1207"/>
      <c r="CM808" s="1207"/>
      <c r="CN808" s="1207"/>
      <c r="CO808" s="1207"/>
      <c r="CP808" s="1207"/>
      <c r="CQ808" s="1207"/>
      <c r="CR808" s="1207"/>
      <c r="CS808" s="1207"/>
      <c r="CT808" s="1207"/>
      <c r="CU808" s="1207"/>
      <c r="CV808" s="1207"/>
      <c r="CW808" s="1207"/>
      <c r="CX808" s="1207"/>
      <c r="CY808" s="1207"/>
      <c r="CZ808" s="1207"/>
      <c r="DA808" s="1207"/>
      <c r="DB808" s="1207"/>
      <c r="DE808" s="1207"/>
      <c r="DF808" s="1207"/>
      <c r="DG808" s="1207"/>
      <c r="DH808" s="1207"/>
      <c r="DS808" s="1207"/>
      <c r="DT808" s="1207"/>
      <c r="DU808" s="1207"/>
      <c r="DV808" s="1207"/>
      <c r="DY808" s="1207"/>
      <c r="DZ808" s="1207"/>
      <c r="EA808" s="1207"/>
      <c r="EB808" s="1207"/>
      <c r="EI808" s="1207"/>
      <c r="EJ808" s="1207"/>
      <c r="EK808" s="1207"/>
      <c r="EL808" s="1207"/>
      <c r="EM808" s="107"/>
      <c r="EN808" s="107"/>
      <c r="EO808" s="107"/>
      <c r="EP808" s="107"/>
      <c r="EQ808" s="368"/>
      <c r="ER808" s="368"/>
      <c r="ES808" s="368"/>
      <c r="ET808" s="368"/>
    </row>
    <row r="809" spans="1:150" x14ac:dyDescent="0.25">
      <c r="A809" s="1206"/>
      <c r="B809" s="1206"/>
      <c r="C809" s="1207"/>
      <c r="D809" s="1207"/>
      <c r="E809" s="1207"/>
      <c r="F809" s="1207"/>
      <c r="Q809" s="1207"/>
      <c r="R809" s="1207"/>
      <c r="S809" s="1207"/>
      <c r="T809" s="1207"/>
      <c r="U809" s="1207"/>
      <c r="V809" s="1207"/>
      <c r="W809" s="1207"/>
      <c r="X809" s="1207"/>
      <c r="Y809" s="1207"/>
      <c r="Z809" s="1207"/>
      <c r="AA809" s="1207"/>
      <c r="AB809" s="1207"/>
      <c r="AE809" s="1207"/>
      <c r="AF809" s="1207"/>
      <c r="AG809" s="1207"/>
      <c r="AH809" s="1207"/>
      <c r="AI809" s="1207"/>
      <c r="AJ809" s="1207"/>
      <c r="AK809" s="1207"/>
      <c r="AL809" s="1207"/>
      <c r="AU809" s="1207"/>
      <c r="AV809" s="1207"/>
      <c r="AW809" s="1207"/>
      <c r="AX809" s="1207"/>
      <c r="BA809" s="1207"/>
      <c r="BB809" s="1207"/>
      <c r="BC809" s="1207"/>
      <c r="BD809" s="1207"/>
      <c r="BG809" s="1207"/>
      <c r="BH809" s="1207"/>
      <c r="BI809" s="1207"/>
      <c r="BJ809" s="1207"/>
      <c r="BK809" s="1207"/>
      <c r="BL809" s="1207"/>
      <c r="BM809" s="1207"/>
      <c r="BN809" s="1207"/>
      <c r="BS809" s="1207"/>
      <c r="BT809" s="1207"/>
      <c r="BU809" s="1207"/>
      <c r="BV809" s="1207"/>
      <c r="BY809" s="1207"/>
      <c r="BZ809" s="1207"/>
      <c r="CA809" s="1207"/>
      <c r="CB809" s="1207"/>
      <c r="CG809" s="1207"/>
      <c r="CH809" s="1207"/>
      <c r="CI809" s="1207"/>
      <c r="CJ809" s="1207"/>
      <c r="CM809" s="1207"/>
      <c r="CN809" s="1207"/>
      <c r="CO809" s="1207"/>
      <c r="CP809" s="1207"/>
      <c r="CQ809" s="1207"/>
      <c r="CR809" s="1207"/>
      <c r="CS809" s="1207"/>
      <c r="CT809" s="1207"/>
      <c r="CU809" s="1207"/>
      <c r="CV809" s="1207"/>
      <c r="CW809" s="1207"/>
      <c r="CX809" s="1207"/>
      <c r="CY809" s="1207"/>
      <c r="CZ809" s="1207"/>
      <c r="DA809" s="1207"/>
      <c r="DB809" s="1207"/>
      <c r="DE809" s="1207"/>
      <c r="DF809" s="1207"/>
      <c r="DG809" s="1207"/>
      <c r="DH809" s="1207"/>
      <c r="DS809" s="1207"/>
      <c r="DT809" s="1207"/>
      <c r="DU809" s="1207"/>
      <c r="DV809" s="1207"/>
      <c r="DY809" s="1207"/>
      <c r="DZ809" s="1207"/>
      <c r="EA809" s="1207"/>
      <c r="EB809" s="1207"/>
      <c r="EI809" s="1207"/>
      <c r="EJ809" s="1207"/>
      <c r="EK809" s="1207"/>
      <c r="EL809" s="1207"/>
      <c r="EM809" s="107"/>
      <c r="EN809" s="107"/>
      <c r="EO809" s="107"/>
      <c r="EP809" s="107"/>
      <c r="EQ809" s="368"/>
      <c r="ER809" s="368"/>
      <c r="ES809" s="368"/>
      <c r="ET809" s="368"/>
    </row>
    <row r="810" spans="1:150" x14ac:dyDescent="0.25">
      <c r="A810" s="1206"/>
      <c r="B810" s="1206"/>
      <c r="C810" s="1207"/>
      <c r="D810" s="1207"/>
      <c r="E810" s="1207"/>
      <c r="F810" s="1207"/>
      <c r="Q810" s="1207"/>
      <c r="R810" s="1207"/>
      <c r="S810" s="1207"/>
      <c r="T810" s="1207"/>
      <c r="U810" s="1207"/>
      <c r="V810" s="1207"/>
      <c r="W810" s="1207"/>
      <c r="X810" s="1207"/>
      <c r="Y810" s="1207"/>
      <c r="Z810" s="1207"/>
      <c r="AA810" s="1207"/>
      <c r="AB810" s="1207"/>
      <c r="AE810" s="1207"/>
      <c r="AF810" s="1207"/>
      <c r="AG810" s="1207"/>
      <c r="AH810" s="1207"/>
      <c r="AI810" s="1207"/>
      <c r="AJ810" s="1207"/>
      <c r="AK810" s="1207"/>
      <c r="AL810" s="1207"/>
      <c r="AU810" s="1207"/>
      <c r="AV810" s="1207"/>
      <c r="AW810" s="1207"/>
      <c r="AX810" s="1207"/>
      <c r="BA810" s="1207"/>
      <c r="BB810" s="1207"/>
      <c r="BC810" s="1207"/>
      <c r="BD810" s="1207"/>
      <c r="BG810" s="1207"/>
      <c r="BH810" s="1207"/>
      <c r="BI810" s="1207"/>
      <c r="BJ810" s="1207"/>
      <c r="BK810" s="1207"/>
      <c r="BL810" s="1207"/>
      <c r="BM810" s="1207"/>
      <c r="BN810" s="1207"/>
      <c r="BS810" s="1207"/>
      <c r="BT810" s="1207"/>
      <c r="BU810" s="1207"/>
      <c r="BV810" s="1207"/>
      <c r="BY810" s="1207"/>
      <c r="BZ810" s="1207"/>
      <c r="CA810" s="1207"/>
      <c r="CB810" s="1207"/>
      <c r="CG810" s="1207"/>
      <c r="CH810" s="1207"/>
      <c r="CI810" s="1207"/>
      <c r="CJ810" s="1207"/>
      <c r="CM810" s="1207"/>
      <c r="CN810" s="1207"/>
      <c r="CO810" s="1207"/>
      <c r="CP810" s="1207"/>
      <c r="CQ810" s="1207"/>
      <c r="CR810" s="1207"/>
      <c r="CS810" s="1207"/>
      <c r="CT810" s="1207"/>
      <c r="CU810" s="1207"/>
      <c r="CV810" s="1207"/>
      <c r="CW810" s="1207"/>
      <c r="CX810" s="1207"/>
      <c r="CY810" s="1207"/>
      <c r="CZ810" s="1207"/>
      <c r="DA810" s="1207"/>
      <c r="DB810" s="1207"/>
      <c r="DE810" s="1207"/>
      <c r="DF810" s="1207"/>
      <c r="DG810" s="1207"/>
      <c r="DH810" s="1207"/>
      <c r="DS810" s="1207"/>
      <c r="DT810" s="1207"/>
      <c r="DU810" s="1207"/>
      <c r="DV810" s="1207"/>
      <c r="DY810" s="1207"/>
      <c r="DZ810" s="1207"/>
      <c r="EA810" s="1207"/>
      <c r="EB810" s="1207"/>
      <c r="EI810" s="1207"/>
      <c r="EJ810" s="1207"/>
      <c r="EK810" s="1207"/>
      <c r="EL810" s="1207"/>
      <c r="EM810" s="107"/>
      <c r="EN810" s="107"/>
      <c r="EO810" s="107"/>
      <c r="EP810" s="107"/>
      <c r="EQ810" s="368"/>
      <c r="ER810" s="368"/>
      <c r="ES810" s="368"/>
      <c r="ET810" s="368"/>
    </row>
    <row r="811" spans="1:150" x14ac:dyDescent="0.25">
      <c r="A811" s="1206"/>
      <c r="B811" s="1206"/>
      <c r="C811" s="1207"/>
      <c r="D811" s="1207"/>
      <c r="E811" s="1207"/>
      <c r="F811" s="1207"/>
      <c r="Q811" s="1207"/>
      <c r="R811" s="1207"/>
      <c r="S811" s="1207"/>
      <c r="T811" s="1207"/>
      <c r="U811" s="1207"/>
      <c r="V811" s="1207"/>
      <c r="W811" s="1207"/>
      <c r="X811" s="1207"/>
      <c r="Y811" s="1207"/>
      <c r="Z811" s="1207"/>
      <c r="AA811" s="1207"/>
      <c r="AB811" s="1207"/>
      <c r="AE811" s="1207"/>
      <c r="AF811" s="1207"/>
      <c r="AG811" s="1207"/>
      <c r="AH811" s="1207"/>
      <c r="AI811" s="1207"/>
      <c r="AJ811" s="1207"/>
      <c r="AK811" s="1207"/>
      <c r="AL811" s="1207"/>
      <c r="AU811" s="1207"/>
      <c r="AV811" s="1207"/>
      <c r="AW811" s="1207"/>
      <c r="AX811" s="1207"/>
      <c r="BA811" s="1207"/>
      <c r="BB811" s="1207"/>
      <c r="BC811" s="1207"/>
      <c r="BD811" s="1207"/>
      <c r="BG811" s="1207"/>
      <c r="BH811" s="1207"/>
      <c r="BI811" s="1207"/>
      <c r="BJ811" s="1207"/>
      <c r="BK811" s="1207"/>
      <c r="BL811" s="1207"/>
      <c r="BM811" s="1207"/>
      <c r="BN811" s="1207"/>
      <c r="BS811" s="1207"/>
      <c r="BT811" s="1207"/>
      <c r="BU811" s="1207"/>
      <c r="BV811" s="1207"/>
      <c r="BY811" s="1207"/>
      <c r="BZ811" s="1207"/>
      <c r="CA811" s="1207"/>
      <c r="CB811" s="1207"/>
      <c r="CG811" s="1207"/>
      <c r="CH811" s="1207"/>
      <c r="CI811" s="1207"/>
      <c r="CJ811" s="1207"/>
      <c r="CM811" s="1207"/>
      <c r="CN811" s="1207"/>
      <c r="CO811" s="1207"/>
      <c r="CP811" s="1207"/>
      <c r="CQ811" s="1207"/>
      <c r="CR811" s="1207"/>
      <c r="CS811" s="1207"/>
      <c r="CT811" s="1207"/>
      <c r="CU811" s="1207"/>
      <c r="CV811" s="1207"/>
      <c r="CW811" s="1207"/>
      <c r="CX811" s="1207"/>
      <c r="CY811" s="1207"/>
      <c r="CZ811" s="1207"/>
      <c r="DA811" s="1207"/>
      <c r="DB811" s="1207"/>
      <c r="DE811" s="1207"/>
      <c r="DF811" s="1207"/>
      <c r="DG811" s="1207"/>
      <c r="DH811" s="1207"/>
      <c r="DS811" s="1207"/>
      <c r="DT811" s="1207"/>
      <c r="DU811" s="1207"/>
      <c r="DV811" s="1207"/>
      <c r="DY811" s="1207"/>
      <c r="DZ811" s="1207"/>
      <c r="EA811" s="1207"/>
      <c r="EB811" s="1207"/>
      <c r="EI811" s="1207"/>
      <c r="EJ811" s="1207"/>
      <c r="EK811" s="1207"/>
      <c r="EL811" s="1207"/>
      <c r="EM811" s="107"/>
      <c r="EN811" s="107"/>
      <c r="EO811" s="107"/>
      <c r="EP811" s="107"/>
      <c r="EQ811" s="368"/>
      <c r="ER811" s="368"/>
      <c r="ES811" s="368"/>
      <c r="ET811" s="368"/>
    </row>
    <row r="812" spans="1:150" x14ac:dyDescent="0.25">
      <c r="A812" s="1206"/>
      <c r="B812" s="1206"/>
      <c r="C812" s="1207"/>
      <c r="D812" s="1207"/>
      <c r="E812" s="1207"/>
      <c r="F812" s="1207"/>
      <c r="Q812" s="1207"/>
      <c r="R812" s="1207"/>
      <c r="S812" s="1207"/>
      <c r="T812" s="1207"/>
      <c r="U812" s="1207"/>
      <c r="V812" s="1207"/>
      <c r="W812" s="1207"/>
      <c r="X812" s="1207"/>
      <c r="Y812" s="1207"/>
      <c r="Z812" s="1207"/>
      <c r="AA812" s="1207"/>
      <c r="AB812" s="1207"/>
      <c r="AE812" s="1207"/>
      <c r="AF812" s="1207"/>
      <c r="AG812" s="1207"/>
      <c r="AH812" s="1207"/>
      <c r="AI812" s="1207"/>
      <c r="AJ812" s="1207"/>
      <c r="AK812" s="1207"/>
      <c r="AL812" s="1207"/>
      <c r="AU812" s="1207"/>
      <c r="AV812" s="1207"/>
      <c r="AW812" s="1207"/>
      <c r="AX812" s="1207"/>
      <c r="BA812" s="1207"/>
      <c r="BB812" s="1207"/>
      <c r="BC812" s="1207"/>
      <c r="BD812" s="1207"/>
      <c r="BG812" s="1207"/>
      <c r="BH812" s="1207"/>
      <c r="BI812" s="1207"/>
      <c r="BJ812" s="1207"/>
      <c r="BK812" s="1207"/>
      <c r="BL812" s="1207"/>
      <c r="BM812" s="1207"/>
      <c r="BN812" s="1207"/>
      <c r="BS812" s="1207"/>
      <c r="BT812" s="1207"/>
      <c r="BU812" s="1207"/>
      <c r="BV812" s="1207"/>
      <c r="BY812" s="1207"/>
      <c r="BZ812" s="1207"/>
      <c r="CA812" s="1207"/>
      <c r="CB812" s="1207"/>
      <c r="CG812" s="1207"/>
      <c r="CH812" s="1207"/>
      <c r="CI812" s="1207"/>
      <c r="CJ812" s="1207"/>
      <c r="CM812" s="1207"/>
      <c r="CN812" s="1207"/>
      <c r="CO812" s="1207"/>
      <c r="CP812" s="1207"/>
      <c r="CQ812" s="1207"/>
      <c r="CR812" s="1207"/>
      <c r="CS812" s="1207"/>
      <c r="CT812" s="1207"/>
      <c r="CU812" s="1207"/>
      <c r="CV812" s="1207"/>
      <c r="CW812" s="1207"/>
      <c r="CX812" s="1207"/>
      <c r="CY812" s="1207"/>
      <c r="CZ812" s="1207"/>
      <c r="DA812" s="1207"/>
      <c r="DB812" s="1207"/>
      <c r="DE812" s="1207"/>
      <c r="DF812" s="1207"/>
      <c r="DG812" s="1207"/>
      <c r="DH812" s="1207"/>
      <c r="DS812" s="1207"/>
      <c r="DT812" s="1207"/>
      <c r="DU812" s="1207"/>
      <c r="DV812" s="1207"/>
      <c r="DY812" s="1207"/>
      <c r="DZ812" s="1207"/>
      <c r="EA812" s="1207"/>
      <c r="EB812" s="1207"/>
      <c r="EI812" s="1207"/>
      <c r="EJ812" s="1207"/>
      <c r="EK812" s="1207"/>
      <c r="EL812" s="1207"/>
      <c r="EM812" s="107"/>
      <c r="EN812" s="107"/>
      <c r="EO812" s="107"/>
      <c r="EP812" s="107"/>
      <c r="EQ812" s="368"/>
      <c r="ER812" s="368"/>
      <c r="ES812" s="368"/>
      <c r="ET812" s="368"/>
    </row>
    <row r="813" spans="1:150" x14ac:dyDescent="0.25">
      <c r="A813" s="1206"/>
      <c r="B813" s="1206"/>
      <c r="C813" s="1207"/>
      <c r="D813" s="1207"/>
      <c r="E813" s="1207"/>
      <c r="F813" s="1207"/>
      <c r="Q813" s="1207"/>
      <c r="R813" s="1207"/>
      <c r="S813" s="1207"/>
      <c r="T813" s="1207"/>
      <c r="U813" s="1207"/>
      <c r="V813" s="1207"/>
      <c r="W813" s="1207"/>
      <c r="X813" s="1207"/>
      <c r="Y813" s="1207"/>
      <c r="Z813" s="1207"/>
      <c r="AA813" s="1207"/>
      <c r="AB813" s="1207"/>
      <c r="AE813" s="1207"/>
      <c r="AF813" s="1207"/>
      <c r="AG813" s="1207"/>
      <c r="AH813" s="1207"/>
      <c r="AI813" s="1207"/>
      <c r="AJ813" s="1207"/>
      <c r="AK813" s="1207"/>
      <c r="AL813" s="1207"/>
      <c r="AU813" s="1207"/>
      <c r="AV813" s="1207"/>
      <c r="AW813" s="1207"/>
      <c r="AX813" s="1207"/>
      <c r="BA813" s="1207"/>
      <c r="BB813" s="1207"/>
      <c r="BC813" s="1207"/>
      <c r="BD813" s="1207"/>
      <c r="BG813" s="1207"/>
      <c r="BH813" s="1207"/>
      <c r="BI813" s="1207"/>
      <c r="BJ813" s="1207"/>
      <c r="BK813" s="1207"/>
      <c r="BL813" s="1207"/>
      <c r="BM813" s="1207"/>
      <c r="BN813" s="1207"/>
      <c r="BS813" s="1207"/>
      <c r="BT813" s="1207"/>
      <c r="BU813" s="1207"/>
      <c r="BV813" s="1207"/>
      <c r="BY813" s="1207"/>
      <c r="BZ813" s="1207"/>
      <c r="CA813" s="1207"/>
      <c r="CB813" s="1207"/>
      <c r="CG813" s="1207"/>
      <c r="CH813" s="1207"/>
      <c r="CI813" s="1207"/>
      <c r="CJ813" s="1207"/>
      <c r="CM813" s="1207"/>
      <c r="CN813" s="1207"/>
      <c r="CO813" s="1207"/>
      <c r="CP813" s="1207"/>
      <c r="CQ813" s="1207"/>
      <c r="CR813" s="1207"/>
      <c r="CS813" s="1207"/>
      <c r="CT813" s="1207"/>
      <c r="CU813" s="1207"/>
      <c r="CV813" s="1207"/>
      <c r="CW813" s="1207"/>
      <c r="CX813" s="1207"/>
      <c r="CY813" s="1207"/>
      <c r="CZ813" s="1207"/>
      <c r="DA813" s="1207"/>
      <c r="DB813" s="1207"/>
      <c r="DE813" s="1207"/>
      <c r="DF813" s="1207"/>
      <c r="DG813" s="1207"/>
      <c r="DH813" s="1207"/>
      <c r="DS813" s="1207"/>
      <c r="DT813" s="1207"/>
      <c r="DU813" s="1207"/>
      <c r="DV813" s="1207"/>
      <c r="DY813" s="1207"/>
      <c r="DZ813" s="1207"/>
      <c r="EA813" s="1207"/>
      <c r="EB813" s="1207"/>
      <c r="EI813" s="1207"/>
      <c r="EJ813" s="1207"/>
      <c r="EK813" s="1207"/>
      <c r="EL813" s="1207"/>
      <c r="EM813" s="107"/>
      <c r="EN813" s="107"/>
      <c r="EO813" s="107"/>
      <c r="EP813" s="107"/>
      <c r="EQ813" s="368"/>
      <c r="ER813" s="368"/>
      <c r="ES813" s="368"/>
      <c r="ET813" s="368"/>
    </row>
    <row r="814" spans="1:150" x14ac:dyDescent="0.25">
      <c r="A814" s="1206"/>
      <c r="B814" s="1206"/>
      <c r="C814" s="1207"/>
      <c r="D814" s="1207"/>
      <c r="E814" s="1207"/>
      <c r="F814" s="1207"/>
      <c r="Q814" s="1207"/>
      <c r="R814" s="1207"/>
      <c r="S814" s="1207"/>
      <c r="T814" s="1207"/>
      <c r="U814" s="1207"/>
      <c r="V814" s="1207"/>
      <c r="W814" s="1207"/>
      <c r="X814" s="1207"/>
      <c r="Y814" s="1207"/>
      <c r="Z814" s="1207"/>
      <c r="AA814" s="1207"/>
      <c r="AB814" s="1207"/>
      <c r="AE814" s="1207"/>
      <c r="AF814" s="1207"/>
      <c r="AG814" s="1207"/>
      <c r="AH814" s="1207"/>
      <c r="AI814" s="1207"/>
      <c r="AJ814" s="1207"/>
      <c r="AK814" s="1207"/>
      <c r="AL814" s="1207"/>
      <c r="AU814" s="1207"/>
      <c r="AV814" s="1207"/>
      <c r="AW814" s="1207"/>
      <c r="AX814" s="1207"/>
      <c r="BA814" s="1207"/>
      <c r="BB814" s="1207"/>
      <c r="BC814" s="1207"/>
      <c r="BD814" s="1207"/>
      <c r="BG814" s="1207"/>
      <c r="BH814" s="1207"/>
      <c r="BI814" s="1207"/>
      <c r="BJ814" s="1207"/>
      <c r="BK814" s="1207"/>
      <c r="BL814" s="1207"/>
      <c r="BM814" s="1207"/>
      <c r="BN814" s="1207"/>
      <c r="BS814" s="1207"/>
      <c r="BT814" s="1207"/>
      <c r="BU814" s="1207"/>
      <c r="BV814" s="1207"/>
      <c r="BY814" s="1207"/>
      <c r="BZ814" s="1207"/>
      <c r="CA814" s="1207"/>
      <c r="CB814" s="1207"/>
      <c r="CG814" s="1207"/>
      <c r="CH814" s="1207"/>
      <c r="CI814" s="1207"/>
      <c r="CJ814" s="1207"/>
      <c r="CM814" s="1207"/>
      <c r="CN814" s="1207"/>
      <c r="CO814" s="1207"/>
      <c r="CP814" s="1207"/>
      <c r="CQ814" s="1207"/>
      <c r="CR814" s="1207"/>
      <c r="CS814" s="1207"/>
      <c r="CT814" s="1207"/>
      <c r="CU814" s="1207"/>
      <c r="CV814" s="1207"/>
      <c r="CW814" s="1207"/>
      <c r="CX814" s="1207"/>
      <c r="CY814" s="1207"/>
      <c r="CZ814" s="1207"/>
      <c r="DA814" s="1207"/>
      <c r="DB814" s="1207"/>
      <c r="DE814" s="1207"/>
      <c r="DF814" s="1207"/>
      <c r="DG814" s="1207"/>
      <c r="DH814" s="1207"/>
      <c r="DS814" s="1207"/>
      <c r="DT814" s="1207"/>
      <c r="DU814" s="1207"/>
      <c r="DV814" s="1207"/>
      <c r="DY814" s="1207"/>
      <c r="DZ814" s="1207"/>
      <c r="EA814" s="1207"/>
      <c r="EB814" s="1207"/>
      <c r="EI814" s="1207"/>
      <c r="EJ814" s="1207"/>
      <c r="EK814" s="1207"/>
      <c r="EL814" s="1207"/>
      <c r="EM814" s="107"/>
      <c r="EN814" s="107"/>
      <c r="EO814" s="107"/>
      <c r="EP814" s="107"/>
      <c r="EQ814" s="368"/>
      <c r="ER814" s="368"/>
      <c r="ES814" s="368"/>
      <c r="ET814" s="368"/>
    </row>
    <row r="815" spans="1:150" x14ac:dyDescent="0.25">
      <c r="A815" s="1206"/>
      <c r="B815" s="1206"/>
      <c r="C815" s="1207"/>
      <c r="D815" s="1207"/>
      <c r="E815" s="1207"/>
      <c r="F815" s="1207"/>
      <c r="Q815" s="1207"/>
      <c r="R815" s="1207"/>
      <c r="S815" s="1207"/>
      <c r="T815" s="1207"/>
      <c r="U815" s="1207"/>
      <c r="V815" s="1207"/>
      <c r="W815" s="1207"/>
      <c r="X815" s="1207"/>
      <c r="Y815" s="1207"/>
      <c r="Z815" s="1207"/>
      <c r="AA815" s="1207"/>
      <c r="AB815" s="1207"/>
      <c r="AE815" s="1207"/>
      <c r="AF815" s="1207"/>
      <c r="AG815" s="1207"/>
      <c r="AH815" s="1207"/>
      <c r="AI815" s="1207"/>
      <c r="AJ815" s="1207"/>
      <c r="AK815" s="1207"/>
      <c r="AL815" s="1207"/>
      <c r="AU815" s="1207"/>
      <c r="AV815" s="1207"/>
      <c r="AW815" s="1207"/>
      <c r="AX815" s="1207"/>
      <c r="BA815" s="1207"/>
      <c r="BB815" s="1207"/>
      <c r="BC815" s="1207"/>
      <c r="BD815" s="1207"/>
      <c r="BG815" s="1207"/>
      <c r="BH815" s="1207"/>
      <c r="BI815" s="1207"/>
      <c r="BJ815" s="1207"/>
      <c r="BK815" s="1207"/>
      <c r="BL815" s="1207"/>
      <c r="BM815" s="1207"/>
      <c r="BN815" s="1207"/>
      <c r="BS815" s="1207"/>
      <c r="BT815" s="1207"/>
      <c r="BU815" s="1207"/>
      <c r="BV815" s="1207"/>
      <c r="BY815" s="1207"/>
      <c r="BZ815" s="1207"/>
      <c r="CA815" s="1207"/>
      <c r="CB815" s="1207"/>
      <c r="CG815" s="1207"/>
      <c r="CH815" s="1207"/>
      <c r="CI815" s="1207"/>
      <c r="CJ815" s="1207"/>
      <c r="CM815" s="1207"/>
      <c r="CN815" s="1207"/>
      <c r="CO815" s="1207"/>
      <c r="CP815" s="1207"/>
      <c r="CQ815" s="1207"/>
      <c r="CR815" s="1207"/>
      <c r="CS815" s="1207"/>
      <c r="CT815" s="1207"/>
      <c r="CU815" s="1207"/>
      <c r="CV815" s="1207"/>
      <c r="CW815" s="1207"/>
      <c r="CX815" s="1207"/>
      <c r="CY815" s="1207"/>
      <c r="CZ815" s="1207"/>
      <c r="DA815" s="1207"/>
      <c r="DB815" s="1207"/>
      <c r="DE815" s="1207"/>
      <c r="DF815" s="1207"/>
      <c r="DG815" s="1207"/>
      <c r="DH815" s="1207"/>
      <c r="DS815" s="1207"/>
      <c r="DT815" s="1207"/>
      <c r="DU815" s="1207"/>
      <c r="DV815" s="1207"/>
      <c r="DY815" s="1207"/>
      <c r="DZ815" s="1207"/>
      <c r="EA815" s="1207"/>
      <c r="EB815" s="1207"/>
      <c r="EI815" s="1207"/>
      <c r="EJ815" s="1207"/>
      <c r="EK815" s="1207"/>
      <c r="EL815" s="1207"/>
      <c r="EM815" s="107"/>
      <c r="EN815" s="107"/>
      <c r="EO815" s="107"/>
      <c r="EP815" s="107"/>
      <c r="EQ815" s="368"/>
      <c r="ER815" s="368"/>
      <c r="ES815" s="368"/>
      <c r="ET815" s="368"/>
    </row>
    <row r="816" spans="1:150" x14ac:dyDescent="0.25">
      <c r="A816" s="1206"/>
      <c r="B816" s="1206"/>
      <c r="C816" s="1207"/>
      <c r="D816" s="1207"/>
      <c r="E816" s="1207"/>
      <c r="F816" s="1207"/>
      <c r="Q816" s="1207"/>
      <c r="R816" s="1207"/>
      <c r="S816" s="1207"/>
      <c r="T816" s="1207"/>
      <c r="U816" s="1207"/>
      <c r="V816" s="1207"/>
      <c r="W816" s="1207"/>
      <c r="X816" s="1207"/>
      <c r="Y816" s="1207"/>
      <c r="Z816" s="1207"/>
      <c r="AA816" s="1207"/>
      <c r="AB816" s="1207"/>
      <c r="AE816" s="1207"/>
      <c r="AF816" s="1207"/>
      <c r="AG816" s="1207"/>
      <c r="AH816" s="1207"/>
      <c r="AI816" s="1207"/>
      <c r="AJ816" s="1207"/>
      <c r="AK816" s="1207"/>
      <c r="AL816" s="1207"/>
      <c r="AU816" s="1207"/>
      <c r="AV816" s="1207"/>
      <c r="AW816" s="1207"/>
      <c r="AX816" s="1207"/>
      <c r="BA816" s="1207"/>
      <c r="BB816" s="1207"/>
      <c r="BC816" s="1207"/>
      <c r="BD816" s="1207"/>
      <c r="BG816" s="1207"/>
      <c r="BH816" s="1207"/>
      <c r="BI816" s="1207"/>
      <c r="BJ816" s="1207"/>
      <c r="BK816" s="1207"/>
      <c r="BL816" s="1207"/>
      <c r="BM816" s="1207"/>
      <c r="BN816" s="1207"/>
      <c r="BS816" s="1207"/>
      <c r="BT816" s="1207"/>
      <c r="BU816" s="1207"/>
      <c r="BV816" s="1207"/>
      <c r="BY816" s="1207"/>
      <c r="BZ816" s="1207"/>
      <c r="CA816" s="1207"/>
      <c r="CB816" s="1207"/>
      <c r="CG816" s="1207"/>
      <c r="CH816" s="1207"/>
      <c r="CI816" s="1207"/>
      <c r="CJ816" s="1207"/>
      <c r="CM816" s="1207"/>
      <c r="CN816" s="1207"/>
      <c r="CO816" s="1207"/>
      <c r="CP816" s="1207"/>
      <c r="CQ816" s="1207"/>
      <c r="CR816" s="1207"/>
      <c r="CS816" s="1207"/>
      <c r="CT816" s="1207"/>
      <c r="CU816" s="1207"/>
      <c r="CV816" s="1207"/>
      <c r="CW816" s="1207"/>
      <c r="CX816" s="1207"/>
      <c r="CY816" s="1207"/>
      <c r="CZ816" s="1207"/>
      <c r="DA816" s="1207"/>
      <c r="DB816" s="1207"/>
      <c r="DE816" s="1207"/>
      <c r="DF816" s="1207"/>
      <c r="DG816" s="1207"/>
      <c r="DH816" s="1207"/>
      <c r="DS816" s="1207"/>
      <c r="DT816" s="1207"/>
      <c r="DU816" s="1207"/>
      <c r="DV816" s="1207"/>
      <c r="DY816" s="1207"/>
      <c r="DZ816" s="1207"/>
      <c r="EA816" s="1207"/>
      <c r="EB816" s="1207"/>
      <c r="EI816" s="1207"/>
      <c r="EJ816" s="1207"/>
      <c r="EK816" s="1207"/>
      <c r="EL816" s="1207"/>
      <c r="EM816" s="107"/>
      <c r="EN816" s="107"/>
      <c r="EO816" s="107"/>
      <c r="EP816" s="107"/>
      <c r="EQ816" s="368"/>
      <c r="ER816" s="368"/>
      <c r="ES816" s="368"/>
      <c r="ET816" s="368"/>
    </row>
    <row r="817" spans="1:150" x14ac:dyDescent="0.25">
      <c r="A817" s="1206"/>
      <c r="B817" s="1206"/>
      <c r="C817" s="1207"/>
      <c r="D817" s="1207"/>
      <c r="E817" s="1207"/>
      <c r="F817" s="1207"/>
      <c r="Q817" s="1207"/>
      <c r="R817" s="1207"/>
      <c r="S817" s="1207"/>
      <c r="T817" s="1207"/>
      <c r="U817" s="1207"/>
      <c r="V817" s="1207"/>
      <c r="W817" s="1207"/>
      <c r="X817" s="1207"/>
      <c r="Y817" s="1207"/>
      <c r="Z817" s="1207"/>
      <c r="AA817" s="1207"/>
      <c r="AB817" s="1207"/>
      <c r="AE817" s="1207"/>
      <c r="AF817" s="1207"/>
      <c r="AG817" s="1207"/>
      <c r="AH817" s="1207"/>
      <c r="AI817" s="1207"/>
      <c r="AJ817" s="1207"/>
      <c r="AK817" s="1207"/>
      <c r="AL817" s="1207"/>
      <c r="AU817" s="1207"/>
      <c r="AV817" s="1207"/>
      <c r="AW817" s="1207"/>
      <c r="AX817" s="1207"/>
      <c r="BA817" s="1207"/>
      <c r="BB817" s="1207"/>
      <c r="BC817" s="1207"/>
      <c r="BD817" s="1207"/>
      <c r="BG817" s="1207"/>
      <c r="BH817" s="1207"/>
      <c r="BI817" s="1207"/>
      <c r="BJ817" s="1207"/>
      <c r="BK817" s="1207"/>
      <c r="BL817" s="1207"/>
      <c r="BM817" s="1207"/>
      <c r="BN817" s="1207"/>
      <c r="BS817" s="1207"/>
      <c r="BT817" s="1207"/>
      <c r="BU817" s="1207"/>
      <c r="BV817" s="1207"/>
      <c r="BY817" s="1207"/>
      <c r="BZ817" s="1207"/>
      <c r="CA817" s="1207"/>
      <c r="CB817" s="1207"/>
      <c r="CG817" s="1207"/>
      <c r="CH817" s="1207"/>
      <c r="CI817" s="1207"/>
      <c r="CJ817" s="1207"/>
      <c r="CM817" s="1207"/>
      <c r="CN817" s="1207"/>
      <c r="CO817" s="1207"/>
      <c r="CP817" s="1207"/>
      <c r="CQ817" s="1207"/>
      <c r="CR817" s="1207"/>
      <c r="CS817" s="1207"/>
      <c r="CT817" s="1207"/>
      <c r="CU817" s="1207"/>
      <c r="CV817" s="1207"/>
      <c r="CW817" s="1207"/>
      <c r="CX817" s="1207"/>
      <c r="CY817" s="1207"/>
      <c r="CZ817" s="1207"/>
      <c r="DA817" s="1207"/>
      <c r="DB817" s="1207"/>
      <c r="DE817" s="1207"/>
      <c r="DF817" s="1207"/>
      <c r="DG817" s="1207"/>
      <c r="DH817" s="1207"/>
      <c r="DS817" s="1207"/>
      <c r="DT817" s="1207"/>
      <c r="DU817" s="1207"/>
      <c r="DV817" s="1207"/>
      <c r="DY817" s="1207"/>
      <c r="DZ817" s="1207"/>
      <c r="EA817" s="1207"/>
      <c r="EB817" s="1207"/>
      <c r="EI817" s="1207"/>
      <c r="EJ817" s="1207"/>
      <c r="EK817" s="1207"/>
      <c r="EL817" s="1207"/>
      <c r="EM817" s="107"/>
      <c r="EN817" s="107"/>
      <c r="EO817" s="107"/>
      <c r="EP817" s="107"/>
      <c r="EQ817" s="368"/>
      <c r="ER817" s="368"/>
      <c r="ES817" s="368"/>
      <c r="ET817" s="368"/>
    </row>
    <row r="818" spans="1:150" x14ac:dyDescent="0.25">
      <c r="A818" s="1206"/>
      <c r="B818" s="1206"/>
      <c r="C818" s="1207"/>
      <c r="D818" s="1207"/>
      <c r="E818" s="1207"/>
      <c r="F818" s="1207"/>
      <c r="Q818" s="1207"/>
      <c r="R818" s="1207"/>
      <c r="S818" s="1207"/>
      <c r="T818" s="1207"/>
      <c r="U818" s="1207"/>
      <c r="V818" s="1207"/>
      <c r="W818" s="1207"/>
      <c r="X818" s="1207"/>
      <c r="Y818" s="1207"/>
      <c r="Z818" s="1207"/>
      <c r="AA818" s="1207"/>
      <c r="AB818" s="1207"/>
      <c r="AE818" s="1207"/>
      <c r="AF818" s="1207"/>
      <c r="AG818" s="1207"/>
      <c r="AH818" s="1207"/>
      <c r="AI818" s="1207"/>
      <c r="AJ818" s="1207"/>
      <c r="AK818" s="1207"/>
      <c r="AL818" s="1207"/>
      <c r="AU818" s="1207"/>
      <c r="AV818" s="1207"/>
      <c r="AW818" s="1207"/>
      <c r="AX818" s="1207"/>
      <c r="BA818" s="1207"/>
      <c r="BB818" s="1207"/>
      <c r="BC818" s="1207"/>
      <c r="BD818" s="1207"/>
      <c r="BG818" s="1207"/>
      <c r="BH818" s="1207"/>
      <c r="BI818" s="1207"/>
      <c r="BJ818" s="1207"/>
      <c r="BK818" s="1207"/>
      <c r="BL818" s="1207"/>
      <c r="BM818" s="1207"/>
      <c r="BN818" s="1207"/>
      <c r="BS818" s="1207"/>
      <c r="BT818" s="1207"/>
      <c r="BU818" s="1207"/>
      <c r="BV818" s="1207"/>
      <c r="BY818" s="1207"/>
      <c r="BZ818" s="1207"/>
      <c r="CA818" s="1207"/>
      <c r="CB818" s="1207"/>
      <c r="CG818" s="1207"/>
      <c r="CH818" s="1207"/>
      <c r="CI818" s="1207"/>
      <c r="CJ818" s="1207"/>
      <c r="CM818" s="1207"/>
      <c r="CN818" s="1207"/>
      <c r="CO818" s="1207"/>
      <c r="CP818" s="1207"/>
      <c r="CQ818" s="1207"/>
      <c r="CR818" s="1207"/>
      <c r="CS818" s="1207"/>
      <c r="CT818" s="1207"/>
      <c r="CU818" s="1207"/>
      <c r="CV818" s="1207"/>
      <c r="CW818" s="1207"/>
      <c r="CX818" s="1207"/>
      <c r="CY818" s="1207"/>
      <c r="CZ818" s="1207"/>
      <c r="DA818" s="1207"/>
      <c r="DB818" s="1207"/>
      <c r="DE818" s="1207"/>
      <c r="DF818" s="1207"/>
      <c r="DG818" s="1207"/>
      <c r="DH818" s="1207"/>
      <c r="DS818" s="1207"/>
      <c r="DT818" s="1207"/>
      <c r="DU818" s="1207"/>
      <c r="DV818" s="1207"/>
      <c r="DY818" s="1207"/>
      <c r="DZ818" s="1207"/>
      <c r="EA818" s="1207"/>
      <c r="EB818" s="1207"/>
      <c r="EI818" s="1207"/>
      <c r="EJ818" s="1207"/>
      <c r="EK818" s="1207"/>
      <c r="EL818" s="1207"/>
      <c r="EM818" s="107"/>
      <c r="EN818" s="107"/>
      <c r="EO818" s="107"/>
      <c r="EP818" s="107"/>
      <c r="EQ818" s="368"/>
      <c r="ER818" s="368"/>
      <c r="ES818" s="368"/>
      <c r="ET818" s="368"/>
    </row>
    <row r="819" spans="1:150" x14ac:dyDescent="0.25">
      <c r="A819" s="1206"/>
      <c r="B819" s="1206"/>
      <c r="C819" s="1207"/>
      <c r="D819" s="1207"/>
      <c r="E819" s="1207"/>
      <c r="F819" s="1207"/>
      <c r="Q819" s="1207"/>
      <c r="R819" s="1207"/>
      <c r="S819" s="1207"/>
      <c r="T819" s="1207"/>
      <c r="U819" s="1207"/>
      <c r="V819" s="1207"/>
      <c r="W819" s="1207"/>
      <c r="X819" s="1207"/>
      <c r="Y819" s="1207"/>
      <c r="Z819" s="1207"/>
      <c r="AA819" s="1207"/>
      <c r="AB819" s="1207"/>
      <c r="AE819" s="1207"/>
      <c r="AF819" s="1207"/>
      <c r="AG819" s="1207"/>
      <c r="AH819" s="1207"/>
      <c r="AI819" s="1207"/>
      <c r="AJ819" s="1207"/>
      <c r="AK819" s="1207"/>
      <c r="AL819" s="1207"/>
      <c r="AU819" s="1207"/>
      <c r="AV819" s="1207"/>
      <c r="AW819" s="1207"/>
      <c r="AX819" s="1207"/>
      <c r="BA819" s="1207"/>
      <c r="BB819" s="1207"/>
      <c r="BC819" s="1207"/>
      <c r="BD819" s="1207"/>
      <c r="BG819" s="1207"/>
      <c r="BH819" s="1207"/>
      <c r="BI819" s="1207"/>
      <c r="BJ819" s="1207"/>
      <c r="BK819" s="1207"/>
      <c r="BL819" s="1207"/>
      <c r="BM819" s="1207"/>
      <c r="BN819" s="1207"/>
      <c r="BS819" s="1207"/>
      <c r="BT819" s="1207"/>
      <c r="BU819" s="1207"/>
      <c r="BV819" s="1207"/>
      <c r="BY819" s="1207"/>
      <c r="BZ819" s="1207"/>
      <c r="CA819" s="1207"/>
      <c r="CB819" s="1207"/>
      <c r="CG819" s="1207"/>
      <c r="CH819" s="1207"/>
      <c r="CI819" s="1207"/>
      <c r="CJ819" s="1207"/>
      <c r="CM819" s="1207"/>
      <c r="CN819" s="1207"/>
      <c r="CO819" s="1207"/>
      <c r="CP819" s="1207"/>
      <c r="CQ819" s="1207"/>
      <c r="CR819" s="1207"/>
      <c r="CS819" s="1207"/>
      <c r="CT819" s="1207"/>
      <c r="CU819" s="1207"/>
      <c r="CV819" s="1207"/>
      <c r="CW819" s="1207"/>
      <c r="CX819" s="1207"/>
      <c r="CY819" s="1207"/>
      <c r="CZ819" s="1207"/>
      <c r="DA819" s="1207"/>
      <c r="DB819" s="1207"/>
      <c r="DE819" s="1207"/>
      <c r="DF819" s="1207"/>
      <c r="DG819" s="1207"/>
      <c r="DH819" s="1207"/>
      <c r="DS819" s="1207"/>
      <c r="DT819" s="1207"/>
      <c r="DU819" s="1207"/>
      <c r="DV819" s="1207"/>
      <c r="DY819" s="1207"/>
      <c r="DZ819" s="1207"/>
      <c r="EA819" s="1207"/>
      <c r="EB819" s="1207"/>
      <c r="EI819" s="1207"/>
      <c r="EJ819" s="1207"/>
      <c r="EK819" s="1207"/>
      <c r="EL819" s="1207"/>
      <c r="EM819" s="107"/>
      <c r="EN819" s="107"/>
      <c r="EO819" s="107"/>
      <c r="EP819" s="107"/>
      <c r="EQ819" s="368"/>
      <c r="ER819" s="368"/>
      <c r="ES819" s="368"/>
      <c r="ET819" s="368"/>
    </row>
    <row r="820" spans="1:150" x14ac:dyDescent="0.25">
      <c r="A820" s="1206"/>
      <c r="B820" s="1206"/>
      <c r="C820" s="1207"/>
      <c r="D820" s="1207"/>
      <c r="E820" s="1207"/>
      <c r="F820" s="1207"/>
      <c r="Q820" s="1207"/>
      <c r="R820" s="1207"/>
      <c r="S820" s="1207"/>
      <c r="T820" s="1207"/>
      <c r="U820" s="1207"/>
      <c r="V820" s="1207"/>
      <c r="W820" s="1207"/>
      <c r="X820" s="1207"/>
      <c r="Y820" s="1207"/>
      <c r="Z820" s="1207"/>
      <c r="AA820" s="1207"/>
      <c r="AB820" s="1207"/>
      <c r="AE820" s="1207"/>
      <c r="AF820" s="1207"/>
      <c r="AG820" s="1207"/>
      <c r="AH820" s="1207"/>
      <c r="AI820" s="1207"/>
      <c r="AJ820" s="1207"/>
      <c r="AK820" s="1207"/>
      <c r="AL820" s="1207"/>
      <c r="AU820" s="1207"/>
      <c r="AV820" s="1207"/>
      <c r="AW820" s="1207"/>
      <c r="AX820" s="1207"/>
      <c r="BA820" s="1207"/>
      <c r="BB820" s="1207"/>
      <c r="BC820" s="1207"/>
      <c r="BD820" s="1207"/>
      <c r="BG820" s="1207"/>
      <c r="BH820" s="1207"/>
      <c r="BI820" s="1207"/>
      <c r="BJ820" s="1207"/>
      <c r="BK820" s="1207"/>
      <c r="BL820" s="1207"/>
      <c r="BM820" s="1207"/>
      <c r="BN820" s="1207"/>
      <c r="BS820" s="1207"/>
      <c r="BT820" s="1207"/>
      <c r="BU820" s="1207"/>
      <c r="BV820" s="1207"/>
      <c r="BY820" s="1207"/>
      <c r="BZ820" s="1207"/>
      <c r="CA820" s="1207"/>
      <c r="CB820" s="1207"/>
      <c r="CG820" s="1207"/>
      <c r="CH820" s="1207"/>
      <c r="CI820" s="1207"/>
      <c r="CJ820" s="1207"/>
      <c r="CM820" s="1207"/>
      <c r="CN820" s="1207"/>
      <c r="CO820" s="1207"/>
      <c r="CP820" s="1207"/>
      <c r="CQ820" s="1207"/>
      <c r="CR820" s="1207"/>
      <c r="CS820" s="1207"/>
      <c r="CT820" s="1207"/>
      <c r="CU820" s="1207"/>
      <c r="CV820" s="1207"/>
      <c r="CW820" s="1207"/>
      <c r="CX820" s="1207"/>
      <c r="CY820" s="1207"/>
      <c r="CZ820" s="1207"/>
      <c r="DA820" s="1207"/>
      <c r="DB820" s="1207"/>
      <c r="DE820" s="1207"/>
      <c r="DF820" s="1207"/>
      <c r="DG820" s="1207"/>
      <c r="DH820" s="1207"/>
      <c r="DS820" s="1207"/>
      <c r="DT820" s="1207"/>
      <c r="DU820" s="1207"/>
      <c r="DV820" s="1207"/>
      <c r="DY820" s="1207"/>
      <c r="DZ820" s="1207"/>
      <c r="EA820" s="1207"/>
      <c r="EB820" s="1207"/>
      <c r="EI820" s="1207"/>
      <c r="EJ820" s="1207"/>
      <c r="EK820" s="1207"/>
      <c r="EL820" s="1207"/>
      <c r="EM820" s="107"/>
      <c r="EN820" s="107"/>
      <c r="EO820" s="107"/>
      <c r="EP820" s="107"/>
      <c r="EQ820" s="368"/>
      <c r="ER820" s="368"/>
      <c r="ES820" s="368"/>
      <c r="ET820" s="368"/>
    </row>
    <row r="821" spans="1:150" x14ac:dyDescent="0.25">
      <c r="A821" s="1206"/>
      <c r="B821" s="1206"/>
      <c r="C821" s="1207"/>
      <c r="D821" s="1207"/>
      <c r="E821" s="1207"/>
      <c r="F821" s="1207"/>
      <c r="Q821" s="1207"/>
      <c r="R821" s="1207"/>
      <c r="S821" s="1207"/>
      <c r="T821" s="1207"/>
      <c r="U821" s="1207"/>
      <c r="V821" s="1207"/>
      <c r="W821" s="1207"/>
      <c r="X821" s="1207"/>
      <c r="Y821" s="1207"/>
      <c r="Z821" s="1207"/>
      <c r="AA821" s="1207"/>
      <c r="AB821" s="1207"/>
      <c r="AE821" s="1207"/>
      <c r="AF821" s="1207"/>
      <c r="AG821" s="1207"/>
      <c r="AH821" s="1207"/>
      <c r="AI821" s="1207"/>
      <c r="AJ821" s="1207"/>
      <c r="AK821" s="1207"/>
      <c r="AL821" s="1207"/>
      <c r="AU821" s="1207"/>
      <c r="AV821" s="1207"/>
      <c r="AW821" s="1207"/>
      <c r="AX821" s="1207"/>
      <c r="BA821" s="1207"/>
      <c r="BB821" s="1207"/>
      <c r="BC821" s="1207"/>
      <c r="BD821" s="1207"/>
      <c r="BG821" s="1207"/>
      <c r="BH821" s="1207"/>
      <c r="BI821" s="1207"/>
      <c r="BJ821" s="1207"/>
      <c r="BK821" s="1207"/>
      <c r="BL821" s="1207"/>
      <c r="BM821" s="1207"/>
      <c r="BN821" s="1207"/>
      <c r="BS821" s="1207"/>
      <c r="BT821" s="1207"/>
      <c r="BU821" s="1207"/>
      <c r="BV821" s="1207"/>
      <c r="BY821" s="1207"/>
      <c r="BZ821" s="1207"/>
      <c r="CA821" s="1207"/>
      <c r="CB821" s="1207"/>
      <c r="CG821" s="1207"/>
      <c r="CH821" s="1207"/>
      <c r="CI821" s="1207"/>
      <c r="CJ821" s="1207"/>
      <c r="CM821" s="1207"/>
      <c r="CN821" s="1207"/>
      <c r="CO821" s="1207"/>
      <c r="CP821" s="1207"/>
      <c r="CQ821" s="1207"/>
      <c r="CR821" s="1207"/>
      <c r="CS821" s="1207"/>
      <c r="CT821" s="1207"/>
      <c r="CU821" s="1207"/>
      <c r="CV821" s="1207"/>
      <c r="CW821" s="1207"/>
      <c r="CX821" s="1207"/>
      <c r="CY821" s="1207"/>
      <c r="CZ821" s="1207"/>
      <c r="DA821" s="1207"/>
      <c r="DB821" s="1207"/>
      <c r="DE821" s="1207"/>
      <c r="DF821" s="1207"/>
      <c r="DG821" s="1207"/>
      <c r="DH821" s="1207"/>
      <c r="DS821" s="1207"/>
      <c r="DT821" s="1207"/>
      <c r="DU821" s="1207"/>
      <c r="DV821" s="1207"/>
      <c r="DY821" s="1207"/>
      <c r="DZ821" s="1207"/>
      <c r="EA821" s="1207"/>
      <c r="EB821" s="1207"/>
      <c r="EI821" s="1207"/>
      <c r="EJ821" s="1207"/>
      <c r="EK821" s="1207"/>
      <c r="EL821" s="1207"/>
      <c r="EM821" s="107"/>
      <c r="EN821" s="107"/>
      <c r="EO821" s="107"/>
      <c r="EP821" s="107"/>
      <c r="EQ821" s="368"/>
      <c r="ER821" s="368"/>
      <c r="ES821" s="368"/>
      <c r="ET821" s="368"/>
    </row>
    <row r="822" spans="1:150" x14ac:dyDescent="0.25">
      <c r="A822" s="1206"/>
      <c r="B822" s="1206"/>
      <c r="C822" s="1207"/>
      <c r="D822" s="1207"/>
      <c r="E822" s="1207"/>
      <c r="F822" s="1207"/>
      <c r="Q822" s="1207"/>
      <c r="R822" s="1207"/>
      <c r="S822" s="1207"/>
      <c r="T822" s="1207"/>
      <c r="U822" s="1207"/>
      <c r="V822" s="1207"/>
      <c r="W822" s="1207"/>
      <c r="X822" s="1207"/>
      <c r="Y822" s="1207"/>
      <c r="Z822" s="1207"/>
      <c r="AA822" s="1207"/>
      <c r="AB822" s="1207"/>
      <c r="AE822" s="1207"/>
      <c r="AF822" s="1207"/>
      <c r="AG822" s="1207"/>
      <c r="AH822" s="1207"/>
      <c r="AI822" s="1207"/>
      <c r="AJ822" s="1207"/>
      <c r="AK822" s="1207"/>
      <c r="AL822" s="1207"/>
      <c r="AU822" s="1207"/>
      <c r="AV822" s="1207"/>
      <c r="AW822" s="1207"/>
      <c r="AX822" s="1207"/>
      <c r="BA822" s="1207"/>
      <c r="BB822" s="1207"/>
      <c r="BC822" s="1207"/>
      <c r="BD822" s="1207"/>
      <c r="BG822" s="1207"/>
      <c r="BH822" s="1207"/>
      <c r="BI822" s="1207"/>
      <c r="BJ822" s="1207"/>
      <c r="BK822" s="1207"/>
      <c r="BL822" s="1207"/>
      <c r="BM822" s="1207"/>
      <c r="BN822" s="1207"/>
      <c r="BS822" s="1207"/>
      <c r="BT822" s="1207"/>
      <c r="BU822" s="1207"/>
      <c r="BV822" s="1207"/>
      <c r="BY822" s="1207"/>
      <c r="BZ822" s="1207"/>
      <c r="CA822" s="1207"/>
      <c r="CB822" s="1207"/>
      <c r="CG822" s="1207"/>
      <c r="CH822" s="1207"/>
      <c r="CI822" s="1207"/>
      <c r="CJ822" s="1207"/>
      <c r="CM822" s="1207"/>
      <c r="CN822" s="1207"/>
      <c r="CO822" s="1207"/>
      <c r="CP822" s="1207"/>
      <c r="CQ822" s="1207"/>
      <c r="CR822" s="1207"/>
      <c r="CS822" s="1207"/>
      <c r="CT822" s="1207"/>
      <c r="CU822" s="1207"/>
      <c r="CV822" s="1207"/>
      <c r="CW822" s="1207"/>
      <c r="CX822" s="1207"/>
      <c r="CY822" s="1207"/>
      <c r="CZ822" s="1207"/>
      <c r="DA822" s="1207"/>
      <c r="DB822" s="1207"/>
      <c r="DE822" s="1207"/>
      <c r="DF822" s="1207"/>
      <c r="DG822" s="1207"/>
      <c r="DH822" s="1207"/>
      <c r="DS822" s="1207"/>
      <c r="DT822" s="1207"/>
      <c r="DU822" s="1207"/>
      <c r="DV822" s="1207"/>
      <c r="DY822" s="1207"/>
      <c r="DZ822" s="1207"/>
      <c r="EA822" s="1207"/>
      <c r="EB822" s="1207"/>
      <c r="EI822" s="1207"/>
      <c r="EJ822" s="1207"/>
      <c r="EK822" s="1207"/>
      <c r="EL822" s="1207"/>
      <c r="EM822" s="107"/>
      <c r="EN822" s="107"/>
      <c r="EO822" s="107"/>
      <c r="EP822" s="107"/>
      <c r="EQ822" s="368"/>
      <c r="ER822" s="368"/>
      <c r="ES822" s="368"/>
      <c r="ET822" s="368"/>
    </row>
    <row r="823" spans="1:150" x14ac:dyDescent="0.25">
      <c r="A823" s="1206"/>
      <c r="B823" s="1206"/>
      <c r="C823" s="1207"/>
      <c r="D823" s="1207"/>
      <c r="E823" s="1207"/>
      <c r="F823" s="1207"/>
      <c r="Q823" s="1207"/>
      <c r="R823" s="1207"/>
      <c r="S823" s="1207"/>
      <c r="T823" s="1207"/>
      <c r="U823" s="1207"/>
      <c r="V823" s="1207"/>
      <c r="W823" s="1207"/>
      <c r="X823" s="1207"/>
      <c r="Y823" s="1207"/>
      <c r="Z823" s="1207"/>
      <c r="AA823" s="1207"/>
      <c r="AB823" s="1207"/>
      <c r="AE823" s="1207"/>
      <c r="AF823" s="1207"/>
      <c r="AG823" s="1207"/>
      <c r="AH823" s="1207"/>
      <c r="AI823" s="1207"/>
      <c r="AJ823" s="1207"/>
      <c r="AK823" s="1207"/>
      <c r="AL823" s="1207"/>
      <c r="AU823" s="1207"/>
      <c r="AV823" s="1207"/>
      <c r="AW823" s="1207"/>
      <c r="AX823" s="1207"/>
      <c r="BA823" s="1207"/>
      <c r="BB823" s="1207"/>
      <c r="BC823" s="1207"/>
      <c r="BD823" s="1207"/>
      <c r="BG823" s="1207"/>
      <c r="BH823" s="1207"/>
      <c r="BI823" s="1207"/>
      <c r="BJ823" s="1207"/>
      <c r="BK823" s="1207"/>
      <c r="BL823" s="1207"/>
      <c r="BM823" s="1207"/>
      <c r="BN823" s="1207"/>
      <c r="BS823" s="1207"/>
      <c r="BT823" s="1207"/>
      <c r="BU823" s="1207"/>
      <c r="BV823" s="1207"/>
      <c r="BY823" s="1207"/>
      <c r="BZ823" s="1207"/>
      <c r="CA823" s="1207"/>
      <c r="CB823" s="1207"/>
      <c r="CG823" s="1207"/>
      <c r="CH823" s="1207"/>
      <c r="CI823" s="1207"/>
      <c r="CJ823" s="1207"/>
      <c r="CM823" s="1207"/>
      <c r="CN823" s="1207"/>
      <c r="CO823" s="1207"/>
      <c r="CP823" s="1207"/>
      <c r="CQ823" s="1207"/>
      <c r="CR823" s="1207"/>
      <c r="CS823" s="1207"/>
      <c r="CT823" s="1207"/>
      <c r="CU823" s="1207"/>
      <c r="CV823" s="1207"/>
      <c r="CW823" s="1207"/>
      <c r="CX823" s="1207"/>
      <c r="CY823" s="1207"/>
      <c r="CZ823" s="1207"/>
      <c r="DA823" s="1207"/>
      <c r="DB823" s="1207"/>
      <c r="DE823" s="1207"/>
      <c r="DF823" s="1207"/>
      <c r="DG823" s="1207"/>
      <c r="DH823" s="1207"/>
      <c r="DS823" s="1207"/>
      <c r="DT823" s="1207"/>
      <c r="DU823" s="1207"/>
      <c r="DV823" s="1207"/>
      <c r="DY823" s="1207"/>
      <c r="DZ823" s="1207"/>
      <c r="EA823" s="1207"/>
      <c r="EB823" s="1207"/>
      <c r="EI823" s="1207"/>
      <c r="EJ823" s="1207"/>
      <c r="EK823" s="1207"/>
      <c r="EL823" s="1207"/>
      <c r="EM823" s="107"/>
      <c r="EN823" s="107"/>
      <c r="EO823" s="107"/>
      <c r="EP823" s="107"/>
      <c r="EQ823" s="368"/>
      <c r="ER823" s="368"/>
      <c r="ES823" s="368"/>
      <c r="ET823" s="368"/>
    </row>
    <row r="824" spans="1:150" x14ac:dyDescent="0.25">
      <c r="A824" s="1206"/>
      <c r="B824" s="1206"/>
      <c r="C824" s="1207"/>
      <c r="D824" s="1207"/>
      <c r="E824" s="1207"/>
      <c r="F824" s="1207"/>
      <c r="Q824" s="1207"/>
      <c r="R824" s="1207"/>
      <c r="S824" s="1207"/>
      <c r="T824" s="1207"/>
      <c r="U824" s="1207"/>
      <c r="V824" s="1207"/>
      <c r="W824" s="1207"/>
      <c r="X824" s="1207"/>
      <c r="Y824" s="1207"/>
      <c r="Z824" s="1207"/>
      <c r="AA824" s="1207"/>
      <c r="AB824" s="1207"/>
      <c r="AE824" s="1207"/>
      <c r="AF824" s="1207"/>
      <c r="AG824" s="1207"/>
      <c r="AH824" s="1207"/>
      <c r="AI824" s="1207"/>
      <c r="AJ824" s="1207"/>
      <c r="AK824" s="1207"/>
      <c r="AL824" s="1207"/>
      <c r="AU824" s="1207"/>
      <c r="AV824" s="1207"/>
      <c r="AW824" s="1207"/>
      <c r="AX824" s="1207"/>
      <c r="BA824" s="1207"/>
      <c r="BB824" s="1207"/>
      <c r="BC824" s="1207"/>
      <c r="BD824" s="1207"/>
      <c r="BG824" s="1207"/>
      <c r="BH824" s="1207"/>
      <c r="BI824" s="1207"/>
      <c r="BJ824" s="1207"/>
      <c r="BK824" s="1207"/>
      <c r="BL824" s="1207"/>
      <c r="BM824" s="1207"/>
      <c r="BN824" s="1207"/>
      <c r="BS824" s="1207"/>
      <c r="BT824" s="1207"/>
      <c r="BU824" s="1207"/>
      <c r="BV824" s="1207"/>
      <c r="BY824" s="1207"/>
      <c r="BZ824" s="1207"/>
      <c r="CA824" s="1207"/>
      <c r="CB824" s="1207"/>
      <c r="CG824" s="1207"/>
      <c r="CH824" s="1207"/>
      <c r="CI824" s="1207"/>
      <c r="CJ824" s="1207"/>
      <c r="CM824" s="1207"/>
      <c r="CN824" s="1207"/>
      <c r="CO824" s="1207"/>
      <c r="CP824" s="1207"/>
      <c r="CQ824" s="1207"/>
      <c r="CR824" s="1207"/>
      <c r="CS824" s="1207"/>
      <c r="CT824" s="1207"/>
      <c r="CU824" s="1207"/>
      <c r="CV824" s="1207"/>
      <c r="CW824" s="1207"/>
      <c r="CX824" s="1207"/>
      <c r="CY824" s="1207"/>
      <c r="CZ824" s="1207"/>
      <c r="DA824" s="1207"/>
      <c r="DB824" s="1207"/>
      <c r="DE824" s="1207"/>
      <c r="DF824" s="1207"/>
      <c r="DG824" s="1207"/>
      <c r="DH824" s="1207"/>
      <c r="DS824" s="1207"/>
      <c r="DT824" s="1207"/>
      <c r="DU824" s="1207"/>
      <c r="DV824" s="1207"/>
      <c r="DY824" s="1207"/>
      <c r="DZ824" s="1207"/>
      <c r="EA824" s="1207"/>
      <c r="EB824" s="1207"/>
      <c r="EI824" s="1207"/>
      <c r="EJ824" s="1207"/>
      <c r="EK824" s="1207"/>
      <c r="EL824" s="1207"/>
      <c r="EM824" s="107"/>
      <c r="EN824" s="107"/>
      <c r="EO824" s="107"/>
      <c r="EP824" s="107"/>
      <c r="EQ824" s="368"/>
      <c r="ER824" s="368"/>
      <c r="ES824" s="368"/>
      <c r="ET824" s="368"/>
    </row>
    <row r="825" spans="1:150" x14ac:dyDescent="0.25">
      <c r="A825" s="1206"/>
      <c r="B825" s="1206"/>
      <c r="C825" s="1207"/>
      <c r="D825" s="1207"/>
      <c r="E825" s="1207"/>
      <c r="F825" s="1207"/>
      <c r="Q825" s="1207"/>
      <c r="R825" s="1207"/>
      <c r="S825" s="1207"/>
      <c r="T825" s="1207"/>
      <c r="U825" s="1207"/>
      <c r="V825" s="1207"/>
      <c r="W825" s="1207"/>
      <c r="X825" s="1207"/>
      <c r="Y825" s="1207"/>
      <c r="Z825" s="1207"/>
      <c r="AA825" s="1207"/>
      <c r="AB825" s="1207"/>
      <c r="AE825" s="1207"/>
      <c r="AF825" s="1207"/>
      <c r="AG825" s="1207"/>
      <c r="AH825" s="1207"/>
      <c r="AI825" s="1207"/>
      <c r="AJ825" s="1207"/>
      <c r="AK825" s="1207"/>
      <c r="AL825" s="1207"/>
      <c r="AU825" s="1207"/>
      <c r="AV825" s="1207"/>
      <c r="AW825" s="1207"/>
      <c r="AX825" s="1207"/>
      <c r="BA825" s="1207"/>
      <c r="BB825" s="1207"/>
      <c r="BC825" s="1207"/>
      <c r="BD825" s="1207"/>
      <c r="BG825" s="1207"/>
      <c r="BH825" s="1207"/>
      <c r="BI825" s="1207"/>
      <c r="BJ825" s="1207"/>
      <c r="BK825" s="1207"/>
      <c r="BL825" s="1207"/>
      <c r="BM825" s="1207"/>
      <c r="BN825" s="1207"/>
      <c r="BS825" s="1207"/>
      <c r="BT825" s="1207"/>
      <c r="BU825" s="1207"/>
      <c r="BV825" s="1207"/>
      <c r="BY825" s="1207"/>
      <c r="BZ825" s="1207"/>
      <c r="CA825" s="1207"/>
      <c r="CB825" s="1207"/>
      <c r="CG825" s="1207"/>
      <c r="CH825" s="1207"/>
      <c r="CI825" s="1207"/>
      <c r="CJ825" s="1207"/>
      <c r="CM825" s="1207"/>
      <c r="CN825" s="1207"/>
      <c r="CO825" s="1207"/>
      <c r="CP825" s="1207"/>
      <c r="CQ825" s="1207"/>
      <c r="CR825" s="1207"/>
      <c r="CS825" s="1207"/>
      <c r="CT825" s="1207"/>
      <c r="CU825" s="1207"/>
      <c r="CV825" s="1207"/>
      <c r="CW825" s="1207"/>
      <c r="CX825" s="1207"/>
      <c r="CY825" s="1207"/>
      <c r="CZ825" s="1207"/>
      <c r="DA825" s="1207"/>
      <c r="DB825" s="1207"/>
      <c r="DE825" s="1207"/>
      <c r="DF825" s="1207"/>
      <c r="DG825" s="1207"/>
      <c r="DH825" s="1207"/>
      <c r="DS825" s="1207"/>
      <c r="DT825" s="1207"/>
      <c r="DU825" s="1207"/>
      <c r="DV825" s="1207"/>
      <c r="DY825" s="1207"/>
      <c r="DZ825" s="1207"/>
      <c r="EA825" s="1207"/>
      <c r="EB825" s="1207"/>
      <c r="EI825" s="1207"/>
      <c r="EJ825" s="1207"/>
      <c r="EK825" s="1207"/>
      <c r="EL825" s="1207"/>
      <c r="EM825" s="107"/>
      <c r="EN825" s="107"/>
      <c r="EO825" s="107"/>
      <c r="EP825" s="107"/>
      <c r="EQ825" s="368"/>
      <c r="ER825" s="368"/>
      <c r="ES825" s="368"/>
      <c r="ET825" s="368"/>
    </row>
    <row r="826" spans="1:150" x14ac:dyDescent="0.25">
      <c r="A826" s="1206"/>
      <c r="B826" s="1206"/>
      <c r="C826" s="1207"/>
      <c r="D826" s="1207"/>
      <c r="E826" s="1207"/>
      <c r="F826" s="1207"/>
      <c r="Q826" s="1207"/>
      <c r="R826" s="1207"/>
      <c r="S826" s="1207"/>
      <c r="T826" s="1207"/>
      <c r="U826" s="1207"/>
      <c r="V826" s="1207"/>
      <c r="W826" s="1207"/>
      <c r="X826" s="1207"/>
      <c r="Y826" s="1207"/>
      <c r="Z826" s="1207"/>
      <c r="AA826" s="1207"/>
      <c r="AB826" s="1207"/>
      <c r="AE826" s="1207"/>
      <c r="AF826" s="1207"/>
      <c r="AG826" s="1207"/>
      <c r="AH826" s="1207"/>
      <c r="AI826" s="1207"/>
      <c r="AJ826" s="1207"/>
      <c r="AK826" s="1207"/>
      <c r="AL826" s="1207"/>
      <c r="AU826" s="1207"/>
      <c r="AV826" s="1207"/>
      <c r="AW826" s="1207"/>
      <c r="AX826" s="1207"/>
      <c r="BA826" s="1207"/>
      <c r="BB826" s="1207"/>
      <c r="BC826" s="1207"/>
      <c r="BD826" s="1207"/>
      <c r="BG826" s="1207"/>
      <c r="BH826" s="1207"/>
      <c r="BI826" s="1207"/>
      <c r="BJ826" s="1207"/>
      <c r="BK826" s="1207"/>
      <c r="BL826" s="1207"/>
      <c r="BM826" s="1207"/>
      <c r="BN826" s="1207"/>
      <c r="BS826" s="1207"/>
      <c r="BT826" s="1207"/>
      <c r="BU826" s="1207"/>
      <c r="BV826" s="1207"/>
      <c r="BY826" s="1207"/>
      <c r="BZ826" s="1207"/>
      <c r="CA826" s="1207"/>
      <c r="CB826" s="1207"/>
      <c r="CG826" s="1207"/>
      <c r="CH826" s="1207"/>
      <c r="CI826" s="1207"/>
      <c r="CJ826" s="1207"/>
      <c r="CM826" s="1207"/>
      <c r="CN826" s="1207"/>
      <c r="CO826" s="1207"/>
      <c r="CP826" s="1207"/>
      <c r="CQ826" s="1207"/>
      <c r="CR826" s="1207"/>
      <c r="CS826" s="1207"/>
      <c r="CT826" s="1207"/>
      <c r="CU826" s="1207"/>
      <c r="CV826" s="1207"/>
      <c r="CW826" s="1207"/>
      <c r="CX826" s="1207"/>
      <c r="CY826" s="1207"/>
      <c r="CZ826" s="1207"/>
      <c r="DA826" s="1207"/>
      <c r="DB826" s="1207"/>
      <c r="DE826" s="1207"/>
      <c r="DF826" s="1207"/>
      <c r="DG826" s="1207"/>
      <c r="DH826" s="1207"/>
      <c r="DS826" s="1207"/>
      <c r="DT826" s="1207"/>
      <c r="DU826" s="1207"/>
      <c r="DV826" s="1207"/>
      <c r="DY826" s="1207"/>
      <c r="DZ826" s="1207"/>
      <c r="EA826" s="1207"/>
      <c r="EB826" s="1207"/>
      <c r="EI826" s="1207"/>
      <c r="EJ826" s="1207"/>
      <c r="EK826" s="1207"/>
      <c r="EL826" s="1207"/>
      <c r="EM826" s="107"/>
      <c r="EN826" s="107"/>
      <c r="EO826" s="107"/>
      <c r="EP826" s="107"/>
      <c r="EQ826" s="368"/>
      <c r="ER826" s="368"/>
      <c r="ES826" s="368"/>
      <c r="ET826" s="368"/>
    </row>
    <row r="827" spans="1:150" x14ac:dyDescent="0.25">
      <c r="A827" s="1206"/>
      <c r="B827" s="1206"/>
      <c r="C827" s="1207"/>
      <c r="D827" s="1207"/>
      <c r="E827" s="1207"/>
      <c r="F827" s="1207"/>
      <c r="Q827" s="1207"/>
      <c r="R827" s="1207"/>
      <c r="S827" s="1207"/>
      <c r="T827" s="1207"/>
      <c r="U827" s="1207"/>
      <c r="V827" s="1207"/>
      <c r="W827" s="1207"/>
      <c r="X827" s="1207"/>
      <c r="Y827" s="1207"/>
      <c r="Z827" s="1207"/>
      <c r="AA827" s="1207"/>
      <c r="AB827" s="1207"/>
      <c r="AE827" s="1207"/>
      <c r="AF827" s="1207"/>
      <c r="AG827" s="1207"/>
      <c r="AH827" s="1207"/>
      <c r="AI827" s="1207"/>
      <c r="AJ827" s="1207"/>
      <c r="AK827" s="1207"/>
      <c r="AL827" s="1207"/>
      <c r="AU827" s="1207"/>
      <c r="AV827" s="1207"/>
      <c r="AW827" s="1207"/>
      <c r="AX827" s="1207"/>
      <c r="BA827" s="1207"/>
      <c r="BB827" s="1207"/>
      <c r="BC827" s="1207"/>
      <c r="BD827" s="1207"/>
      <c r="BG827" s="1207"/>
      <c r="BH827" s="1207"/>
      <c r="BI827" s="1207"/>
      <c r="BJ827" s="1207"/>
      <c r="BK827" s="1207"/>
      <c r="BL827" s="1207"/>
      <c r="BM827" s="1207"/>
      <c r="BN827" s="1207"/>
      <c r="BS827" s="1207"/>
      <c r="BT827" s="1207"/>
      <c r="BU827" s="1207"/>
      <c r="BV827" s="1207"/>
      <c r="BY827" s="1207"/>
      <c r="BZ827" s="1207"/>
      <c r="CA827" s="1207"/>
      <c r="CB827" s="1207"/>
      <c r="CG827" s="1207"/>
      <c r="CH827" s="1207"/>
      <c r="CI827" s="1207"/>
      <c r="CJ827" s="1207"/>
      <c r="CM827" s="1207"/>
      <c r="CN827" s="1207"/>
      <c r="CO827" s="1207"/>
      <c r="CP827" s="1207"/>
      <c r="CQ827" s="1207"/>
      <c r="CR827" s="1207"/>
      <c r="CS827" s="1207"/>
      <c r="CT827" s="1207"/>
      <c r="CU827" s="1207"/>
      <c r="CV827" s="1207"/>
      <c r="CW827" s="1207"/>
      <c r="CX827" s="1207"/>
      <c r="CY827" s="1207"/>
      <c r="CZ827" s="1207"/>
      <c r="DA827" s="1207"/>
      <c r="DB827" s="1207"/>
      <c r="DE827" s="1207"/>
      <c r="DF827" s="1207"/>
      <c r="DG827" s="1207"/>
      <c r="DH827" s="1207"/>
      <c r="DS827" s="1207"/>
      <c r="DT827" s="1207"/>
      <c r="DU827" s="1207"/>
      <c r="DV827" s="1207"/>
      <c r="DY827" s="1207"/>
      <c r="DZ827" s="1207"/>
      <c r="EA827" s="1207"/>
      <c r="EB827" s="1207"/>
      <c r="EI827" s="1207"/>
      <c r="EJ827" s="1207"/>
      <c r="EK827" s="1207"/>
      <c r="EL827" s="1207"/>
      <c r="EM827" s="107"/>
      <c r="EN827" s="107"/>
      <c r="EO827" s="107"/>
      <c r="EP827" s="107"/>
      <c r="EQ827" s="368"/>
      <c r="ER827" s="368"/>
      <c r="ES827" s="368"/>
      <c r="ET827" s="368"/>
    </row>
    <row r="828" spans="1:150" x14ac:dyDescent="0.25">
      <c r="A828" s="1206"/>
      <c r="B828" s="1206"/>
      <c r="C828" s="1207"/>
      <c r="D828" s="1207"/>
      <c r="E828" s="1207"/>
      <c r="F828" s="1207"/>
      <c r="Q828" s="1207"/>
      <c r="R828" s="1207"/>
      <c r="S828" s="1207"/>
      <c r="T828" s="1207"/>
      <c r="U828" s="1207"/>
      <c r="V828" s="1207"/>
      <c r="W828" s="1207"/>
      <c r="X828" s="1207"/>
      <c r="Y828" s="1207"/>
      <c r="Z828" s="1207"/>
      <c r="AA828" s="1207"/>
      <c r="AB828" s="1207"/>
      <c r="AE828" s="1207"/>
      <c r="AF828" s="1207"/>
      <c r="AG828" s="1207"/>
      <c r="AH828" s="1207"/>
      <c r="AI828" s="1207"/>
      <c r="AJ828" s="1207"/>
      <c r="AK828" s="1207"/>
      <c r="AL828" s="1207"/>
      <c r="AU828" s="1207"/>
      <c r="AV828" s="1207"/>
      <c r="AW828" s="1207"/>
      <c r="AX828" s="1207"/>
      <c r="BA828" s="1207"/>
      <c r="BB828" s="1207"/>
      <c r="BC828" s="1207"/>
      <c r="BD828" s="1207"/>
      <c r="BG828" s="1207"/>
      <c r="BH828" s="1207"/>
      <c r="BI828" s="1207"/>
      <c r="BJ828" s="1207"/>
      <c r="BK828" s="1207"/>
      <c r="BL828" s="1207"/>
      <c r="BM828" s="1207"/>
      <c r="BN828" s="1207"/>
      <c r="BS828" s="1207"/>
      <c r="BT828" s="1207"/>
      <c r="BU828" s="1207"/>
      <c r="BV828" s="1207"/>
      <c r="BY828" s="1207"/>
      <c r="BZ828" s="1207"/>
      <c r="CA828" s="1207"/>
      <c r="CB828" s="1207"/>
      <c r="CG828" s="1207"/>
      <c r="CH828" s="1207"/>
      <c r="CI828" s="1207"/>
      <c r="CJ828" s="1207"/>
      <c r="CM828" s="1207"/>
      <c r="CN828" s="1207"/>
      <c r="CO828" s="1207"/>
      <c r="CP828" s="1207"/>
      <c r="CQ828" s="1207"/>
      <c r="CR828" s="1207"/>
      <c r="CS828" s="1207"/>
      <c r="CT828" s="1207"/>
      <c r="CU828" s="1207"/>
      <c r="CV828" s="1207"/>
      <c r="CW828" s="1207"/>
      <c r="CX828" s="1207"/>
      <c r="CY828" s="1207"/>
      <c r="CZ828" s="1207"/>
      <c r="DA828" s="1207"/>
      <c r="DB828" s="1207"/>
      <c r="DE828" s="1207"/>
      <c r="DF828" s="1207"/>
      <c r="DG828" s="1207"/>
      <c r="DH828" s="1207"/>
      <c r="DS828" s="1207"/>
      <c r="DT828" s="1207"/>
      <c r="DU828" s="1207"/>
      <c r="DV828" s="1207"/>
      <c r="DY828" s="1207"/>
      <c r="DZ828" s="1207"/>
      <c r="EA828" s="1207"/>
      <c r="EB828" s="1207"/>
      <c r="EI828" s="1207"/>
      <c r="EJ828" s="1207"/>
      <c r="EK828" s="1207"/>
      <c r="EL828" s="1207"/>
      <c r="EM828" s="107"/>
      <c r="EN828" s="107"/>
      <c r="EO828" s="107"/>
      <c r="EP828" s="107"/>
      <c r="EQ828" s="368"/>
      <c r="ER828" s="368"/>
      <c r="ES828" s="368"/>
      <c r="ET828" s="368"/>
    </row>
    <row r="829" spans="1:150" x14ac:dyDescent="0.25">
      <c r="A829" s="1206"/>
      <c r="B829" s="1206"/>
      <c r="C829" s="1207"/>
      <c r="D829" s="1207"/>
      <c r="E829" s="1207"/>
      <c r="F829" s="1207"/>
      <c r="Q829" s="1207"/>
      <c r="R829" s="1207"/>
      <c r="S829" s="1207"/>
      <c r="T829" s="1207"/>
      <c r="U829" s="1207"/>
      <c r="V829" s="1207"/>
      <c r="W829" s="1207"/>
      <c r="X829" s="1207"/>
      <c r="Y829" s="1207"/>
      <c r="Z829" s="1207"/>
      <c r="AA829" s="1207"/>
      <c r="AB829" s="1207"/>
      <c r="AE829" s="1207"/>
      <c r="AF829" s="1207"/>
      <c r="AG829" s="1207"/>
      <c r="AH829" s="1207"/>
      <c r="AI829" s="1207"/>
      <c r="AJ829" s="1207"/>
      <c r="AK829" s="1207"/>
      <c r="AL829" s="1207"/>
      <c r="AU829" s="1207"/>
      <c r="AV829" s="1207"/>
      <c r="AW829" s="1207"/>
      <c r="AX829" s="1207"/>
      <c r="BA829" s="1207"/>
      <c r="BB829" s="1207"/>
      <c r="BC829" s="1207"/>
      <c r="BD829" s="1207"/>
      <c r="BG829" s="1207"/>
      <c r="BH829" s="1207"/>
      <c r="BI829" s="1207"/>
      <c r="BJ829" s="1207"/>
      <c r="BK829" s="1207"/>
      <c r="BL829" s="1207"/>
      <c r="BM829" s="1207"/>
      <c r="BN829" s="1207"/>
      <c r="BS829" s="1207"/>
      <c r="BT829" s="1207"/>
      <c r="BU829" s="1207"/>
      <c r="BV829" s="1207"/>
      <c r="BY829" s="1207"/>
      <c r="BZ829" s="1207"/>
      <c r="CA829" s="1207"/>
      <c r="CB829" s="1207"/>
      <c r="CG829" s="1207"/>
      <c r="CH829" s="1207"/>
      <c r="CI829" s="1207"/>
      <c r="CJ829" s="1207"/>
      <c r="CM829" s="1207"/>
      <c r="CN829" s="1207"/>
      <c r="CO829" s="1207"/>
      <c r="CP829" s="1207"/>
      <c r="CQ829" s="1207"/>
      <c r="CR829" s="1207"/>
      <c r="CS829" s="1207"/>
      <c r="CT829" s="1207"/>
      <c r="CU829" s="1207"/>
      <c r="CV829" s="1207"/>
      <c r="CW829" s="1207"/>
      <c r="CX829" s="1207"/>
      <c r="CY829" s="1207"/>
      <c r="CZ829" s="1207"/>
      <c r="DA829" s="1207"/>
      <c r="DB829" s="1207"/>
      <c r="DE829" s="1207"/>
      <c r="DF829" s="1207"/>
      <c r="DG829" s="1207"/>
      <c r="DH829" s="1207"/>
      <c r="DS829" s="1207"/>
      <c r="DT829" s="1207"/>
      <c r="DU829" s="1207"/>
      <c r="DV829" s="1207"/>
      <c r="DY829" s="1207"/>
      <c r="DZ829" s="1207"/>
      <c r="EA829" s="1207"/>
      <c r="EB829" s="1207"/>
      <c r="EI829" s="1207"/>
      <c r="EJ829" s="1207"/>
      <c r="EK829" s="1207"/>
      <c r="EL829" s="1207"/>
      <c r="EM829" s="107"/>
      <c r="EN829" s="107"/>
      <c r="EO829" s="107"/>
      <c r="EP829" s="107"/>
      <c r="EQ829" s="368"/>
      <c r="ER829" s="368"/>
      <c r="ES829" s="368"/>
      <c r="ET829" s="368"/>
    </row>
    <row r="830" spans="1:150" x14ac:dyDescent="0.25">
      <c r="A830" s="1206"/>
      <c r="B830" s="1206"/>
      <c r="C830" s="1207"/>
      <c r="D830" s="1207"/>
      <c r="E830" s="1207"/>
      <c r="F830" s="1207"/>
      <c r="Q830" s="1207"/>
      <c r="R830" s="1207"/>
      <c r="S830" s="1207"/>
      <c r="T830" s="1207"/>
      <c r="U830" s="1207"/>
      <c r="V830" s="1207"/>
      <c r="W830" s="1207"/>
      <c r="X830" s="1207"/>
      <c r="Y830" s="1207"/>
      <c r="Z830" s="1207"/>
      <c r="AA830" s="1207"/>
      <c r="AB830" s="1207"/>
      <c r="AE830" s="1207"/>
      <c r="AF830" s="1207"/>
      <c r="AG830" s="1207"/>
      <c r="AH830" s="1207"/>
      <c r="AI830" s="1207"/>
      <c r="AJ830" s="1207"/>
      <c r="AK830" s="1207"/>
      <c r="AL830" s="1207"/>
      <c r="AU830" s="1207"/>
      <c r="AV830" s="1207"/>
      <c r="AW830" s="1207"/>
      <c r="AX830" s="1207"/>
      <c r="BA830" s="1207"/>
      <c r="BB830" s="1207"/>
      <c r="BC830" s="1207"/>
      <c r="BD830" s="1207"/>
      <c r="BG830" s="1207"/>
      <c r="BH830" s="1207"/>
      <c r="BI830" s="1207"/>
      <c r="BJ830" s="1207"/>
      <c r="BK830" s="1207"/>
      <c r="BL830" s="1207"/>
      <c r="BM830" s="1207"/>
      <c r="BN830" s="1207"/>
      <c r="BS830" s="1207"/>
      <c r="BT830" s="1207"/>
      <c r="BU830" s="1207"/>
      <c r="BV830" s="1207"/>
      <c r="BY830" s="1207"/>
      <c r="BZ830" s="1207"/>
      <c r="CA830" s="1207"/>
      <c r="CB830" s="1207"/>
      <c r="CG830" s="1207"/>
      <c r="CH830" s="1207"/>
      <c r="CI830" s="1207"/>
      <c r="CJ830" s="1207"/>
      <c r="CM830" s="1207"/>
      <c r="CN830" s="1207"/>
      <c r="CO830" s="1207"/>
      <c r="CP830" s="1207"/>
      <c r="CQ830" s="1207"/>
      <c r="CR830" s="1207"/>
      <c r="CS830" s="1207"/>
      <c r="CT830" s="1207"/>
      <c r="CU830" s="1207"/>
      <c r="CV830" s="1207"/>
      <c r="CW830" s="1207"/>
      <c r="CX830" s="1207"/>
      <c r="CY830" s="1207"/>
      <c r="CZ830" s="1207"/>
      <c r="DA830" s="1207"/>
      <c r="DB830" s="1207"/>
      <c r="DE830" s="1207"/>
      <c r="DF830" s="1207"/>
      <c r="DG830" s="1207"/>
      <c r="DH830" s="1207"/>
      <c r="DS830" s="1207"/>
      <c r="DT830" s="1207"/>
      <c r="DU830" s="1207"/>
      <c r="DV830" s="1207"/>
      <c r="DY830" s="1207"/>
      <c r="DZ830" s="1207"/>
      <c r="EA830" s="1207"/>
      <c r="EB830" s="1207"/>
      <c r="EI830" s="1207"/>
      <c r="EJ830" s="1207"/>
      <c r="EK830" s="1207"/>
      <c r="EL830" s="1207"/>
      <c r="EM830" s="107"/>
      <c r="EN830" s="107"/>
      <c r="EO830" s="107"/>
      <c r="EP830" s="107"/>
      <c r="EQ830" s="368"/>
      <c r="ER830" s="368"/>
      <c r="ES830" s="368"/>
      <c r="ET830" s="368"/>
    </row>
    <row r="831" spans="1:150" x14ac:dyDescent="0.25">
      <c r="A831" s="1206"/>
      <c r="B831" s="1206"/>
      <c r="C831" s="1207"/>
      <c r="D831" s="1207"/>
      <c r="E831" s="1207"/>
      <c r="F831" s="1207"/>
      <c r="Q831" s="1207"/>
      <c r="R831" s="1207"/>
      <c r="S831" s="1207"/>
      <c r="T831" s="1207"/>
      <c r="U831" s="1207"/>
      <c r="V831" s="1207"/>
      <c r="W831" s="1207"/>
      <c r="X831" s="1207"/>
      <c r="Y831" s="1207"/>
      <c r="Z831" s="1207"/>
      <c r="AA831" s="1207"/>
      <c r="AB831" s="1207"/>
      <c r="AE831" s="1207"/>
      <c r="AF831" s="1207"/>
      <c r="AG831" s="1207"/>
      <c r="AH831" s="1207"/>
      <c r="AI831" s="1207"/>
      <c r="AJ831" s="1207"/>
      <c r="AK831" s="1207"/>
      <c r="AL831" s="1207"/>
      <c r="AU831" s="1207"/>
      <c r="AV831" s="1207"/>
      <c r="AW831" s="1207"/>
      <c r="AX831" s="1207"/>
      <c r="BA831" s="1207"/>
      <c r="BB831" s="1207"/>
      <c r="BC831" s="1207"/>
      <c r="BD831" s="1207"/>
      <c r="BG831" s="1207"/>
      <c r="BH831" s="1207"/>
      <c r="BI831" s="1207"/>
      <c r="BJ831" s="1207"/>
      <c r="BK831" s="1207"/>
      <c r="BL831" s="1207"/>
      <c r="BM831" s="1207"/>
      <c r="BN831" s="1207"/>
      <c r="BS831" s="1207"/>
      <c r="BT831" s="1207"/>
      <c r="BU831" s="1207"/>
      <c r="BV831" s="1207"/>
      <c r="BY831" s="1207"/>
      <c r="BZ831" s="1207"/>
      <c r="CA831" s="1207"/>
      <c r="CB831" s="1207"/>
      <c r="CG831" s="1207"/>
      <c r="CH831" s="1207"/>
      <c r="CI831" s="1207"/>
      <c r="CJ831" s="1207"/>
      <c r="CM831" s="1207"/>
      <c r="CN831" s="1207"/>
      <c r="CO831" s="1207"/>
      <c r="CP831" s="1207"/>
      <c r="CQ831" s="1207"/>
      <c r="CR831" s="1207"/>
      <c r="CS831" s="1207"/>
      <c r="CT831" s="1207"/>
      <c r="CU831" s="1207"/>
      <c r="CV831" s="1207"/>
      <c r="CW831" s="1207"/>
      <c r="CX831" s="1207"/>
      <c r="CY831" s="1207"/>
      <c r="CZ831" s="1207"/>
      <c r="DA831" s="1207"/>
      <c r="DB831" s="1207"/>
      <c r="DE831" s="1207"/>
      <c r="DF831" s="1207"/>
      <c r="DG831" s="1207"/>
      <c r="DH831" s="1207"/>
      <c r="DS831" s="1207"/>
      <c r="DT831" s="1207"/>
      <c r="DU831" s="1207"/>
      <c r="DV831" s="1207"/>
      <c r="DY831" s="1207"/>
      <c r="DZ831" s="1207"/>
      <c r="EA831" s="1207"/>
      <c r="EB831" s="1207"/>
      <c r="EI831" s="1207"/>
      <c r="EJ831" s="1207"/>
      <c r="EK831" s="1207"/>
      <c r="EL831" s="1207"/>
      <c r="EM831" s="107"/>
      <c r="EN831" s="107"/>
      <c r="EO831" s="107"/>
      <c r="EP831" s="107"/>
      <c r="EQ831" s="368"/>
      <c r="ER831" s="368"/>
      <c r="ES831" s="368"/>
      <c r="ET831" s="368"/>
    </row>
    <row r="832" spans="1:150" x14ac:dyDescent="0.25">
      <c r="A832" s="1206"/>
      <c r="B832" s="1206"/>
      <c r="C832" s="1207"/>
      <c r="D832" s="1207"/>
      <c r="E832" s="1207"/>
      <c r="F832" s="1207"/>
      <c r="Q832" s="1207"/>
      <c r="R832" s="1207"/>
      <c r="S832" s="1207"/>
      <c r="T832" s="1207"/>
      <c r="U832" s="1207"/>
      <c r="V832" s="1207"/>
      <c r="W832" s="1207"/>
      <c r="X832" s="1207"/>
      <c r="Y832" s="1207"/>
      <c r="Z832" s="1207"/>
      <c r="AA832" s="1207"/>
      <c r="AB832" s="1207"/>
      <c r="AE832" s="1207"/>
      <c r="AF832" s="1207"/>
      <c r="AG832" s="1207"/>
      <c r="AH832" s="1207"/>
      <c r="AI832" s="1207"/>
      <c r="AJ832" s="1207"/>
      <c r="AK832" s="1207"/>
      <c r="AL832" s="1207"/>
      <c r="AU832" s="1207"/>
      <c r="AV832" s="1207"/>
      <c r="AW832" s="1207"/>
      <c r="AX832" s="1207"/>
      <c r="BA832" s="1207"/>
      <c r="BB832" s="1207"/>
      <c r="BC832" s="1207"/>
      <c r="BD832" s="1207"/>
      <c r="BG832" s="1207"/>
      <c r="BH832" s="1207"/>
      <c r="BI832" s="1207"/>
      <c r="BJ832" s="1207"/>
      <c r="BK832" s="1207"/>
      <c r="BL832" s="1207"/>
      <c r="BM832" s="1207"/>
      <c r="BN832" s="1207"/>
      <c r="BS832" s="1207"/>
      <c r="BT832" s="1207"/>
      <c r="BU832" s="1207"/>
      <c r="BV832" s="1207"/>
      <c r="BY832" s="1207"/>
      <c r="BZ832" s="1207"/>
      <c r="CA832" s="1207"/>
      <c r="CB832" s="1207"/>
      <c r="CG832" s="1207"/>
      <c r="CH832" s="1207"/>
      <c r="CI832" s="1207"/>
      <c r="CJ832" s="1207"/>
      <c r="CM832" s="1207"/>
      <c r="CN832" s="1207"/>
      <c r="CO832" s="1207"/>
      <c r="CP832" s="1207"/>
      <c r="CQ832" s="1207"/>
      <c r="CR832" s="1207"/>
      <c r="CS832" s="1207"/>
      <c r="CT832" s="1207"/>
      <c r="CU832" s="1207"/>
      <c r="CV832" s="1207"/>
      <c r="CW832" s="1207"/>
      <c r="CX832" s="1207"/>
      <c r="CY832" s="1207"/>
      <c r="CZ832" s="1207"/>
      <c r="DA832" s="1207"/>
      <c r="DB832" s="1207"/>
      <c r="DE832" s="1207"/>
      <c r="DF832" s="1207"/>
      <c r="DG832" s="1207"/>
      <c r="DH832" s="1207"/>
      <c r="DS832" s="1207"/>
      <c r="DT832" s="1207"/>
      <c r="DU832" s="1207"/>
      <c r="DV832" s="1207"/>
      <c r="DY832" s="1207"/>
      <c r="DZ832" s="1207"/>
      <c r="EA832" s="1207"/>
      <c r="EB832" s="1207"/>
      <c r="EI832" s="1207"/>
      <c r="EJ832" s="1207"/>
      <c r="EK832" s="1207"/>
      <c r="EL832" s="1207"/>
      <c r="EM832" s="107"/>
      <c r="EN832" s="107"/>
      <c r="EO832" s="107"/>
      <c r="EP832" s="107"/>
      <c r="EQ832" s="368"/>
      <c r="ER832" s="368"/>
      <c r="ES832" s="368"/>
      <c r="ET832" s="368"/>
    </row>
    <row r="833" spans="1:150" x14ac:dyDescent="0.25">
      <c r="A833" s="1206"/>
      <c r="B833" s="1206"/>
      <c r="C833" s="1207"/>
      <c r="D833" s="1207"/>
      <c r="E833" s="1207"/>
      <c r="F833" s="1207"/>
      <c r="Q833" s="1207"/>
      <c r="R833" s="1207"/>
      <c r="S833" s="1207"/>
      <c r="T833" s="1207"/>
      <c r="U833" s="1207"/>
      <c r="V833" s="1207"/>
      <c r="W833" s="1207"/>
      <c r="X833" s="1207"/>
      <c r="Y833" s="1207"/>
      <c r="Z833" s="1207"/>
      <c r="AA833" s="1207"/>
      <c r="AB833" s="1207"/>
      <c r="AE833" s="1207"/>
      <c r="AF833" s="1207"/>
      <c r="AG833" s="1207"/>
      <c r="AH833" s="1207"/>
      <c r="AI833" s="1207"/>
      <c r="AJ833" s="1207"/>
      <c r="AK833" s="1207"/>
      <c r="AL833" s="1207"/>
      <c r="AU833" s="1207"/>
      <c r="AV833" s="1207"/>
      <c r="AW833" s="1207"/>
      <c r="AX833" s="1207"/>
      <c r="BA833" s="1207"/>
      <c r="BB833" s="1207"/>
      <c r="BC833" s="1207"/>
      <c r="BD833" s="1207"/>
      <c r="BG833" s="1207"/>
      <c r="BH833" s="1207"/>
      <c r="BI833" s="1207"/>
      <c r="BJ833" s="1207"/>
      <c r="BK833" s="1207"/>
      <c r="BL833" s="1207"/>
      <c r="BM833" s="1207"/>
      <c r="BN833" s="1207"/>
      <c r="BS833" s="1207"/>
      <c r="BT833" s="1207"/>
      <c r="BU833" s="1207"/>
      <c r="BV833" s="1207"/>
      <c r="BY833" s="1207"/>
      <c r="BZ833" s="1207"/>
      <c r="CA833" s="1207"/>
      <c r="CB833" s="1207"/>
      <c r="CG833" s="1207"/>
      <c r="CH833" s="1207"/>
      <c r="CI833" s="1207"/>
      <c r="CJ833" s="1207"/>
      <c r="CM833" s="1207"/>
      <c r="CN833" s="1207"/>
      <c r="CO833" s="1207"/>
      <c r="CP833" s="1207"/>
      <c r="CQ833" s="1207"/>
      <c r="CR833" s="1207"/>
      <c r="CS833" s="1207"/>
      <c r="CT833" s="1207"/>
      <c r="CU833" s="1207"/>
      <c r="CV833" s="1207"/>
      <c r="CW833" s="1207"/>
      <c r="CX833" s="1207"/>
      <c r="CY833" s="1207"/>
      <c r="CZ833" s="1207"/>
      <c r="DA833" s="1207"/>
      <c r="DB833" s="1207"/>
      <c r="DE833" s="1207"/>
      <c r="DF833" s="1207"/>
      <c r="DG833" s="1207"/>
      <c r="DH833" s="1207"/>
      <c r="DS833" s="1207"/>
      <c r="DT833" s="1207"/>
      <c r="DU833" s="1207"/>
      <c r="DV833" s="1207"/>
      <c r="DY833" s="1207"/>
      <c r="DZ833" s="1207"/>
      <c r="EA833" s="1207"/>
      <c r="EB833" s="1207"/>
      <c r="EI833" s="1207"/>
      <c r="EJ833" s="1207"/>
      <c r="EK833" s="1207"/>
      <c r="EL833" s="1207"/>
      <c r="EM833" s="107"/>
      <c r="EN833" s="107"/>
      <c r="EO833" s="107"/>
      <c r="EP833" s="107"/>
      <c r="EQ833" s="368"/>
      <c r="ER833" s="368"/>
      <c r="ES833" s="368"/>
      <c r="ET833" s="368"/>
    </row>
    <row r="834" spans="1:150" x14ac:dyDescent="0.25">
      <c r="A834" s="1206"/>
      <c r="B834" s="1206"/>
      <c r="C834" s="1207"/>
      <c r="D834" s="1207"/>
      <c r="E834" s="1207"/>
      <c r="F834" s="1207"/>
      <c r="Q834" s="1207"/>
      <c r="R834" s="1207"/>
      <c r="S834" s="1207"/>
      <c r="T834" s="1207"/>
      <c r="U834" s="1207"/>
      <c r="V834" s="1207"/>
      <c r="W834" s="1207"/>
      <c r="X834" s="1207"/>
      <c r="Y834" s="1207"/>
      <c r="Z834" s="1207"/>
      <c r="AA834" s="1207"/>
      <c r="AB834" s="1207"/>
      <c r="AE834" s="1207"/>
      <c r="AF834" s="1207"/>
      <c r="AG834" s="1207"/>
      <c r="AH834" s="1207"/>
      <c r="AI834" s="1207"/>
      <c r="AJ834" s="1207"/>
      <c r="AK834" s="1207"/>
      <c r="AL834" s="1207"/>
      <c r="AU834" s="1207"/>
      <c r="AV834" s="1207"/>
      <c r="AW834" s="1207"/>
      <c r="AX834" s="1207"/>
      <c r="BA834" s="1207"/>
      <c r="BB834" s="1207"/>
      <c r="BC834" s="1207"/>
      <c r="BD834" s="1207"/>
      <c r="BG834" s="1207"/>
      <c r="BH834" s="1207"/>
      <c r="BI834" s="1207"/>
      <c r="BJ834" s="1207"/>
      <c r="BK834" s="1207"/>
      <c r="BL834" s="1207"/>
      <c r="BM834" s="1207"/>
      <c r="BN834" s="1207"/>
      <c r="BS834" s="1207"/>
      <c r="BT834" s="1207"/>
      <c r="BU834" s="1207"/>
      <c r="BV834" s="1207"/>
      <c r="BY834" s="1207"/>
      <c r="BZ834" s="1207"/>
      <c r="CA834" s="1207"/>
      <c r="CB834" s="1207"/>
      <c r="CG834" s="1207"/>
      <c r="CH834" s="1207"/>
      <c r="CI834" s="1207"/>
      <c r="CJ834" s="1207"/>
      <c r="CM834" s="1207"/>
      <c r="CN834" s="1207"/>
      <c r="CO834" s="1207"/>
      <c r="CP834" s="1207"/>
      <c r="CQ834" s="1207"/>
      <c r="CR834" s="1207"/>
      <c r="CS834" s="1207"/>
      <c r="CT834" s="1207"/>
      <c r="CU834" s="1207"/>
      <c r="CV834" s="1207"/>
      <c r="CW834" s="1207"/>
      <c r="CX834" s="1207"/>
      <c r="CY834" s="1207"/>
      <c r="CZ834" s="1207"/>
      <c r="DA834" s="1207"/>
      <c r="DB834" s="1207"/>
      <c r="DE834" s="1207"/>
      <c r="DF834" s="1207"/>
      <c r="DG834" s="1207"/>
      <c r="DH834" s="1207"/>
      <c r="DS834" s="1207"/>
      <c r="DT834" s="1207"/>
      <c r="DU834" s="1207"/>
      <c r="DV834" s="1207"/>
      <c r="DY834" s="1207"/>
      <c r="DZ834" s="1207"/>
      <c r="EA834" s="1207"/>
      <c r="EB834" s="1207"/>
      <c r="EI834" s="1207"/>
      <c r="EJ834" s="1207"/>
      <c r="EK834" s="1207"/>
      <c r="EL834" s="1207"/>
      <c r="EM834" s="107"/>
      <c r="EN834" s="107"/>
      <c r="EO834" s="107"/>
      <c r="EP834" s="107"/>
      <c r="EQ834" s="368"/>
      <c r="ER834" s="368"/>
      <c r="ES834" s="368"/>
      <c r="ET834" s="368"/>
    </row>
    <row r="835" spans="1:150" x14ac:dyDescent="0.25">
      <c r="A835" s="1206"/>
      <c r="B835" s="1206"/>
      <c r="C835" s="1207"/>
      <c r="D835" s="1207"/>
      <c r="E835" s="1207"/>
      <c r="F835" s="1207"/>
      <c r="Q835" s="1207"/>
      <c r="R835" s="1207"/>
      <c r="S835" s="1207"/>
      <c r="T835" s="1207"/>
      <c r="U835" s="1207"/>
      <c r="V835" s="1207"/>
      <c r="W835" s="1207"/>
      <c r="X835" s="1207"/>
      <c r="Y835" s="1207"/>
      <c r="Z835" s="1207"/>
      <c r="AA835" s="1207"/>
      <c r="AB835" s="1207"/>
      <c r="AE835" s="1207"/>
      <c r="AF835" s="1207"/>
      <c r="AG835" s="1207"/>
      <c r="AH835" s="1207"/>
      <c r="AI835" s="1207"/>
      <c r="AJ835" s="1207"/>
      <c r="AK835" s="1207"/>
      <c r="AL835" s="1207"/>
      <c r="AU835" s="1207"/>
      <c r="AV835" s="1207"/>
      <c r="AW835" s="1207"/>
      <c r="AX835" s="1207"/>
      <c r="BA835" s="1207"/>
      <c r="BB835" s="1207"/>
      <c r="BC835" s="1207"/>
      <c r="BD835" s="1207"/>
      <c r="BG835" s="1207"/>
      <c r="BH835" s="1207"/>
      <c r="BI835" s="1207"/>
      <c r="BJ835" s="1207"/>
      <c r="BK835" s="1207"/>
      <c r="BL835" s="1207"/>
      <c r="BM835" s="1207"/>
      <c r="BN835" s="1207"/>
      <c r="BS835" s="1207"/>
      <c r="BT835" s="1207"/>
      <c r="BU835" s="1207"/>
      <c r="BV835" s="1207"/>
      <c r="BY835" s="1207"/>
      <c r="BZ835" s="1207"/>
      <c r="CA835" s="1207"/>
      <c r="CB835" s="1207"/>
      <c r="CG835" s="1207"/>
      <c r="CH835" s="1207"/>
      <c r="CI835" s="1207"/>
      <c r="CJ835" s="1207"/>
      <c r="CM835" s="1207"/>
      <c r="CN835" s="1207"/>
      <c r="CO835" s="1207"/>
      <c r="CP835" s="1207"/>
      <c r="CQ835" s="1207"/>
      <c r="CR835" s="1207"/>
      <c r="CS835" s="1207"/>
      <c r="CT835" s="1207"/>
      <c r="CU835" s="1207"/>
      <c r="CV835" s="1207"/>
      <c r="CW835" s="1207"/>
      <c r="CX835" s="1207"/>
      <c r="CY835" s="1207"/>
      <c r="CZ835" s="1207"/>
      <c r="DA835" s="1207"/>
      <c r="DB835" s="1207"/>
      <c r="DE835" s="1207"/>
      <c r="DF835" s="1207"/>
      <c r="DG835" s="1207"/>
      <c r="DH835" s="1207"/>
      <c r="DS835" s="1207"/>
      <c r="DT835" s="1207"/>
      <c r="DU835" s="1207"/>
      <c r="DV835" s="1207"/>
      <c r="DY835" s="1207"/>
      <c r="DZ835" s="1207"/>
      <c r="EA835" s="1207"/>
      <c r="EB835" s="1207"/>
      <c r="EI835" s="1207"/>
      <c r="EJ835" s="1207"/>
      <c r="EK835" s="1207"/>
      <c r="EL835" s="1207"/>
      <c r="EM835" s="107"/>
      <c r="EN835" s="107"/>
      <c r="EO835" s="107"/>
      <c r="EP835" s="107"/>
      <c r="EQ835" s="368"/>
      <c r="ER835" s="368"/>
      <c r="ES835" s="368"/>
      <c r="ET835" s="368"/>
    </row>
    <row r="836" spans="1:150" x14ac:dyDescent="0.25">
      <c r="A836" s="1206"/>
      <c r="B836" s="1206"/>
      <c r="C836" s="1207"/>
      <c r="D836" s="1207"/>
      <c r="E836" s="1207"/>
      <c r="F836" s="1207"/>
      <c r="Q836" s="1207"/>
      <c r="R836" s="1207"/>
      <c r="S836" s="1207"/>
      <c r="T836" s="1207"/>
      <c r="U836" s="1207"/>
      <c r="V836" s="1207"/>
      <c r="W836" s="1207"/>
      <c r="X836" s="1207"/>
      <c r="Y836" s="1207"/>
      <c r="Z836" s="1207"/>
      <c r="AA836" s="1207"/>
      <c r="AB836" s="1207"/>
      <c r="AE836" s="1207"/>
      <c r="AF836" s="1207"/>
      <c r="AG836" s="1207"/>
      <c r="AH836" s="1207"/>
      <c r="AI836" s="1207"/>
      <c r="AJ836" s="1207"/>
      <c r="AK836" s="1207"/>
      <c r="AL836" s="1207"/>
      <c r="AU836" s="1207"/>
      <c r="AV836" s="1207"/>
      <c r="AW836" s="1207"/>
      <c r="AX836" s="1207"/>
      <c r="BA836" s="1207"/>
      <c r="BB836" s="1207"/>
      <c r="BC836" s="1207"/>
      <c r="BD836" s="1207"/>
      <c r="BG836" s="1207"/>
      <c r="BH836" s="1207"/>
      <c r="BI836" s="1207"/>
      <c r="BJ836" s="1207"/>
      <c r="BK836" s="1207"/>
      <c r="BL836" s="1207"/>
      <c r="BM836" s="1207"/>
      <c r="BN836" s="1207"/>
      <c r="BS836" s="1207"/>
      <c r="BT836" s="1207"/>
      <c r="BU836" s="1207"/>
      <c r="BV836" s="1207"/>
      <c r="BY836" s="1207"/>
      <c r="BZ836" s="1207"/>
      <c r="CA836" s="1207"/>
      <c r="CB836" s="1207"/>
      <c r="CG836" s="1207"/>
      <c r="CH836" s="1207"/>
      <c r="CI836" s="1207"/>
      <c r="CJ836" s="1207"/>
      <c r="CM836" s="1207"/>
      <c r="CN836" s="1207"/>
      <c r="CO836" s="1207"/>
      <c r="CP836" s="1207"/>
      <c r="CQ836" s="1207"/>
      <c r="CR836" s="1207"/>
      <c r="CS836" s="1207"/>
      <c r="CT836" s="1207"/>
      <c r="CU836" s="1207"/>
      <c r="CV836" s="1207"/>
      <c r="CW836" s="1207"/>
      <c r="CX836" s="1207"/>
      <c r="CY836" s="1207"/>
      <c r="CZ836" s="1207"/>
      <c r="DA836" s="1207"/>
      <c r="DB836" s="1207"/>
      <c r="DE836" s="1207"/>
      <c r="DF836" s="1207"/>
      <c r="DG836" s="1207"/>
      <c r="DH836" s="1207"/>
      <c r="DS836" s="1207"/>
      <c r="DT836" s="1207"/>
      <c r="DU836" s="1207"/>
      <c r="DV836" s="1207"/>
      <c r="DY836" s="1207"/>
      <c r="DZ836" s="1207"/>
      <c r="EA836" s="1207"/>
      <c r="EB836" s="1207"/>
      <c r="EI836" s="1207"/>
      <c r="EJ836" s="1207"/>
      <c r="EK836" s="1207"/>
      <c r="EL836" s="1207"/>
      <c r="EM836" s="107"/>
      <c r="EN836" s="107"/>
      <c r="EO836" s="107"/>
      <c r="EP836" s="107"/>
      <c r="EQ836" s="368"/>
      <c r="ER836" s="368"/>
      <c r="ES836" s="368"/>
      <c r="ET836" s="368"/>
    </row>
    <row r="837" spans="1:150" x14ac:dyDescent="0.25">
      <c r="A837" s="1206"/>
      <c r="B837" s="1206"/>
      <c r="C837" s="1207"/>
      <c r="D837" s="1207"/>
      <c r="E837" s="1207"/>
      <c r="F837" s="1207"/>
      <c r="Q837" s="1207"/>
      <c r="R837" s="1207"/>
      <c r="S837" s="1207"/>
      <c r="T837" s="1207"/>
      <c r="U837" s="1207"/>
      <c r="V837" s="1207"/>
      <c r="W837" s="1207"/>
      <c r="X837" s="1207"/>
      <c r="Y837" s="1207"/>
      <c r="Z837" s="1207"/>
      <c r="AA837" s="1207"/>
      <c r="AB837" s="1207"/>
      <c r="AE837" s="1207"/>
      <c r="AF837" s="1207"/>
      <c r="AG837" s="1207"/>
      <c r="AH837" s="1207"/>
      <c r="AI837" s="1207"/>
      <c r="AJ837" s="1207"/>
      <c r="AK837" s="1207"/>
      <c r="AL837" s="1207"/>
      <c r="AU837" s="1207"/>
      <c r="AV837" s="1207"/>
      <c r="AW837" s="1207"/>
      <c r="AX837" s="1207"/>
      <c r="BA837" s="1207"/>
      <c r="BB837" s="1207"/>
      <c r="BC837" s="1207"/>
      <c r="BD837" s="1207"/>
      <c r="BG837" s="1207"/>
      <c r="BH837" s="1207"/>
      <c r="BI837" s="1207"/>
      <c r="BJ837" s="1207"/>
      <c r="BK837" s="1207"/>
      <c r="BL837" s="1207"/>
      <c r="BM837" s="1207"/>
      <c r="BN837" s="1207"/>
      <c r="BS837" s="1207"/>
      <c r="BT837" s="1207"/>
      <c r="BU837" s="1207"/>
      <c r="BV837" s="1207"/>
      <c r="BY837" s="1207"/>
      <c r="BZ837" s="1207"/>
      <c r="CA837" s="1207"/>
      <c r="CB837" s="1207"/>
      <c r="CG837" s="1207"/>
      <c r="CH837" s="1207"/>
      <c r="CI837" s="1207"/>
      <c r="CJ837" s="1207"/>
      <c r="CM837" s="1207"/>
      <c r="CN837" s="1207"/>
      <c r="CO837" s="1207"/>
      <c r="CP837" s="1207"/>
      <c r="CQ837" s="1207"/>
      <c r="CR837" s="1207"/>
      <c r="CS837" s="1207"/>
      <c r="CT837" s="1207"/>
      <c r="CU837" s="1207"/>
      <c r="CV837" s="1207"/>
      <c r="CW837" s="1207"/>
      <c r="CX837" s="1207"/>
      <c r="CY837" s="1207"/>
      <c r="CZ837" s="1207"/>
      <c r="DA837" s="1207"/>
      <c r="DB837" s="1207"/>
      <c r="DE837" s="1207"/>
      <c r="DF837" s="1207"/>
      <c r="DG837" s="1207"/>
      <c r="DH837" s="1207"/>
      <c r="DS837" s="1207"/>
      <c r="DT837" s="1207"/>
      <c r="DU837" s="1207"/>
      <c r="DV837" s="1207"/>
      <c r="DY837" s="1207"/>
      <c r="DZ837" s="1207"/>
      <c r="EA837" s="1207"/>
      <c r="EB837" s="1207"/>
      <c r="EI837" s="1207"/>
      <c r="EJ837" s="1207"/>
      <c r="EK837" s="1207"/>
      <c r="EL837" s="1207"/>
      <c r="EM837" s="107"/>
      <c r="EN837" s="107"/>
      <c r="EO837" s="107"/>
      <c r="EP837" s="107"/>
      <c r="EQ837" s="368"/>
      <c r="ER837" s="368"/>
      <c r="ES837" s="368"/>
      <c r="ET837" s="368"/>
    </row>
    <row r="838" spans="1:150" x14ac:dyDescent="0.25">
      <c r="A838" s="1206"/>
      <c r="B838" s="1206"/>
      <c r="C838" s="1207"/>
      <c r="D838" s="1207"/>
      <c r="E838" s="1207"/>
      <c r="F838" s="1207"/>
      <c r="Q838" s="1207"/>
      <c r="R838" s="1207"/>
      <c r="S838" s="1207"/>
      <c r="T838" s="1207"/>
      <c r="U838" s="1207"/>
      <c r="V838" s="1207"/>
      <c r="W838" s="1207"/>
      <c r="X838" s="1207"/>
      <c r="Y838" s="1207"/>
      <c r="Z838" s="1207"/>
      <c r="AA838" s="1207"/>
      <c r="AB838" s="1207"/>
      <c r="AE838" s="1207"/>
      <c r="AF838" s="1207"/>
      <c r="AG838" s="1207"/>
      <c r="AH838" s="1207"/>
      <c r="AI838" s="1207"/>
      <c r="AJ838" s="1207"/>
      <c r="AK838" s="1207"/>
      <c r="AL838" s="1207"/>
      <c r="AU838" s="1207"/>
      <c r="AV838" s="1207"/>
      <c r="AW838" s="1207"/>
      <c r="AX838" s="1207"/>
      <c r="BA838" s="1207"/>
      <c r="BB838" s="1207"/>
      <c r="BC838" s="1207"/>
      <c r="BD838" s="1207"/>
      <c r="BG838" s="1207"/>
      <c r="BH838" s="1207"/>
      <c r="BI838" s="1207"/>
      <c r="BJ838" s="1207"/>
      <c r="BK838" s="1207"/>
      <c r="BL838" s="1207"/>
      <c r="BM838" s="1207"/>
      <c r="BN838" s="1207"/>
      <c r="BS838" s="1207"/>
      <c r="BT838" s="1207"/>
      <c r="BU838" s="1207"/>
      <c r="BV838" s="1207"/>
      <c r="BY838" s="1207"/>
      <c r="BZ838" s="1207"/>
      <c r="CA838" s="1207"/>
      <c r="CB838" s="1207"/>
      <c r="CG838" s="1207"/>
      <c r="CH838" s="1207"/>
      <c r="CI838" s="1207"/>
      <c r="CJ838" s="1207"/>
      <c r="CM838" s="1207"/>
      <c r="CN838" s="1207"/>
      <c r="CO838" s="1207"/>
      <c r="CP838" s="1207"/>
      <c r="CQ838" s="1207"/>
      <c r="CR838" s="1207"/>
      <c r="CS838" s="1207"/>
      <c r="CT838" s="1207"/>
      <c r="CU838" s="1207"/>
      <c r="CV838" s="1207"/>
      <c r="CW838" s="1207"/>
      <c r="CX838" s="1207"/>
      <c r="CY838" s="1207"/>
      <c r="CZ838" s="1207"/>
      <c r="DA838" s="1207"/>
      <c r="DB838" s="1207"/>
      <c r="DE838" s="1207"/>
      <c r="DF838" s="1207"/>
      <c r="DG838" s="1207"/>
      <c r="DH838" s="1207"/>
      <c r="DS838" s="1207"/>
      <c r="DT838" s="1207"/>
      <c r="DU838" s="1207"/>
      <c r="DV838" s="1207"/>
      <c r="DY838" s="1207"/>
      <c r="DZ838" s="1207"/>
      <c r="EA838" s="1207"/>
      <c r="EB838" s="1207"/>
      <c r="EI838" s="1207"/>
      <c r="EJ838" s="1207"/>
      <c r="EK838" s="1207"/>
      <c r="EL838" s="1207"/>
      <c r="EM838" s="107"/>
      <c r="EN838" s="107"/>
      <c r="EO838" s="107"/>
      <c r="EP838" s="107"/>
      <c r="EQ838" s="368"/>
      <c r="ER838" s="368"/>
      <c r="ES838" s="368"/>
      <c r="ET838" s="368"/>
    </row>
    <row r="839" spans="1:150" x14ac:dyDescent="0.25">
      <c r="A839" s="1206"/>
      <c r="B839" s="1206"/>
      <c r="C839" s="1207"/>
      <c r="D839" s="1207"/>
      <c r="E839" s="1207"/>
      <c r="F839" s="1207"/>
      <c r="Q839" s="1207"/>
      <c r="R839" s="1207"/>
      <c r="S839" s="1207"/>
      <c r="T839" s="1207"/>
      <c r="U839" s="1207"/>
      <c r="V839" s="1207"/>
      <c r="W839" s="1207"/>
      <c r="X839" s="1207"/>
      <c r="Y839" s="1207"/>
      <c r="Z839" s="1207"/>
      <c r="AA839" s="1207"/>
      <c r="AB839" s="1207"/>
      <c r="AE839" s="1207"/>
      <c r="AF839" s="1207"/>
      <c r="AG839" s="1207"/>
      <c r="AH839" s="1207"/>
      <c r="AI839" s="1207"/>
      <c r="AJ839" s="1207"/>
      <c r="AK839" s="1207"/>
      <c r="AL839" s="1207"/>
      <c r="AU839" s="1207"/>
      <c r="AV839" s="1207"/>
      <c r="AW839" s="1207"/>
      <c r="AX839" s="1207"/>
      <c r="BA839" s="1207"/>
      <c r="BB839" s="1207"/>
      <c r="BC839" s="1207"/>
      <c r="BD839" s="1207"/>
      <c r="BG839" s="1207"/>
      <c r="BH839" s="1207"/>
      <c r="BI839" s="1207"/>
      <c r="BJ839" s="1207"/>
      <c r="BK839" s="1207"/>
      <c r="BL839" s="1207"/>
      <c r="BM839" s="1207"/>
      <c r="BN839" s="1207"/>
      <c r="BS839" s="1207"/>
      <c r="BT839" s="1207"/>
      <c r="BU839" s="1207"/>
      <c r="BV839" s="1207"/>
      <c r="BY839" s="1207"/>
      <c r="BZ839" s="1207"/>
      <c r="CA839" s="1207"/>
      <c r="CB839" s="1207"/>
      <c r="CG839" s="1207"/>
      <c r="CH839" s="1207"/>
      <c r="CI839" s="1207"/>
      <c r="CJ839" s="1207"/>
      <c r="CM839" s="1207"/>
      <c r="CN839" s="1207"/>
      <c r="CO839" s="1207"/>
      <c r="CP839" s="1207"/>
      <c r="CQ839" s="1207"/>
      <c r="CR839" s="1207"/>
      <c r="CS839" s="1207"/>
      <c r="CT839" s="1207"/>
      <c r="CU839" s="1207"/>
      <c r="CV839" s="1207"/>
      <c r="CW839" s="1207"/>
      <c r="CX839" s="1207"/>
      <c r="CY839" s="1207"/>
      <c r="CZ839" s="1207"/>
      <c r="DA839" s="1207"/>
      <c r="DB839" s="1207"/>
      <c r="DE839" s="1207"/>
      <c r="DF839" s="1207"/>
      <c r="DG839" s="1207"/>
      <c r="DH839" s="1207"/>
      <c r="DS839" s="1207"/>
      <c r="DT839" s="1207"/>
      <c r="DU839" s="1207"/>
      <c r="DV839" s="1207"/>
      <c r="DY839" s="1207"/>
      <c r="DZ839" s="1207"/>
      <c r="EA839" s="1207"/>
      <c r="EB839" s="1207"/>
      <c r="EI839" s="1207"/>
      <c r="EJ839" s="1207"/>
      <c r="EK839" s="1207"/>
      <c r="EL839" s="1207"/>
      <c r="EM839" s="107"/>
      <c r="EN839" s="107"/>
      <c r="EO839" s="107"/>
      <c r="EP839" s="107"/>
      <c r="EQ839" s="368"/>
      <c r="ER839" s="368"/>
      <c r="ES839" s="368"/>
      <c r="ET839" s="368"/>
    </row>
    <row r="840" spans="1:150" x14ac:dyDescent="0.25">
      <c r="A840" s="1206"/>
      <c r="B840" s="1206"/>
      <c r="C840" s="1207"/>
      <c r="D840" s="1207"/>
      <c r="E840" s="1207"/>
      <c r="F840" s="1207"/>
      <c r="Q840" s="1207"/>
      <c r="R840" s="1207"/>
      <c r="S840" s="1207"/>
      <c r="T840" s="1207"/>
      <c r="U840" s="1207"/>
      <c r="V840" s="1207"/>
      <c r="W840" s="1207"/>
      <c r="X840" s="1207"/>
      <c r="Y840" s="1207"/>
      <c r="Z840" s="1207"/>
      <c r="AA840" s="1207"/>
      <c r="AB840" s="1207"/>
      <c r="AE840" s="1207"/>
      <c r="AF840" s="1207"/>
      <c r="AG840" s="1207"/>
      <c r="AH840" s="1207"/>
      <c r="AI840" s="1207"/>
      <c r="AJ840" s="1207"/>
      <c r="AK840" s="1207"/>
      <c r="AL840" s="1207"/>
      <c r="AU840" s="1207"/>
      <c r="AV840" s="1207"/>
      <c r="AW840" s="1207"/>
      <c r="AX840" s="1207"/>
      <c r="BA840" s="1207"/>
      <c r="BB840" s="1207"/>
      <c r="BC840" s="1207"/>
      <c r="BD840" s="1207"/>
      <c r="BG840" s="1207"/>
      <c r="BH840" s="1207"/>
      <c r="BI840" s="1207"/>
      <c r="BJ840" s="1207"/>
      <c r="BK840" s="1207"/>
      <c r="BL840" s="1207"/>
      <c r="BM840" s="1207"/>
      <c r="BN840" s="1207"/>
      <c r="BS840" s="1207"/>
      <c r="BT840" s="1207"/>
      <c r="BU840" s="1207"/>
      <c r="BV840" s="1207"/>
      <c r="BY840" s="1207"/>
      <c r="BZ840" s="1207"/>
      <c r="CA840" s="1207"/>
      <c r="CB840" s="1207"/>
      <c r="CG840" s="1207"/>
      <c r="CH840" s="1207"/>
      <c r="CI840" s="1207"/>
      <c r="CJ840" s="1207"/>
      <c r="CM840" s="1207"/>
      <c r="CN840" s="1207"/>
      <c r="CO840" s="1207"/>
      <c r="CP840" s="1207"/>
      <c r="CQ840" s="1207"/>
      <c r="CR840" s="1207"/>
      <c r="CS840" s="1207"/>
      <c r="CT840" s="1207"/>
      <c r="CU840" s="1207"/>
      <c r="CV840" s="1207"/>
      <c r="CW840" s="1207"/>
      <c r="CX840" s="1207"/>
      <c r="CY840" s="1207"/>
      <c r="CZ840" s="1207"/>
      <c r="DA840" s="1207"/>
      <c r="DB840" s="1207"/>
      <c r="DE840" s="1207"/>
      <c r="DF840" s="1207"/>
      <c r="DG840" s="1207"/>
      <c r="DH840" s="1207"/>
      <c r="DS840" s="1207"/>
      <c r="DT840" s="1207"/>
      <c r="DU840" s="1207"/>
      <c r="DV840" s="1207"/>
      <c r="DY840" s="1207"/>
      <c r="DZ840" s="1207"/>
      <c r="EA840" s="1207"/>
      <c r="EB840" s="1207"/>
      <c r="EI840" s="1207"/>
      <c r="EJ840" s="1207"/>
      <c r="EK840" s="1207"/>
      <c r="EL840" s="1207"/>
      <c r="EM840" s="107"/>
      <c r="EN840" s="107"/>
      <c r="EO840" s="107"/>
      <c r="EP840" s="107"/>
      <c r="EQ840" s="368"/>
      <c r="ER840" s="368"/>
      <c r="ES840" s="368"/>
      <c r="ET840" s="368"/>
    </row>
    <row r="841" spans="1:150" x14ac:dyDescent="0.25">
      <c r="A841" s="1206"/>
      <c r="B841" s="1206"/>
      <c r="C841" s="1207"/>
      <c r="D841" s="1207"/>
      <c r="E841" s="1207"/>
      <c r="F841" s="1207"/>
      <c r="Q841" s="1207"/>
      <c r="R841" s="1207"/>
      <c r="S841" s="1207"/>
      <c r="T841" s="1207"/>
      <c r="U841" s="1207"/>
      <c r="V841" s="1207"/>
      <c r="W841" s="1207"/>
      <c r="X841" s="1207"/>
      <c r="Y841" s="1207"/>
      <c r="Z841" s="1207"/>
      <c r="AA841" s="1207"/>
      <c r="AB841" s="1207"/>
      <c r="AE841" s="1207"/>
      <c r="AF841" s="1207"/>
      <c r="AG841" s="1207"/>
      <c r="AH841" s="1207"/>
      <c r="AI841" s="1207"/>
      <c r="AJ841" s="1207"/>
      <c r="AK841" s="1207"/>
      <c r="AL841" s="1207"/>
      <c r="AU841" s="1207"/>
      <c r="AV841" s="1207"/>
      <c r="AW841" s="1207"/>
      <c r="AX841" s="1207"/>
      <c r="BA841" s="1207"/>
      <c r="BB841" s="1207"/>
      <c r="BC841" s="1207"/>
      <c r="BD841" s="1207"/>
      <c r="BG841" s="1207"/>
      <c r="BH841" s="1207"/>
      <c r="BI841" s="1207"/>
      <c r="BJ841" s="1207"/>
      <c r="BK841" s="1207"/>
      <c r="BL841" s="1207"/>
      <c r="BM841" s="1207"/>
      <c r="BN841" s="1207"/>
      <c r="BS841" s="1207"/>
      <c r="BT841" s="1207"/>
      <c r="BU841" s="1207"/>
      <c r="BV841" s="1207"/>
      <c r="BY841" s="1207"/>
      <c r="BZ841" s="1207"/>
      <c r="CA841" s="1207"/>
      <c r="CB841" s="1207"/>
      <c r="CG841" s="1207"/>
      <c r="CH841" s="1207"/>
      <c r="CI841" s="1207"/>
      <c r="CJ841" s="1207"/>
      <c r="CM841" s="1207"/>
      <c r="CN841" s="1207"/>
      <c r="CO841" s="1207"/>
      <c r="CP841" s="1207"/>
      <c r="CQ841" s="1207"/>
      <c r="CR841" s="1207"/>
      <c r="CS841" s="1207"/>
      <c r="CT841" s="1207"/>
      <c r="CU841" s="1207"/>
      <c r="CV841" s="1207"/>
      <c r="CW841" s="1207"/>
      <c r="CX841" s="1207"/>
      <c r="CY841" s="1207"/>
      <c r="CZ841" s="1207"/>
      <c r="DA841" s="1207"/>
      <c r="DB841" s="1207"/>
      <c r="DE841" s="1207"/>
      <c r="DF841" s="1207"/>
      <c r="DG841" s="1207"/>
      <c r="DH841" s="1207"/>
      <c r="DS841" s="1207"/>
      <c r="DT841" s="1207"/>
      <c r="DU841" s="1207"/>
      <c r="DV841" s="1207"/>
      <c r="DY841" s="1207"/>
      <c r="DZ841" s="1207"/>
      <c r="EA841" s="1207"/>
      <c r="EB841" s="1207"/>
      <c r="EI841" s="1207"/>
      <c r="EJ841" s="1207"/>
      <c r="EK841" s="1207"/>
      <c r="EL841" s="1207"/>
      <c r="EM841" s="107"/>
      <c r="EN841" s="107"/>
      <c r="EO841" s="107"/>
      <c r="EP841" s="107"/>
      <c r="EQ841" s="368"/>
      <c r="ER841" s="368"/>
      <c r="ES841" s="368"/>
      <c r="ET841" s="368"/>
    </row>
    <row r="842" spans="1:150" x14ac:dyDescent="0.25">
      <c r="A842" s="1206"/>
      <c r="B842" s="1206"/>
      <c r="C842" s="1207"/>
      <c r="D842" s="1207"/>
      <c r="E842" s="1207"/>
      <c r="F842" s="1207"/>
      <c r="Q842" s="1207"/>
      <c r="R842" s="1207"/>
      <c r="S842" s="1207"/>
      <c r="T842" s="1207"/>
      <c r="U842" s="1207"/>
      <c r="V842" s="1207"/>
      <c r="W842" s="1207"/>
      <c r="X842" s="1207"/>
      <c r="Y842" s="1207"/>
      <c r="Z842" s="1207"/>
      <c r="AA842" s="1207"/>
      <c r="AB842" s="1207"/>
      <c r="AE842" s="1207"/>
      <c r="AF842" s="1207"/>
      <c r="AG842" s="1207"/>
      <c r="AH842" s="1207"/>
      <c r="AI842" s="1207"/>
      <c r="AJ842" s="1207"/>
      <c r="AK842" s="1207"/>
      <c r="AL842" s="1207"/>
      <c r="AU842" s="1207"/>
      <c r="AV842" s="1207"/>
      <c r="AW842" s="1207"/>
      <c r="AX842" s="1207"/>
      <c r="BA842" s="1207"/>
      <c r="BB842" s="1207"/>
      <c r="BC842" s="1207"/>
      <c r="BD842" s="1207"/>
      <c r="BG842" s="1207"/>
      <c r="BH842" s="1207"/>
      <c r="BI842" s="1207"/>
      <c r="BJ842" s="1207"/>
      <c r="BK842" s="1207"/>
      <c r="BL842" s="1207"/>
      <c r="BM842" s="1207"/>
      <c r="BN842" s="1207"/>
      <c r="BS842" s="1207"/>
      <c r="BT842" s="1207"/>
      <c r="BU842" s="1207"/>
      <c r="BV842" s="1207"/>
      <c r="BY842" s="1207"/>
      <c r="BZ842" s="1207"/>
      <c r="CA842" s="1207"/>
      <c r="CB842" s="1207"/>
      <c r="CG842" s="1207"/>
      <c r="CH842" s="1207"/>
      <c r="CI842" s="1207"/>
      <c r="CJ842" s="1207"/>
      <c r="CM842" s="1207"/>
      <c r="CN842" s="1207"/>
      <c r="CO842" s="1207"/>
      <c r="CP842" s="1207"/>
      <c r="CQ842" s="1207"/>
      <c r="CR842" s="1207"/>
      <c r="CS842" s="1207"/>
      <c r="CT842" s="1207"/>
      <c r="CU842" s="1207"/>
      <c r="CV842" s="1207"/>
      <c r="CW842" s="1207"/>
      <c r="CX842" s="1207"/>
      <c r="CY842" s="1207"/>
      <c r="CZ842" s="1207"/>
      <c r="DA842" s="1207"/>
      <c r="DB842" s="1207"/>
      <c r="DE842" s="1207"/>
      <c r="DF842" s="1207"/>
      <c r="DG842" s="1207"/>
      <c r="DH842" s="1207"/>
      <c r="DS842" s="1207"/>
      <c r="DT842" s="1207"/>
      <c r="DU842" s="1207"/>
      <c r="DV842" s="1207"/>
      <c r="DY842" s="1207"/>
      <c r="DZ842" s="1207"/>
      <c r="EA842" s="1207"/>
      <c r="EB842" s="1207"/>
      <c r="EI842" s="1207"/>
      <c r="EJ842" s="1207"/>
      <c r="EK842" s="1207"/>
      <c r="EL842" s="1207"/>
      <c r="EM842" s="107"/>
      <c r="EN842" s="107"/>
      <c r="EO842" s="107"/>
      <c r="EP842" s="107"/>
      <c r="EQ842" s="368"/>
      <c r="ER842" s="368"/>
      <c r="ES842" s="368"/>
      <c r="ET842" s="368"/>
    </row>
    <row r="843" spans="1:150" x14ac:dyDescent="0.25">
      <c r="A843" s="1206"/>
      <c r="B843" s="1206"/>
      <c r="C843" s="1207"/>
      <c r="D843" s="1207"/>
      <c r="E843" s="1207"/>
      <c r="F843" s="1207"/>
      <c r="Q843" s="1207"/>
      <c r="R843" s="1207"/>
      <c r="S843" s="1207"/>
      <c r="T843" s="1207"/>
      <c r="U843" s="1207"/>
      <c r="V843" s="1207"/>
      <c r="W843" s="1207"/>
      <c r="X843" s="1207"/>
      <c r="Y843" s="1207"/>
      <c r="Z843" s="1207"/>
      <c r="AA843" s="1207"/>
      <c r="AB843" s="1207"/>
      <c r="AE843" s="1207"/>
      <c r="AF843" s="1207"/>
      <c r="AG843" s="1207"/>
      <c r="AH843" s="1207"/>
      <c r="AI843" s="1207"/>
      <c r="AJ843" s="1207"/>
      <c r="AK843" s="1207"/>
      <c r="AL843" s="1207"/>
      <c r="AU843" s="1207"/>
      <c r="AV843" s="1207"/>
      <c r="AW843" s="1207"/>
      <c r="AX843" s="1207"/>
      <c r="BA843" s="1207"/>
      <c r="BB843" s="1207"/>
      <c r="BC843" s="1207"/>
      <c r="BD843" s="1207"/>
      <c r="BG843" s="1207"/>
      <c r="BH843" s="1207"/>
      <c r="BI843" s="1207"/>
      <c r="BJ843" s="1207"/>
      <c r="BK843" s="1207"/>
      <c r="BL843" s="1207"/>
      <c r="BM843" s="1207"/>
      <c r="BN843" s="1207"/>
      <c r="BS843" s="1207"/>
      <c r="BT843" s="1207"/>
      <c r="BU843" s="1207"/>
      <c r="BV843" s="1207"/>
      <c r="BY843" s="1207"/>
      <c r="BZ843" s="1207"/>
      <c r="CA843" s="1207"/>
      <c r="CB843" s="1207"/>
      <c r="CG843" s="1207"/>
      <c r="CH843" s="1207"/>
      <c r="CI843" s="1207"/>
      <c r="CJ843" s="1207"/>
      <c r="CM843" s="1207"/>
      <c r="CN843" s="1207"/>
      <c r="CO843" s="1207"/>
      <c r="CP843" s="1207"/>
      <c r="CQ843" s="1207"/>
      <c r="CR843" s="1207"/>
      <c r="CS843" s="1207"/>
      <c r="CT843" s="1207"/>
      <c r="CU843" s="1207"/>
      <c r="CV843" s="1207"/>
      <c r="CW843" s="1207"/>
      <c r="CX843" s="1207"/>
      <c r="CY843" s="1207"/>
      <c r="CZ843" s="1207"/>
      <c r="DA843" s="1207"/>
      <c r="DB843" s="1207"/>
      <c r="DE843" s="1207"/>
      <c r="DF843" s="1207"/>
      <c r="DG843" s="1207"/>
      <c r="DH843" s="1207"/>
      <c r="DS843" s="1207"/>
      <c r="DT843" s="1207"/>
      <c r="DU843" s="1207"/>
      <c r="DV843" s="1207"/>
      <c r="DY843" s="1207"/>
      <c r="DZ843" s="1207"/>
      <c r="EA843" s="1207"/>
      <c r="EB843" s="1207"/>
      <c r="EI843" s="1207"/>
      <c r="EJ843" s="1207"/>
      <c r="EK843" s="1207"/>
      <c r="EL843" s="1207"/>
      <c r="EM843" s="107"/>
      <c r="EN843" s="107"/>
      <c r="EO843" s="107"/>
      <c r="EP843" s="107"/>
      <c r="EQ843" s="368"/>
      <c r="ER843" s="368"/>
      <c r="ES843" s="368"/>
      <c r="ET843" s="368"/>
    </row>
    <row r="844" spans="1:150" x14ac:dyDescent="0.25">
      <c r="A844" s="1206"/>
      <c r="B844" s="1206"/>
      <c r="C844" s="1207"/>
      <c r="D844" s="1207"/>
      <c r="E844" s="1207"/>
      <c r="F844" s="1207"/>
      <c r="Q844" s="1207"/>
      <c r="R844" s="1207"/>
      <c r="S844" s="1207"/>
      <c r="T844" s="1207"/>
      <c r="U844" s="1207"/>
      <c r="V844" s="1207"/>
      <c r="W844" s="1207"/>
      <c r="X844" s="1207"/>
      <c r="Y844" s="1207"/>
      <c r="Z844" s="1207"/>
      <c r="AA844" s="1207"/>
      <c r="AB844" s="1207"/>
      <c r="AE844" s="1207"/>
      <c r="AF844" s="1207"/>
      <c r="AG844" s="1207"/>
      <c r="AH844" s="1207"/>
      <c r="AI844" s="1207"/>
      <c r="AJ844" s="1207"/>
      <c r="AK844" s="1207"/>
      <c r="AL844" s="1207"/>
      <c r="AU844" s="1207"/>
      <c r="AV844" s="1207"/>
      <c r="AW844" s="1207"/>
      <c r="AX844" s="1207"/>
      <c r="BA844" s="1207"/>
      <c r="BB844" s="1207"/>
      <c r="BC844" s="1207"/>
      <c r="BD844" s="1207"/>
      <c r="BG844" s="1207"/>
      <c r="BH844" s="1207"/>
      <c r="BI844" s="1207"/>
      <c r="BJ844" s="1207"/>
      <c r="BK844" s="1207"/>
      <c r="BL844" s="1207"/>
      <c r="BM844" s="1207"/>
      <c r="BN844" s="1207"/>
      <c r="BS844" s="1207"/>
      <c r="BT844" s="1207"/>
      <c r="BU844" s="1207"/>
      <c r="BV844" s="1207"/>
      <c r="BY844" s="1207"/>
      <c r="BZ844" s="1207"/>
      <c r="CA844" s="1207"/>
      <c r="CB844" s="1207"/>
      <c r="CG844" s="1207"/>
      <c r="CH844" s="1207"/>
      <c r="CI844" s="1207"/>
      <c r="CJ844" s="1207"/>
      <c r="CM844" s="1207"/>
      <c r="CN844" s="1207"/>
      <c r="CO844" s="1207"/>
      <c r="CP844" s="1207"/>
      <c r="CQ844" s="1207"/>
      <c r="CR844" s="1207"/>
      <c r="CS844" s="1207"/>
      <c r="CT844" s="1207"/>
      <c r="CU844" s="1207"/>
      <c r="CV844" s="1207"/>
      <c r="CW844" s="1207"/>
      <c r="CX844" s="1207"/>
      <c r="CY844" s="1207"/>
      <c r="CZ844" s="1207"/>
      <c r="DA844" s="1207"/>
      <c r="DB844" s="1207"/>
      <c r="DE844" s="1207"/>
      <c r="DF844" s="1207"/>
      <c r="DG844" s="1207"/>
      <c r="DH844" s="1207"/>
      <c r="DS844" s="1207"/>
      <c r="DT844" s="1207"/>
      <c r="DU844" s="1207"/>
      <c r="DV844" s="1207"/>
      <c r="DY844" s="1207"/>
      <c r="DZ844" s="1207"/>
      <c r="EA844" s="1207"/>
      <c r="EB844" s="1207"/>
      <c r="EI844" s="1207"/>
      <c r="EJ844" s="1207"/>
      <c r="EK844" s="1207"/>
      <c r="EL844" s="1207"/>
      <c r="EM844" s="107"/>
      <c r="EN844" s="107"/>
      <c r="EO844" s="107"/>
      <c r="EP844" s="107"/>
      <c r="EQ844" s="368"/>
      <c r="ER844" s="368"/>
      <c r="ES844" s="368"/>
      <c r="ET844" s="368"/>
    </row>
    <row r="845" spans="1:150" x14ac:dyDescent="0.25">
      <c r="A845" s="1206"/>
      <c r="B845" s="1206"/>
      <c r="C845" s="1207"/>
      <c r="D845" s="1207"/>
      <c r="E845" s="1207"/>
      <c r="F845" s="1207"/>
      <c r="Q845" s="1207"/>
      <c r="R845" s="1207"/>
      <c r="S845" s="1207"/>
      <c r="T845" s="1207"/>
      <c r="U845" s="1207"/>
      <c r="V845" s="1207"/>
      <c r="W845" s="1207"/>
      <c r="X845" s="1207"/>
      <c r="Y845" s="1207"/>
      <c r="Z845" s="1207"/>
      <c r="AA845" s="1207"/>
      <c r="AB845" s="1207"/>
      <c r="AE845" s="1207"/>
      <c r="AF845" s="1207"/>
      <c r="AG845" s="1207"/>
      <c r="AH845" s="1207"/>
      <c r="AI845" s="1207"/>
      <c r="AJ845" s="1207"/>
      <c r="AK845" s="1207"/>
      <c r="AL845" s="1207"/>
      <c r="AU845" s="1207"/>
      <c r="AV845" s="1207"/>
      <c r="AW845" s="1207"/>
      <c r="AX845" s="1207"/>
      <c r="BA845" s="1207"/>
      <c r="BB845" s="1207"/>
      <c r="BC845" s="1207"/>
      <c r="BD845" s="1207"/>
      <c r="BG845" s="1207"/>
      <c r="BH845" s="1207"/>
      <c r="BI845" s="1207"/>
      <c r="BJ845" s="1207"/>
      <c r="BK845" s="1207"/>
      <c r="BL845" s="1207"/>
      <c r="BM845" s="1207"/>
      <c r="BN845" s="1207"/>
      <c r="BS845" s="1207"/>
      <c r="BT845" s="1207"/>
      <c r="BU845" s="1207"/>
      <c r="BV845" s="1207"/>
      <c r="BY845" s="1207"/>
      <c r="BZ845" s="1207"/>
      <c r="CA845" s="1207"/>
      <c r="CB845" s="1207"/>
      <c r="CG845" s="1207"/>
      <c r="CH845" s="1207"/>
      <c r="CI845" s="1207"/>
      <c r="CJ845" s="1207"/>
      <c r="CM845" s="1207"/>
      <c r="CN845" s="1207"/>
      <c r="CO845" s="1207"/>
      <c r="CP845" s="1207"/>
      <c r="CQ845" s="1207"/>
      <c r="CR845" s="1207"/>
      <c r="CS845" s="1207"/>
      <c r="CT845" s="1207"/>
      <c r="CU845" s="1207"/>
      <c r="CV845" s="1207"/>
      <c r="CW845" s="1207"/>
      <c r="CX845" s="1207"/>
      <c r="CY845" s="1207"/>
      <c r="CZ845" s="1207"/>
      <c r="DA845" s="1207"/>
      <c r="DB845" s="1207"/>
      <c r="DE845" s="1207"/>
      <c r="DF845" s="1207"/>
      <c r="DG845" s="1207"/>
      <c r="DH845" s="1207"/>
      <c r="DS845" s="1207"/>
      <c r="DT845" s="1207"/>
      <c r="DU845" s="1207"/>
      <c r="DV845" s="1207"/>
      <c r="DY845" s="1207"/>
      <c r="DZ845" s="1207"/>
      <c r="EA845" s="1207"/>
      <c r="EB845" s="1207"/>
      <c r="EI845" s="1207"/>
      <c r="EJ845" s="1207"/>
      <c r="EK845" s="1207"/>
      <c r="EL845" s="1207"/>
      <c r="EM845" s="107"/>
      <c r="EN845" s="107"/>
      <c r="EO845" s="107"/>
      <c r="EP845" s="107"/>
      <c r="EQ845" s="368"/>
      <c r="ER845" s="368"/>
      <c r="ES845" s="368"/>
      <c r="ET845" s="368"/>
    </row>
    <row r="846" spans="1:150" x14ac:dyDescent="0.25">
      <c r="A846" s="1206"/>
      <c r="B846" s="1206"/>
      <c r="C846" s="1207"/>
      <c r="D846" s="1207"/>
      <c r="E846" s="1207"/>
      <c r="F846" s="1207"/>
      <c r="Q846" s="1207"/>
      <c r="R846" s="1207"/>
      <c r="S846" s="1207"/>
      <c r="T846" s="1207"/>
      <c r="U846" s="1207"/>
      <c r="V846" s="1207"/>
      <c r="W846" s="1207"/>
      <c r="X846" s="1207"/>
      <c r="Y846" s="1207"/>
      <c r="Z846" s="1207"/>
      <c r="AA846" s="1207"/>
      <c r="AB846" s="1207"/>
      <c r="AE846" s="1207"/>
      <c r="AF846" s="1207"/>
      <c r="AG846" s="1207"/>
      <c r="AH846" s="1207"/>
      <c r="AI846" s="1207"/>
      <c r="AJ846" s="1207"/>
      <c r="AK846" s="1207"/>
      <c r="AL846" s="1207"/>
      <c r="AU846" s="1207"/>
      <c r="AV846" s="1207"/>
      <c r="AW846" s="1207"/>
      <c r="AX846" s="1207"/>
      <c r="BA846" s="1207"/>
      <c r="BB846" s="1207"/>
      <c r="BC846" s="1207"/>
      <c r="BD846" s="1207"/>
      <c r="BG846" s="1207"/>
      <c r="BH846" s="1207"/>
      <c r="BI846" s="1207"/>
      <c r="BJ846" s="1207"/>
      <c r="BK846" s="1207"/>
      <c r="BL846" s="1207"/>
      <c r="BM846" s="1207"/>
      <c r="BN846" s="1207"/>
      <c r="BS846" s="1207"/>
      <c r="BT846" s="1207"/>
      <c r="BU846" s="1207"/>
      <c r="BV846" s="1207"/>
      <c r="BY846" s="1207"/>
      <c r="BZ846" s="1207"/>
      <c r="CA846" s="1207"/>
      <c r="CB846" s="1207"/>
      <c r="CG846" s="1207"/>
      <c r="CH846" s="1207"/>
      <c r="CI846" s="1207"/>
      <c r="CJ846" s="1207"/>
      <c r="CM846" s="1207"/>
      <c r="CN846" s="1207"/>
      <c r="CO846" s="1207"/>
      <c r="CP846" s="1207"/>
      <c r="CQ846" s="1207"/>
      <c r="CR846" s="1207"/>
      <c r="CS846" s="1207"/>
      <c r="CT846" s="1207"/>
      <c r="CU846" s="1207"/>
      <c r="CV846" s="1207"/>
      <c r="CW846" s="1207"/>
      <c r="CX846" s="1207"/>
      <c r="CY846" s="1207"/>
      <c r="CZ846" s="1207"/>
      <c r="DA846" s="1207"/>
      <c r="DB846" s="1207"/>
      <c r="DE846" s="1207"/>
      <c r="DF846" s="1207"/>
      <c r="DG846" s="1207"/>
      <c r="DH846" s="1207"/>
      <c r="DS846" s="1207"/>
      <c r="DT846" s="1207"/>
      <c r="DU846" s="1207"/>
      <c r="DV846" s="1207"/>
      <c r="DY846" s="1207"/>
      <c r="DZ846" s="1207"/>
      <c r="EA846" s="1207"/>
      <c r="EB846" s="1207"/>
      <c r="EI846" s="1207"/>
      <c r="EJ846" s="1207"/>
      <c r="EK846" s="1207"/>
      <c r="EL846" s="1207"/>
      <c r="EM846" s="107"/>
      <c r="EN846" s="107"/>
      <c r="EO846" s="107"/>
      <c r="EP846" s="107"/>
      <c r="EQ846" s="368"/>
      <c r="ER846" s="368"/>
      <c r="ES846" s="368"/>
      <c r="ET846" s="368"/>
    </row>
    <row r="847" spans="1:150" x14ac:dyDescent="0.25">
      <c r="A847" s="1206"/>
      <c r="B847" s="1206"/>
      <c r="C847" s="1207"/>
      <c r="D847" s="1207"/>
      <c r="E847" s="1207"/>
      <c r="F847" s="1207"/>
      <c r="Q847" s="1207"/>
      <c r="R847" s="1207"/>
      <c r="S847" s="1207"/>
      <c r="T847" s="1207"/>
      <c r="U847" s="1207"/>
      <c r="V847" s="1207"/>
      <c r="W847" s="1207"/>
      <c r="X847" s="1207"/>
      <c r="Y847" s="1207"/>
      <c r="Z847" s="1207"/>
      <c r="AA847" s="1207"/>
      <c r="AB847" s="1207"/>
      <c r="AE847" s="1207"/>
      <c r="AF847" s="1207"/>
      <c r="AG847" s="1207"/>
      <c r="AH847" s="1207"/>
      <c r="AI847" s="1207"/>
      <c r="AJ847" s="1207"/>
      <c r="AK847" s="1207"/>
      <c r="AL847" s="1207"/>
      <c r="AU847" s="1207"/>
      <c r="AV847" s="1207"/>
      <c r="AW847" s="1207"/>
      <c r="AX847" s="1207"/>
      <c r="BA847" s="1207"/>
      <c r="BB847" s="1207"/>
      <c r="BC847" s="1207"/>
      <c r="BD847" s="1207"/>
      <c r="BG847" s="1207"/>
      <c r="BH847" s="1207"/>
      <c r="BI847" s="1207"/>
      <c r="BJ847" s="1207"/>
      <c r="BK847" s="1207"/>
      <c r="BL847" s="1207"/>
      <c r="BM847" s="1207"/>
      <c r="BN847" s="1207"/>
      <c r="BS847" s="1207"/>
      <c r="BT847" s="1207"/>
      <c r="BU847" s="1207"/>
      <c r="BV847" s="1207"/>
      <c r="BY847" s="1207"/>
      <c r="BZ847" s="1207"/>
      <c r="CA847" s="1207"/>
      <c r="CB847" s="1207"/>
      <c r="CG847" s="1207"/>
      <c r="CH847" s="1207"/>
      <c r="CI847" s="1207"/>
      <c r="CJ847" s="1207"/>
      <c r="CM847" s="1207"/>
      <c r="CN847" s="1207"/>
      <c r="CO847" s="1207"/>
      <c r="CP847" s="1207"/>
      <c r="CQ847" s="1207"/>
      <c r="CR847" s="1207"/>
      <c r="CS847" s="1207"/>
      <c r="CT847" s="1207"/>
      <c r="CU847" s="1207"/>
      <c r="CV847" s="1207"/>
      <c r="CW847" s="1207"/>
      <c r="CX847" s="1207"/>
      <c r="CY847" s="1207"/>
      <c r="CZ847" s="1207"/>
      <c r="DA847" s="1207"/>
      <c r="DB847" s="1207"/>
      <c r="DE847" s="1207"/>
      <c r="DF847" s="1207"/>
      <c r="DG847" s="1207"/>
      <c r="DH847" s="1207"/>
      <c r="DS847" s="1207"/>
      <c r="DT847" s="1207"/>
      <c r="DU847" s="1207"/>
      <c r="DV847" s="1207"/>
      <c r="DY847" s="1207"/>
      <c r="DZ847" s="1207"/>
      <c r="EA847" s="1207"/>
      <c r="EB847" s="1207"/>
      <c r="EI847" s="1207"/>
      <c r="EJ847" s="1207"/>
      <c r="EK847" s="1207"/>
      <c r="EL847" s="1207"/>
      <c r="EM847" s="107"/>
      <c r="EN847" s="107"/>
      <c r="EO847" s="107"/>
      <c r="EP847" s="107"/>
      <c r="EQ847" s="368"/>
      <c r="ER847" s="368"/>
      <c r="ES847" s="368"/>
      <c r="ET847" s="368"/>
    </row>
    <row r="848" spans="1:150" x14ac:dyDescent="0.25">
      <c r="A848" s="1206"/>
      <c r="B848" s="1206"/>
      <c r="C848" s="1207"/>
      <c r="D848" s="1207"/>
      <c r="E848" s="1207"/>
      <c r="F848" s="1207"/>
      <c r="Q848" s="1207"/>
      <c r="R848" s="1207"/>
      <c r="S848" s="1207"/>
      <c r="T848" s="1207"/>
      <c r="U848" s="1207"/>
      <c r="V848" s="1207"/>
      <c r="W848" s="1207"/>
      <c r="X848" s="1207"/>
      <c r="Y848" s="1207"/>
      <c r="Z848" s="1207"/>
      <c r="AA848" s="1207"/>
      <c r="AB848" s="1207"/>
      <c r="AE848" s="1207"/>
      <c r="AF848" s="1207"/>
      <c r="AG848" s="1207"/>
      <c r="AH848" s="1207"/>
      <c r="AI848" s="1207"/>
      <c r="AJ848" s="1207"/>
      <c r="AK848" s="1207"/>
      <c r="AL848" s="1207"/>
      <c r="AU848" s="1207"/>
      <c r="AV848" s="1207"/>
      <c r="AW848" s="1207"/>
      <c r="AX848" s="1207"/>
      <c r="BA848" s="1207"/>
      <c r="BB848" s="1207"/>
      <c r="BC848" s="1207"/>
      <c r="BD848" s="1207"/>
      <c r="BG848" s="1207"/>
      <c r="BH848" s="1207"/>
      <c r="BI848" s="1207"/>
      <c r="BJ848" s="1207"/>
      <c r="BK848" s="1207"/>
      <c r="BL848" s="1207"/>
      <c r="BM848" s="1207"/>
      <c r="BN848" s="1207"/>
      <c r="BS848" s="1207"/>
      <c r="BT848" s="1207"/>
      <c r="BU848" s="1207"/>
      <c r="BV848" s="1207"/>
      <c r="BY848" s="1207"/>
      <c r="BZ848" s="1207"/>
      <c r="CA848" s="1207"/>
      <c r="CB848" s="1207"/>
      <c r="CG848" s="1207"/>
      <c r="CH848" s="1207"/>
      <c r="CI848" s="1207"/>
      <c r="CJ848" s="1207"/>
      <c r="CM848" s="1207"/>
      <c r="CN848" s="1207"/>
      <c r="CO848" s="1207"/>
      <c r="CP848" s="1207"/>
      <c r="CQ848" s="1207"/>
      <c r="CR848" s="1207"/>
      <c r="CS848" s="1207"/>
      <c r="CT848" s="1207"/>
      <c r="CU848" s="1207"/>
      <c r="CV848" s="1207"/>
      <c r="CW848" s="1207"/>
      <c r="CX848" s="1207"/>
      <c r="CY848" s="1207"/>
      <c r="CZ848" s="1207"/>
      <c r="DA848" s="1207"/>
      <c r="DB848" s="1207"/>
      <c r="DE848" s="1207"/>
      <c r="DF848" s="1207"/>
      <c r="DG848" s="1207"/>
      <c r="DH848" s="1207"/>
      <c r="DS848" s="1207"/>
      <c r="DT848" s="1207"/>
      <c r="DU848" s="1207"/>
      <c r="DV848" s="1207"/>
      <c r="DY848" s="1207"/>
      <c r="DZ848" s="1207"/>
      <c r="EA848" s="1207"/>
      <c r="EB848" s="1207"/>
      <c r="EI848" s="1207"/>
      <c r="EJ848" s="1207"/>
      <c r="EK848" s="1207"/>
      <c r="EL848" s="1207"/>
      <c r="EM848" s="107"/>
      <c r="EN848" s="107"/>
      <c r="EO848" s="107"/>
      <c r="EP848" s="107"/>
      <c r="EQ848" s="368"/>
      <c r="ER848" s="368"/>
      <c r="ES848" s="368"/>
      <c r="ET848" s="368"/>
    </row>
    <row r="849" spans="1:150" x14ac:dyDescent="0.25">
      <c r="A849" s="1206"/>
      <c r="B849" s="1206"/>
      <c r="C849" s="1207"/>
      <c r="D849" s="1207"/>
      <c r="E849" s="1207"/>
      <c r="F849" s="1207"/>
      <c r="Q849" s="1207"/>
      <c r="R849" s="1207"/>
      <c r="S849" s="1207"/>
      <c r="T849" s="1207"/>
      <c r="U849" s="1207"/>
      <c r="V849" s="1207"/>
      <c r="W849" s="1207"/>
      <c r="X849" s="1207"/>
      <c r="Y849" s="1207"/>
      <c r="Z849" s="1207"/>
      <c r="AA849" s="1207"/>
      <c r="AB849" s="1207"/>
      <c r="AE849" s="1207"/>
      <c r="AF849" s="1207"/>
      <c r="AG849" s="1207"/>
      <c r="AH849" s="1207"/>
      <c r="AI849" s="1207"/>
      <c r="AJ849" s="1207"/>
      <c r="AK849" s="1207"/>
      <c r="AL849" s="1207"/>
      <c r="AU849" s="1207"/>
      <c r="AV849" s="1207"/>
      <c r="AW849" s="1207"/>
      <c r="AX849" s="1207"/>
      <c r="BA849" s="1207"/>
      <c r="BB849" s="1207"/>
      <c r="BC849" s="1207"/>
      <c r="BD849" s="1207"/>
      <c r="BG849" s="1207"/>
      <c r="BH849" s="1207"/>
      <c r="BI849" s="1207"/>
      <c r="BJ849" s="1207"/>
      <c r="BK849" s="1207"/>
      <c r="BL849" s="1207"/>
      <c r="BM849" s="1207"/>
      <c r="BN849" s="1207"/>
      <c r="BS849" s="1207"/>
      <c r="BT849" s="1207"/>
      <c r="BU849" s="1207"/>
      <c r="BV849" s="1207"/>
      <c r="BY849" s="1207"/>
      <c r="BZ849" s="1207"/>
      <c r="CA849" s="1207"/>
      <c r="CB849" s="1207"/>
      <c r="CG849" s="1207"/>
      <c r="CH849" s="1207"/>
      <c r="CI849" s="1207"/>
      <c r="CJ849" s="1207"/>
      <c r="CM849" s="1207"/>
      <c r="CN849" s="1207"/>
      <c r="CO849" s="1207"/>
      <c r="CP849" s="1207"/>
      <c r="CQ849" s="1207"/>
      <c r="CR849" s="1207"/>
      <c r="CS849" s="1207"/>
      <c r="CT849" s="1207"/>
      <c r="CU849" s="1207"/>
      <c r="CV849" s="1207"/>
      <c r="CW849" s="1207"/>
      <c r="CX849" s="1207"/>
      <c r="CY849" s="1207"/>
      <c r="CZ849" s="1207"/>
      <c r="DA849" s="1207"/>
      <c r="DB849" s="1207"/>
      <c r="DE849" s="1207"/>
      <c r="DF849" s="1207"/>
      <c r="DG849" s="1207"/>
      <c r="DH849" s="1207"/>
      <c r="DS849" s="1207"/>
      <c r="DT849" s="1207"/>
      <c r="DU849" s="1207"/>
      <c r="DV849" s="1207"/>
      <c r="DY849" s="1207"/>
      <c r="DZ849" s="1207"/>
      <c r="EA849" s="1207"/>
      <c r="EB849" s="1207"/>
      <c r="EI849" s="1207"/>
      <c r="EJ849" s="1207"/>
      <c r="EK849" s="1207"/>
      <c r="EL849" s="1207"/>
      <c r="EM849" s="107"/>
      <c r="EN849" s="107"/>
      <c r="EO849" s="107"/>
      <c r="EP849" s="107"/>
      <c r="EQ849" s="368"/>
      <c r="ER849" s="368"/>
      <c r="ES849" s="368"/>
      <c r="ET849" s="368"/>
    </row>
    <row r="850" spans="1:150" x14ac:dyDescent="0.25">
      <c r="A850" s="1206"/>
      <c r="B850" s="1206"/>
      <c r="C850" s="1207"/>
      <c r="D850" s="1207"/>
      <c r="E850" s="1207"/>
      <c r="F850" s="1207"/>
      <c r="Q850" s="1207"/>
      <c r="R850" s="1207"/>
      <c r="S850" s="1207"/>
      <c r="T850" s="1207"/>
      <c r="U850" s="1207"/>
      <c r="V850" s="1207"/>
      <c r="W850" s="1207"/>
      <c r="X850" s="1207"/>
      <c r="Y850" s="1207"/>
      <c r="Z850" s="1207"/>
      <c r="AA850" s="1207"/>
      <c r="AB850" s="1207"/>
      <c r="AE850" s="1207"/>
      <c r="AF850" s="1207"/>
      <c r="AG850" s="1207"/>
      <c r="AH850" s="1207"/>
      <c r="AI850" s="1207"/>
      <c r="AJ850" s="1207"/>
      <c r="AK850" s="1207"/>
      <c r="AL850" s="1207"/>
      <c r="AU850" s="1207"/>
      <c r="AV850" s="1207"/>
      <c r="AW850" s="1207"/>
      <c r="AX850" s="1207"/>
      <c r="BA850" s="1207"/>
      <c r="BB850" s="1207"/>
      <c r="BC850" s="1207"/>
      <c r="BD850" s="1207"/>
      <c r="BG850" s="1207"/>
      <c r="BH850" s="1207"/>
      <c r="BI850" s="1207"/>
      <c r="BJ850" s="1207"/>
      <c r="BK850" s="1207"/>
      <c r="BL850" s="1207"/>
      <c r="BM850" s="1207"/>
      <c r="BN850" s="1207"/>
      <c r="BS850" s="1207"/>
      <c r="BT850" s="1207"/>
      <c r="BU850" s="1207"/>
      <c r="BV850" s="1207"/>
      <c r="BY850" s="1207"/>
      <c r="BZ850" s="1207"/>
      <c r="CA850" s="1207"/>
      <c r="CB850" s="1207"/>
      <c r="CG850" s="1207"/>
      <c r="CH850" s="1207"/>
      <c r="CI850" s="1207"/>
      <c r="CJ850" s="1207"/>
      <c r="CM850" s="1207"/>
      <c r="CN850" s="1207"/>
      <c r="CO850" s="1207"/>
      <c r="CP850" s="1207"/>
      <c r="CQ850" s="1207"/>
      <c r="CR850" s="1207"/>
      <c r="CS850" s="1207"/>
      <c r="CT850" s="1207"/>
      <c r="CU850" s="1207"/>
      <c r="CV850" s="1207"/>
      <c r="CW850" s="1207"/>
      <c r="CX850" s="1207"/>
      <c r="CY850" s="1207"/>
      <c r="CZ850" s="1207"/>
      <c r="DA850" s="1207"/>
      <c r="DB850" s="1207"/>
      <c r="DE850" s="1207"/>
      <c r="DF850" s="1207"/>
      <c r="DG850" s="1207"/>
      <c r="DH850" s="1207"/>
      <c r="DS850" s="1207"/>
      <c r="DT850" s="1207"/>
      <c r="DU850" s="1207"/>
      <c r="DV850" s="1207"/>
      <c r="DY850" s="1207"/>
      <c r="DZ850" s="1207"/>
      <c r="EA850" s="1207"/>
      <c r="EB850" s="1207"/>
      <c r="EI850" s="1207"/>
      <c r="EJ850" s="1207"/>
      <c r="EK850" s="1207"/>
      <c r="EL850" s="1207"/>
      <c r="EM850" s="107"/>
      <c r="EN850" s="107"/>
      <c r="EO850" s="107"/>
      <c r="EP850" s="107"/>
      <c r="EQ850" s="368"/>
      <c r="ER850" s="368"/>
      <c r="ES850" s="368"/>
      <c r="ET850" s="368"/>
    </row>
    <row r="851" spans="1:150" x14ac:dyDescent="0.25">
      <c r="A851" s="1206"/>
      <c r="B851" s="1206"/>
      <c r="C851" s="1207"/>
      <c r="D851" s="1207"/>
      <c r="E851" s="1207"/>
      <c r="F851" s="1207"/>
      <c r="Q851" s="1207"/>
      <c r="R851" s="1207"/>
      <c r="S851" s="1207"/>
      <c r="T851" s="1207"/>
      <c r="U851" s="1207"/>
      <c r="V851" s="1207"/>
      <c r="W851" s="1207"/>
      <c r="X851" s="1207"/>
      <c r="Y851" s="1207"/>
      <c r="Z851" s="1207"/>
      <c r="AA851" s="1207"/>
      <c r="AB851" s="1207"/>
      <c r="AE851" s="1207"/>
      <c r="AF851" s="1207"/>
      <c r="AG851" s="1207"/>
      <c r="AH851" s="1207"/>
      <c r="AI851" s="1207"/>
      <c r="AJ851" s="1207"/>
      <c r="AK851" s="1207"/>
      <c r="AL851" s="1207"/>
      <c r="AU851" s="1207"/>
      <c r="AV851" s="1207"/>
      <c r="AW851" s="1207"/>
      <c r="AX851" s="1207"/>
      <c r="BA851" s="1207"/>
      <c r="BB851" s="1207"/>
      <c r="BC851" s="1207"/>
      <c r="BD851" s="1207"/>
      <c r="BG851" s="1207"/>
      <c r="BH851" s="1207"/>
      <c r="BI851" s="1207"/>
      <c r="BJ851" s="1207"/>
      <c r="BK851" s="1207"/>
      <c r="BL851" s="1207"/>
      <c r="BM851" s="1207"/>
      <c r="BN851" s="1207"/>
      <c r="BS851" s="1207"/>
      <c r="BT851" s="1207"/>
      <c r="BU851" s="1207"/>
      <c r="BV851" s="1207"/>
      <c r="BY851" s="1207"/>
      <c r="BZ851" s="1207"/>
      <c r="CA851" s="1207"/>
      <c r="CB851" s="1207"/>
      <c r="CG851" s="1207"/>
      <c r="CH851" s="1207"/>
      <c r="CI851" s="1207"/>
      <c r="CJ851" s="1207"/>
      <c r="CM851" s="1207"/>
      <c r="CN851" s="1207"/>
      <c r="CO851" s="1207"/>
      <c r="CP851" s="1207"/>
      <c r="CQ851" s="1207"/>
      <c r="CR851" s="1207"/>
      <c r="CS851" s="1207"/>
      <c r="CT851" s="1207"/>
      <c r="CU851" s="1207"/>
      <c r="CV851" s="1207"/>
      <c r="CW851" s="1207"/>
      <c r="CX851" s="1207"/>
      <c r="CY851" s="1207"/>
      <c r="CZ851" s="1207"/>
      <c r="DA851" s="1207"/>
      <c r="DB851" s="1207"/>
      <c r="DE851" s="1207"/>
      <c r="DF851" s="1207"/>
      <c r="DG851" s="1207"/>
      <c r="DH851" s="1207"/>
      <c r="DS851" s="1207"/>
      <c r="DT851" s="1207"/>
      <c r="DU851" s="1207"/>
      <c r="DV851" s="1207"/>
      <c r="DY851" s="1207"/>
      <c r="DZ851" s="1207"/>
      <c r="EA851" s="1207"/>
      <c r="EB851" s="1207"/>
      <c r="EI851" s="1207"/>
      <c r="EJ851" s="1207"/>
      <c r="EK851" s="1207"/>
      <c r="EL851" s="1207"/>
      <c r="EM851" s="107"/>
      <c r="EN851" s="107"/>
      <c r="EO851" s="107"/>
      <c r="EP851" s="107"/>
      <c r="EQ851" s="368"/>
      <c r="ER851" s="368"/>
      <c r="ES851" s="368"/>
      <c r="ET851" s="368"/>
    </row>
    <row r="852" spans="1:150" x14ac:dyDescent="0.25">
      <c r="A852" s="1206"/>
      <c r="B852" s="1206"/>
      <c r="C852" s="1207"/>
      <c r="D852" s="1207"/>
      <c r="E852" s="1207"/>
      <c r="F852" s="1207"/>
      <c r="Q852" s="1207"/>
      <c r="R852" s="1207"/>
      <c r="S852" s="1207"/>
      <c r="T852" s="1207"/>
      <c r="U852" s="1207"/>
      <c r="V852" s="1207"/>
      <c r="W852" s="1207"/>
      <c r="X852" s="1207"/>
      <c r="Y852" s="1207"/>
      <c r="Z852" s="1207"/>
      <c r="AA852" s="1207"/>
      <c r="AB852" s="1207"/>
      <c r="AE852" s="1207"/>
      <c r="AF852" s="1207"/>
      <c r="AG852" s="1207"/>
      <c r="AH852" s="1207"/>
      <c r="AI852" s="1207"/>
      <c r="AJ852" s="1207"/>
      <c r="AK852" s="1207"/>
      <c r="AL852" s="1207"/>
      <c r="AU852" s="1207"/>
      <c r="AV852" s="1207"/>
      <c r="AW852" s="1207"/>
      <c r="AX852" s="1207"/>
      <c r="BA852" s="1207"/>
      <c r="BB852" s="1207"/>
      <c r="BC852" s="1207"/>
      <c r="BD852" s="1207"/>
      <c r="BG852" s="1207"/>
      <c r="BH852" s="1207"/>
      <c r="BI852" s="1207"/>
      <c r="BJ852" s="1207"/>
      <c r="BK852" s="1207"/>
      <c r="BL852" s="1207"/>
      <c r="BM852" s="1207"/>
      <c r="BN852" s="1207"/>
      <c r="BS852" s="1207"/>
      <c r="BT852" s="1207"/>
      <c r="BU852" s="1207"/>
      <c r="BV852" s="1207"/>
      <c r="BY852" s="1207"/>
      <c r="BZ852" s="1207"/>
      <c r="CA852" s="1207"/>
      <c r="CB852" s="1207"/>
      <c r="CG852" s="1207"/>
      <c r="CH852" s="1207"/>
      <c r="CI852" s="1207"/>
      <c r="CJ852" s="1207"/>
      <c r="CM852" s="1207"/>
      <c r="CN852" s="1207"/>
      <c r="CO852" s="1207"/>
      <c r="CP852" s="1207"/>
      <c r="CQ852" s="1207"/>
      <c r="CR852" s="1207"/>
      <c r="CS852" s="1207"/>
      <c r="CT852" s="1207"/>
      <c r="CU852" s="1207"/>
      <c r="CV852" s="1207"/>
      <c r="CW852" s="1207"/>
      <c r="CX852" s="1207"/>
      <c r="CY852" s="1207"/>
      <c r="CZ852" s="1207"/>
      <c r="DA852" s="1207"/>
      <c r="DB852" s="1207"/>
      <c r="DE852" s="1207"/>
      <c r="DF852" s="1207"/>
      <c r="DG852" s="1207"/>
      <c r="DH852" s="1207"/>
      <c r="DS852" s="1207"/>
      <c r="DT852" s="1207"/>
      <c r="DU852" s="1207"/>
      <c r="DV852" s="1207"/>
      <c r="DY852" s="1207"/>
      <c r="DZ852" s="1207"/>
      <c r="EA852" s="1207"/>
      <c r="EB852" s="1207"/>
      <c r="EI852" s="1207"/>
      <c r="EJ852" s="1207"/>
      <c r="EK852" s="1207"/>
      <c r="EL852" s="1207"/>
      <c r="EM852" s="107"/>
      <c r="EN852" s="107"/>
      <c r="EO852" s="107"/>
      <c r="EP852" s="107"/>
      <c r="EQ852" s="368"/>
      <c r="ER852" s="368"/>
      <c r="ES852" s="368"/>
      <c r="ET852" s="368"/>
    </row>
    <row r="853" spans="1:150" x14ac:dyDescent="0.25">
      <c r="A853" s="1206"/>
      <c r="B853" s="1206"/>
      <c r="C853" s="1207"/>
      <c r="D853" s="1207"/>
      <c r="E853" s="1207"/>
      <c r="F853" s="1207"/>
      <c r="Q853" s="1207"/>
      <c r="R853" s="1207"/>
      <c r="S853" s="1207"/>
      <c r="T853" s="1207"/>
      <c r="U853" s="1207"/>
      <c r="V853" s="1207"/>
      <c r="W853" s="1207"/>
      <c r="X853" s="1207"/>
      <c r="Y853" s="1207"/>
      <c r="Z853" s="1207"/>
      <c r="AA853" s="1207"/>
      <c r="AB853" s="1207"/>
      <c r="AE853" s="1207"/>
      <c r="AF853" s="1207"/>
      <c r="AG853" s="1207"/>
      <c r="AH853" s="1207"/>
      <c r="AI853" s="1207"/>
      <c r="AJ853" s="1207"/>
      <c r="AK853" s="1207"/>
      <c r="AL853" s="1207"/>
      <c r="AU853" s="1207"/>
      <c r="AV853" s="1207"/>
      <c r="AW853" s="1207"/>
      <c r="AX853" s="1207"/>
      <c r="BA853" s="1207"/>
      <c r="BB853" s="1207"/>
      <c r="BC853" s="1207"/>
      <c r="BD853" s="1207"/>
      <c r="BG853" s="1207"/>
      <c r="BH853" s="1207"/>
      <c r="BI853" s="1207"/>
      <c r="BJ853" s="1207"/>
      <c r="BK853" s="1207"/>
      <c r="BL853" s="1207"/>
      <c r="BM853" s="1207"/>
      <c r="BN853" s="1207"/>
      <c r="BS853" s="1207"/>
      <c r="BT853" s="1207"/>
      <c r="BU853" s="1207"/>
      <c r="BV853" s="1207"/>
      <c r="BY853" s="1207"/>
      <c r="BZ853" s="1207"/>
      <c r="CA853" s="1207"/>
      <c r="CB853" s="1207"/>
      <c r="CG853" s="1207"/>
      <c r="CH853" s="1207"/>
      <c r="CI853" s="1207"/>
      <c r="CJ853" s="1207"/>
      <c r="CM853" s="1207"/>
      <c r="CN853" s="1207"/>
      <c r="CO853" s="1207"/>
      <c r="CP853" s="1207"/>
      <c r="CQ853" s="1207"/>
      <c r="CR853" s="1207"/>
      <c r="CS853" s="1207"/>
      <c r="CT853" s="1207"/>
      <c r="CU853" s="1207"/>
      <c r="CV853" s="1207"/>
      <c r="CW853" s="1207"/>
      <c r="CX853" s="1207"/>
      <c r="CY853" s="1207"/>
      <c r="CZ853" s="1207"/>
      <c r="DA853" s="1207"/>
      <c r="DB853" s="1207"/>
      <c r="DE853" s="1207"/>
      <c r="DF853" s="1207"/>
      <c r="DG853" s="1207"/>
      <c r="DH853" s="1207"/>
      <c r="DS853" s="1207"/>
      <c r="DT853" s="1207"/>
      <c r="DU853" s="1207"/>
      <c r="DV853" s="1207"/>
      <c r="DY853" s="1207"/>
      <c r="DZ853" s="1207"/>
      <c r="EA853" s="1207"/>
      <c r="EB853" s="1207"/>
      <c r="EI853" s="1207"/>
      <c r="EJ853" s="1207"/>
      <c r="EK853" s="1207"/>
      <c r="EL853" s="1207"/>
      <c r="EM853" s="107"/>
      <c r="EN853" s="107"/>
      <c r="EO853" s="107"/>
      <c r="EP853" s="107"/>
      <c r="EQ853" s="368"/>
      <c r="ER853" s="368"/>
      <c r="ES853" s="368"/>
      <c r="ET853" s="368"/>
    </row>
    <row r="854" spans="1:150" x14ac:dyDescent="0.25">
      <c r="A854" s="1206"/>
      <c r="B854" s="1206"/>
      <c r="C854" s="1207"/>
      <c r="D854" s="1207"/>
      <c r="E854" s="1207"/>
      <c r="F854" s="1207"/>
      <c r="Q854" s="1207"/>
      <c r="R854" s="1207"/>
      <c r="S854" s="1207"/>
      <c r="T854" s="1207"/>
      <c r="U854" s="1207"/>
      <c r="V854" s="1207"/>
      <c r="W854" s="1207"/>
      <c r="X854" s="1207"/>
      <c r="Y854" s="1207"/>
      <c r="Z854" s="1207"/>
      <c r="AA854" s="1207"/>
      <c r="AB854" s="1207"/>
      <c r="AE854" s="1207"/>
      <c r="AF854" s="1207"/>
      <c r="AG854" s="1207"/>
      <c r="AH854" s="1207"/>
      <c r="AI854" s="1207"/>
      <c r="AJ854" s="1207"/>
      <c r="AK854" s="1207"/>
      <c r="AL854" s="1207"/>
      <c r="AU854" s="1207"/>
      <c r="AV854" s="1207"/>
      <c r="AW854" s="1207"/>
      <c r="AX854" s="1207"/>
      <c r="BA854" s="1207"/>
      <c r="BB854" s="1207"/>
      <c r="BC854" s="1207"/>
      <c r="BD854" s="1207"/>
      <c r="BG854" s="1207"/>
      <c r="BH854" s="1207"/>
      <c r="BI854" s="1207"/>
      <c r="BJ854" s="1207"/>
      <c r="BK854" s="1207"/>
      <c r="BL854" s="1207"/>
      <c r="BM854" s="1207"/>
      <c r="BN854" s="1207"/>
      <c r="BS854" s="1207"/>
      <c r="BT854" s="1207"/>
      <c r="BU854" s="1207"/>
      <c r="BV854" s="1207"/>
      <c r="BY854" s="1207"/>
      <c r="BZ854" s="1207"/>
      <c r="CA854" s="1207"/>
      <c r="CB854" s="1207"/>
      <c r="CG854" s="1207"/>
      <c r="CH854" s="1207"/>
      <c r="CI854" s="1207"/>
      <c r="CJ854" s="1207"/>
      <c r="CM854" s="1207"/>
      <c r="CN854" s="1207"/>
      <c r="CO854" s="1207"/>
      <c r="CP854" s="1207"/>
      <c r="CQ854" s="1207"/>
      <c r="CR854" s="1207"/>
      <c r="CS854" s="1207"/>
      <c r="CT854" s="1207"/>
      <c r="CU854" s="1207"/>
      <c r="CV854" s="1207"/>
      <c r="CW854" s="1207"/>
      <c r="CX854" s="1207"/>
      <c r="CY854" s="1207"/>
      <c r="CZ854" s="1207"/>
      <c r="DA854" s="1207"/>
      <c r="DB854" s="1207"/>
      <c r="DE854" s="1207"/>
      <c r="DF854" s="1207"/>
      <c r="DG854" s="1207"/>
      <c r="DH854" s="1207"/>
      <c r="DS854" s="1207"/>
      <c r="DT854" s="1207"/>
      <c r="DU854" s="1207"/>
      <c r="DV854" s="1207"/>
      <c r="DY854" s="1207"/>
      <c r="DZ854" s="1207"/>
      <c r="EA854" s="1207"/>
      <c r="EB854" s="1207"/>
      <c r="EI854" s="1207"/>
      <c r="EJ854" s="1207"/>
      <c r="EK854" s="1207"/>
      <c r="EL854" s="1207"/>
      <c r="EM854" s="107"/>
      <c r="EN854" s="107"/>
      <c r="EO854" s="107"/>
      <c r="EP854" s="107"/>
      <c r="EQ854" s="368"/>
      <c r="ER854" s="368"/>
      <c r="ES854" s="368"/>
      <c r="ET854" s="368"/>
    </row>
    <row r="855" spans="1:150" x14ac:dyDescent="0.25">
      <c r="A855" s="1206"/>
      <c r="B855" s="1206"/>
      <c r="C855" s="1207"/>
      <c r="D855" s="1207"/>
      <c r="E855" s="1207"/>
      <c r="F855" s="1207"/>
      <c r="Q855" s="1207"/>
      <c r="R855" s="1207"/>
      <c r="S855" s="1207"/>
      <c r="T855" s="1207"/>
      <c r="U855" s="1207"/>
      <c r="V855" s="1207"/>
      <c r="W855" s="1207"/>
      <c r="X855" s="1207"/>
      <c r="Y855" s="1207"/>
      <c r="Z855" s="1207"/>
      <c r="AA855" s="1207"/>
      <c r="AB855" s="1207"/>
      <c r="AE855" s="1207"/>
      <c r="AF855" s="1207"/>
      <c r="AG855" s="1207"/>
      <c r="AH855" s="1207"/>
      <c r="AI855" s="1207"/>
      <c r="AJ855" s="1207"/>
      <c r="AK855" s="1207"/>
      <c r="AL855" s="1207"/>
      <c r="AU855" s="1207"/>
      <c r="AV855" s="1207"/>
      <c r="AW855" s="1207"/>
      <c r="AX855" s="1207"/>
      <c r="BA855" s="1207"/>
      <c r="BB855" s="1207"/>
      <c r="BC855" s="1207"/>
      <c r="BD855" s="1207"/>
      <c r="BG855" s="1207"/>
      <c r="BH855" s="1207"/>
      <c r="BI855" s="1207"/>
      <c r="BJ855" s="1207"/>
      <c r="BK855" s="1207"/>
      <c r="BL855" s="1207"/>
      <c r="BM855" s="1207"/>
      <c r="BN855" s="1207"/>
      <c r="BS855" s="1207"/>
      <c r="BT855" s="1207"/>
      <c r="BU855" s="1207"/>
      <c r="BV855" s="1207"/>
      <c r="BY855" s="1207"/>
      <c r="BZ855" s="1207"/>
      <c r="CA855" s="1207"/>
      <c r="CB855" s="1207"/>
      <c r="CG855" s="1207"/>
      <c r="CH855" s="1207"/>
      <c r="CI855" s="1207"/>
      <c r="CJ855" s="1207"/>
      <c r="CM855" s="1207"/>
      <c r="CN855" s="1207"/>
      <c r="CO855" s="1207"/>
      <c r="CP855" s="1207"/>
      <c r="CQ855" s="1207"/>
      <c r="CR855" s="1207"/>
      <c r="CS855" s="1207"/>
      <c r="CT855" s="1207"/>
      <c r="CU855" s="1207"/>
      <c r="CV855" s="1207"/>
      <c r="CW855" s="1207"/>
      <c r="CX855" s="1207"/>
      <c r="CY855" s="1207"/>
      <c r="CZ855" s="1207"/>
      <c r="DA855" s="1207"/>
      <c r="DB855" s="1207"/>
      <c r="DE855" s="1207"/>
      <c r="DF855" s="1207"/>
      <c r="DG855" s="1207"/>
      <c r="DH855" s="1207"/>
      <c r="DS855" s="1207"/>
      <c r="DT855" s="1207"/>
      <c r="DU855" s="1207"/>
      <c r="DV855" s="1207"/>
      <c r="DY855" s="1207"/>
      <c r="DZ855" s="1207"/>
      <c r="EA855" s="1207"/>
      <c r="EB855" s="1207"/>
      <c r="EI855" s="1207"/>
      <c r="EJ855" s="1207"/>
      <c r="EK855" s="1207"/>
      <c r="EL855" s="1207"/>
      <c r="EM855" s="107"/>
      <c r="EN855" s="107"/>
      <c r="EO855" s="107"/>
      <c r="EP855" s="107"/>
      <c r="EQ855" s="368"/>
      <c r="ER855" s="368"/>
      <c r="ES855" s="368"/>
      <c r="ET855" s="368"/>
    </row>
    <row r="856" spans="1:150" x14ac:dyDescent="0.25">
      <c r="A856" s="1206"/>
      <c r="B856" s="1206"/>
      <c r="C856" s="1207"/>
      <c r="D856" s="1207"/>
      <c r="E856" s="1207"/>
      <c r="F856" s="1207"/>
      <c r="Q856" s="1207"/>
      <c r="R856" s="1207"/>
      <c r="S856" s="1207"/>
      <c r="T856" s="1207"/>
      <c r="U856" s="1207"/>
      <c r="V856" s="1207"/>
      <c r="W856" s="1207"/>
      <c r="X856" s="1207"/>
      <c r="Y856" s="1207"/>
      <c r="Z856" s="1207"/>
      <c r="AA856" s="1207"/>
      <c r="AB856" s="1207"/>
      <c r="AE856" s="1207"/>
      <c r="AF856" s="1207"/>
      <c r="AG856" s="1207"/>
      <c r="AH856" s="1207"/>
      <c r="AI856" s="1207"/>
      <c r="AJ856" s="1207"/>
      <c r="AK856" s="1207"/>
      <c r="AL856" s="1207"/>
      <c r="AU856" s="1207"/>
      <c r="AV856" s="1207"/>
      <c r="AW856" s="1207"/>
      <c r="AX856" s="1207"/>
      <c r="BA856" s="1207"/>
      <c r="BB856" s="1207"/>
      <c r="BC856" s="1207"/>
      <c r="BD856" s="1207"/>
      <c r="BG856" s="1207"/>
      <c r="BH856" s="1207"/>
      <c r="BI856" s="1207"/>
      <c r="BJ856" s="1207"/>
      <c r="BK856" s="1207"/>
      <c r="BL856" s="1207"/>
      <c r="BM856" s="1207"/>
      <c r="BN856" s="1207"/>
      <c r="BS856" s="1207"/>
      <c r="BT856" s="1207"/>
      <c r="BU856" s="1207"/>
      <c r="BV856" s="1207"/>
      <c r="BY856" s="1207"/>
      <c r="BZ856" s="1207"/>
      <c r="CA856" s="1207"/>
      <c r="CB856" s="1207"/>
      <c r="CG856" s="1207"/>
      <c r="CH856" s="1207"/>
      <c r="CI856" s="1207"/>
      <c r="CJ856" s="1207"/>
      <c r="CM856" s="1207"/>
      <c r="CN856" s="1207"/>
      <c r="CO856" s="1207"/>
      <c r="CP856" s="1207"/>
      <c r="CQ856" s="1207"/>
      <c r="CR856" s="1207"/>
      <c r="CS856" s="1207"/>
      <c r="CT856" s="1207"/>
      <c r="CU856" s="1207"/>
      <c r="CV856" s="1207"/>
      <c r="CW856" s="1207"/>
      <c r="CX856" s="1207"/>
      <c r="CY856" s="1207"/>
      <c r="CZ856" s="1207"/>
      <c r="DA856" s="1207"/>
      <c r="DB856" s="1207"/>
      <c r="DE856" s="1207"/>
      <c r="DF856" s="1207"/>
      <c r="DG856" s="1207"/>
      <c r="DH856" s="1207"/>
      <c r="DS856" s="1207"/>
      <c r="DT856" s="1207"/>
      <c r="DU856" s="1207"/>
      <c r="DV856" s="1207"/>
      <c r="DY856" s="1207"/>
      <c r="DZ856" s="1207"/>
      <c r="EA856" s="1207"/>
      <c r="EB856" s="1207"/>
      <c r="EI856" s="1207"/>
      <c r="EJ856" s="1207"/>
      <c r="EK856" s="1207"/>
      <c r="EL856" s="1207"/>
      <c r="EM856" s="107"/>
      <c r="EN856" s="107"/>
      <c r="EO856" s="107"/>
      <c r="EP856" s="107"/>
      <c r="EQ856" s="368"/>
      <c r="ER856" s="368"/>
      <c r="ES856" s="368"/>
      <c r="ET856" s="368"/>
    </row>
    <row r="857" spans="1:150" x14ac:dyDescent="0.25">
      <c r="A857" s="1206"/>
      <c r="B857" s="1206"/>
      <c r="C857" s="1207"/>
      <c r="D857" s="1207"/>
      <c r="E857" s="1207"/>
      <c r="F857" s="1207"/>
      <c r="Q857" s="1207"/>
      <c r="R857" s="1207"/>
      <c r="S857" s="1207"/>
      <c r="T857" s="1207"/>
      <c r="U857" s="1207"/>
      <c r="V857" s="1207"/>
      <c r="W857" s="1207"/>
      <c r="X857" s="1207"/>
      <c r="Y857" s="1207"/>
      <c r="Z857" s="1207"/>
      <c r="AA857" s="1207"/>
      <c r="AB857" s="1207"/>
      <c r="AE857" s="1207"/>
      <c r="AF857" s="1207"/>
      <c r="AG857" s="1207"/>
      <c r="AH857" s="1207"/>
      <c r="AI857" s="1207"/>
      <c r="AJ857" s="1207"/>
      <c r="AK857" s="1207"/>
      <c r="AL857" s="1207"/>
      <c r="AU857" s="1207"/>
      <c r="AV857" s="1207"/>
      <c r="AW857" s="1207"/>
      <c r="AX857" s="1207"/>
      <c r="BA857" s="1207"/>
      <c r="BB857" s="1207"/>
      <c r="BC857" s="1207"/>
      <c r="BD857" s="1207"/>
      <c r="BG857" s="1207"/>
      <c r="BH857" s="1207"/>
      <c r="BI857" s="1207"/>
      <c r="BJ857" s="1207"/>
      <c r="BK857" s="1207"/>
      <c r="BL857" s="1207"/>
      <c r="BM857" s="1207"/>
      <c r="BN857" s="1207"/>
      <c r="BS857" s="1207"/>
      <c r="BT857" s="1207"/>
      <c r="BU857" s="1207"/>
      <c r="BV857" s="1207"/>
      <c r="BY857" s="1207"/>
      <c r="BZ857" s="1207"/>
      <c r="CA857" s="1207"/>
      <c r="CB857" s="1207"/>
      <c r="CG857" s="1207"/>
      <c r="CH857" s="1207"/>
      <c r="CI857" s="1207"/>
      <c r="CJ857" s="1207"/>
      <c r="CM857" s="1207"/>
      <c r="CN857" s="1207"/>
      <c r="CO857" s="1207"/>
      <c r="CP857" s="1207"/>
      <c r="CQ857" s="1207"/>
      <c r="CR857" s="1207"/>
      <c r="CS857" s="1207"/>
      <c r="CT857" s="1207"/>
      <c r="CU857" s="1207"/>
      <c r="CV857" s="1207"/>
      <c r="CW857" s="1207"/>
      <c r="CX857" s="1207"/>
      <c r="CY857" s="1207"/>
      <c r="CZ857" s="1207"/>
      <c r="DA857" s="1207"/>
      <c r="DB857" s="1207"/>
      <c r="DE857" s="1207"/>
      <c r="DF857" s="1207"/>
      <c r="DG857" s="1207"/>
      <c r="DH857" s="1207"/>
      <c r="DS857" s="1207"/>
      <c r="DT857" s="1207"/>
      <c r="DU857" s="1207"/>
      <c r="DV857" s="1207"/>
      <c r="DY857" s="1207"/>
      <c r="DZ857" s="1207"/>
      <c r="EA857" s="1207"/>
      <c r="EB857" s="1207"/>
      <c r="EI857" s="1207"/>
      <c r="EJ857" s="1207"/>
      <c r="EK857" s="1207"/>
      <c r="EL857" s="1207"/>
      <c r="EM857" s="107"/>
      <c r="EN857" s="107"/>
      <c r="EO857" s="107"/>
      <c r="EP857" s="107"/>
      <c r="EQ857" s="368"/>
      <c r="ER857" s="368"/>
      <c r="ES857" s="368"/>
      <c r="ET857" s="368"/>
    </row>
    <row r="858" spans="1:150" x14ac:dyDescent="0.25">
      <c r="A858" s="1206"/>
      <c r="B858" s="1206"/>
      <c r="C858" s="1207"/>
      <c r="D858" s="1207"/>
      <c r="E858" s="1207"/>
      <c r="F858" s="1207"/>
      <c r="Q858" s="1207"/>
      <c r="R858" s="1207"/>
      <c r="S858" s="1207"/>
      <c r="T858" s="1207"/>
      <c r="U858" s="1207"/>
      <c r="V858" s="1207"/>
      <c r="W858" s="1207"/>
      <c r="X858" s="1207"/>
      <c r="Y858" s="1207"/>
      <c r="Z858" s="1207"/>
      <c r="AA858" s="1207"/>
      <c r="AB858" s="1207"/>
      <c r="AE858" s="1207"/>
      <c r="AF858" s="1207"/>
      <c r="AG858" s="1207"/>
      <c r="AH858" s="1207"/>
      <c r="AI858" s="1207"/>
      <c r="AJ858" s="1207"/>
      <c r="AK858" s="1207"/>
      <c r="AL858" s="1207"/>
      <c r="AU858" s="1207"/>
      <c r="AV858" s="1207"/>
      <c r="AW858" s="1207"/>
      <c r="AX858" s="1207"/>
      <c r="BA858" s="1207"/>
      <c r="BB858" s="1207"/>
      <c r="BC858" s="1207"/>
      <c r="BD858" s="1207"/>
      <c r="BG858" s="1207"/>
      <c r="BH858" s="1207"/>
      <c r="BI858" s="1207"/>
      <c r="BJ858" s="1207"/>
      <c r="BK858" s="1207"/>
      <c r="BL858" s="1207"/>
      <c r="BM858" s="1207"/>
      <c r="BN858" s="1207"/>
      <c r="BS858" s="1207"/>
      <c r="BT858" s="1207"/>
      <c r="BU858" s="1207"/>
      <c r="BV858" s="1207"/>
      <c r="BY858" s="1207"/>
      <c r="BZ858" s="1207"/>
      <c r="CA858" s="1207"/>
      <c r="CB858" s="1207"/>
      <c r="CG858" s="1207"/>
      <c r="CH858" s="1207"/>
      <c r="CI858" s="1207"/>
      <c r="CJ858" s="1207"/>
      <c r="CM858" s="1207"/>
      <c r="CN858" s="1207"/>
      <c r="CO858" s="1207"/>
      <c r="CP858" s="1207"/>
      <c r="CQ858" s="1207"/>
      <c r="CR858" s="1207"/>
      <c r="CS858" s="1207"/>
      <c r="CT858" s="1207"/>
      <c r="CU858" s="1207"/>
      <c r="CV858" s="1207"/>
      <c r="CW858" s="1207"/>
      <c r="CX858" s="1207"/>
      <c r="CY858" s="1207"/>
      <c r="CZ858" s="1207"/>
      <c r="DA858" s="1207"/>
      <c r="DB858" s="1207"/>
      <c r="DE858" s="1207"/>
      <c r="DF858" s="1207"/>
      <c r="DG858" s="1207"/>
      <c r="DH858" s="1207"/>
      <c r="DS858" s="1207"/>
      <c r="DT858" s="1207"/>
      <c r="DU858" s="1207"/>
      <c r="DV858" s="1207"/>
      <c r="DY858" s="1207"/>
      <c r="DZ858" s="1207"/>
      <c r="EA858" s="1207"/>
      <c r="EB858" s="1207"/>
      <c r="EI858" s="1207"/>
      <c r="EJ858" s="1207"/>
      <c r="EK858" s="1207"/>
      <c r="EL858" s="1207"/>
      <c r="EM858" s="107"/>
      <c r="EN858" s="107"/>
      <c r="EO858" s="107"/>
      <c r="EP858" s="107"/>
      <c r="EQ858" s="368"/>
      <c r="ER858" s="368"/>
      <c r="ES858" s="368"/>
      <c r="ET858" s="368"/>
    </row>
    <row r="859" spans="1:150" x14ac:dyDescent="0.25">
      <c r="A859" s="1206"/>
      <c r="B859" s="1206"/>
      <c r="C859" s="1207"/>
      <c r="D859" s="1207"/>
      <c r="E859" s="1207"/>
      <c r="F859" s="1207"/>
      <c r="Q859" s="1207"/>
      <c r="R859" s="1207"/>
      <c r="S859" s="1207"/>
      <c r="T859" s="1207"/>
      <c r="U859" s="1207"/>
      <c r="V859" s="1207"/>
      <c r="W859" s="1207"/>
      <c r="X859" s="1207"/>
      <c r="Y859" s="1207"/>
      <c r="Z859" s="1207"/>
      <c r="AA859" s="1207"/>
      <c r="AB859" s="1207"/>
      <c r="AE859" s="1207"/>
      <c r="AF859" s="1207"/>
      <c r="AG859" s="1207"/>
      <c r="AH859" s="1207"/>
      <c r="AI859" s="1207"/>
      <c r="AJ859" s="1207"/>
      <c r="AK859" s="1207"/>
      <c r="AL859" s="1207"/>
      <c r="AU859" s="1207"/>
      <c r="AV859" s="1207"/>
      <c r="AW859" s="1207"/>
      <c r="AX859" s="1207"/>
      <c r="BA859" s="1207"/>
      <c r="BB859" s="1207"/>
      <c r="BC859" s="1207"/>
      <c r="BD859" s="1207"/>
      <c r="BG859" s="1207"/>
      <c r="BH859" s="1207"/>
      <c r="BI859" s="1207"/>
      <c r="BJ859" s="1207"/>
      <c r="BK859" s="1207"/>
      <c r="BL859" s="1207"/>
      <c r="BM859" s="1207"/>
      <c r="BN859" s="1207"/>
      <c r="BS859" s="1207"/>
      <c r="BT859" s="1207"/>
      <c r="BU859" s="1207"/>
      <c r="BV859" s="1207"/>
      <c r="BY859" s="1207"/>
      <c r="BZ859" s="1207"/>
      <c r="CA859" s="1207"/>
      <c r="CB859" s="1207"/>
      <c r="CG859" s="1207"/>
      <c r="CH859" s="1207"/>
      <c r="CI859" s="1207"/>
      <c r="CJ859" s="1207"/>
      <c r="CM859" s="1207"/>
      <c r="CN859" s="1207"/>
      <c r="CO859" s="1207"/>
      <c r="CP859" s="1207"/>
      <c r="CQ859" s="1207"/>
      <c r="CR859" s="1207"/>
      <c r="CS859" s="1207"/>
      <c r="CT859" s="1207"/>
      <c r="CU859" s="1207"/>
      <c r="CV859" s="1207"/>
      <c r="CW859" s="1207"/>
      <c r="CX859" s="1207"/>
      <c r="CY859" s="1207"/>
      <c r="CZ859" s="1207"/>
      <c r="DA859" s="1207"/>
      <c r="DB859" s="1207"/>
      <c r="DE859" s="1207"/>
      <c r="DF859" s="1207"/>
      <c r="DG859" s="1207"/>
      <c r="DH859" s="1207"/>
      <c r="DS859" s="1207"/>
      <c r="DT859" s="1207"/>
      <c r="DU859" s="1207"/>
      <c r="DV859" s="1207"/>
      <c r="DY859" s="1207"/>
      <c r="DZ859" s="1207"/>
      <c r="EA859" s="1207"/>
      <c r="EB859" s="1207"/>
      <c r="EI859" s="1207"/>
      <c r="EJ859" s="1207"/>
      <c r="EK859" s="1207"/>
      <c r="EL859" s="1207"/>
      <c r="EM859" s="107"/>
      <c r="EN859" s="107"/>
      <c r="EO859" s="107"/>
      <c r="EP859" s="107"/>
      <c r="EQ859" s="368"/>
      <c r="ER859" s="368"/>
      <c r="ES859" s="368"/>
      <c r="ET859" s="368"/>
    </row>
    <row r="860" spans="1:150" x14ac:dyDescent="0.25">
      <c r="A860" s="1206"/>
      <c r="B860" s="1206"/>
      <c r="C860" s="1207"/>
      <c r="D860" s="1207"/>
      <c r="E860" s="1207"/>
      <c r="F860" s="1207"/>
      <c r="Q860" s="1207"/>
      <c r="R860" s="1207"/>
      <c r="S860" s="1207"/>
      <c r="T860" s="1207"/>
      <c r="U860" s="1207"/>
      <c r="V860" s="1207"/>
      <c r="W860" s="1207"/>
      <c r="X860" s="1207"/>
      <c r="Y860" s="1207"/>
      <c r="Z860" s="1207"/>
      <c r="AA860" s="1207"/>
      <c r="AB860" s="1207"/>
      <c r="AE860" s="1207"/>
      <c r="AF860" s="1207"/>
      <c r="AG860" s="1207"/>
      <c r="AH860" s="1207"/>
      <c r="AI860" s="1207"/>
      <c r="AJ860" s="1207"/>
      <c r="AK860" s="1207"/>
      <c r="AL860" s="1207"/>
      <c r="AU860" s="1207"/>
      <c r="AV860" s="1207"/>
      <c r="AW860" s="1207"/>
      <c r="AX860" s="1207"/>
      <c r="BA860" s="1207"/>
      <c r="BB860" s="1207"/>
      <c r="BC860" s="1207"/>
      <c r="BD860" s="1207"/>
      <c r="BG860" s="1207"/>
      <c r="BH860" s="1207"/>
      <c r="BI860" s="1207"/>
      <c r="BJ860" s="1207"/>
      <c r="BK860" s="1207"/>
      <c r="BL860" s="1207"/>
      <c r="BM860" s="1207"/>
      <c r="BN860" s="1207"/>
      <c r="BS860" s="1207"/>
      <c r="BT860" s="1207"/>
      <c r="BU860" s="1207"/>
      <c r="BV860" s="1207"/>
      <c r="BY860" s="1207"/>
      <c r="BZ860" s="1207"/>
      <c r="CA860" s="1207"/>
      <c r="CB860" s="1207"/>
      <c r="CG860" s="1207"/>
      <c r="CH860" s="1207"/>
      <c r="CI860" s="1207"/>
      <c r="CJ860" s="1207"/>
      <c r="CM860" s="1207"/>
      <c r="CN860" s="1207"/>
      <c r="CO860" s="1207"/>
      <c r="CP860" s="1207"/>
      <c r="CQ860" s="1207"/>
      <c r="CR860" s="1207"/>
      <c r="CS860" s="1207"/>
      <c r="CT860" s="1207"/>
      <c r="CU860" s="1207"/>
      <c r="CV860" s="1207"/>
      <c r="CW860" s="1207"/>
      <c r="CX860" s="1207"/>
      <c r="CY860" s="1207"/>
      <c r="CZ860" s="1207"/>
      <c r="DA860" s="1207"/>
      <c r="DB860" s="1207"/>
      <c r="DE860" s="1207"/>
      <c r="DF860" s="1207"/>
      <c r="DG860" s="1207"/>
      <c r="DH860" s="1207"/>
      <c r="DS860" s="1207"/>
      <c r="DT860" s="1207"/>
      <c r="DU860" s="1207"/>
      <c r="DV860" s="1207"/>
      <c r="DY860" s="1207"/>
      <c r="DZ860" s="1207"/>
      <c r="EA860" s="1207"/>
      <c r="EB860" s="1207"/>
      <c r="EI860" s="1207"/>
      <c r="EJ860" s="1207"/>
      <c r="EK860" s="1207"/>
      <c r="EL860" s="1207"/>
      <c r="EM860" s="107"/>
      <c r="EN860" s="107"/>
      <c r="EO860" s="107"/>
      <c r="EP860" s="107"/>
      <c r="EQ860" s="368"/>
      <c r="ER860" s="368"/>
      <c r="ES860" s="368"/>
      <c r="ET860" s="368"/>
    </row>
    <row r="861" spans="1:150" x14ac:dyDescent="0.25">
      <c r="A861" s="1206"/>
      <c r="B861" s="1206"/>
      <c r="C861" s="1207"/>
      <c r="D861" s="1207"/>
      <c r="E861" s="1207"/>
      <c r="F861" s="1207"/>
      <c r="Q861" s="1207"/>
      <c r="R861" s="1207"/>
      <c r="S861" s="1207"/>
      <c r="T861" s="1207"/>
      <c r="U861" s="1207"/>
      <c r="V861" s="1207"/>
      <c r="W861" s="1207"/>
      <c r="X861" s="1207"/>
      <c r="Y861" s="1207"/>
      <c r="Z861" s="1207"/>
      <c r="AA861" s="1207"/>
      <c r="AB861" s="1207"/>
      <c r="AE861" s="1207"/>
      <c r="AF861" s="1207"/>
      <c r="AG861" s="1207"/>
      <c r="AH861" s="1207"/>
      <c r="AI861" s="1207"/>
      <c r="AJ861" s="1207"/>
      <c r="AK861" s="1207"/>
      <c r="AL861" s="1207"/>
      <c r="AU861" s="1207"/>
      <c r="AV861" s="1207"/>
      <c r="AW861" s="1207"/>
      <c r="AX861" s="1207"/>
      <c r="BA861" s="1207"/>
      <c r="BB861" s="1207"/>
      <c r="BC861" s="1207"/>
      <c r="BD861" s="1207"/>
      <c r="BG861" s="1207"/>
      <c r="BH861" s="1207"/>
      <c r="BI861" s="1207"/>
      <c r="BJ861" s="1207"/>
      <c r="BK861" s="1207"/>
      <c r="BL861" s="1207"/>
      <c r="BM861" s="1207"/>
      <c r="BN861" s="1207"/>
      <c r="BS861" s="1207"/>
      <c r="BT861" s="1207"/>
      <c r="BU861" s="1207"/>
      <c r="BV861" s="1207"/>
      <c r="BY861" s="1207"/>
      <c r="BZ861" s="1207"/>
      <c r="CA861" s="1207"/>
      <c r="CB861" s="1207"/>
      <c r="CG861" s="1207"/>
      <c r="CH861" s="1207"/>
      <c r="CI861" s="1207"/>
      <c r="CJ861" s="1207"/>
      <c r="CM861" s="1207"/>
      <c r="CN861" s="1207"/>
      <c r="CO861" s="1207"/>
      <c r="CP861" s="1207"/>
      <c r="CQ861" s="1207"/>
      <c r="CR861" s="1207"/>
      <c r="CS861" s="1207"/>
      <c r="CT861" s="1207"/>
      <c r="CU861" s="1207"/>
      <c r="CV861" s="1207"/>
      <c r="CW861" s="1207"/>
      <c r="CX861" s="1207"/>
      <c r="CY861" s="1207"/>
      <c r="CZ861" s="1207"/>
      <c r="DA861" s="1207"/>
      <c r="DB861" s="1207"/>
      <c r="DE861" s="1207"/>
      <c r="DF861" s="1207"/>
      <c r="DG861" s="1207"/>
      <c r="DH861" s="1207"/>
      <c r="DS861" s="1207"/>
      <c r="DT861" s="1207"/>
      <c r="DU861" s="1207"/>
      <c r="DV861" s="1207"/>
      <c r="DY861" s="1207"/>
      <c r="DZ861" s="1207"/>
      <c r="EA861" s="1207"/>
      <c r="EB861" s="1207"/>
      <c r="EI861" s="1207"/>
      <c r="EJ861" s="1207"/>
      <c r="EK861" s="1207"/>
      <c r="EL861" s="1207"/>
      <c r="EM861" s="107"/>
      <c r="EN861" s="107"/>
      <c r="EO861" s="107"/>
      <c r="EP861" s="107"/>
      <c r="EQ861" s="368"/>
      <c r="ER861" s="368"/>
      <c r="ES861" s="368"/>
      <c r="ET861" s="368"/>
    </row>
    <row r="862" spans="1:150" x14ac:dyDescent="0.25">
      <c r="A862" s="1206"/>
      <c r="B862" s="1206"/>
      <c r="C862" s="1207"/>
      <c r="D862" s="1207"/>
      <c r="E862" s="1207"/>
      <c r="F862" s="1207"/>
      <c r="Q862" s="1207"/>
      <c r="R862" s="1207"/>
      <c r="S862" s="1207"/>
      <c r="T862" s="1207"/>
      <c r="U862" s="1207"/>
      <c r="V862" s="1207"/>
      <c r="W862" s="1207"/>
      <c r="X862" s="1207"/>
      <c r="Y862" s="1207"/>
      <c r="Z862" s="1207"/>
      <c r="AA862" s="1207"/>
      <c r="AB862" s="1207"/>
      <c r="AE862" s="1207"/>
      <c r="AF862" s="1207"/>
      <c r="AG862" s="1207"/>
      <c r="AH862" s="1207"/>
      <c r="AI862" s="1207"/>
      <c r="AJ862" s="1207"/>
      <c r="AK862" s="1207"/>
      <c r="AL862" s="1207"/>
      <c r="AU862" s="1207"/>
      <c r="AV862" s="1207"/>
      <c r="AW862" s="1207"/>
      <c r="AX862" s="1207"/>
      <c r="BA862" s="1207"/>
      <c r="BB862" s="1207"/>
      <c r="BC862" s="1207"/>
      <c r="BD862" s="1207"/>
      <c r="BG862" s="1207"/>
      <c r="BH862" s="1207"/>
      <c r="BI862" s="1207"/>
      <c r="BJ862" s="1207"/>
      <c r="BK862" s="1207"/>
      <c r="BL862" s="1207"/>
      <c r="BM862" s="1207"/>
      <c r="BN862" s="1207"/>
      <c r="BS862" s="1207"/>
      <c r="BT862" s="1207"/>
      <c r="BU862" s="1207"/>
      <c r="BV862" s="1207"/>
      <c r="BY862" s="1207"/>
      <c r="BZ862" s="1207"/>
      <c r="CA862" s="1207"/>
      <c r="CB862" s="1207"/>
      <c r="CG862" s="1207"/>
      <c r="CH862" s="1207"/>
      <c r="CI862" s="1207"/>
      <c r="CJ862" s="1207"/>
      <c r="CM862" s="1207"/>
      <c r="CN862" s="1207"/>
      <c r="CO862" s="1207"/>
      <c r="CP862" s="1207"/>
      <c r="CQ862" s="1207"/>
      <c r="CR862" s="1207"/>
      <c r="CS862" s="1207"/>
      <c r="CT862" s="1207"/>
      <c r="CU862" s="1207"/>
      <c r="CV862" s="1207"/>
      <c r="CW862" s="1207"/>
      <c r="CX862" s="1207"/>
      <c r="CY862" s="1207"/>
      <c r="CZ862" s="1207"/>
      <c r="DA862" s="1207"/>
      <c r="DB862" s="1207"/>
      <c r="DE862" s="1207"/>
      <c r="DF862" s="1207"/>
      <c r="DG862" s="1207"/>
      <c r="DH862" s="1207"/>
      <c r="DS862" s="1207"/>
      <c r="DT862" s="1207"/>
      <c r="DU862" s="1207"/>
      <c r="DV862" s="1207"/>
      <c r="DY862" s="1207"/>
      <c r="DZ862" s="1207"/>
      <c r="EA862" s="1207"/>
      <c r="EB862" s="1207"/>
      <c r="EI862" s="1207"/>
      <c r="EJ862" s="1207"/>
      <c r="EK862" s="1207"/>
      <c r="EL862" s="1207"/>
      <c r="EM862" s="107"/>
      <c r="EN862" s="107"/>
      <c r="EO862" s="107"/>
      <c r="EP862" s="107"/>
      <c r="EQ862" s="368"/>
      <c r="ER862" s="368"/>
      <c r="ES862" s="368"/>
      <c r="ET862" s="368"/>
    </row>
    <row r="863" spans="1:150" x14ac:dyDescent="0.25">
      <c r="A863" s="1206"/>
      <c r="B863" s="1206"/>
      <c r="C863" s="1207"/>
      <c r="D863" s="1207"/>
      <c r="E863" s="1207"/>
      <c r="F863" s="1207"/>
      <c r="Q863" s="1207"/>
      <c r="R863" s="1207"/>
      <c r="S863" s="1207"/>
      <c r="T863" s="1207"/>
      <c r="U863" s="1207"/>
      <c r="V863" s="1207"/>
      <c r="W863" s="1207"/>
      <c r="X863" s="1207"/>
      <c r="Y863" s="1207"/>
      <c r="Z863" s="1207"/>
      <c r="AA863" s="1207"/>
      <c r="AB863" s="1207"/>
      <c r="AE863" s="1207"/>
      <c r="AF863" s="1207"/>
      <c r="AG863" s="1207"/>
      <c r="AH863" s="1207"/>
      <c r="AI863" s="1207"/>
      <c r="AJ863" s="1207"/>
      <c r="AK863" s="1207"/>
      <c r="AL863" s="1207"/>
      <c r="AU863" s="1207"/>
      <c r="AV863" s="1207"/>
      <c r="AW863" s="1207"/>
      <c r="AX863" s="1207"/>
      <c r="BA863" s="1207"/>
      <c r="BB863" s="1207"/>
      <c r="BC863" s="1207"/>
      <c r="BD863" s="1207"/>
      <c r="BG863" s="1207"/>
      <c r="BH863" s="1207"/>
      <c r="BI863" s="1207"/>
      <c r="BJ863" s="1207"/>
      <c r="BK863" s="1207"/>
      <c r="BL863" s="1207"/>
      <c r="BM863" s="1207"/>
      <c r="BN863" s="1207"/>
      <c r="BS863" s="1207"/>
      <c r="BT863" s="1207"/>
      <c r="BU863" s="1207"/>
      <c r="BV863" s="1207"/>
      <c r="BY863" s="1207"/>
      <c r="BZ863" s="1207"/>
      <c r="CA863" s="1207"/>
      <c r="CB863" s="1207"/>
      <c r="CG863" s="1207"/>
      <c r="CH863" s="1207"/>
      <c r="CI863" s="1207"/>
      <c r="CJ863" s="1207"/>
      <c r="CM863" s="1207"/>
      <c r="CN863" s="1207"/>
      <c r="CO863" s="1207"/>
      <c r="CP863" s="1207"/>
      <c r="CQ863" s="1207"/>
      <c r="CR863" s="1207"/>
      <c r="CS863" s="1207"/>
      <c r="CT863" s="1207"/>
      <c r="CU863" s="1207"/>
      <c r="CV863" s="1207"/>
      <c r="CW863" s="1207"/>
      <c r="CX863" s="1207"/>
      <c r="CY863" s="1207"/>
      <c r="CZ863" s="1207"/>
      <c r="DA863" s="1207"/>
      <c r="DB863" s="1207"/>
      <c r="DE863" s="1207"/>
      <c r="DF863" s="1207"/>
      <c r="DG863" s="1207"/>
      <c r="DH863" s="1207"/>
      <c r="DS863" s="1207"/>
      <c r="DT863" s="1207"/>
      <c r="DU863" s="1207"/>
      <c r="DV863" s="1207"/>
      <c r="DY863" s="1207"/>
      <c r="DZ863" s="1207"/>
      <c r="EA863" s="1207"/>
      <c r="EB863" s="1207"/>
      <c r="EI863" s="1207"/>
      <c r="EJ863" s="1207"/>
      <c r="EK863" s="1207"/>
      <c r="EL863" s="1207"/>
      <c r="EM863" s="107"/>
      <c r="EN863" s="107"/>
      <c r="EO863" s="107"/>
      <c r="EP863" s="107"/>
      <c r="EQ863" s="368"/>
      <c r="ER863" s="368"/>
      <c r="ES863" s="368"/>
      <c r="ET863" s="368"/>
    </row>
    <row r="864" spans="1:150" x14ac:dyDescent="0.25">
      <c r="A864" s="1206"/>
      <c r="B864" s="1206"/>
      <c r="C864" s="1207"/>
      <c r="D864" s="1207"/>
      <c r="E864" s="1207"/>
      <c r="F864" s="1207"/>
      <c r="Q864" s="1207"/>
      <c r="R864" s="1207"/>
      <c r="S864" s="1207"/>
      <c r="T864" s="1207"/>
      <c r="U864" s="1207"/>
      <c r="V864" s="1207"/>
      <c r="W864" s="1207"/>
      <c r="X864" s="1207"/>
      <c r="Y864" s="1207"/>
      <c r="Z864" s="1207"/>
      <c r="AA864" s="1207"/>
      <c r="AB864" s="1207"/>
      <c r="AE864" s="1207"/>
      <c r="AF864" s="1207"/>
      <c r="AG864" s="1207"/>
      <c r="AH864" s="1207"/>
      <c r="AI864" s="1207"/>
      <c r="AJ864" s="1207"/>
      <c r="AK864" s="1207"/>
      <c r="AL864" s="1207"/>
      <c r="AU864" s="1207"/>
      <c r="AV864" s="1207"/>
      <c r="AW864" s="1207"/>
      <c r="AX864" s="1207"/>
      <c r="BA864" s="1207"/>
      <c r="BB864" s="1207"/>
      <c r="BC864" s="1207"/>
      <c r="BD864" s="1207"/>
      <c r="BG864" s="1207"/>
      <c r="BH864" s="1207"/>
      <c r="BI864" s="1207"/>
      <c r="BJ864" s="1207"/>
      <c r="BK864" s="1207"/>
      <c r="BL864" s="1207"/>
      <c r="BM864" s="1207"/>
      <c r="BN864" s="1207"/>
      <c r="BS864" s="1207"/>
      <c r="BT864" s="1207"/>
      <c r="BU864" s="1207"/>
      <c r="BV864" s="1207"/>
      <c r="BY864" s="1207"/>
      <c r="BZ864" s="1207"/>
      <c r="CA864" s="1207"/>
      <c r="CB864" s="1207"/>
      <c r="CG864" s="1207"/>
      <c r="CH864" s="1207"/>
      <c r="CI864" s="1207"/>
      <c r="CJ864" s="1207"/>
      <c r="CM864" s="1207"/>
      <c r="CN864" s="1207"/>
      <c r="CO864" s="1207"/>
      <c r="CP864" s="1207"/>
      <c r="CQ864" s="1207"/>
      <c r="CR864" s="1207"/>
      <c r="CS864" s="1207"/>
      <c r="CT864" s="1207"/>
      <c r="CU864" s="1207"/>
      <c r="CV864" s="1207"/>
      <c r="CW864" s="1207"/>
      <c r="CX864" s="1207"/>
      <c r="CY864" s="1207"/>
      <c r="CZ864" s="1207"/>
      <c r="DA864" s="1207"/>
      <c r="DB864" s="1207"/>
      <c r="DE864" s="1207"/>
      <c r="DF864" s="1207"/>
      <c r="DG864" s="1207"/>
      <c r="DH864" s="1207"/>
      <c r="DS864" s="1207"/>
      <c r="DT864" s="1207"/>
      <c r="DU864" s="1207"/>
      <c r="DV864" s="1207"/>
      <c r="DY864" s="1207"/>
      <c r="DZ864" s="1207"/>
      <c r="EA864" s="1207"/>
      <c r="EB864" s="1207"/>
      <c r="EI864" s="1207"/>
      <c r="EJ864" s="1207"/>
      <c r="EK864" s="1207"/>
      <c r="EL864" s="1207"/>
      <c r="EM864" s="107"/>
      <c r="EN864" s="107"/>
      <c r="EO864" s="107"/>
      <c r="EP864" s="107"/>
      <c r="EQ864" s="368"/>
      <c r="ER864" s="368"/>
      <c r="ES864" s="368"/>
      <c r="ET864" s="368"/>
    </row>
    <row r="865" spans="1:150" x14ac:dyDescent="0.25">
      <c r="A865" s="1206"/>
      <c r="B865" s="1206"/>
      <c r="C865" s="1207"/>
      <c r="D865" s="1207"/>
      <c r="E865" s="1207"/>
      <c r="F865" s="1207"/>
      <c r="Q865" s="1207"/>
      <c r="R865" s="1207"/>
      <c r="S865" s="1207"/>
      <c r="T865" s="1207"/>
      <c r="U865" s="1207"/>
      <c r="V865" s="1207"/>
      <c r="W865" s="1207"/>
      <c r="X865" s="1207"/>
      <c r="Y865" s="1207"/>
      <c r="Z865" s="1207"/>
      <c r="AA865" s="1207"/>
      <c r="AB865" s="1207"/>
      <c r="AE865" s="1207"/>
      <c r="AF865" s="1207"/>
      <c r="AG865" s="1207"/>
      <c r="AH865" s="1207"/>
      <c r="AI865" s="1207"/>
      <c r="AJ865" s="1207"/>
      <c r="AK865" s="1207"/>
      <c r="AL865" s="1207"/>
      <c r="AU865" s="1207"/>
      <c r="AV865" s="1207"/>
      <c r="AW865" s="1207"/>
      <c r="AX865" s="1207"/>
      <c r="BA865" s="1207"/>
      <c r="BB865" s="1207"/>
      <c r="BC865" s="1207"/>
      <c r="BD865" s="1207"/>
      <c r="BG865" s="1207"/>
      <c r="BH865" s="1207"/>
      <c r="BI865" s="1207"/>
      <c r="BJ865" s="1207"/>
      <c r="BK865" s="1207"/>
      <c r="BL865" s="1207"/>
      <c r="BM865" s="1207"/>
      <c r="BN865" s="1207"/>
      <c r="BS865" s="1207"/>
      <c r="BT865" s="1207"/>
      <c r="BU865" s="1207"/>
      <c r="BV865" s="1207"/>
      <c r="BY865" s="1207"/>
      <c r="BZ865" s="1207"/>
      <c r="CA865" s="1207"/>
      <c r="CB865" s="1207"/>
      <c r="CG865" s="1207"/>
      <c r="CH865" s="1207"/>
      <c r="CI865" s="1207"/>
      <c r="CJ865" s="1207"/>
      <c r="CM865" s="1207"/>
      <c r="CN865" s="1207"/>
      <c r="CO865" s="1207"/>
      <c r="CP865" s="1207"/>
      <c r="CQ865" s="1207"/>
      <c r="CR865" s="1207"/>
      <c r="CS865" s="1207"/>
      <c r="CT865" s="1207"/>
      <c r="CU865" s="1207"/>
      <c r="CV865" s="1207"/>
      <c r="CW865" s="1207"/>
      <c r="CX865" s="1207"/>
      <c r="CY865" s="1207"/>
      <c r="CZ865" s="1207"/>
      <c r="DA865" s="1207"/>
      <c r="DB865" s="1207"/>
      <c r="DE865" s="1207"/>
      <c r="DF865" s="1207"/>
      <c r="DG865" s="1207"/>
      <c r="DH865" s="1207"/>
      <c r="DS865" s="1207"/>
      <c r="DT865" s="1207"/>
      <c r="DU865" s="1207"/>
      <c r="DV865" s="1207"/>
      <c r="DY865" s="1207"/>
      <c r="DZ865" s="1207"/>
      <c r="EA865" s="1207"/>
      <c r="EB865" s="1207"/>
      <c r="EI865" s="1207"/>
      <c r="EJ865" s="1207"/>
      <c r="EK865" s="1207"/>
      <c r="EL865" s="1207"/>
      <c r="EM865" s="107"/>
      <c r="EN865" s="107"/>
      <c r="EO865" s="107"/>
      <c r="EP865" s="107"/>
      <c r="EQ865" s="368"/>
      <c r="ER865" s="368"/>
      <c r="ES865" s="368"/>
      <c r="ET865" s="368"/>
    </row>
    <row r="866" spans="1:150" x14ac:dyDescent="0.25">
      <c r="A866" s="1206"/>
      <c r="B866" s="1206"/>
      <c r="C866" s="1207"/>
      <c r="D866" s="1207"/>
      <c r="E866" s="1207"/>
      <c r="F866" s="1207"/>
      <c r="Q866" s="1207"/>
      <c r="R866" s="1207"/>
      <c r="S866" s="1207"/>
      <c r="T866" s="1207"/>
      <c r="U866" s="1207"/>
      <c r="V866" s="1207"/>
      <c r="W866" s="1207"/>
      <c r="X866" s="1207"/>
      <c r="Y866" s="1207"/>
      <c r="Z866" s="1207"/>
      <c r="AA866" s="1207"/>
      <c r="AB866" s="1207"/>
      <c r="AE866" s="1207"/>
      <c r="AF866" s="1207"/>
      <c r="AG866" s="1207"/>
      <c r="AH866" s="1207"/>
      <c r="AI866" s="1207"/>
      <c r="AJ866" s="1207"/>
      <c r="AK866" s="1207"/>
      <c r="AL866" s="1207"/>
      <c r="AU866" s="1207"/>
      <c r="AV866" s="1207"/>
      <c r="AW866" s="1207"/>
      <c r="AX866" s="1207"/>
      <c r="BA866" s="1207"/>
      <c r="BB866" s="1207"/>
      <c r="BC866" s="1207"/>
      <c r="BD866" s="1207"/>
      <c r="BG866" s="1207"/>
      <c r="BH866" s="1207"/>
      <c r="BI866" s="1207"/>
      <c r="BJ866" s="1207"/>
      <c r="BK866" s="1207"/>
      <c r="BL866" s="1207"/>
      <c r="BM866" s="1207"/>
      <c r="BN866" s="1207"/>
      <c r="BS866" s="1207"/>
      <c r="BT866" s="1207"/>
      <c r="BU866" s="1207"/>
      <c r="BV866" s="1207"/>
      <c r="BY866" s="1207"/>
      <c r="BZ866" s="1207"/>
      <c r="CA866" s="1207"/>
      <c r="CB866" s="1207"/>
      <c r="CG866" s="1207"/>
      <c r="CH866" s="1207"/>
      <c r="CI866" s="1207"/>
      <c r="CJ866" s="1207"/>
      <c r="CM866" s="1207"/>
      <c r="CN866" s="1207"/>
      <c r="CO866" s="1207"/>
      <c r="CP866" s="1207"/>
      <c r="CQ866" s="1207"/>
      <c r="CR866" s="1207"/>
      <c r="CS866" s="1207"/>
      <c r="CT866" s="1207"/>
      <c r="CU866" s="1207"/>
      <c r="CV866" s="1207"/>
      <c r="CW866" s="1207"/>
      <c r="CX866" s="1207"/>
      <c r="CY866" s="1207"/>
      <c r="CZ866" s="1207"/>
      <c r="DA866" s="1207"/>
      <c r="DB866" s="1207"/>
      <c r="DE866" s="1207"/>
      <c r="DF866" s="1207"/>
      <c r="DG866" s="1207"/>
      <c r="DH866" s="1207"/>
      <c r="DS866" s="1207"/>
      <c r="DT866" s="1207"/>
      <c r="DU866" s="1207"/>
      <c r="DV866" s="1207"/>
      <c r="DY866" s="1207"/>
      <c r="DZ866" s="1207"/>
      <c r="EA866" s="1207"/>
      <c r="EB866" s="1207"/>
      <c r="EI866" s="1207"/>
      <c r="EJ866" s="1207"/>
      <c r="EK866" s="1207"/>
      <c r="EL866" s="1207"/>
      <c r="EM866" s="107"/>
      <c r="EN866" s="107"/>
      <c r="EO866" s="107"/>
      <c r="EP866" s="107"/>
      <c r="EQ866" s="368"/>
      <c r="ER866" s="368"/>
      <c r="ES866" s="368"/>
      <c r="ET866" s="368"/>
    </row>
    <row r="867" spans="1:150" x14ac:dyDescent="0.25">
      <c r="A867" s="1206"/>
      <c r="B867" s="1206"/>
      <c r="C867" s="1207"/>
      <c r="D867" s="1207"/>
      <c r="E867" s="1207"/>
      <c r="F867" s="1207"/>
      <c r="Q867" s="1207"/>
      <c r="R867" s="1207"/>
      <c r="S867" s="1207"/>
      <c r="T867" s="1207"/>
      <c r="U867" s="1207"/>
      <c r="V867" s="1207"/>
      <c r="W867" s="1207"/>
      <c r="X867" s="1207"/>
      <c r="Y867" s="1207"/>
      <c r="Z867" s="1207"/>
      <c r="AA867" s="1207"/>
      <c r="AB867" s="1207"/>
      <c r="AE867" s="1207"/>
      <c r="AF867" s="1207"/>
      <c r="AG867" s="1207"/>
      <c r="AH867" s="1207"/>
      <c r="AI867" s="1207"/>
      <c r="AJ867" s="1207"/>
      <c r="AK867" s="1207"/>
      <c r="AL867" s="1207"/>
      <c r="AU867" s="1207"/>
      <c r="AV867" s="1207"/>
      <c r="AW867" s="1207"/>
      <c r="AX867" s="1207"/>
      <c r="BA867" s="1207"/>
      <c r="BB867" s="1207"/>
      <c r="BC867" s="1207"/>
      <c r="BD867" s="1207"/>
      <c r="BG867" s="1207"/>
      <c r="BH867" s="1207"/>
      <c r="BI867" s="1207"/>
      <c r="BJ867" s="1207"/>
      <c r="BK867" s="1207"/>
      <c r="BL867" s="1207"/>
      <c r="BM867" s="1207"/>
      <c r="BN867" s="1207"/>
      <c r="BS867" s="1207"/>
      <c r="BT867" s="1207"/>
      <c r="BU867" s="1207"/>
      <c r="BV867" s="1207"/>
      <c r="BY867" s="1207"/>
      <c r="BZ867" s="1207"/>
      <c r="CA867" s="1207"/>
      <c r="CB867" s="1207"/>
      <c r="CG867" s="1207"/>
      <c r="CH867" s="1207"/>
      <c r="CI867" s="1207"/>
      <c r="CJ867" s="1207"/>
      <c r="CM867" s="1207"/>
      <c r="CN867" s="1207"/>
      <c r="CO867" s="1207"/>
      <c r="CP867" s="1207"/>
      <c r="CQ867" s="1207"/>
      <c r="CR867" s="1207"/>
      <c r="CS867" s="1207"/>
      <c r="CT867" s="1207"/>
      <c r="CU867" s="1207"/>
      <c r="CV867" s="1207"/>
      <c r="CW867" s="1207"/>
      <c r="CX867" s="1207"/>
      <c r="CY867" s="1207"/>
      <c r="CZ867" s="1207"/>
      <c r="DA867" s="1207"/>
      <c r="DB867" s="1207"/>
      <c r="DE867" s="1207"/>
      <c r="DF867" s="1207"/>
      <c r="DG867" s="1207"/>
      <c r="DH867" s="1207"/>
      <c r="DS867" s="1207"/>
      <c r="DT867" s="1207"/>
      <c r="DU867" s="1207"/>
      <c r="DV867" s="1207"/>
      <c r="DY867" s="1207"/>
      <c r="DZ867" s="1207"/>
      <c r="EA867" s="1207"/>
      <c r="EB867" s="1207"/>
      <c r="EI867" s="1207"/>
      <c r="EJ867" s="1207"/>
      <c r="EK867" s="1207"/>
      <c r="EL867" s="1207"/>
      <c r="EM867" s="107"/>
      <c r="EN867" s="107"/>
      <c r="EO867" s="107"/>
      <c r="EP867" s="107"/>
      <c r="EQ867" s="368"/>
      <c r="ER867" s="368"/>
      <c r="ES867" s="368"/>
      <c r="ET867" s="368"/>
    </row>
    <row r="868" spans="1:150" x14ac:dyDescent="0.25">
      <c r="A868" s="1206"/>
      <c r="B868" s="1206"/>
      <c r="C868" s="1207"/>
      <c r="D868" s="1207"/>
      <c r="E868" s="1207"/>
      <c r="F868" s="1207"/>
      <c r="Q868" s="1207"/>
      <c r="R868" s="1207"/>
      <c r="S868" s="1207"/>
      <c r="T868" s="1207"/>
      <c r="U868" s="1207"/>
      <c r="V868" s="1207"/>
      <c r="W868" s="1207"/>
      <c r="X868" s="1207"/>
      <c r="Y868" s="1207"/>
      <c r="Z868" s="1207"/>
      <c r="AA868" s="1207"/>
      <c r="AB868" s="1207"/>
      <c r="AE868" s="1207"/>
      <c r="AF868" s="1207"/>
      <c r="AG868" s="1207"/>
      <c r="AH868" s="1207"/>
      <c r="AI868" s="1207"/>
      <c r="AJ868" s="1207"/>
      <c r="AK868" s="1207"/>
      <c r="AL868" s="1207"/>
      <c r="AU868" s="1207"/>
      <c r="AV868" s="1207"/>
      <c r="AW868" s="1207"/>
      <c r="AX868" s="1207"/>
      <c r="BA868" s="1207"/>
      <c r="BB868" s="1207"/>
      <c r="BC868" s="1207"/>
      <c r="BD868" s="1207"/>
      <c r="BG868" s="1207"/>
      <c r="BH868" s="1207"/>
      <c r="BI868" s="1207"/>
      <c r="BJ868" s="1207"/>
      <c r="BK868" s="1207"/>
      <c r="BL868" s="1207"/>
      <c r="BM868" s="1207"/>
      <c r="BN868" s="1207"/>
      <c r="BS868" s="1207"/>
      <c r="BT868" s="1207"/>
      <c r="BU868" s="1207"/>
      <c r="BV868" s="1207"/>
      <c r="BY868" s="1207"/>
      <c r="BZ868" s="1207"/>
      <c r="CA868" s="1207"/>
      <c r="CB868" s="1207"/>
      <c r="CG868" s="1207"/>
      <c r="CH868" s="1207"/>
      <c r="CI868" s="1207"/>
      <c r="CJ868" s="1207"/>
      <c r="CM868" s="1207"/>
      <c r="CN868" s="1207"/>
      <c r="CO868" s="1207"/>
      <c r="CP868" s="1207"/>
      <c r="CQ868" s="1207"/>
      <c r="CR868" s="1207"/>
      <c r="CS868" s="1207"/>
      <c r="CT868" s="1207"/>
      <c r="CU868" s="1207"/>
      <c r="CV868" s="1207"/>
      <c r="CW868" s="1207"/>
      <c r="CX868" s="1207"/>
      <c r="CY868" s="1207"/>
      <c r="CZ868" s="1207"/>
      <c r="DA868" s="1207"/>
      <c r="DB868" s="1207"/>
      <c r="DE868" s="1207"/>
      <c r="DF868" s="1207"/>
      <c r="DG868" s="1207"/>
      <c r="DH868" s="1207"/>
      <c r="DS868" s="1207"/>
      <c r="DT868" s="1207"/>
      <c r="DU868" s="1207"/>
      <c r="DV868" s="1207"/>
      <c r="DY868" s="1207"/>
      <c r="DZ868" s="1207"/>
      <c r="EA868" s="1207"/>
      <c r="EB868" s="1207"/>
      <c r="EI868" s="1207"/>
      <c r="EJ868" s="1207"/>
      <c r="EK868" s="1207"/>
      <c r="EL868" s="1207"/>
      <c r="EM868" s="107"/>
      <c r="EN868" s="107"/>
      <c r="EO868" s="107"/>
      <c r="EP868" s="107"/>
      <c r="EQ868" s="368"/>
      <c r="ER868" s="368"/>
      <c r="ES868" s="368"/>
      <c r="ET868" s="368"/>
    </row>
    <row r="869" spans="1:150" x14ac:dyDescent="0.25">
      <c r="A869" s="1206"/>
      <c r="B869" s="1206"/>
      <c r="C869" s="1207"/>
      <c r="D869" s="1207"/>
      <c r="E869" s="1207"/>
      <c r="F869" s="1207"/>
      <c r="Q869" s="1207"/>
      <c r="R869" s="1207"/>
      <c r="S869" s="1207"/>
      <c r="T869" s="1207"/>
      <c r="U869" s="1207"/>
      <c r="V869" s="1207"/>
      <c r="W869" s="1207"/>
      <c r="X869" s="1207"/>
      <c r="Y869" s="1207"/>
      <c r="Z869" s="1207"/>
      <c r="AA869" s="1207"/>
      <c r="AB869" s="1207"/>
      <c r="AE869" s="1207"/>
      <c r="AF869" s="1207"/>
      <c r="AG869" s="1207"/>
      <c r="AH869" s="1207"/>
      <c r="AI869" s="1207"/>
      <c r="AJ869" s="1207"/>
      <c r="AK869" s="1207"/>
      <c r="AL869" s="1207"/>
      <c r="AU869" s="1207"/>
      <c r="AV869" s="1207"/>
      <c r="AW869" s="1207"/>
      <c r="AX869" s="1207"/>
      <c r="BA869" s="1207"/>
      <c r="BB869" s="1207"/>
      <c r="BC869" s="1207"/>
      <c r="BD869" s="1207"/>
      <c r="BG869" s="1207"/>
      <c r="BH869" s="1207"/>
      <c r="BI869" s="1207"/>
      <c r="BJ869" s="1207"/>
      <c r="BK869" s="1207"/>
      <c r="BL869" s="1207"/>
      <c r="BM869" s="1207"/>
      <c r="BN869" s="1207"/>
      <c r="BS869" s="1207"/>
      <c r="BT869" s="1207"/>
      <c r="BU869" s="1207"/>
      <c r="BV869" s="1207"/>
      <c r="BY869" s="1207"/>
      <c r="BZ869" s="1207"/>
      <c r="CA869" s="1207"/>
      <c r="CB869" s="1207"/>
      <c r="CG869" s="1207"/>
      <c r="CH869" s="1207"/>
      <c r="CI869" s="1207"/>
      <c r="CJ869" s="1207"/>
      <c r="CM869" s="1207"/>
      <c r="CN869" s="1207"/>
      <c r="CO869" s="1207"/>
      <c r="CP869" s="1207"/>
      <c r="CQ869" s="1207"/>
      <c r="CR869" s="1207"/>
      <c r="CS869" s="1207"/>
      <c r="CT869" s="1207"/>
      <c r="CU869" s="1207"/>
      <c r="CV869" s="1207"/>
      <c r="CW869" s="1207"/>
      <c r="CX869" s="1207"/>
      <c r="CY869" s="1207"/>
      <c r="CZ869" s="1207"/>
      <c r="DA869" s="1207"/>
      <c r="DB869" s="1207"/>
      <c r="DE869" s="1207"/>
      <c r="DF869" s="1207"/>
      <c r="DG869" s="1207"/>
      <c r="DH869" s="1207"/>
      <c r="DS869" s="1207"/>
      <c r="DT869" s="1207"/>
      <c r="DU869" s="1207"/>
      <c r="DV869" s="1207"/>
      <c r="DY869" s="1207"/>
      <c r="DZ869" s="1207"/>
      <c r="EA869" s="1207"/>
      <c r="EB869" s="1207"/>
      <c r="EI869" s="1207"/>
      <c r="EJ869" s="1207"/>
      <c r="EK869" s="1207"/>
      <c r="EL869" s="1207"/>
      <c r="EM869" s="107"/>
      <c r="EN869" s="107"/>
      <c r="EO869" s="107"/>
      <c r="EP869" s="107"/>
      <c r="EQ869" s="368"/>
      <c r="ER869" s="368"/>
      <c r="ES869" s="368"/>
      <c r="ET869" s="368"/>
    </row>
    <row r="870" spans="1:150" x14ac:dyDescent="0.25">
      <c r="A870" s="1206"/>
      <c r="B870" s="1206"/>
      <c r="C870" s="1207"/>
      <c r="D870" s="1207"/>
      <c r="E870" s="1207"/>
      <c r="F870" s="1207"/>
      <c r="Q870" s="1207"/>
      <c r="R870" s="1207"/>
      <c r="S870" s="1207"/>
      <c r="T870" s="1207"/>
      <c r="U870" s="1207"/>
      <c r="V870" s="1207"/>
      <c r="W870" s="1207"/>
      <c r="X870" s="1207"/>
      <c r="Y870" s="1207"/>
      <c r="Z870" s="1207"/>
      <c r="AA870" s="1207"/>
      <c r="AB870" s="1207"/>
      <c r="AE870" s="1207"/>
      <c r="AF870" s="1207"/>
      <c r="AG870" s="1207"/>
      <c r="AH870" s="1207"/>
      <c r="AI870" s="1207"/>
      <c r="AJ870" s="1207"/>
      <c r="AK870" s="1207"/>
      <c r="AL870" s="1207"/>
      <c r="AU870" s="1207"/>
      <c r="AV870" s="1207"/>
      <c r="AW870" s="1207"/>
      <c r="AX870" s="1207"/>
      <c r="BA870" s="1207"/>
      <c r="BB870" s="1207"/>
      <c r="BC870" s="1207"/>
      <c r="BD870" s="1207"/>
      <c r="BG870" s="1207"/>
      <c r="BH870" s="1207"/>
      <c r="BI870" s="1207"/>
      <c r="BJ870" s="1207"/>
      <c r="BK870" s="1207"/>
      <c r="BL870" s="1207"/>
      <c r="BM870" s="1207"/>
      <c r="BN870" s="1207"/>
      <c r="BS870" s="1207"/>
      <c r="BT870" s="1207"/>
      <c r="BU870" s="1207"/>
      <c r="BV870" s="1207"/>
      <c r="BY870" s="1207"/>
      <c r="BZ870" s="1207"/>
      <c r="CA870" s="1207"/>
      <c r="CB870" s="1207"/>
      <c r="CG870" s="1207"/>
      <c r="CH870" s="1207"/>
      <c r="CI870" s="1207"/>
      <c r="CJ870" s="1207"/>
      <c r="CM870" s="1207"/>
      <c r="CN870" s="1207"/>
      <c r="CO870" s="1207"/>
      <c r="CP870" s="1207"/>
      <c r="CQ870" s="1207"/>
      <c r="CR870" s="1207"/>
      <c r="CS870" s="1207"/>
      <c r="CT870" s="1207"/>
      <c r="CU870" s="1207"/>
      <c r="CV870" s="1207"/>
      <c r="CW870" s="1207"/>
      <c r="CX870" s="1207"/>
      <c r="CY870" s="1207"/>
      <c r="CZ870" s="1207"/>
      <c r="DA870" s="1207"/>
      <c r="DB870" s="1207"/>
      <c r="DE870" s="1207"/>
      <c r="DF870" s="1207"/>
      <c r="DG870" s="1207"/>
      <c r="DH870" s="1207"/>
      <c r="DS870" s="1207"/>
      <c r="DT870" s="1207"/>
      <c r="DU870" s="1207"/>
      <c r="DV870" s="1207"/>
      <c r="DY870" s="1207"/>
      <c r="DZ870" s="1207"/>
      <c r="EA870" s="1207"/>
      <c r="EB870" s="1207"/>
      <c r="EI870" s="1207"/>
      <c r="EJ870" s="1207"/>
      <c r="EK870" s="1207"/>
      <c r="EL870" s="1207"/>
      <c r="EM870" s="107"/>
      <c r="EN870" s="107"/>
      <c r="EO870" s="107"/>
      <c r="EP870" s="107"/>
      <c r="EQ870" s="368"/>
      <c r="ER870" s="368"/>
      <c r="ES870" s="368"/>
      <c r="ET870" s="368"/>
    </row>
    <row r="871" spans="1:150" x14ac:dyDescent="0.25">
      <c r="A871" s="1206"/>
      <c r="B871" s="1206"/>
      <c r="C871" s="1207"/>
      <c r="D871" s="1207"/>
      <c r="E871" s="1207"/>
      <c r="F871" s="1207"/>
      <c r="Q871" s="1207"/>
      <c r="R871" s="1207"/>
      <c r="S871" s="1207"/>
      <c r="T871" s="1207"/>
      <c r="U871" s="1207"/>
      <c r="V871" s="1207"/>
      <c r="W871" s="1207"/>
      <c r="X871" s="1207"/>
      <c r="Y871" s="1207"/>
      <c r="Z871" s="1207"/>
      <c r="AA871" s="1207"/>
      <c r="AB871" s="1207"/>
      <c r="AE871" s="1207"/>
      <c r="AF871" s="1207"/>
      <c r="AG871" s="1207"/>
      <c r="AH871" s="1207"/>
      <c r="AI871" s="1207"/>
      <c r="AJ871" s="1207"/>
      <c r="AK871" s="1207"/>
      <c r="AL871" s="1207"/>
      <c r="AU871" s="1207"/>
      <c r="AV871" s="1207"/>
      <c r="AW871" s="1207"/>
      <c r="AX871" s="1207"/>
      <c r="BA871" s="1207"/>
      <c r="BB871" s="1207"/>
      <c r="BC871" s="1207"/>
      <c r="BD871" s="1207"/>
      <c r="BG871" s="1207"/>
      <c r="BH871" s="1207"/>
      <c r="BI871" s="1207"/>
      <c r="BJ871" s="1207"/>
      <c r="BK871" s="1207"/>
      <c r="BL871" s="1207"/>
      <c r="BM871" s="1207"/>
      <c r="BN871" s="1207"/>
      <c r="BS871" s="1207"/>
      <c r="BT871" s="1207"/>
      <c r="BU871" s="1207"/>
      <c r="BV871" s="1207"/>
      <c r="BY871" s="1207"/>
      <c r="BZ871" s="1207"/>
      <c r="CA871" s="1207"/>
      <c r="CB871" s="1207"/>
      <c r="CG871" s="1207"/>
      <c r="CH871" s="1207"/>
      <c r="CI871" s="1207"/>
      <c r="CJ871" s="1207"/>
      <c r="CM871" s="1207"/>
      <c r="CN871" s="1207"/>
      <c r="CO871" s="1207"/>
      <c r="CP871" s="1207"/>
      <c r="CQ871" s="1207"/>
      <c r="CR871" s="1207"/>
      <c r="CS871" s="1207"/>
      <c r="CT871" s="1207"/>
      <c r="CU871" s="1207"/>
      <c r="CV871" s="1207"/>
      <c r="CW871" s="1207"/>
      <c r="CX871" s="1207"/>
      <c r="CY871" s="1207"/>
      <c r="CZ871" s="1207"/>
      <c r="DA871" s="1207"/>
      <c r="DB871" s="1207"/>
      <c r="DE871" s="1207"/>
      <c r="DF871" s="1207"/>
      <c r="DG871" s="1207"/>
      <c r="DH871" s="1207"/>
      <c r="DS871" s="1207"/>
      <c r="DT871" s="1207"/>
      <c r="DU871" s="1207"/>
      <c r="DV871" s="1207"/>
      <c r="DY871" s="1207"/>
      <c r="DZ871" s="1207"/>
      <c r="EA871" s="1207"/>
      <c r="EB871" s="1207"/>
      <c r="EI871" s="1207"/>
      <c r="EJ871" s="1207"/>
      <c r="EK871" s="1207"/>
      <c r="EL871" s="1207"/>
      <c r="EM871" s="107"/>
      <c r="EN871" s="107"/>
      <c r="EO871" s="107"/>
      <c r="EP871" s="107"/>
      <c r="EQ871" s="368"/>
      <c r="ER871" s="368"/>
      <c r="ES871" s="368"/>
      <c r="ET871" s="368"/>
    </row>
    <row r="872" spans="1:150" x14ac:dyDescent="0.25">
      <c r="A872" s="1206"/>
      <c r="B872" s="1206"/>
      <c r="C872" s="1207"/>
      <c r="D872" s="1207"/>
      <c r="E872" s="1207"/>
      <c r="F872" s="1207"/>
      <c r="Q872" s="1207"/>
      <c r="R872" s="1207"/>
      <c r="S872" s="1207"/>
      <c r="T872" s="1207"/>
      <c r="U872" s="1207"/>
      <c r="V872" s="1207"/>
      <c r="W872" s="1207"/>
      <c r="X872" s="1207"/>
      <c r="Y872" s="1207"/>
      <c r="Z872" s="1207"/>
      <c r="AA872" s="1207"/>
      <c r="AB872" s="1207"/>
      <c r="AE872" s="1207"/>
      <c r="AF872" s="1207"/>
      <c r="AG872" s="1207"/>
      <c r="AH872" s="1207"/>
      <c r="AI872" s="1207"/>
      <c r="AJ872" s="1207"/>
      <c r="AK872" s="1207"/>
      <c r="AL872" s="1207"/>
      <c r="AU872" s="1207"/>
      <c r="AV872" s="1207"/>
      <c r="AW872" s="1207"/>
      <c r="AX872" s="1207"/>
      <c r="BA872" s="1207"/>
      <c r="BB872" s="1207"/>
      <c r="BC872" s="1207"/>
      <c r="BD872" s="1207"/>
      <c r="BG872" s="1207"/>
      <c r="BH872" s="1207"/>
      <c r="BI872" s="1207"/>
      <c r="BJ872" s="1207"/>
      <c r="BK872" s="1207"/>
      <c r="BL872" s="1207"/>
      <c r="BM872" s="1207"/>
      <c r="BN872" s="1207"/>
      <c r="BS872" s="1207"/>
      <c r="BT872" s="1207"/>
      <c r="BU872" s="1207"/>
      <c r="BV872" s="1207"/>
      <c r="BY872" s="1207"/>
      <c r="BZ872" s="1207"/>
      <c r="CA872" s="1207"/>
      <c r="CB872" s="1207"/>
      <c r="CG872" s="1207"/>
      <c r="CH872" s="1207"/>
      <c r="CI872" s="1207"/>
      <c r="CJ872" s="1207"/>
      <c r="CM872" s="1207"/>
      <c r="CN872" s="1207"/>
      <c r="CO872" s="1207"/>
      <c r="CP872" s="1207"/>
      <c r="CQ872" s="1207"/>
      <c r="CR872" s="1207"/>
      <c r="CS872" s="1207"/>
      <c r="CT872" s="1207"/>
      <c r="CU872" s="1207"/>
      <c r="CV872" s="1207"/>
      <c r="CW872" s="1207"/>
      <c r="CX872" s="1207"/>
      <c r="CY872" s="1207"/>
      <c r="CZ872" s="1207"/>
      <c r="DA872" s="1207"/>
      <c r="DB872" s="1207"/>
      <c r="DE872" s="1207"/>
      <c r="DF872" s="1207"/>
      <c r="DG872" s="1207"/>
      <c r="DH872" s="1207"/>
      <c r="DS872" s="1207"/>
      <c r="DT872" s="1207"/>
      <c r="DU872" s="1207"/>
      <c r="DV872" s="1207"/>
      <c r="DY872" s="1207"/>
      <c r="DZ872" s="1207"/>
      <c r="EA872" s="1207"/>
      <c r="EB872" s="1207"/>
      <c r="EI872" s="1207"/>
      <c r="EJ872" s="1207"/>
      <c r="EK872" s="1207"/>
      <c r="EL872" s="1207"/>
      <c r="EM872" s="107"/>
      <c r="EN872" s="107"/>
      <c r="EO872" s="107"/>
      <c r="EP872" s="107"/>
      <c r="EQ872" s="368"/>
      <c r="ER872" s="368"/>
      <c r="ES872" s="368"/>
      <c r="ET872" s="368"/>
    </row>
    <row r="873" spans="1:150" x14ac:dyDescent="0.25">
      <c r="A873" s="1206"/>
      <c r="B873" s="1206"/>
      <c r="C873" s="1207"/>
      <c r="D873" s="1207"/>
      <c r="E873" s="1207"/>
      <c r="F873" s="1207"/>
      <c r="Q873" s="1207"/>
      <c r="R873" s="1207"/>
      <c r="S873" s="1207"/>
      <c r="T873" s="1207"/>
      <c r="U873" s="1207"/>
      <c r="V873" s="1207"/>
      <c r="W873" s="1207"/>
      <c r="X873" s="1207"/>
      <c r="Y873" s="1207"/>
      <c r="Z873" s="1207"/>
      <c r="AA873" s="1207"/>
      <c r="AB873" s="1207"/>
      <c r="AE873" s="1207"/>
      <c r="AF873" s="1207"/>
      <c r="AG873" s="1207"/>
      <c r="AH873" s="1207"/>
      <c r="AI873" s="1207"/>
      <c r="AJ873" s="1207"/>
      <c r="AK873" s="1207"/>
      <c r="AL873" s="1207"/>
      <c r="AU873" s="1207"/>
      <c r="AV873" s="1207"/>
      <c r="AW873" s="1207"/>
      <c r="AX873" s="1207"/>
      <c r="BA873" s="1207"/>
      <c r="BB873" s="1207"/>
      <c r="BC873" s="1207"/>
      <c r="BD873" s="1207"/>
      <c r="BG873" s="1207"/>
      <c r="BH873" s="1207"/>
      <c r="BI873" s="1207"/>
      <c r="BJ873" s="1207"/>
      <c r="BK873" s="1207"/>
      <c r="BL873" s="1207"/>
      <c r="BM873" s="1207"/>
      <c r="BN873" s="1207"/>
      <c r="BS873" s="1207"/>
      <c r="BT873" s="1207"/>
      <c r="BU873" s="1207"/>
      <c r="BV873" s="1207"/>
      <c r="BY873" s="1207"/>
      <c r="BZ873" s="1207"/>
      <c r="CA873" s="1207"/>
      <c r="CB873" s="1207"/>
      <c r="CG873" s="1207"/>
      <c r="CH873" s="1207"/>
      <c r="CI873" s="1207"/>
      <c r="CJ873" s="1207"/>
      <c r="CM873" s="1207"/>
      <c r="CN873" s="1207"/>
      <c r="CO873" s="1207"/>
      <c r="CP873" s="1207"/>
      <c r="CQ873" s="1207"/>
      <c r="CR873" s="1207"/>
      <c r="CS873" s="1207"/>
      <c r="CT873" s="1207"/>
      <c r="CU873" s="1207"/>
      <c r="CV873" s="1207"/>
      <c r="CW873" s="1207"/>
      <c r="CX873" s="1207"/>
      <c r="CY873" s="1207"/>
      <c r="CZ873" s="1207"/>
      <c r="DA873" s="1207"/>
      <c r="DB873" s="1207"/>
      <c r="DE873" s="1207"/>
      <c r="DF873" s="1207"/>
      <c r="DG873" s="1207"/>
      <c r="DH873" s="1207"/>
      <c r="DS873" s="1207"/>
      <c r="DT873" s="1207"/>
      <c r="DU873" s="1207"/>
      <c r="DV873" s="1207"/>
      <c r="DY873" s="1207"/>
      <c r="DZ873" s="1207"/>
      <c r="EA873" s="1207"/>
      <c r="EB873" s="1207"/>
      <c r="EI873" s="1207"/>
      <c r="EJ873" s="1207"/>
      <c r="EK873" s="1207"/>
      <c r="EL873" s="1207"/>
      <c r="EM873" s="107"/>
      <c r="EN873" s="107"/>
      <c r="EO873" s="107"/>
      <c r="EP873" s="107"/>
      <c r="EQ873" s="368"/>
      <c r="ER873" s="368"/>
      <c r="ES873" s="368"/>
      <c r="ET873" s="368"/>
    </row>
    <row r="874" spans="1:150" x14ac:dyDescent="0.25">
      <c r="A874" s="1206"/>
      <c r="B874" s="1206"/>
      <c r="C874" s="1207"/>
      <c r="D874" s="1207"/>
      <c r="E874" s="1207"/>
      <c r="F874" s="1207"/>
      <c r="Q874" s="1207"/>
      <c r="R874" s="1207"/>
      <c r="S874" s="1207"/>
      <c r="T874" s="1207"/>
      <c r="U874" s="1207"/>
      <c r="V874" s="1207"/>
      <c r="W874" s="1207"/>
      <c r="X874" s="1207"/>
      <c r="Y874" s="1207"/>
      <c r="Z874" s="1207"/>
      <c r="AA874" s="1207"/>
      <c r="AB874" s="1207"/>
      <c r="AE874" s="1207"/>
      <c r="AF874" s="1207"/>
      <c r="AG874" s="1207"/>
      <c r="AH874" s="1207"/>
      <c r="AI874" s="1207"/>
      <c r="AJ874" s="1207"/>
      <c r="AK874" s="1207"/>
      <c r="AL874" s="1207"/>
      <c r="AU874" s="1207"/>
      <c r="AV874" s="1207"/>
      <c r="AW874" s="1207"/>
      <c r="AX874" s="1207"/>
      <c r="BA874" s="1207"/>
      <c r="BB874" s="1207"/>
      <c r="BC874" s="1207"/>
      <c r="BD874" s="1207"/>
      <c r="BG874" s="1207"/>
      <c r="BH874" s="1207"/>
      <c r="BI874" s="1207"/>
      <c r="BJ874" s="1207"/>
      <c r="BK874" s="1207"/>
      <c r="BL874" s="1207"/>
      <c r="BM874" s="1207"/>
      <c r="BN874" s="1207"/>
      <c r="BS874" s="1207"/>
      <c r="BT874" s="1207"/>
      <c r="BU874" s="1207"/>
      <c r="BV874" s="1207"/>
      <c r="BY874" s="1207"/>
      <c r="BZ874" s="1207"/>
      <c r="CA874" s="1207"/>
      <c r="CB874" s="1207"/>
      <c r="CG874" s="1207"/>
      <c r="CH874" s="1207"/>
      <c r="CI874" s="1207"/>
      <c r="CJ874" s="1207"/>
      <c r="CM874" s="1207"/>
      <c r="CN874" s="1207"/>
      <c r="CO874" s="1207"/>
      <c r="CP874" s="1207"/>
      <c r="CQ874" s="1207"/>
      <c r="CR874" s="1207"/>
      <c r="CS874" s="1207"/>
      <c r="CT874" s="1207"/>
      <c r="CU874" s="1207"/>
      <c r="CV874" s="1207"/>
      <c r="CW874" s="1207"/>
      <c r="CX874" s="1207"/>
      <c r="CY874" s="1207"/>
      <c r="CZ874" s="1207"/>
      <c r="DA874" s="1207"/>
      <c r="DB874" s="1207"/>
      <c r="DE874" s="1207"/>
      <c r="DF874" s="1207"/>
      <c r="DG874" s="1207"/>
      <c r="DH874" s="1207"/>
      <c r="DS874" s="1207"/>
      <c r="DT874" s="1207"/>
      <c r="DU874" s="1207"/>
      <c r="DV874" s="1207"/>
      <c r="DY874" s="1207"/>
      <c r="DZ874" s="1207"/>
      <c r="EA874" s="1207"/>
      <c r="EB874" s="1207"/>
      <c r="EI874" s="1207"/>
      <c r="EJ874" s="1207"/>
      <c r="EK874" s="1207"/>
      <c r="EL874" s="1207"/>
      <c r="EM874" s="107"/>
      <c r="EN874" s="107"/>
      <c r="EO874" s="107"/>
      <c r="EP874" s="107"/>
      <c r="EQ874" s="368"/>
      <c r="ER874" s="368"/>
      <c r="ES874" s="368"/>
      <c r="ET874" s="368"/>
    </row>
    <row r="875" spans="1:150" x14ac:dyDescent="0.25">
      <c r="A875" s="1206"/>
      <c r="B875" s="1206"/>
      <c r="C875" s="1207"/>
      <c r="D875" s="1207"/>
      <c r="E875" s="1207"/>
      <c r="F875" s="1207"/>
      <c r="Q875" s="1207"/>
      <c r="R875" s="1207"/>
      <c r="S875" s="1207"/>
      <c r="T875" s="1207"/>
      <c r="U875" s="1207"/>
      <c r="V875" s="1207"/>
      <c r="W875" s="1207"/>
      <c r="X875" s="1207"/>
      <c r="Y875" s="1207"/>
      <c r="Z875" s="1207"/>
      <c r="AA875" s="1207"/>
      <c r="AB875" s="1207"/>
      <c r="AE875" s="1207"/>
      <c r="AF875" s="1207"/>
      <c r="AG875" s="1207"/>
      <c r="AH875" s="1207"/>
      <c r="AI875" s="1207"/>
      <c r="AJ875" s="1207"/>
      <c r="AK875" s="1207"/>
      <c r="AL875" s="1207"/>
      <c r="AU875" s="1207"/>
      <c r="AV875" s="1207"/>
      <c r="AW875" s="1207"/>
      <c r="AX875" s="1207"/>
      <c r="BA875" s="1207"/>
      <c r="BB875" s="1207"/>
      <c r="BC875" s="1207"/>
      <c r="BD875" s="1207"/>
      <c r="BG875" s="1207"/>
      <c r="BH875" s="1207"/>
      <c r="BI875" s="1207"/>
      <c r="BJ875" s="1207"/>
      <c r="BK875" s="1207"/>
      <c r="BL875" s="1207"/>
      <c r="BM875" s="1207"/>
      <c r="BN875" s="1207"/>
      <c r="BS875" s="1207"/>
      <c r="BT875" s="1207"/>
      <c r="BU875" s="1207"/>
      <c r="BV875" s="1207"/>
      <c r="BY875" s="1207"/>
      <c r="BZ875" s="1207"/>
      <c r="CA875" s="1207"/>
      <c r="CB875" s="1207"/>
      <c r="CG875" s="1207"/>
      <c r="CH875" s="1207"/>
      <c r="CI875" s="1207"/>
      <c r="CJ875" s="1207"/>
      <c r="CM875" s="1207"/>
      <c r="CN875" s="1207"/>
      <c r="CO875" s="1207"/>
      <c r="CP875" s="1207"/>
      <c r="CQ875" s="1207"/>
      <c r="CR875" s="1207"/>
      <c r="CS875" s="1207"/>
      <c r="CT875" s="1207"/>
      <c r="CU875" s="1207"/>
      <c r="CV875" s="1207"/>
      <c r="CW875" s="1207"/>
      <c r="CX875" s="1207"/>
      <c r="CY875" s="1207"/>
      <c r="CZ875" s="1207"/>
      <c r="DA875" s="1207"/>
      <c r="DB875" s="1207"/>
      <c r="DE875" s="1207"/>
      <c r="DF875" s="1207"/>
      <c r="DG875" s="1207"/>
      <c r="DH875" s="1207"/>
      <c r="DS875" s="1207"/>
      <c r="DT875" s="1207"/>
      <c r="DU875" s="1207"/>
      <c r="DV875" s="1207"/>
      <c r="DY875" s="1207"/>
      <c r="DZ875" s="1207"/>
      <c r="EA875" s="1207"/>
      <c r="EB875" s="1207"/>
      <c r="EI875" s="1207"/>
      <c r="EJ875" s="1207"/>
      <c r="EK875" s="1207"/>
      <c r="EL875" s="1207"/>
      <c r="EM875" s="107"/>
      <c r="EN875" s="107"/>
      <c r="EO875" s="107"/>
      <c r="EP875" s="107"/>
      <c r="EQ875" s="368"/>
      <c r="ER875" s="368"/>
      <c r="ES875" s="368"/>
      <c r="ET875" s="368"/>
    </row>
    <row r="876" spans="1:150" x14ac:dyDescent="0.25">
      <c r="A876" s="1206"/>
      <c r="B876" s="1206"/>
      <c r="C876" s="1207"/>
      <c r="D876" s="1207"/>
      <c r="E876" s="1207"/>
      <c r="F876" s="1207"/>
      <c r="Q876" s="1207"/>
      <c r="R876" s="1207"/>
      <c r="S876" s="1207"/>
      <c r="T876" s="1207"/>
      <c r="U876" s="1207"/>
      <c r="V876" s="1207"/>
      <c r="W876" s="1207"/>
      <c r="X876" s="1207"/>
      <c r="Y876" s="1207"/>
      <c r="Z876" s="1207"/>
      <c r="AA876" s="1207"/>
      <c r="AB876" s="1207"/>
      <c r="AE876" s="1207"/>
      <c r="AF876" s="1207"/>
      <c r="AG876" s="1207"/>
      <c r="AH876" s="1207"/>
      <c r="AI876" s="1207"/>
      <c r="AJ876" s="1207"/>
      <c r="AK876" s="1207"/>
      <c r="AL876" s="1207"/>
      <c r="AU876" s="1207"/>
      <c r="AV876" s="1207"/>
      <c r="AW876" s="1207"/>
      <c r="AX876" s="1207"/>
      <c r="BA876" s="1207"/>
      <c r="BB876" s="1207"/>
      <c r="BC876" s="1207"/>
      <c r="BD876" s="1207"/>
      <c r="BG876" s="1207"/>
      <c r="BH876" s="1207"/>
      <c r="BI876" s="1207"/>
      <c r="BJ876" s="1207"/>
      <c r="BK876" s="1207"/>
      <c r="BL876" s="1207"/>
      <c r="BM876" s="1207"/>
      <c r="BN876" s="1207"/>
      <c r="BS876" s="1207"/>
      <c r="BT876" s="1207"/>
      <c r="BU876" s="1207"/>
      <c r="BV876" s="1207"/>
      <c r="BY876" s="1207"/>
      <c r="BZ876" s="1207"/>
      <c r="CA876" s="1207"/>
      <c r="CB876" s="1207"/>
      <c r="CG876" s="1207"/>
      <c r="CH876" s="1207"/>
      <c r="CI876" s="1207"/>
      <c r="CJ876" s="1207"/>
      <c r="CM876" s="1207"/>
      <c r="CN876" s="1207"/>
      <c r="CO876" s="1207"/>
      <c r="CP876" s="1207"/>
      <c r="CQ876" s="1207"/>
      <c r="CR876" s="1207"/>
      <c r="CS876" s="1207"/>
      <c r="CT876" s="1207"/>
      <c r="CU876" s="1207"/>
      <c r="CV876" s="1207"/>
      <c r="CW876" s="1207"/>
      <c r="CX876" s="1207"/>
      <c r="CY876" s="1207"/>
      <c r="CZ876" s="1207"/>
      <c r="DA876" s="1207"/>
      <c r="DB876" s="1207"/>
      <c r="DE876" s="1207"/>
      <c r="DF876" s="1207"/>
      <c r="DG876" s="1207"/>
      <c r="DH876" s="1207"/>
      <c r="DS876" s="1207"/>
      <c r="DT876" s="1207"/>
      <c r="DU876" s="1207"/>
      <c r="DV876" s="1207"/>
      <c r="DY876" s="1207"/>
      <c r="DZ876" s="1207"/>
      <c r="EA876" s="1207"/>
      <c r="EB876" s="1207"/>
      <c r="EI876" s="1207"/>
      <c r="EJ876" s="1207"/>
      <c r="EK876" s="1207"/>
      <c r="EL876" s="1207"/>
      <c r="EM876" s="107"/>
      <c r="EN876" s="107"/>
      <c r="EO876" s="107"/>
      <c r="EP876" s="107"/>
      <c r="EQ876" s="368"/>
      <c r="ER876" s="368"/>
      <c r="ES876" s="368"/>
      <c r="ET876" s="368"/>
    </row>
    <row r="877" spans="1:150" x14ac:dyDescent="0.25">
      <c r="A877" s="1206"/>
      <c r="B877" s="1206"/>
      <c r="C877" s="1207"/>
      <c r="D877" s="1207"/>
      <c r="E877" s="1207"/>
      <c r="F877" s="1207"/>
      <c r="Q877" s="1207"/>
      <c r="R877" s="1207"/>
      <c r="S877" s="1207"/>
      <c r="T877" s="1207"/>
      <c r="U877" s="1207"/>
      <c r="V877" s="1207"/>
      <c r="W877" s="1207"/>
      <c r="X877" s="1207"/>
      <c r="Y877" s="1207"/>
      <c r="Z877" s="1207"/>
      <c r="AA877" s="1207"/>
      <c r="AB877" s="1207"/>
      <c r="AE877" s="1207"/>
      <c r="AF877" s="1207"/>
      <c r="AG877" s="1207"/>
      <c r="AH877" s="1207"/>
      <c r="AI877" s="1207"/>
      <c r="AJ877" s="1207"/>
      <c r="AK877" s="1207"/>
      <c r="AL877" s="1207"/>
      <c r="AU877" s="1207"/>
      <c r="AV877" s="1207"/>
      <c r="AW877" s="1207"/>
      <c r="AX877" s="1207"/>
      <c r="BA877" s="1207"/>
      <c r="BB877" s="1207"/>
      <c r="BC877" s="1207"/>
      <c r="BD877" s="1207"/>
      <c r="BG877" s="1207"/>
      <c r="BH877" s="1207"/>
      <c r="BI877" s="1207"/>
      <c r="BJ877" s="1207"/>
      <c r="BK877" s="1207"/>
      <c r="BL877" s="1207"/>
      <c r="BM877" s="1207"/>
      <c r="BN877" s="1207"/>
      <c r="BS877" s="1207"/>
      <c r="BT877" s="1207"/>
      <c r="BU877" s="1207"/>
      <c r="BV877" s="1207"/>
      <c r="BY877" s="1207"/>
      <c r="BZ877" s="1207"/>
      <c r="CA877" s="1207"/>
      <c r="CB877" s="1207"/>
      <c r="CG877" s="1207"/>
      <c r="CH877" s="1207"/>
      <c r="CI877" s="1207"/>
      <c r="CJ877" s="1207"/>
      <c r="CM877" s="1207"/>
      <c r="CN877" s="1207"/>
      <c r="CO877" s="1207"/>
      <c r="CP877" s="1207"/>
      <c r="CQ877" s="1207"/>
      <c r="CR877" s="1207"/>
      <c r="CS877" s="1207"/>
      <c r="CT877" s="1207"/>
      <c r="CU877" s="1207"/>
      <c r="CV877" s="1207"/>
      <c r="CW877" s="1207"/>
      <c r="CX877" s="1207"/>
      <c r="CY877" s="1207"/>
      <c r="CZ877" s="1207"/>
      <c r="DA877" s="1207"/>
      <c r="DB877" s="1207"/>
      <c r="DE877" s="1207"/>
      <c r="DF877" s="1207"/>
      <c r="DG877" s="1207"/>
      <c r="DH877" s="1207"/>
      <c r="DS877" s="1207"/>
      <c r="DT877" s="1207"/>
      <c r="DU877" s="1207"/>
      <c r="DV877" s="1207"/>
      <c r="DY877" s="1207"/>
      <c r="DZ877" s="1207"/>
      <c r="EA877" s="1207"/>
      <c r="EB877" s="1207"/>
      <c r="EI877" s="1207"/>
      <c r="EJ877" s="1207"/>
      <c r="EK877" s="1207"/>
      <c r="EL877" s="1207"/>
      <c r="EM877" s="107"/>
      <c r="EN877" s="107"/>
      <c r="EO877" s="107"/>
      <c r="EP877" s="107"/>
      <c r="EQ877" s="368"/>
      <c r="ER877" s="368"/>
      <c r="ES877" s="368"/>
      <c r="ET877" s="368"/>
    </row>
    <row r="878" spans="1:150" x14ac:dyDescent="0.25">
      <c r="A878" s="1206"/>
      <c r="B878" s="1206"/>
      <c r="C878" s="1207"/>
      <c r="D878" s="1207"/>
      <c r="E878" s="1207"/>
      <c r="F878" s="1207"/>
      <c r="Q878" s="1207"/>
      <c r="R878" s="1207"/>
      <c r="S878" s="1207"/>
      <c r="T878" s="1207"/>
      <c r="U878" s="1207"/>
      <c r="V878" s="1207"/>
      <c r="W878" s="1207"/>
      <c r="X878" s="1207"/>
      <c r="Y878" s="1207"/>
      <c r="Z878" s="1207"/>
      <c r="AA878" s="1207"/>
      <c r="AB878" s="1207"/>
      <c r="AE878" s="1207"/>
      <c r="AF878" s="1207"/>
      <c r="AG878" s="1207"/>
      <c r="AH878" s="1207"/>
      <c r="AI878" s="1207"/>
      <c r="AJ878" s="1207"/>
      <c r="AK878" s="1207"/>
      <c r="AL878" s="1207"/>
      <c r="AU878" s="1207"/>
      <c r="AV878" s="1207"/>
      <c r="AW878" s="1207"/>
      <c r="AX878" s="1207"/>
      <c r="BA878" s="1207"/>
      <c r="BB878" s="1207"/>
      <c r="BC878" s="1207"/>
      <c r="BD878" s="1207"/>
      <c r="BG878" s="1207"/>
      <c r="BH878" s="1207"/>
      <c r="BI878" s="1207"/>
      <c r="BJ878" s="1207"/>
      <c r="BK878" s="1207"/>
      <c r="BL878" s="1207"/>
      <c r="BM878" s="1207"/>
      <c r="BN878" s="1207"/>
      <c r="BS878" s="1207"/>
      <c r="BT878" s="1207"/>
      <c r="BU878" s="1207"/>
      <c r="BV878" s="1207"/>
      <c r="BY878" s="1207"/>
      <c r="BZ878" s="1207"/>
      <c r="CA878" s="1207"/>
      <c r="CB878" s="1207"/>
      <c r="CG878" s="1207"/>
      <c r="CH878" s="1207"/>
      <c r="CI878" s="1207"/>
      <c r="CJ878" s="1207"/>
      <c r="CM878" s="1207"/>
      <c r="CN878" s="1207"/>
      <c r="CO878" s="1207"/>
      <c r="CP878" s="1207"/>
      <c r="CQ878" s="1207"/>
      <c r="CR878" s="1207"/>
      <c r="CS878" s="1207"/>
      <c r="CT878" s="1207"/>
      <c r="CU878" s="1207"/>
      <c r="CV878" s="1207"/>
      <c r="CW878" s="1207"/>
      <c r="CX878" s="1207"/>
      <c r="CY878" s="1207"/>
      <c r="CZ878" s="1207"/>
      <c r="DA878" s="1207"/>
      <c r="DB878" s="1207"/>
      <c r="DE878" s="1207"/>
      <c r="DF878" s="1207"/>
      <c r="DG878" s="1207"/>
      <c r="DH878" s="1207"/>
      <c r="DS878" s="1207"/>
      <c r="DT878" s="1207"/>
      <c r="DU878" s="1207"/>
      <c r="DV878" s="1207"/>
      <c r="DY878" s="1207"/>
      <c r="DZ878" s="1207"/>
      <c r="EA878" s="1207"/>
      <c r="EB878" s="1207"/>
      <c r="EI878" s="1207"/>
      <c r="EJ878" s="1207"/>
      <c r="EK878" s="1207"/>
      <c r="EL878" s="1207"/>
      <c r="EM878" s="107"/>
      <c r="EN878" s="107"/>
      <c r="EO878" s="107"/>
      <c r="EP878" s="107"/>
      <c r="EQ878" s="368"/>
      <c r="ER878" s="368"/>
      <c r="ES878" s="368"/>
      <c r="ET878" s="368"/>
    </row>
    <row r="879" spans="1:150" x14ac:dyDescent="0.25">
      <c r="A879" s="1206"/>
      <c r="B879" s="1206"/>
      <c r="C879" s="1207"/>
      <c r="D879" s="1207"/>
      <c r="E879" s="1207"/>
      <c r="F879" s="1207"/>
      <c r="Q879" s="1207"/>
      <c r="R879" s="1207"/>
      <c r="S879" s="1207"/>
      <c r="T879" s="1207"/>
      <c r="U879" s="1207"/>
      <c r="V879" s="1207"/>
      <c r="W879" s="1207"/>
      <c r="X879" s="1207"/>
      <c r="Y879" s="1207"/>
      <c r="Z879" s="1207"/>
      <c r="AA879" s="1207"/>
      <c r="AB879" s="1207"/>
      <c r="AE879" s="1207"/>
      <c r="AF879" s="1207"/>
      <c r="AG879" s="1207"/>
      <c r="AH879" s="1207"/>
      <c r="AI879" s="1207"/>
      <c r="AJ879" s="1207"/>
      <c r="AK879" s="1207"/>
      <c r="AL879" s="1207"/>
      <c r="AU879" s="1207"/>
      <c r="AV879" s="1207"/>
      <c r="AW879" s="1207"/>
      <c r="AX879" s="1207"/>
      <c r="BA879" s="1207"/>
      <c r="BB879" s="1207"/>
      <c r="BC879" s="1207"/>
      <c r="BD879" s="1207"/>
      <c r="BG879" s="1207"/>
      <c r="BH879" s="1207"/>
      <c r="BI879" s="1207"/>
      <c r="BJ879" s="1207"/>
      <c r="BK879" s="1207"/>
      <c r="BL879" s="1207"/>
      <c r="BM879" s="1207"/>
      <c r="BN879" s="1207"/>
      <c r="BS879" s="1207"/>
      <c r="BT879" s="1207"/>
      <c r="BU879" s="1207"/>
      <c r="BV879" s="1207"/>
      <c r="BY879" s="1207"/>
      <c r="BZ879" s="1207"/>
      <c r="CA879" s="1207"/>
      <c r="CB879" s="1207"/>
      <c r="CG879" s="1207"/>
      <c r="CH879" s="1207"/>
      <c r="CI879" s="1207"/>
      <c r="CJ879" s="1207"/>
      <c r="CM879" s="1207"/>
      <c r="CN879" s="1207"/>
      <c r="CO879" s="1207"/>
      <c r="CP879" s="1207"/>
      <c r="CQ879" s="1207"/>
      <c r="CR879" s="1207"/>
      <c r="CS879" s="1207"/>
      <c r="CT879" s="1207"/>
      <c r="CU879" s="1207"/>
      <c r="CV879" s="1207"/>
      <c r="CW879" s="1207"/>
      <c r="CX879" s="1207"/>
      <c r="CY879" s="1207"/>
      <c r="CZ879" s="1207"/>
      <c r="DA879" s="1207"/>
      <c r="DB879" s="1207"/>
      <c r="DE879" s="1207"/>
      <c r="DF879" s="1207"/>
      <c r="DG879" s="1207"/>
      <c r="DH879" s="1207"/>
      <c r="DS879" s="1207"/>
      <c r="DT879" s="1207"/>
      <c r="DU879" s="1207"/>
      <c r="DV879" s="1207"/>
      <c r="DY879" s="1207"/>
      <c r="DZ879" s="1207"/>
      <c r="EA879" s="1207"/>
      <c r="EB879" s="1207"/>
      <c r="EI879" s="1207"/>
      <c r="EJ879" s="1207"/>
      <c r="EK879" s="1207"/>
      <c r="EL879" s="1207"/>
      <c r="EM879" s="107"/>
      <c r="EN879" s="107"/>
      <c r="EO879" s="107"/>
      <c r="EP879" s="107"/>
      <c r="EQ879" s="368"/>
      <c r="ER879" s="368"/>
      <c r="ES879" s="368"/>
      <c r="ET879" s="368"/>
    </row>
    <row r="880" spans="1:150" x14ac:dyDescent="0.25">
      <c r="A880" s="1206"/>
      <c r="B880" s="1206"/>
      <c r="C880" s="1207"/>
      <c r="D880" s="1207"/>
      <c r="E880" s="1207"/>
      <c r="F880" s="1207"/>
      <c r="Q880" s="1207"/>
      <c r="R880" s="1207"/>
      <c r="S880" s="1207"/>
      <c r="T880" s="1207"/>
      <c r="U880" s="1207"/>
      <c r="V880" s="1207"/>
      <c r="W880" s="1207"/>
      <c r="X880" s="1207"/>
      <c r="Y880" s="1207"/>
      <c r="Z880" s="1207"/>
      <c r="AA880" s="1207"/>
      <c r="AB880" s="1207"/>
      <c r="AE880" s="1207"/>
      <c r="AF880" s="1207"/>
      <c r="AG880" s="1207"/>
      <c r="AH880" s="1207"/>
      <c r="AI880" s="1207"/>
      <c r="AJ880" s="1207"/>
      <c r="AK880" s="1207"/>
      <c r="AL880" s="1207"/>
      <c r="AU880" s="1207"/>
      <c r="AV880" s="1207"/>
      <c r="AW880" s="1207"/>
      <c r="AX880" s="1207"/>
      <c r="BA880" s="1207"/>
      <c r="BB880" s="1207"/>
      <c r="BC880" s="1207"/>
      <c r="BD880" s="1207"/>
      <c r="BG880" s="1207"/>
      <c r="BH880" s="1207"/>
      <c r="BI880" s="1207"/>
      <c r="BJ880" s="1207"/>
      <c r="BK880" s="1207"/>
      <c r="BL880" s="1207"/>
      <c r="BM880" s="1207"/>
      <c r="BN880" s="1207"/>
      <c r="BS880" s="1207"/>
      <c r="BT880" s="1207"/>
      <c r="BU880" s="1207"/>
      <c r="BV880" s="1207"/>
      <c r="BY880" s="1207"/>
      <c r="BZ880" s="1207"/>
      <c r="CA880" s="1207"/>
      <c r="CB880" s="1207"/>
      <c r="CG880" s="1207"/>
      <c r="CH880" s="1207"/>
      <c r="CI880" s="1207"/>
      <c r="CJ880" s="1207"/>
      <c r="CM880" s="1207"/>
      <c r="CN880" s="1207"/>
      <c r="CO880" s="1207"/>
      <c r="CP880" s="1207"/>
      <c r="CQ880" s="1207"/>
      <c r="CR880" s="1207"/>
      <c r="CS880" s="1207"/>
      <c r="CT880" s="1207"/>
      <c r="CU880" s="1207"/>
      <c r="CV880" s="1207"/>
      <c r="CW880" s="1207"/>
      <c r="CX880" s="1207"/>
      <c r="CY880" s="1207"/>
      <c r="CZ880" s="1207"/>
      <c r="DA880" s="1207"/>
      <c r="DB880" s="1207"/>
      <c r="DE880" s="1207"/>
      <c r="DF880" s="1207"/>
      <c r="DG880" s="1207"/>
      <c r="DH880" s="1207"/>
      <c r="DS880" s="1207"/>
      <c r="DT880" s="1207"/>
      <c r="DU880" s="1207"/>
      <c r="DV880" s="1207"/>
      <c r="DY880" s="1207"/>
      <c r="DZ880" s="1207"/>
      <c r="EA880" s="1207"/>
      <c r="EB880" s="1207"/>
      <c r="EI880" s="1207"/>
      <c r="EJ880" s="1207"/>
      <c r="EK880" s="1207"/>
      <c r="EL880" s="1207"/>
      <c r="EM880" s="107"/>
      <c r="EN880" s="107"/>
      <c r="EO880" s="107"/>
      <c r="EP880" s="107"/>
      <c r="EQ880" s="368"/>
      <c r="ER880" s="368"/>
      <c r="ES880" s="368"/>
      <c r="ET880" s="368"/>
    </row>
    <row r="881" spans="1:150" x14ac:dyDescent="0.25">
      <c r="A881" s="1206"/>
      <c r="B881" s="1206"/>
      <c r="C881" s="1207"/>
      <c r="D881" s="1207"/>
      <c r="E881" s="1207"/>
      <c r="F881" s="1207"/>
      <c r="Q881" s="1207"/>
      <c r="R881" s="1207"/>
      <c r="S881" s="1207"/>
      <c r="T881" s="1207"/>
      <c r="U881" s="1207"/>
      <c r="V881" s="1207"/>
      <c r="W881" s="1207"/>
      <c r="X881" s="1207"/>
      <c r="Y881" s="1207"/>
      <c r="Z881" s="1207"/>
      <c r="AA881" s="1207"/>
      <c r="AB881" s="1207"/>
      <c r="AE881" s="1207"/>
      <c r="AF881" s="1207"/>
      <c r="AG881" s="1207"/>
      <c r="AH881" s="1207"/>
      <c r="AI881" s="1207"/>
      <c r="AJ881" s="1207"/>
      <c r="AK881" s="1207"/>
      <c r="AL881" s="1207"/>
      <c r="AU881" s="1207"/>
      <c r="AV881" s="1207"/>
      <c r="AW881" s="1207"/>
      <c r="AX881" s="1207"/>
      <c r="BA881" s="1207"/>
      <c r="BB881" s="1207"/>
      <c r="BC881" s="1207"/>
      <c r="BD881" s="1207"/>
      <c r="BG881" s="1207"/>
      <c r="BH881" s="1207"/>
      <c r="BI881" s="1207"/>
      <c r="BJ881" s="1207"/>
      <c r="BK881" s="1207"/>
      <c r="BL881" s="1207"/>
      <c r="BM881" s="1207"/>
      <c r="BN881" s="1207"/>
      <c r="BS881" s="1207"/>
      <c r="BT881" s="1207"/>
      <c r="BU881" s="1207"/>
      <c r="BV881" s="1207"/>
      <c r="BY881" s="1207"/>
      <c r="BZ881" s="1207"/>
      <c r="CA881" s="1207"/>
      <c r="CB881" s="1207"/>
      <c r="CG881" s="1207"/>
      <c r="CH881" s="1207"/>
      <c r="CI881" s="1207"/>
      <c r="CJ881" s="1207"/>
      <c r="CM881" s="1207"/>
      <c r="CN881" s="1207"/>
      <c r="CO881" s="1207"/>
      <c r="CP881" s="1207"/>
      <c r="CQ881" s="1207"/>
      <c r="CR881" s="1207"/>
      <c r="CS881" s="1207"/>
      <c r="CT881" s="1207"/>
      <c r="CU881" s="1207"/>
      <c r="CV881" s="1207"/>
      <c r="CW881" s="1207"/>
      <c r="CX881" s="1207"/>
      <c r="CY881" s="1207"/>
      <c r="CZ881" s="1207"/>
      <c r="DA881" s="1207"/>
      <c r="DB881" s="1207"/>
      <c r="DE881" s="1207"/>
      <c r="DF881" s="1207"/>
      <c r="DG881" s="1207"/>
      <c r="DH881" s="1207"/>
      <c r="DS881" s="1207"/>
      <c r="DT881" s="1207"/>
      <c r="DU881" s="1207"/>
      <c r="DV881" s="1207"/>
      <c r="DY881" s="1207"/>
      <c r="DZ881" s="1207"/>
      <c r="EA881" s="1207"/>
      <c r="EB881" s="1207"/>
      <c r="EI881" s="1207"/>
      <c r="EJ881" s="1207"/>
      <c r="EK881" s="1207"/>
      <c r="EL881" s="1207"/>
      <c r="EM881" s="107"/>
      <c r="EN881" s="107"/>
      <c r="EO881" s="107"/>
      <c r="EP881" s="107"/>
      <c r="EQ881" s="368"/>
      <c r="ER881" s="368"/>
      <c r="ES881" s="368"/>
      <c r="ET881" s="368"/>
    </row>
    <row r="882" spans="1:150" x14ac:dyDescent="0.25">
      <c r="A882" s="1206"/>
      <c r="B882" s="1206"/>
      <c r="C882" s="1207"/>
      <c r="D882" s="1207"/>
      <c r="E882" s="1207"/>
      <c r="F882" s="1207"/>
      <c r="Q882" s="1207"/>
      <c r="R882" s="1207"/>
      <c r="S882" s="1207"/>
      <c r="T882" s="1207"/>
      <c r="U882" s="1207"/>
      <c r="V882" s="1207"/>
      <c r="W882" s="1207"/>
      <c r="X882" s="1207"/>
      <c r="Y882" s="1207"/>
      <c r="Z882" s="1207"/>
      <c r="AA882" s="1207"/>
      <c r="AB882" s="1207"/>
      <c r="AE882" s="1207"/>
      <c r="AF882" s="1207"/>
      <c r="AG882" s="1207"/>
      <c r="AH882" s="1207"/>
      <c r="AI882" s="1207"/>
      <c r="AJ882" s="1207"/>
      <c r="AK882" s="1207"/>
      <c r="AL882" s="1207"/>
      <c r="AU882" s="1207"/>
      <c r="AV882" s="1207"/>
      <c r="AW882" s="1207"/>
      <c r="AX882" s="1207"/>
      <c r="BA882" s="1207"/>
      <c r="BB882" s="1207"/>
      <c r="BC882" s="1207"/>
      <c r="BD882" s="1207"/>
      <c r="BG882" s="1207"/>
      <c r="BH882" s="1207"/>
      <c r="BI882" s="1207"/>
      <c r="BJ882" s="1207"/>
      <c r="BK882" s="1207"/>
      <c r="BL882" s="1207"/>
      <c r="BM882" s="1207"/>
      <c r="BN882" s="1207"/>
      <c r="BS882" s="1207"/>
      <c r="BT882" s="1207"/>
      <c r="BU882" s="1207"/>
      <c r="BV882" s="1207"/>
      <c r="BY882" s="1207"/>
      <c r="BZ882" s="1207"/>
      <c r="CA882" s="1207"/>
      <c r="CB882" s="1207"/>
      <c r="CG882" s="1207"/>
      <c r="CH882" s="1207"/>
      <c r="CI882" s="1207"/>
      <c r="CJ882" s="1207"/>
      <c r="CM882" s="1207"/>
      <c r="CN882" s="1207"/>
      <c r="CO882" s="1207"/>
      <c r="CP882" s="1207"/>
      <c r="CQ882" s="1207"/>
      <c r="CR882" s="1207"/>
      <c r="CS882" s="1207"/>
      <c r="CT882" s="1207"/>
      <c r="CU882" s="1207"/>
      <c r="CV882" s="1207"/>
      <c r="CW882" s="1207"/>
      <c r="CX882" s="1207"/>
      <c r="CY882" s="1207"/>
      <c r="CZ882" s="1207"/>
      <c r="DA882" s="1207"/>
      <c r="DB882" s="1207"/>
      <c r="DE882" s="1207"/>
      <c r="DF882" s="1207"/>
      <c r="DG882" s="1207"/>
      <c r="DH882" s="1207"/>
      <c r="DS882" s="1207"/>
      <c r="DT882" s="1207"/>
      <c r="DU882" s="1207"/>
      <c r="DV882" s="1207"/>
      <c r="DY882" s="1207"/>
      <c r="DZ882" s="1207"/>
      <c r="EA882" s="1207"/>
      <c r="EB882" s="1207"/>
      <c r="EI882" s="1207"/>
      <c r="EJ882" s="1207"/>
      <c r="EK882" s="1207"/>
      <c r="EL882" s="1207"/>
      <c r="EM882" s="107"/>
      <c r="EN882" s="107"/>
      <c r="EO882" s="107"/>
      <c r="EP882" s="107"/>
      <c r="EQ882" s="368"/>
      <c r="ER882" s="368"/>
      <c r="ES882" s="368"/>
      <c r="ET882" s="368"/>
    </row>
    <row r="883" spans="1:150" x14ac:dyDescent="0.25">
      <c r="A883" s="1206"/>
      <c r="B883" s="1206"/>
      <c r="C883" s="1207"/>
      <c r="D883" s="1207"/>
      <c r="E883" s="1207"/>
      <c r="F883" s="1207"/>
      <c r="Q883" s="1207"/>
      <c r="R883" s="1207"/>
      <c r="S883" s="1207"/>
      <c r="T883" s="1207"/>
      <c r="U883" s="1207"/>
      <c r="V883" s="1207"/>
      <c r="W883" s="1207"/>
      <c r="X883" s="1207"/>
      <c r="Y883" s="1207"/>
      <c r="Z883" s="1207"/>
      <c r="AA883" s="1207"/>
      <c r="AB883" s="1207"/>
      <c r="AE883" s="1207"/>
      <c r="AF883" s="1207"/>
      <c r="AG883" s="1207"/>
      <c r="AH883" s="1207"/>
      <c r="AI883" s="1207"/>
      <c r="AJ883" s="1207"/>
      <c r="AK883" s="1207"/>
      <c r="AL883" s="1207"/>
      <c r="AU883" s="1207"/>
      <c r="AV883" s="1207"/>
      <c r="AW883" s="1207"/>
      <c r="AX883" s="1207"/>
      <c r="BA883" s="1207"/>
      <c r="BB883" s="1207"/>
      <c r="BC883" s="1207"/>
      <c r="BD883" s="1207"/>
      <c r="BG883" s="1207"/>
      <c r="BH883" s="1207"/>
      <c r="BI883" s="1207"/>
      <c r="BJ883" s="1207"/>
      <c r="BK883" s="1207"/>
      <c r="BL883" s="1207"/>
      <c r="BM883" s="1207"/>
      <c r="BN883" s="1207"/>
      <c r="BS883" s="1207"/>
      <c r="BT883" s="1207"/>
      <c r="BU883" s="1207"/>
      <c r="BV883" s="1207"/>
      <c r="BY883" s="1207"/>
      <c r="BZ883" s="1207"/>
      <c r="CA883" s="1207"/>
      <c r="CB883" s="1207"/>
      <c r="CG883" s="1207"/>
      <c r="CH883" s="1207"/>
      <c r="CI883" s="1207"/>
      <c r="CJ883" s="1207"/>
      <c r="CM883" s="1207"/>
      <c r="CN883" s="1207"/>
      <c r="CO883" s="1207"/>
      <c r="CP883" s="1207"/>
      <c r="CQ883" s="1207"/>
      <c r="CR883" s="1207"/>
      <c r="CS883" s="1207"/>
      <c r="CT883" s="1207"/>
      <c r="CU883" s="1207"/>
      <c r="CV883" s="1207"/>
      <c r="CW883" s="1207"/>
      <c r="CX883" s="1207"/>
      <c r="CY883" s="1207"/>
      <c r="CZ883" s="1207"/>
      <c r="DA883" s="1207"/>
      <c r="DB883" s="1207"/>
      <c r="DE883" s="1207"/>
      <c r="DF883" s="1207"/>
      <c r="DG883" s="1207"/>
      <c r="DH883" s="1207"/>
      <c r="DS883" s="1207"/>
      <c r="DT883" s="1207"/>
      <c r="DU883" s="1207"/>
      <c r="DV883" s="1207"/>
      <c r="DY883" s="1207"/>
      <c r="DZ883" s="1207"/>
      <c r="EA883" s="1207"/>
      <c r="EB883" s="1207"/>
      <c r="EI883" s="1207"/>
      <c r="EJ883" s="1207"/>
      <c r="EK883" s="1207"/>
      <c r="EL883" s="1207"/>
      <c r="EM883" s="107"/>
      <c r="EN883" s="107"/>
      <c r="EO883" s="107"/>
      <c r="EP883" s="107"/>
      <c r="EQ883" s="368"/>
      <c r="ER883" s="368"/>
      <c r="ES883" s="368"/>
      <c r="ET883" s="368"/>
    </row>
    <row r="884" spans="1:150" x14ac:dyDescent="0.25">
      <c r="A884" s="1206"/>
      <c r="B884" s="1206"/>
      <c r="C884" s="1207"/>
      <c r="D884" s="1207"/>
      <c r="E884" s="1207"/>
      <c r="F884" s="1207"/>
      <c r="Q884" s="1207"/>
      <c r="R884" s="1207"/>
      <c r="S884" s="1207"/>
      <c r="T884" s="1207"/>
      <c r="U884" s="1207"/>
      <c r="V884" s="1207"/>
      <c r="W884" s="1207"/>
      <c r="X884" s="1207"/>
      <c r="Y884" s="1207"/>
      <c r="Z884" s="1207"/>
      <c r="AA884" s="1207"/>
      <c r="AB884" s="1207"/>
      <c r="AE884" s="1207"/>
      <c r="AF884" s="1207"/>
      <c r="AG884" s="1207"/>
      <c r="AH884" s="1207"/>
      <c r="AI884" s="1207"/>
      <c r="AJ884" s="1207"/>
      <c r="AK884" s="1207"/>
      <c r="AL884" s="1207"/>
      <c r="AU884" s="1207"/>
      <c r="AV884" s="1207"/>
      <c r="AW884" s="1207"/>
      <c r="AX884" s="1207"/>
      <c r="BA884" s="1207"/>
      <c r="BB884" s="1207"/>
      <c r="BC884" s="1207"/>
      <c r="BD884" s="1207"/>
      <c r="BG884" s="1207"/>
      <c r="BH884" s="1207"/>
      <c r="BI884" s="1207"/>
      <c r="BJ884" s="1207"/>
      <c r="BK884" s="1207"/>
      <c r="BL884" s="1207"/>
      <c r="BM884" s="1207"/>
      <c r="BN884" s="1207"/>
      <c r="BS884" s="1207"/>
      <c r="BT884" s="1207"/>
      <c r="BU884" s="1207"/>
      <c r="BV884" s="1207"/>
      <c r="BY884" s="1207"/>
      <c r="BZ884" s="1207"/>
      <c r="CA884" s="1207"/>
      <c r="CB884" s="1207"/>
      <c r="CG884" s="1207"/>
      <c r="CH884" s="1207"/>
      <c r="CI884" s="1207"/>
      <c r="CJ884" s="1207"/>
      <c r="CM884" s="1207"/>
      <c r="CN884" s="1207"/>
      <c r="CO884" s="1207"/>
      <c r="CP884" s="1207"/>
      <c r="CQ884" s="1207"/>
      <c r="CR884" s="1207"/>
      <c r="CS884" s="1207"/>
      <c r="CT884" s="1207"/>
      <c r="CU884" s="1207"/>
      <c r="CV884" s="1207"/>
      <c r="CW884" s="1207"/>
      <c r="CX884" s="1207"/>
      <c r="CY884" s="1207"/>
      <c r="CZ884" s="1207"/>
      <c r="DA884" s="1207"/>
      <c r="DB884" s="1207"/>
      <c r="DE884" s="1207"/>
      <c r="DF884" s="1207"/>
      <c r="DG884" s="1207"/>
      <c r="DH884" s="1207"/>
      <c r="DS884" s="1207"/>
      <c r="DT884" s="1207"/>
      <c r="DU884" s="1207"/>
      <c r="DV884" s="1207"/>
      <c r="DY884" s="1207"/>
      <c r="DZ884" s="1207"/>
      <c r="EA884" s="1207"/>
      <c r="EB884" s="1207"/>
      <c r="EI884" s="1207"/>
      <c r="EJ884" s="1207"/>
      <c r="EK884" s="1207"/>
      <c r="EL884" s="1207"/>
      <c r="EM884" s="107"/>
      <c r="EN884" s="107"/>
      <c r="EO884" s="107"/>
      <c r="EP884" s="107"/>
      <c r="EQ884" s="368"/>
      <c r="ER884" s="368"/>
      <c r="ES884" s="368"/>
      <c r="ET884" s="368"/>
    </row>
    <row r="885" spans="1:150" x14ac:dyDescent="0.25">
      <c r="A885" s="1206"/>
      <c r="B885" s="1206"/>
      <c r="C885" s="1207"/>
      <c r="D885" s="1207"/>
      <c r="E885" s="1207"/>
      <c r="F885" s="1207"/>
      <c r="Q885" s="1207"/>
      <c r="R885" s="1207"/>
      <c r="S885" s="1207"/>
      <c r="T885" s="1207"/>
      <c r="U885" s="1207"/>
      <c r="V885" s="1207"/>
      <c r="W885" s="1207"/>
      <c r="X885" s="1207"/>
      <c r="Y885" s="1207"/>
      <c r="Z885" s="1207"/>
      <c r="AA885" s="1207"/>
      <c r="AB885" s="1207"/>
      <c r="AE885" s="1207"/>
      <c r="AF885" s="1207"/>
      <c r="AG885" s="1207"/>
      <c r="AH885" s="1207"/>
      <c r="AI885" s="1207"/>
      <c r="AJ885" s="1207"/>
      <c r="AK885" s="1207"/>
      <c r="AL885" s="1207"/>
      <c r="AU885" s="1207"/>
      <c r="AV885" s="1207"/>
      <c r="AW885" s="1207"/>
      <c r="AX885" s="1207"/>
      <c r="BA885" s="1207"/>
      <c r="BB885" s="1207"/>
      <c r="BC885" s="1207"/>
      <c r="BD885" s="1207"/>
      <c r="BG885" s="1207"/>
      <c r="BH885" s="1207"/>
      <c r="BI885" s="1207"/>
      <c r="BJ885" s="1207"/>
      <c r="BK885" s="1207"/>
      <c r="BL885" s="1207"/>
      <c r="BM885" s="1207"/>
      <c r="BN885" s="1207"/>
      <c r="BS885" s="1207"/>
      <c r="BT885" s="1207"/>
      <c r="BU885" s="1207"/>
      <c r="BV885" s="1207"/>
      <c r="BY885" s="1207"/>
      <c r="BZ885" s="1207"/>
      <c r="CA885" s="1207"/>
      <c r="CB885" s="1207"/>
      <c r="CG885" s="1207"/>
      <c r="CH885" s="1207"/>
      <c r="CI885" s="1207"/>
      <c r="CJ885" s="1207"/>
      <c r="CM885" s="1207"/>
      <c r="CN885" s="1207"/>
      <c r="CO885" s="1207"/>
      <c r="CP885" s="1207"/>
      <c r="CQ885" s="1207"/>
      <c r="CR885" s="1207"/>
      <c r="CS885" s="1207"/>
      <c r="CT885" s="1207"/>
      <c r="CU885" s="1207"/>
      <c r="CV885" s="1207"/>
      <c r="CW885" s="1207"/>
      <c r="CX885" s="1207"/>
      <c r="CY885" s="1207"/>
      <c r="CZ885" s="1207"/>
      <c r="DA885" s="1207"/>
      <c r="DB885" s="1207"/>
      <c r="DE885" s="1207"/>
      <c r="DF885" s="1207"/>
      <c r="DG885" s="1207"/>
      <c r="DH885" s="1207"/>
      <c r="DS885" s="1207"/>
      <c r="DT885" s="1207"/>
      <c r="DU885" s="1207"/>
      <c r="DV885" s="1207"/>
      <c r="DY885" s="1207"/>
      <c r="DZ885" s="1207"/>
      <c r="EA885" s="1207"/>
      <c r="EB885" s="1207"/>
      <c r="EI885" s="1207"/>
      <c r="EJ885" s="1207"/>
      <c r="EK885" s="1207"/>
      <c r="EL885" s="1207"/>
      <c r="EM885" s="107"/>
      <c r="EN885" s="107"/>
      <c r="EO885" s="107"/>
      <c r="EP885" s="107"/>
      <c r="EQ885" s="368"/>
      <c r="ER885" s="368"/>
      <c r="ES885" s="368"/>
      <c r="ET885" s="368"/>
    </row>
    <row r="886" spans="1:150" x14ac:dyDescent="0.25">
      <c r="A886" s="1206"/>
      <c r="B886" s="1206"/>
      <c r="C886" s="1207"/>
      <c r="D886" s="1207"/>
      <c r="E886" s="1207"/>
      <c r="F886" s="1207"/>
      <c r="Q886" s="1207"/>
      <c r="R886" s="1207"/>
      <c r="S886" s="1207"/>
      <c r="T886" s="1207"/>
      <c r="U886" s="1207"/>
      <c r="V886" s="1207"/>
      <c r="W886" s="1207"/>
      <c r="X886" s="1207"/>
      <c r="Y886" s="1207"/>
      <c r="Z886" s="1207"/>
      <c r="AA886" s="1207"/>
      <c r="AB886" s="1207"/>
      <c r="AE886" s="1207"/>
      <c r="AF886" s="1207"/>
      <c r="AG886" s="1207"/>
      <c r="AH886" s="1207"/>
      <c r="AI886" s="1207"/>
      <c r="AJ886" s="1207"/>
      <c r="AK886" s="1207"/>
      <c r="AL886" s="1207"/>
      <c r="AU886" s="1207"/>
      <c r="AV886" s="1207"/>
      <c r="AW886" s="1207"/>
      <c r="AX886" s="1207"/>
      <c r="BA886" s="1207"/>
      <c r="BB886" s="1207"/>
      <c r="BC886" s="1207"/>
      <c r="BD886" s="1207"/>
      <c r="BG886" s="1207"/>
      <c r="BH886" s="1207"/>
      <c r="BI886" s="1207"/>
      <c r="BJ886" s="1207"/>
      <c r="BK886" s="1207"/>
      <c r="BL886" s="1207"/>
      <c r="BM886" s="1207"/>
      <c r="BN886" s="1207"/>
      <c r="BS886" s="1207"/>
      <c r="BT886" s="1207"/>
      <c r="BU886" s="1207"/>
      <c r="BV886" s="1207"/>
      <c r="BY886" s="1207"/>
      <c r="BZ886" s="1207"/>
      <c r="CA886" s="1207"/>
      <c r="CB886" s="1207"/>
      <c r="CG886" s="1207"/>
      <c r="CH886" s="1207"/>
      <c r="CI886" s="1207"/>
      <c r="CJ886" s="1207"/>
      <c r="CM886" s="1207"/>
      <c r="CN886" s="1207"/>
      <c r="CO886" s="1207"/>
      <c r="CP886" s="1207"/>
      <c r="CQ886" s="1207"/>
      <c r="CR886" s="1207"/>
      <c r="CS886" s="1207"/>
      <c r="CT886" s="1207"/>
      <c r="CU886" s="1207"/>
      <c r="CV886" s="1207"/>
      <c r="CW886" s="1207"/>
      <c r="CX886" s="1207"/>
      <c r="CY886" s="1207"/>
      <c r="CZ886" s="1207"/>
      <c r="DA886" s="1207"/>
      <c r="DB886" s="1207"/>
      <c r="DE886" s="1207"/>
      <c r="DF886" s="1207"/>
      <c r="DG886" s="1207"/>
      <c r="DH886" s="1207"/>
      <c r="DS886" s="1207"/>
      <c r="DT886" s="1207"/>
      <c r="DU886" s="1207"/>
      <c r="DV886" s="1207"/>
      <c r="DY886" s="1207"/>
      <c r="DZ886" s="1207"/>
      <c r="EA886" s="1207"/>
      <c r="EB886" s="1207"/>
      <c r="EI886" s="1207"/>
      <c r="EJ886" s="1207"/>
      <c r="EK886" s="1207"/>
      <c r="EL886" s="1207"/>
      <c r="EM886" s="107"/>
      <c r="EN886" s="107"/>
      <c r="EO886" s="107"/>
      <c r="EP886" s="107"/>
      <c r="EQ886" s="368"/>
      <c r="ER886" s="368"/>
      <c r="ES886" s="368"/>
      <c r="ET886" s="368"/>
    </row>
    <row r="887" spans="1:150" x14ac:dyDescent="0.25">
      <c r="A887" s="1206"/>
      <c r="B887" s="1206"/>
      <c r="C887" s="1207"/>
      <c r="D887" s="1207"/>
      <c r="E887" s="1207"/>
      <c r="F887" s="1207"/>
      <c r="Q887" s="1207"/>
      <c r="R887" s="1207"/>
      <c r="S887" s="1207"/>
      <c r="T887" s="1207"/>
      <c r="U887" s="1207"/>
      <c r="V887" s="1207"/>
      <c r="W887" s="1207"/>
      <c r="X887" s="1207"/>
      <c r="Y887" s="1207"/>
      <c r="Z887" s="1207"/>
      <c r="AA887" s="1207"/>
      <c r="AB887" s="1207"/>
      <c r="AE887" s="1207"/>
      <c r="AF887" s="1207"/>
      <c r="AG887" s="1207"/>
      <c r="AH887" s="1207"/>
      <c r="AI887" s="1207"/>
      <c r="AJ887" s="1207"/>
      <c r="AK887" s="1207"/>
      <c r="AL887" s="1207"/>
      <c r="AU887" s="1207"/>
      <c r="AV887" s="1207"/>
      <c r="AW887" s="1207"/>
      <c r="AX887" s="1207"/>
      <c r="BA887" s="1207"/>
      <c r="BB887" s="1207"/>
      <c r="BC887" s="1207"/>
      <c r="BD887" s="1207"/>
      <c r="BG887" s="1207"/>
      <c r="BH887" s="1207"/>
      <c r="BI887" s="1207"/>
      <c r="BJ887" s="1207"/>
      <c r="BK887" s="1207"/>
      <c r="BL887" s="1207"/>
      <c r="BM887" s="1207"/>
      <c r="BN887" s="1207"/>
      <c r="BS887" s="1207"/>
      <c r="BT887" s="1207"/>
      <c r="BU887" s="1207"/>
      <c r="BV887" s="1207"/>
      <c r="BY887" s="1207"/>
      <c r="BZ887" s="1207"/>
      <c r="CA887" s="1207"/>
      <c r="CB887" s="1207"/>
      <c r="CG887" s="1207"/>
      <c r="CH887" s="1207"/>
      <c r="CI887" s="1207"/>
      <c r="CJ887" s="1207"/>
      <c r="CM887" s="1207"/>
      <c r="CN887" s="1207"/>
      <c r="CO887" s="1207"/>
      <c r="CP887" s="1207"/>
      <c r="CQ887" s="1207"/>
      <c r="CR887" s="1207"/>
      <c r="CS887" s="1207"/>
      <c r="CT887" s="1207"/>
      <c r="CU887" s="1207"/>
      <c r="CV887" s="1207"/>
      <c r="CW887" s="1207"/>
      <c r="CX887" s="1207"/>
      <c r="CY887" s="1207"/>
      <c r="CZ887" s="1207"/>
      <c r="DA887" s="1207"/>
      <c r="DB887" s="1207"/>
      <c r="DE887" s="1207"/>
      <c r="DF887" s="1207"/>
      <c r="DG887" s="1207"/>
      <c r="DH887" s="1207"/>
      <c r="DS887" s="1207"/>
      <c r="DT887" s="1207"/>
      <c r="DU887" s="1207"/>
      <c r="DV887" s="1207"/>
      <c r="DY887" s="1207"/>
      <c r="DZ887" s="1207"/>
      <c r="EA887" s="1207"/>
      <c r="EB887" s="1207"/>
      <c r="EI887" s="1207"/>
      <c r="EJ887" s="1207"/>
      <c r="EK887" s="1207"/>
      <c r="EL887" s="1207"/>
      <c r="EM887" s="107"/>
      <c r="EN887" s="107"/>
      <c r="EO887" s="107"/>
      <c r="EP887" s="107"/>
      <c r="EQ887" s="368"/>
      <c r="ER887" s="368"/>
      <c r="ES887" s="368"/>
      <c r="ET887" s="368"/>
    </row>
    <row r="888" spans="1:150" x14ac:dyDescent="0.25">
      <c r="A888" s="1206"/>
      <c r="B888" s="1206"/>
      <c r="C888" s="1207"/>
      <c r="D888" s="1207"/>
      <c r="E888" s="1207"/>
      <c r="F888" s="1207"/>
      <c r="Q888" s="1207"/>
      <c r="R888" s="1207"/>
      <c r="S888" s="1207"/>
      <c r="T888" s="1207"/>
      <c r="U888" s="1207"/>
      <c r="V888" s="1207"/>
      <c r="W888" s="1207"/>
      <c r="X888" s="1207"/>
      <c r="Y888" s="1207"/>
      <c r="Z888" s="1207"/>
      <c r="AA888" s="1207"/>
      <c r="AB888" s="1207"/>
      <c r="AE888" s="1207"/>
      <c r="AF888" s="1207"/>
      <c r="AG888" s="1207"/>
      <c r="AH888" s="1207"/>
      <c r="AI888" s="1207"/>
      <c r="AJ888" s="1207"/>
      <c r="AK888" s="1207"/>
      <c r="AL888" s="1207"/>
      <c r="AU888" s="1207"/>
      <c r="AV888" s="1207"/>
      <c r="AW888" s="1207"/>
      <c r="AX888" s="1207"/>
      <c r="BA888" s="1207"/>
      <c r="BB888" s="1207"/>
      <c r="BC888" s="1207"/>
      <c r="BD888" s="1207"/>
      <c r="BG888" s="1207"/>
      <c r="BH888" s="1207"/>
      <c r="BI888" s="1207"/>
      <c r="BJ888" s="1207"/>
      <c r="BK888" s="1207"/>
      <c r="BL888" s="1207"/>
      <c r="BM888" s="1207"/>
      <c r="BN888" s="1207"/>
      <c r="BS888" s="1207"/>
      <c r="BT888" s="1207"/>
      <c r="BU888" s="1207"/>
      <c r="BV888" s="1207"/>
      <c r="BY888" s="1207"/>
      <c r="BZ888" s="1207"/>
      <c r="CA888" s="1207"/>
      <c r="CB888" s="1207"/>
      <c r="CG888" s="1207"/>
      <c r="CH888" s="1207"/>
      <c r="CI888" s="1207"/>
      <c r="CJ888" s="1207"/>
      <c r="CM888" s="1207"/>
      <c r="CN888" s="1207"/>
      <c r="CO888" s="1207"/>
      <c r="CP888" s="1207"/>
      <c r="CQ888" s="1207"/>
      <c r="CR888" s="1207"/>
      <c r="CS888" s="1207"/>
      <c r="CT888" s="1207"/>
      <c r="CU888" s="1207"/>
      <c r="CV888" s="1207"/>
      <c r="CW888" s="1207"/>
      <c r="CX888" s="1207"/>
      <c r="CY888" s="1207"/>
      <c r="CZ888" s="1207"/>
      <c r="DA888" s="1207"/>
      <c r="DB888" s="1207"/>
      <c r="DE888" s="1207"/>
      <c r="DF888" s="1207"/>
      <c r="DG888" s="1207"/>
      <c r="DH888" s="1207"/>
      <c r="DS888" s="1207"/>
      <c r="DT888" s="1207"/>
      <c r="DU888" s="1207"/>
      <c r="DV888" s="1207"/>
      <c r="DY888" s="1207"/>
      <c r="DZ888" s="1207"/>
      <c r="EA888" s="1207"/>
      <c r="EB888" s="1207"/>
      <c r="EI888" s="1207"/>
      <c r="EJ888" s="1207"/>
      <c r="EK888" s="1207"/>
      <c r="EL888" s="1207"/>
      <c r="EM888" s="107"/>
      <c r="EN888" s="107"/>
      <c r="EO888" s="107"/>
      <c r="EP888" s="107"/>
      <c r="EQ888" s="368"/>
      <c r="ER888" s="368"/>
      <c r="ES888" s="368"/>
      <c r="ET888" s="368"/>
    </row>
    <row r="889" spans="1:150" x14ac:dyDescent="0.25">
      <c r="A889" s="1206"/>
      <c r="B889" s="1206"/>
      <c r="C889" s="1207"/>
      <c r="D889" s="1207"/>
      <c r="E889" s="1207"/>
      <c r="F889" s="1207"/>
      <c r="Q889" s="1207"/>
      <c r="R889" s="1207"/>
      <c r="S889" s="1207"/>
      <c r="T889" s="1207"/>
      <c r="U889" s="1207"/>
      <c r="V889" s="1207"/>
      <c r="W889" s="1207"/>
      <c r="X889" s="1207"/>
      <c r="Y889" s="1207"/>
      <c r="Z889" s="1207"/>
      <c r="AA889" s="1207"/>
      <c r="AB889" s="1207"/>
      <c r="AE889" s="1207"/>
      <c r="AF889" s="1207"/>
      <c r="AG889" s="1207"/>
      <c r="AH889" s="1207"/>
      <c r="AI889" s="1207"/>
      <c r="AJ889" s="1207"/>
      <c r="AK889" s="1207"/>
      <c r="AL889" s="1207"/>
      <c r="AU889" s="1207"/>
      <c r="AV889" s="1207"/>
      <c r="AW889" s="1207"/>
      <c r="AX889" s="1207"/>
      <c r="BA889" s="1207"/>
      <c r="BB889" s="1207"/>
      <c r="BC889" s="1207"/>
      <c r="BD889" s="1207"/>
      <c r="BG889" s="1207"/>
      <c r="BH889" s="1207"/>
      <c r="BI889" s="1207"/>
      <c r="BJ889" s="1207"/>
      <c r="BK889" s="1207"/>
      <c r="BL889" s="1207"/>
      <c r="BM889" s="1207"/>
      <c r="BN889" s="1207"/>
      <c r="BS889" s="1207"/>
      <c r="BT889" s="1207"/>
      <c r="BU889" s="1207"/>
      <c r="BV889" s="1207"/>
      <c r="BY889" s="1207"/>
      <c r="BZ889" s="1207"/>
      <c r="CA889" s="1207"/>
      <c r="CB889" s="1207"/>
      <c r="CG889" s="1207"/>
      <c r="CH889" s="1207"/>
      <c r="CI889" s="1207"/>
      <c r="CJ889" s="1207"/>
      <c r="CM889" s="1207"/>
      <c r="CN889" s="1207"/>
      <c r="CO889" s="1207"/>
      <c r="CP889" s="1207"/>
      <c r="CQ889" s="1207"/>
      <c r="CR889" s="1207"/>
      <c r="CS889" s="1207"/>
      <c r="CT889" s="1207"/>
      <c r="CU889" s="1207"/>
      <c r="CV889" s="1207"/>
      <c r="CW889" s="1207"/>
      <c r="CX889" s="1207"/>
      <c r="CY889" s="1207"/>
      <c r="CZ889" s="1207"/>
      <c r="DA889" s="1207"/>
      <c r="DB889" s="1207"/>
      <c r="DE889" s="1207"/>
      <c r="DF889" s="1207"/>
      <c r="DG889" s="1207"/>
      <c r="DH889" s="1207"/>
      <c r="DS889" s="1207"/>
      <c r="DT889" s="1207"/>
      <c r="DU889" s="1207"/>
      <c r="DV889" s="1207"/>
      <c r="DY889" s="1207"/>
      <c r="DZ889" s="1207"/>
      <c r="EA889" s="1207"/>
      <c r="EB889" s="1207"/>
      <c r="EI889" s="1207"/>
      <c r="EJ889" s="1207"/>
      <c r="EK889" s="1207"/>
      <c r="EL889" s="1207"/>
      <c r="EM889" s="107"/>
      <c r="EN889" s="107"/>
      <c r="EO889" s="107"/>
      <c r="EP889" s="107"/>
      <c r="EQ889" s="368"/>
      <c r="ER889" s="368"/>
      <c r="ES889" s="368"/>
      <c r="ET889" s="368"/>
    </row>
    <row r="890" spans="1:150" x14ac:dyDescent="0.25">
      <c r="A890" s="1206"/>
      <c r="B890" s="1206"/>
      <c r="C890" s="1207"/>
      <c r="D890" s="1207"/>
      <c r="E890" s="1207"/>
      <c r="F890" s="1207"/>
      <c r="Q890" s="1207"/>
      <c r="R890" s="1207"/>
      <c r="S890" s="1207"/>
      <c r="T890" s="1207"/>
      <c r="U890" s="1207"/>
      <c r="V890" s="1207"/>
      <c r="W890" s="1207"/>
      <c r="X890" s="1207"/>
      <c r="Y890" s="1207"/>
      <c r="Z890" s="1207"/>
      <c r="AA890" s="1207"/>
      <c r="AB890" s="1207"/>
      <c r="AE890" s="1207"/>
      <c r="AF890" s="1207"/>
      <c r="AG890" s="1207"/>
      <c r="AH890" s="1207"/>
      <c r="AI890" s="1207"/>
      <c r="AJ890" s="1207"/>
      <c r="AK890" s="1207"/>
      <c r="AL890" s="1207"/>
      <c r="AU890" s="1207"/>
      <c r="AV890" s="1207"/>
      <c r="AW890" s="1207"/>
      <c r="AX890" s="1207"/>
      <c r="BA890" s="1207"/>
      <c r="BB890" s="1207"/>
      <c r="BC890" s="1207"/>
      <c r="BD890" s="1207"/>
      <c r="BG890" s="1207"/>
      <c r="BH890" s="1207"/>
      <c r="BI890" s="1207"/>
      <c r="BJ890" s="1207"/>
      <c r="BK890" s="1207"/>
      <c r="BL890" s="1207"/>
      <c r="BM890" s="1207"/>
      <c r="BN890" s="1207"/>
      <c r="BS890" s="1207"/>
      <c r="BT890" s="1207"/>
      <c r="BU890" s="1207"/>
      <c r="BV890" s="1207"/>
      <c r="BY890" s="1207"/>
      <c r="BZ890" s="1207"/>
      <c r="CA890" s="1207"/>
      <c r="CB890" s="1207"/>
      <c r="CG890" s="1207"/>
      <c r="CH890" s="1207"/>
      <c r="CI890" s="1207"/>
      <c r="CJ890" s="1207"/>
      <c r="CM890" s="1207"/>
      <c r="CN890" s="1207"/>
      <c r="CO890" s="1207"/>
      <c r="CP890" s="1207"/>
      <c r="CQ890" s="1207"/>
      <c r="CR890" s="1207"/>
      <c r="CS890" s="1207"/>
      <c r="CT890" s="1207"/>
      <c r="CU890" s="1207"/>
      <c r="CV890" s="1207"/>
      <c r="CW890" s="1207"/>
      <c r="CX890" s="1207"/>
      <c r="CY890" s="1207"/>
      <c r="CZ890" s="1207"/>
      <c r="DA890" s="1207"/>
      <c r="DB890" s="1207"/>
      <c r="DE890" s="1207"/>
      <c r="DF890" s="1207"/>
      <c r="DG890" s="1207"/>
      <c r="DH890" s="1207"/>
      <c r="DS890" s="1207"/>
      <c r="DT890" s="1207"/>
      <c r="DU890" s="1207"/>
      <c r="DV890" s="1207"/>
      <c r="DY890" s="1207"/>
      <c r="DZ890" s="1207"/>
      <c r="EA890" s="1207"/>
      <c r="EB890" s="1207"/>
      <c r="EI890" s="1207"/>
      <c r="EJ890" s="1207"/>
      <c r="EK890" s="1207"/>
      <c r="EL890" s="1207"/>
      <c r="EM890" s="107"/>
      <c r="EN890" s="107"/>
      <c r="EO890" s="107"/>
      <c r="EP890" s="107"/>
      <c r="EQ890" s="368"/>
      <c r="ER890" s="368"/>
      <c r="ES890" s="368"/>
      <c r="ET890" s="368"/>
    </row>
    <row r="891" spans="1:150" x14ac:dyDescent="0.25">
      <c r="A891" s="1206"/>
      <c r="B891" s="1206"/>
      <c r="C891" s="1207"/>
      <c r="D891" s="1207"/>
      <c r="E891" s="1207"/>
      <c r="F891" s="1207"/>
      <c r="Q891" s="1207"/>
      <c r="R891" s="1207"/>
      <c r="S891" s="1207"/>
      <c r="T891" s="1207"/>
      <c r="U891" s="1207"/>
      <c r="V891" s="1207"/>
      <c r="W891" s="1207"/>
      <c r="X891" s="1207"/>
      <c r="Y891" s="1207"/>
      <c r="Z891" s="1207"/>
      <c r="AA891" s="1207"/>
      <c r="AB891" s="1207"/>
      <c r="AE891" s="1207"/>
      <c r="AF891" s="1207"/>
      <c r="AG891" s="1207"/>
      <c r="AH891" s="1207"/>
      <c r="AI891" s="1207"/>
      <c r="AJ891" s="1207"/>
      <c r="AK891" s="1207"/>
      <c r="AL891" s="1207"/>
      <c r="AU891" s="1207"/>
      <c r="AV891" s="1207"/>
      <c r="AW891" s="1207"/>
      <c r="AX891" s="1207"/>
      <c r="BA891" s="1207"/>
      <c r="BB891" s="1207"/>
      <c r="BC891" s="1207"/>
      <c r="BD891" s="1207"/>
      <c r="BG891" s="1207"/>
      <c r="BH891" s="1207"/>
      <c r="BI891" s="1207"/>
      <c r="BJ891" s="1207"/>
      <c r="BK891" s="1207"/>
      <c r="BL891" s="1207"/>
      <c r="BM891" s="1207"/>
      <c r="BN891" s="1207"/>
      <c r="BS891" s="1207"/>
      <c r="BT891" s="1207"/>
      <c r="BU891" s="1207"/>
      <c r="BV891" s="1207"/>
      <c r="BY891" s="1207"/>
      <c r="BZ891" s="1207"/>
      <c r="CA891" s="1207"/>
      <c r="CB891" s="1207"/>
      <c r="CG891" s="1207"/>
      <c r="CH891" s="1207"/>
      <c r="CI891" s="1207"/>
      <c r="CJ891" s="1207"/>
      <c r="CM891" s="1207"/>
      <c r="CN891" s="1207"/>
      <c r="CO891" s="1207"/>
      <c r="CP891" s="1207"/>
      <c r="CQ891" s="1207"/>
      <c r="CR891" s="1207"/>
      <c r="CS891" s="1207"/>
      <c r="CT891" s="1207"/>
      <c r="CU891" s="1207"/>
      <c r="CV891" s="1207"/>
      <c r="CW891" s="1207"/>
      <c r="CX891" s="1207"/>
      <c r="CY891" s="1207"/>
      <c r="CZ891" s="1207"/>
      <c r="DA891" s="1207"/>
      <c r="DB891" s="1207"/>
      <c r="DE891" s="1207"/>
      <c r="DF891" s="1207"/>
      <c r="DG891" s="1207"/>
      <c r="DH891" s="1207"/>
      <c r="DS891" s="1207"/>
      <c r="DT891" s="1207"/>
      <c r="DU891" s="1207"/>
      <c r="DV891" s="1207"/>
      <c r="DY891" s="1207"/>
      <c r="DZ891" s="1207"/>
      <c r="EA891" s="1207"/>
      <c r="EB891" s="1207"/>
      <c r="EI891" s="1207"/>
      <c r="EJ891" s="1207"/>
      <c r="EK891" s="1207"/>
      <c r="EL891" s="1207"/>
      <c r="EM891" s="107"/>
      <c r="EN891" s="107"/>
      <c r="EO891" s="107"/>
      <c r="EP891" s="107"/>
      <c r="EQ891" s="368"/>
      <c r="ER891" s="368"/>
      <c r="ES891" s="368"/>
      <c r="ET891" s="368"/>
    </row>
    <row r="892" spans="1:150" x14ac:dyDescent="0.25">
      <c r="A892" s="1206"/>
      <c r="B892" s="1206"/>
      <c r="C892" s="1207"/>
      <c r="D892" s="1207"/>
      <c r="E892" s="1207"/>
      <c r="F892" s="1207"/>
      <c r="Q892" s="1207"/>
      <c r="R892" s="1207"/>
      <c r="S892" s="1207"/>
      <c r="T892" s="1207"/>
      <c r="U892" s="1207"/>
      <c r="V892" s="1207"/>
      <c r="W892" s="1207"/>
      <c r="X892" s="1207"/>
      <c r="Y892" s="1207"/>
      <c r="Z892" s="1207"/>
      <c r="AA892" s="1207"/>
      <c r="AB892" s="1207"/>
      <c r="AE892" s="1207"/>
      <c r="AF892" s="1207"/>
      <c r="AG892" s="1207"/>
      <c r="AH892" s="1207"/>
      <c r="AI892" s="1207"/>
      <c r="AJ892" s="1207"/>
      <c r="AK892" s="1207"/>
      <c r="AL892" s="1207"/>
      <c r="AU892" s="1207"/>
      <c r="AV892" s="1207"/>
      <c r="AW892" s="1207"/>
      <c r="AX892" s="1207"/>
      <c r="BA892" s="1207"/>
      <c r="BB892" s="1207"/>
      <c r="BC892" s="1207"/>
      <c r="BD892" s="1207"/>
      <c r="BG892" s="1207"/>
      <c r="BH892" s="1207"/>
      <c r="BI892" s="1207"/>
      <c r="BJ892" s="1207"/>
      <c r="BK892" s="1207"/>
      <c r="BL892" s="1207"/>
      <c r="BM892" s="1207"/>
      <c r="BN892" s="1207"/>
      <c r="BS892" s="1207"/>
      <c r="BT892" s="1207"/>
      <c r="BU892" s="1207"/>
      <c r="BV892" s="1207"/>
      <c r="BY892" s="1207"/>
      <c r="BZ892" s="1207"/>
      <c r="CA892" s="1207"/>
      <c r="CB892" s="1207"/>
      <c r="CG892" s="1207"/>
      <c r="CH892" s="1207"/>
      <c r="CI892" s="1207"/>
      <c r="CJ892" s="1207"/>
      <c r="CM892" s="1207"/>
      <c r="CN892" s="1207"/>
      <c r="CO892" s="1207"/>
      <c r="CP892" s="1207"/>
      <c r="CQ892" s="1207"/>
      <c r="CR892" s="1207"/>
      <c r="CS892" s="1207"/>
      <c r="CT892" s="1207"/>
      <c r="CU892" s="1207"/>
      <c r="CV892" s="1207"/>
      <c r="CW892" s="1207"/>
      <c r="CX892" s="1207"/>
      <c r="CY892" s="1207"/>
      <c r="CZ892" s="1207"/>
      <c r="DA892" s="1207"/>
      <c r="DB892" s="1207"/>
      <c r="DE892" s="1207"/>
      <c r="DF892" s="1207"/>
      <c r="DG892" s="1207"/>
      <c r="DH892" s="1207"/>
      <c r="DS892" s="1207"/>
      <c r="DT892" s="1207"/>
      <c r="DU892" s="1207"/>
      <c r="DV892" s="1207"/>
      <c r="DY892" s="1207"/>
      <c r="DZ892" s="1207"/>
      <c r="EA892" s="1207"/>
      <c r="EB892" s="1207"/>
      <c r="EI892" s="1207"/>
      <c r="EJ892" s="1207"/>
      <c r="EK892" s="1207"/>
      <c r="EL892" s="1207"/>
      <c r="EM892" s="107"/>
      <c r="EN892" s="107"/>
      <c r="EO892" s="107"/>
      <c r="EP892" s="107"/>
      <c r="EQ892" s="368"/>
      <c r="ER892" s="368"/>
      <c r="ES892" s="368"/>
      <c r="ET892" s="368"/>
    </row>
    <row r="893" spans="1:150" x14ac:dyDescent="0.25">
      <c r="A893" s="1206"/>
      <c r="B893" s="1206"/>
      <c r="C893" s="1207"/>
      <c r="D893" s="1207"/>
      <c r="E893" s="1207"/>
      <c r="F893" s="1207"/>
      <c r="Q893" s="1207"/>
      <c r="R893" s="1207"/>
      <c r="S893" s="1207"/>
      <c r="T893" s="1207"/>
      <c r="U893" s="1207"/>
      <c r="V893" s="1207"/>
      <c r="W893" s="1207"/>
      <c r="X893" s="1207"/>
      <c r="Y893" s="1207"/>
      <c r="Z893" s="1207"/>
      <c r="AA893" s="1207"/>
      <c r="AB893" s="1207"/>
      <c r="AE893" s="1207"/>
      <c r="AF893" s="1207"/>
      <c r="AG893" s="1207"/>
      <c r="AH893" s="1207"/>
      <c r="AI893" s="1207"/>
      <c r="AJ893" s="1207"/>
      <c r="AK893" s="1207"/>
      <c r="AL893" s="1207"/>
      <c r="AU893" s="1207"/>
      <c r="AV893" s="1207"/>
      <c r="AW893" s="1207"/>
      <c r="AX893" s="1207"/>
      <c r="BA893" s="1207"/>
      <c r="BB893" s="1207"/>
      <c r="BC893" s="1207"/>
      <c r="BD893" s="1207"/>
      <c r="BG893" s="1207"/>
      <c r="BH893" s="1207"/>
      <c r="BI893" s="1207"/>
      <c r="BJ893" s="1207"/>
      <c r="BK893" s="1207"/>
      <c r="BL893" s="1207"/>
      <c r="BM893" s="1207"/>
      <c r="BN893" s="1207"/>
      <c r="BS893" s="1207"/>
      <c r="BT893" s="1207"/>
      <c r="BU893" s="1207"/>
      <c r="BV893" s="1207"/>
      <c r="BY893" s="1207"/>
      <c r="BZ893" s="1207"/>
      <c r="CA893" s="1207"/>
      <c r="CB893" s="1207"/>
      <c r="CG893" s="1207"/>
      <c r="CH893" s="1207"/>
      <c r="CI893" s="1207"/>
      <c r="CJ893" s="1207"/>
      <c r="CM893" s="1207"/>
      <c r="CN893" s="1207"/>
      <c r="CO893" s="1207"/>
      <c r="CP893" s="1207"/>
      <c r="CQ893" s="1207"/>
      <c r="CR893" s="1207"/>
      <c r="CS893" s="1207"/>
      <c r="CT893" s="1207"/>
      <c r="CU893" s="1207"/>
      <c r="CV893" s="1207"/>
      <c r="CW893" s="1207"/>
      <c r="CX893" s="1207"/>
      <c r="CY893" s="1207"/>
      <c r="CZ893" s="1207"/>
      <c r="DA893" s="1207"/>
      <c r="DB893" s="1207"/>
      <c r="DE893" s="1207"/>
      <c r="DF893" s="1207"/>
      <c r="DG893" s="1207"/>
      <c r="DH893" s="1207"/>
      <c r="DS893" s="1207"/>
      <c r="DT893" s="1207"/>
      <c r="DU893" s="1207"/>
      <c r="DV893" s="1207"/>
      <c r="DY893" s="1207"/>
      <c r="DZ893" s="1207"/>
      <c r="EA893" s="1207"/>
      <c r="EB893" s="1207"/>
      <c r="EI893" s="1207"/>
      <c r="EJ893" s="1207"/>
      <c r="EK893" s="1207"/>
      <c r="EL893" s="1207"/>
      <c r="EM893" s="107"/>
      <c r="EN893" s="107"/>
      <c r="EO893" s="107"/>
      <c r="EP893" s="107"/>
      <c r="EQ893" s="368"/>
      <c r="ER893" s="368"/>
      <c r="ES893" s="368"/>
      <c r="ET893" s="368"/>
    </row>
    <row r="894" spans="1:150" x14ac:dyDescent="0.25">
      <c r="A894" s="1206"/>
      <c r="B894" s="1206"/>
      <c r="C894" s="1207"/>
      <c r="D894" s="1207"/>
      <c r="E894" s="1207"/>
      <c r="F894" s="1207"/>
      <c r="Q894" s="1207"/>
      <c r="R894" s="1207"/>
      <c r="S894" s="1207"/>
      <c r="T894" s="1207"/>
      <c r="U894" s="1207"/>
      <c r="V894" s="1207"/>
      <c r="W894" s="1207"/>
      <c r="X894" s="1207"/>
      <c r="Y894" s="1207"/>
      <c r="Z894" s="1207"/>
      <c r="AA894" s="1207"/>
      <c r="AB894" s="1207"/>
      <c r="AE894" s="1207"/>
      <c r="AF894" s="1207"/>
      <c r="AG894" s="1207"/>
      <c r="AH894" s="1207"/>
      <c r="AI894" s="1207"/>
      <c r="AJ894" s="1207"/>
      <c r="AK894" s="1207"/>
      <c r="AL894" s="1207"/>
      <c r="AU894" s="1207"/>
      <c r="AV894" s="1207"/>
      <c r="AW894" s="1207"/>
      <c r="AX894" s="1207"/>
      <c r="BA894" s="1207"/>
      <c r="BB894" s="1207"/>
      <c r="BC894" s="1207"/>
      <c r="BD894" s="1207"/>
      <c r="BG894" s="1207"/>
      <c r="BH894" s="1207"/>
      <c r="BI894" s="1207"/>
      <c r="BJ894" s="1207"/>
      <c r="BK894" s="1207"/>
      <c r="BL894" s="1207"/>
      <c r="BM894" s="1207"/>
      <c r="BN894" s="1207"/>
      <c r="BS894" s="1207"/>
      <c r="BT894" s="1207"/>
      <c r="BU894" s="1207"/>
      <c r="BV894" s="1207"/>
      <c r="BY894" s="1207"/>
      <c r="BZ894" s="1207"/>
      <c r="CA894" s="1207"/>
      <c r="CB894" s="1207"/>
      <c r="CG894" s="1207"/>
      <c r="CH894" s="1207"/>
      <c r="CI894" s="1207"/>
      <c r="CJ894" s="1207"/>
      <c r="CM894" s="1207"/>
      <c r="CN894" s="1207"/>
      <c r="CO894" s="1207"/>
      <c r="CP894" s="1207"/>
      <c r="CQ894" s="1207"/>
      <c r="CR894" s="1207"/>
      <c r="CS894" s="1207"/>
      <c r="CT894" s="1207"/>
      <c r="CU894" s="1207"/>
      <c r="CV894" s="1207"/>
      <c r="CW894" s="1207"/>
      <c r="CX894" s="1207"/>
      <c r="CY894" s="1207"/>
      <c r="CZ894" s="1207"/>
      <c r="DA894" s="1207"/>
      <c r="DB894" s="1207"/>
      <c r="DE894" s="1207"/>
      <c r="DF894" s="1207"/>
      <c r="DG894" s="1207"/>
      <c r="DH894" s="1207"/>
      <c r="DS894" s="1207"/>
      <c r="DT894" s="1207"/>
      <c r="DU894" s="1207"/>
      <c r="DV894" s="1207"/>
      <c r="DY894" s="1207"/>
      <c r="DZ894" s="1207"/>
      <c r="EA894" s="1207"/>
      <c r="EB894" s="1207"/>
      <c r="EI894" s="1207"/>
      <c r="EJ894" s="1207"/>
      <c r="EK894" s="1207"/>
      <c r="EL894" s="1207"/>
      <c r="EM894" s="107"/>
      <c r="EN894" s="107"/>
      <c r="EO894" s="107"/>
      <c r="EP894" s="107"/>
      <c r="EQ894" s="368"/>
      <c r="ER894" s="368"/>
      <c r="ES894" s="368"/>
      <c r="ET894" s="368"/>
    </row>
    <row r="895" spans="1:150" x14ac:dyDescent="0.25">
      <c r="A895" s="1206"/>
      <c r="B895" s="1206"/>
      <c r="C895" s="1207"/>
      <c r="D895" s="1207"/>
      <c r="E895" s="1207"/>
      <c r="F895" s="1207"/>
      <c r="Q895" s="1207"/>
      <c r="R895" s="1207"/>
      <c r="S895" s="1207"/>
      <c r="T895" s="1207"/>
      <c r="U895" s="1207"/>
      <c r="V895" s="1207"/>
      <c r="W895" s="1207"/>
      <c r="X895" s="1207"/>
      <c r="Y895" s="1207"/>
      <c r="Z895" s="1207"/>
      <c r="AA895" s="1207"/>
      <c r="AB895" s="1207"/>
      <c r="AE895" s="1207"/>
      <c r="AF895" s="1207"/>
      <c r="AG895" s="1207"/>
      <c r="AH895" s="1207"/>
      <c r="AI895" s="1207"/>
      <c r="AJ895" s="1207"/>
      <c r="AK895" s="1207"/>
      <c r="AL895" s="1207"/>
      <c r="AU895" s="1207"/>
      <c r="AV895" s="1207"/>
      <c r="AW895" s="1207"/>
      <c r="AX895" s="1207"/>
      <c r="BA895" s="1207"/>
      <c r="BB895" s="1207"/>
      <c r="BC895" s="1207"/>
      <c r="BD895" s="1207"/>
      <c r="BG895" s="1207"/>
      <c r="BH895" s="1207"/>
      <c r="BI895" s="1207"/>
      <c r="BJ895" s="1207"/>
      <c r="BK895" s="1207"/>
      <c r="BL895" s="1207"/>
      <c r="BM895" s="1207"/>
      <c r="BN895" s="1207"/>
      <c r="BS895" s="1207"/>
      <c r="BT895" s="1207"/>
      <c r="BU895" s="1207"/>
      <c r="BV895" s="1207"/>
      <c r="BY895" s="1207"/>
      <c r="BZ895" s="1207"/>
      <c r="CA895" s="1207"/>
      <c r="CB895" s="1207"/>
      <c r="CG895" s="1207"/>
      <c r="CH895" s="1207"/>
      <c r="CI895" s="1207"/>
      <c r="CJ895" s="1207"/>
      <c r="CM895" s="1207"/>
      <c r="CN895" s="1207"/>
      <c r="CO895" s="1207"/>
      <c r="CP895" s="1207"/>
      <c r="CQ895" s="1207"/>
      <c r="CR895" s="1207"/>
      <c r="CS895" s="1207"/>
      <c r="CT895" s="1207"/>
      <c r="CU895" s="1207"/>
      <c r="CV895" s="1207"/>
      <c r="CW895" s="1207"/>
      <c r="CX895" s="1207"/>
      <c r="CY895" s="1207"/>
      <c r="CZ895" s="1207"/>
      <c r="DA895" s="1207"/>
      <c r="DB895" s="1207"/>
      <c r="DE895" s="1207"/>
      <c r="DF895" s="1207"/>
      <c r="DG895" s="1207"/>
      <c r="DH895" s="1207"/>
      <c r="DS895" s="1207"/>
      <c r="DT895" s="1207"/>
      <c r="DU895" s="1207"/>
      <c r="DV895" s="1207"/>
      <c r="DY895" s="1207"/>
      <c r="DZ895" s="1207"/>
      <c r="EA895" s="1207"/>
      <c r="EB895" s="1207"/>
      <c r="EI895" s="1207"/>
      <c r="EJ895" s="1207"/>
      <c r="EK895" s="1207"/>
      <c r="EL895" s="1207"/>
      <c r="EM895" s="107"/>
      <c r="EN895" s="107"/>
      <c r="EO895" s="107"/>
      <c r="EP895" s="107"/>
      <c r="EQ895" s="368"/>
      <c r="ER895" s="368"/>
      <c r="ES895" s="368"/>
      <c r="ET895" s="368"/>
    </row>
    <row r="896" spans="1:150" x14ac:dyDescent="0.25">
      <c r="A896" s="1206"/>
      <c r="B896" s="1206"/>
      <c r="C896" s="1207"/>
      <c r="D896" s="1207"/>
      <c r="E896" s="1207"/>
      <c r="F896" s="1207"/>
      <c r="Q896" s="1207"/>
      <c r="R896" s="1207"/>
      <c r="S896" s="1207"/>
      <c r="T896" s="1207"/>
      <c r="U896" s="1207"/>
      <c r="V896" s="1207"/>
      <c r="W896" s="1207"/>
      <c r="X896" s="1207"/>
      <c r="Y896" s="1207"/>
      <c r="Z896" s="1207"/>
      <c r="AA896" s="1207"/>
      <c r="AB896" s="1207"/>
      <c r="AE896" s="1207"/>
      <c r="AF896" s="1207"/>
      <c r="AG896" s="1207"/>
      <c r="AH896" s="1207"/>
      <c r="AI896" s="1207"/>
      <c r="AJ896" s="1207"/>
      <c r="AK896" s="1207"/>
      <c r="AL896" s="1207"/>
      <c r="AU896" s="1207"/>
      <c r="AV896" s="1207"/>
      <c r="AW896" s="1207"/>
      <c r="AX896" s="1207"/>
      <c r="BA896" s="1207"/>
      <c r="BB896" s="1207"/>
      <c r="BC896" s="1207"/>
      <c r="BD896" s="1207"/>
      <c r="BG896" s="1207"/>
      <c r="BH896" s="1207"/>
      <c r="BI896" s="1207"/>
      <c r="BJ896" s="1207"/>
      <c r="BK896" s="1207"/>
      <c r="BL896" s="1207"/>
      <c r="BM896" s="1207"/>
      <c r="BN896" s="1207"/>
      <c r="BS896" s="1207"/>
      <c r="BT896" s="1207"/>
      <c r="BU896" s="1207"/>
      <c r="BV896" s="1207"/>
      <c r="BY896" s="1207"/>
      <c r="BZ896" s="1207"/>
      <c r="CA896" s="1207"/>
      <c r="CB896" s="1207"/>
      <c r="CG896" s="1207"/>
      <c r="CH896" s="1207"/>
      <c r="CI896" s="1207"/>
      <c r="CJ896" s="1207"/>
      <c r="CM896" s="1207"/>
      <c r="CN896" s="1207"/>
      <c r="CO896" s="1207"/>
      <c r="CP896" s="1207"/>
      <c r="CQ896" s="1207"/>
      <c r="CR896" s="1207"/>
      <c r="CS896" s="1207"/>
      <c r="CT896" s="1207"/>
      <c r="CU896" s="1207"/>
      <c r="CV896" s="1207"/>
      <c r="CW896" s="1207"/>
      <c r="CX896" s="1207"/>
      <c r="CY896" s="1207"/>
      <c r="CZ896" s="1207"/>
      <c r="DA896" s="1207"/>
      <c r="DB896" s="1207"/>
      <c r="DE896" s="1207"/>
      <c r="DF896" s="1207"/>
      <c r="DG896" s="1207"/>
      <c r="DH896" s="1207"/>
      <c r="DS896" s="1207"/>
      <c r="DT896" s="1207"/>
      <c r="DU896" s="1207"/>
      <c r="DV896" s="1207"/>
      <c r="DY896" s="1207"/>
      <c r="DZ896" s="1207"/>
      <c r="EA896" s="1207"/>
      <c r="EB896" s="1207"/>
      <c r="EI896" s="1207"/>
      <c r="EJ896" s="1207"/>
      <c r="EK896" s="1207"/>
      <c r="EL896" s="1207"/>
      <c r="EM896" s="107"/>
      <c r="EN896" s="107"/>
      <c r="EO896" s="107"/>
      <c r="EP896" s="107"/>
      <c r="EQ896" s="368"/>
      <c r="ER896" s="368"/>
      <c r="ES896" s="368"/>
      <c r="ET896" s="368"/>
    </row>
    <row r="897" spans="1:150" x14ac:dyDescent="0.25">
      <c r="A897" s="1206"/>
      <c r="B897" s="1206"/>
      <c r="C897" s="1207"/>
      <c r="D897" s="1207"/>
      <c r="E897" s="1207"/>
      <c r="F897" s="1207"/>
      <c r="Q897" s="1207"/>
      <c r="R897" s="1207"/>
      <c r="S897" s="1207"/>
      <c r="T897" s="1207"/>
      <c r="U897" s="1207"/>
      <c r="V897" s="1207"/>
      <c r="W897" s="1207"/>
      <c r="X897" s="1207"/>
      <c r="Y897" s="1207"/>
      <c r="Z897" s="1207"/>
      <c r="AA897" s="1207"/>
      <c r="AB897" s="1207"/>
      <c r="AE897" s="1207"/>
      <c r="AF897" s="1207"/>
      <c r="AG897" s="1207"/>
      <c r="AH897" s="1207"/>
      <c r="AI897" s="1207"/>
      <c r="AJ897" s="1207"/>
      <c r="AK897" s="1207"/>
      <c r="AL897" s="1207"/>
      <c r="AU897" s="1207"/>
      <c r="AV897" s="1207"/>
      <c r="AW897" s="1207"/>
      <c r="AX897" s="1207"/>
      <c r="BA897" s="1207"/>
      <c r="BB897" s="1207"/>
      <c r="BC897" s="1207"/>
      <c r="BD897" s="1207"/>
      <c r="BG897" s="1207"/>
      <c r="BH897" s="1207"/>
      <c r="BI897" s="1207"/>
      <c r="BJ897" s="1207"/>
      <c r="BK897" s="1207"/>
      <c r="BL897" s="1207"/>
      <c r="BM897" s="1207"/>
      <c r="BN897" s="1207"/>
      <c r="BS897" s="1207"/>
      <c r="BT897" s="1207"/>
      <c r="BU897" s="1207"/>
      <c r="BV897" s="1207"/>
      <c r="BY897" s="1207"/>
      <c r="BZ897" s="1207"/>
      <c r="CA897" s="1207"/>
      <c r="CB897" s="1207"/>
      <c r="CG897" s="1207"/>
      <c r="CH897" s="1207"/>
      <c r="CI897" s="1207"/>
      <c r="CJ897" s="1207"/>
      <c r="CM897" s="1207"/>
      <c r="CN897" s="1207"/>
      <c r="CO897" s="1207"/>
      <c r="CP897" s="1207"/>
      <c r="CQ897" s="1207"/>
      <c r="CR897" s="1207"/>
      <c r="CS897" s="1207"/>
      <c r="CT897" s="1207"/>
      <c r="CU897" s="1207"/>
      <c r="CV897" s="1207"/>
      <c r="CW897" s="1207"/>
      <c r="CX897" s="1207"/>
      <c r="CY897" s="1207"/>
      <c r="CZ897" s="1207"/>
      <c r="DA897" s="1207"/>
      <c r="DB897" s="1207"/>
      <c r="DE897" s="1207"/>
      <c r="DF897" s="1207"/>
      <c r="DG897" s="1207"/>
      <c r="DH897" s="1207"/>
      <c r="DS897" s="1207"/>
      <c r="DT897" s="1207"/>
      <c r="DU897" s="1207"/>
      <c r="DV897" s="1207"/>
      <c r="DY897" s="1207"/>
      <c r="DZ897" s="1207"/>
      <c r="EA897" s="1207"/>
      <c r="EB897" s="1207"/>
      <c r="EI897" s="1207"/>
      <c r="EJ897" s="1207"/>
      <c r="EK897" s="1207"/>
      <c r="EL897" s="1207"/>
      <c r="EM897" s="107"/>
      <c r="EN897" s="107"/>
      <c r="EO897" s="107"/>
      <c r="EP897" s="107"/>
      <c r="EQ897" s="368"/>
      <c r="ER897" s="368"/>
      <c r="ES897" s="368"/>
      <c r="ET897" s="368"/>
    </row>
    <row r="898" spans="1:150" x14ac:dyDescent="0.25">
      <c r="A898" s="1206"/>
      <c r="B898" s="1206"/>
      <c r="C898" s="1207"/>
      <c r="D898" s="1207"/>
      <c r="E898" s="1207"/>
      <c r="F898" s="1207"/>
      <c r="Q898" s="1207"/>
      <c r="R898" s="1207"/>
      <c r="S898" s="1207"/>
      <c r="T898" s="1207"/>
      <c r="U898" s="1207"/>
      <c r="V898" s="1207"/>
      <c r="W898" s="1207"/>
      <c r="X898" s="1207"/>
      <c r="Y898" s="1207"/>
      <c r="Z898" s="1207"/>
      <c r="AA898" s="1207"/>
      <c r="AB898" s="1207"/>
      <c r="AE898" s="1207"/>
      <c r="AF898" s="1207"/>
      <c r="AG898" s="1207"/>
      <c r="AH898" s="1207"/>
      <c r="AI898" s="1207"/>
      <c r="AJ898" s="1207"/>
      <c r="AK898" s="1207"/>
      <c r="AL898" s="1207"/>
      <c r="AU898" s="1207"/>
      <c r="AV898" s="1207"/>
      <c r="AW898" s="1207"/>
      <c r="AX898" s="1207"/>
      <c r="BA898" s="1207"/>
      <c r="BB898" s="1207"/>
      <c r="BC898" s="1207"/>
      <c r="BD898" s="1207"/>
      <c r="BG898" s="1207"/>
      <c r="BH898" s="1207"/>
      <c r="BI898" s="1207"/>
      <c r="BJ898" s="1207"/>
      <c r="BK898" s="1207"/>
      <c r="BL898" s="1207"/>
      <c r="BM898" s="1207"/>
      <c r="BN898" s="1207"/>
      <c r="BS898" s="1207"/>
      <c r="BT898" s="1207"/>
      <c r="BU898" s="1207"/>
      <c r="BV898" s="1207"/>
      <c r="BY898" s="1207"/>
      <c r="BZ898" s="1207"/>
      <c r="CA898" s="1207"/>
      <c r="CB898" s="1207"/>
      <c r="CG898" s="1207"/>
      <c r="CH898" s="1207"/>
      <c r="CI898" s="1207"/>
      <c r="CJ898" s="1207"/>
      <c r="CM898" s="1207"/>
      <c r="CN898" s="1207"/>
      <c r="CO898" s="1207"/>
      <c r="CP898" s="1207"/>
      <c r="CQ898" s="1207"/>
      <c r="CR898" s="1207"/>
      <c r="CS898" s="1207"/>
      <c r="CT898" s="1207"/>
      <c r="CU898" s="1207"/>
      <c r="CV898" s="1207"/>
      <c r="CW898" s="1207"/>
      <c r="CX898" s="1207"/>
      <c r="CY898" s="1207"/>
      <c r="CZ898" s="1207"/>
      <c r="DA898" s="1207"/>
      <c r="DB898" s="1207"/>
      <c r="DE898" s="1207"/>
      <c r="DF898" s="1207"/>
      <c r="DG898" s="1207"/>
      <c r="DH898" s="1207"/>
      <c r="DS898" s="1207"/>
      <c r="DT898" s="1207"/>
      <c r="DU898" s="1207"/>
      <c r="DV898" s="1207"/>
      <c r="DY898" s="1207"/>
      <c r="DZ898" s="1207"/>
      <c r="EA898" s="1207"/>
      <c r="EB898" s="1207"/>
      <c r="EI898" s="1207"/>
      <c r="EJ898" s="1207"/>
      <c r="EK898" s="1207"/>
      <c r="EL898" s="1207"/>
      <c r="EM898" s="107"/>
      <c r="EN898" s="107"/>
      <c r="EO898" s="107"/>
      <c r="EP898" s="107"/>
      <c r="EQ898" s="368"/>
      <c r="ER898" s="368"/>
      <c r="ES898" s="368"/>
      <c r="ET898" s="368"/>
    </row>
    <row r="899" spans="1:150" x14ac:dyDescent="0.25">
      <c r="A899" s="1206"/>
      <c r="B899" s="1206"/>
      <c r="C899" s="1207"/>
      <c r="D899" s="1207"/>
      <c r="E899" s="1207"/>
      <c r="F899" s="1207"/>
      <c r="Q899" s="1207"/>
      <c r="R899" s="1207"/>
      <c r="S899" s="1207"/>
      <c r="T899" s="1207"/>
      <c r="U899" s="1207"/>
      <c r="V899" s="1207"/>
      <c r="W899" s="1207"/>
      <c r="X899" s="1207"/>
      <c r="Y899" s="1207"/>
      <c r="Z899" s="1207"/>
      <c r="AA899" s="1207"/>
      <c r="AB899" s="1207"/>
      <c r="AE899" s="1207"/>
      <c r="AF899" s="1207"/>
      <c r="AG899" s="1207"/>
      <c r="AH899" s="1207"/>
      <c r="AI899" s="1207"/>
      <c r="AJ899" s="1207"/>
      <c r="AK899" s="1207"/>
      <c r="AL899" s="1207"/>
      <c r="AU899" s="1207"/>
      <c r="AV899" s="1207"/>
      <c r="AW899" s="1207"/>
      <c r="AX899" s="1207"/>
      <c r="BA899" s="1207"/>
      <c r="BB899" s="1207"/>
      <c r="BC899" s="1207"/>
      <c r="BD899" s="1207"/>
      <c r="BG899" s="1207"/>
      <c r="BH899" s="1207"/>
      <c r="BI899" s="1207"/>
      <c r="BJ899" s="1207"/>
      <c r="BK899" s="1207"/>
      <c r="BL899" s="1207"/>
      <c r="BM899" s="1207"/>
      <c r="BN899" s="1207"/>
      <c r="BS899" s="1207"/>
      <c r="BT899" s="1207"/>
      <c r="BU899" s="1207"/>
      <c r="BV899" s="1207"/>
      <c r="BY899" s="1207"/>
      <c r="BZ899" s="1207"/>
      <c r="CA899" s="1207"/>
      <c r="CB899" s="1207"/>
      <c r="CG899" s="1207"/>
      <c r="CH899" s="1207"/>
      <c r="CI899" s="1207"/>
      <c r="CJ899" s="1207"/>
      <c r="CM899" s="1207"/>
      <c r="CN899" s="1207"/>
      <c r="CO899" s="1207"/>
      <c r="CP899" s="1207"/>
      <c r="CQ899" s="1207"/>
      <c r="CR899" s="1207"/>
      <c r="CS899" s="1207"/>
      <c r="CT899" s="1207"/>
      <c r="CU899" s="1207"/>
      <c r="CV899" s="1207"/>
      <c r="CW899" s="1207"/>
      <c r="CX899" s="1207"/>
      <c r="CY899" s="1207"/>
      <c r="CZ899" s="1207"/>
      <c r="DA899" s="1207"/>
      <c r="DB899" s="1207"/>
      <c r="DE899" s="1207"/>
      <c r="DF899" s="1207"/>
      <c r="DG899" s="1207"/>
      <c r="DH899" s="1207"/>
      <c r="DS899" s="1207"/>
      <c r="DT899" s="1207"/>
      <c r="DU899" s="1207"/>
      <c r="DV899" s="1207"/>
      <c r="DY899" s="1207"/>
      <c r="DZ899" s="1207"/>
      <c r="EA899" s="1207"/>
      <c r="EB899" s="1207"/>
      <c r="EI899" s="1207"/>
      <c r="EJ899" s="1207"/>
      <c r="EK899" s="1207"/>
      <c r="EL899" s="1207"/>
      <c r="EM899" s="107"/>
      <c r="EN899" s="107"/>
      <c r="EO899" s="107"/>
      <c r="EP899" s="107"/>
      <c r="EQ899" s="368"/>
      <c r="ER899" s="368"/>
      <c r="ES899" s="368"/>
      <c r="ET899" s="368"/>
    </row>
    <row r="900" spans="1:150" x14ac:dyDescent="0.25">
      <c r="A900" s="1206"/>
      <c r="B900" s="1206"/>
      <c r="C900" s="1207"/>
      <c r="D900" s="1207"/>
      <c r="E900" s="1207"/>
      <c r="F900" s="1207"/>
      <c r="Q900" s="1207"/>
      <c r="R900" s="1207"/>
      <c r="S900" s="1207"/>
      <c r="T900" s="1207"/>
      <c r="U900" s="1207"/>
      <c r="V900" s="1207"/>
      <c r="W900" s="1207"/>
      <c r="X900" s="1207"/>
      <c r="Y900" s="1207"/>
      <c r="Z900" s="1207"/>
      <c r="AA900" s="1207"/>
      <c r="AB900" s="1207"/>
      <c r="AE900" s="1207"/>
      <c r="AF900" s="1207"/>
      <c r="AG900" s="1207"/>
      <c r="AH900" s="1207"/>
      <c r="AI900" s="1207"/>
      <c r="AJ900" s="1207"/>
      <c r="AK900" s="1207"/>
      <c r="AL900" s="1207"/>
      <c r="AU900" s="1207"/>
      <c r="AV900" s="1207"/>
      <c r="AW900" s="1207"/>
      <c r="AX900" s="1207"/>
      <c r="BA900" s="1207"/>
      <c r="BB900" s="1207"/>
      <c r="BC900" s="1207"/>
      <c r="BD900" s="1207"/>
      <c r="BG900" s="1207"/>
      <c r="BH900" s="1207"/>
      <c r="BI900" s="1207"/>
      <c r="BJ900" s="1207"/>
      <c r="BK900" s="1207"/>
      <c r="BL900" s="1207"/>
      <c r="BM900" s="1207"/>
      <c r="BN900" s="1207"/>
      <c r="BS900" s="1207"/>
      <c r="BT900" s="1207"/>
      <c r="BU900" s="1207"/>
      <c r="BV900" s="1207"/>
      <c r="BY900" s="1207"/>
      <c r="BZ900" s="1207"/>
      <c r="CA900" s="1207"/>
      <c r="CB900" s="1207"/>
      <c r="CG900" s="1207"/>
      <c r="CH900" s="1207"/>
      <c r="CI900" s="1207"/>
      <c r="CJ900" s="1207"/>
      <c r="CM900" s="1207"/>
      <c r="CN900" s="1207"/>
      <c r="CO900" s="1207"/>
      <c r="CP900" s="1207"/>
      <c r="CQ900" s="1207"/>
      <c r="CR900" s="1207"/>
      <c r="CS900" s="1207"/>
      <c r="CT900" s="1207"/>
      <c r="CU900" s="1207"/>
      <c r="CV900" s="1207"/>
      <c r="CW900" s="1207"/>
      <c r="CX900" s="1207"/>
      <c r="CY900" s="1207"/>
      <c r="CZ900" s="1207"/>
      <c r="DA900" s="1207"/>
      <c r="DB900" s="1207"/>
      <c r="DE900" s="1207"/>
      <c r="DF900" s="1207"/>
      <c r="DG900" s="1207"/>
      <c r="DH900" s="1207"/>
      <c r="DS900" s="1207"/>
      <c r="DT900" s="1207"/>
      <c r="DU900" s="1207"/>
      <c r="DV900" s="1207"/>
      <c r="DY900" s="1207"/>
      <c r="DZ900" s="1207"/>
      <c r="EA900" s="1207"/>
      <c r="EB900" s="1207"/>
      <c r="EI900" s="1207"/>
      <c r="EJ900" s="1207"/>
      <c r="EK900" s="1207"/>
      <c r="EL900" s="1207"/>
      <c r="EM900" s="107"/>
      <c r="EN900" s="107"/>
      <c r="EO900" s="107"/>
      <c r="EP900" s="107"/>
      <c r="EQ900" s="368"/>
      <c r="ER900" s="368"/>
      <c r="ES900" s="368"/>
      <c r="ET900" s="368"/>
    </row>
    <row r="901" spans="1:150" x14ac:dyDescent="0.25">
      <c r="A901" s="1206"/>
      <c r="B901" s="1206"/>
      <c r="C901" s="1207"/>
      <c r="D901" s="1207"/>
      <c r="E901" s="1207"/>
      <c r="F901" s="1207"/>
      <c r="Q901" s="1207"/>
      <c r="R901" s="1207"/>
      <c r="S901" s="1207"/>
      <c r="T901" s="1207"/>
      <c r="U901" s="1207"/>
      <c r="V901" s="1207"/>
      <c r="W901" s="1207"/>
      <c r="X901" s="1207"/>
      <c r="Y901" s="1207"/>
      <c r="Z901" s="1207"/>
      <c r="AA901" s="1207"/>
      <c r="AB901" s="1207"/>
      <c r="AE901" s="1207"/>
      <c r="AF901" s="1207"/>
      <c r="AG901" s="1207"/>
      <c r="AH901" s="1207"/>
      <c r="AI901" s="1207"/>
      <c r="AJ901" s="1207"/>
      <c r="AK901" s="1207"/>
      <c r="AL901" s="1207"/>
      <c r="AU901" s="1207"/>
      <c r="AV901" s="1207"/>
      <c r="AW901" s="1207"/>
      <c r="AX901" s="1207"/>
      <c r="BA901" s="1207"/>
      <c r="BB901" s="1207"/>
      <c r="BC901" s="1207"/>
      <c r="BD901" s="1207"/>
      <c r="BG901" s="1207"/>
      <c r="BH901" s="1207"/>
      <c r="BI901" s="1207"/>
      <c r="BJ901" s="1207"/>
      <c r="BK901" s="1207"/>
      <c r="BL901" s="1207"/>
      <c r="BM901" s="1207"/>
      <c r="BN901" s="1207"/>
      <c r="BS901" s="1207"/>
      <c r="BT901" s="1207"/>
      <c r="BU901" s="1207"/>
      <c r="BV901" s="1207"/>
      <c r="BY901" s="1207"/>
      <c r="BZ901" s="1207"/>
      <c r="CA901" s="1207"/>
      <c r="CB901" s="1207"/>
      <c r="CG901" s="1207"/>
      <c r="CH901" s="1207"/>
      <c r="CI901" s="1207"/>
      <c r="CJ901" s="1207"/>
      <c r="CM901" s="1207"/>
      <c r="CN901" s="1207"/>
      <c r="CO901" s="1207"/>
      <c r="CP901" s="1207"/>
      <c r="CQ901" s="1207"/>
      <c r="CR901" s="1207"/>
      <c r="CS901" s="1207"/>
      <c r="CT901" s="1207"/>
      <c r="CU901" s="1207"/>
      <c r="CV901" s="1207"/>
      <c r="CW901" s="1207"/>
      <c r="CX901" s="1207"/>
      <c r="CY901" s="1207"/>
      <c r="CZ901" s="1207"/>
      <c r="DA901" s="1207"/>
      <c r="DB901" s="1207"/>
      <c r="DE901" s="1207"/>
      <c r="DF901" s="1207"/>
      <c r="DG901" s="1207"/>
      <c r="DH901" s="1207"/>
      <c r="DS901" s="1207"/>
      <c r="DT901" s="1207"/>
      <c r="DU901" s="1207"/>
      <c r="DV901" s="1207"/>
      <c r="DY901" s="1207"/>
      <c r="DZ901" s="1207"/>
      <c r="EA901" s="1207"/>
      <c r="EB901" s="1207"/>
      <c r="EI901" s="1207"/>
      <c r="EJ901" s="1207"/>
      <c r="EK901" s="1207"/>
      <c r="EL901" s="1207"/>
      <c r="EM901" s="107"/>
      <c r="EN901" s="107"/>
      <c r="EO901" s="107"/>
      <c r="EP901" s="107"/>
      <c r="EQ901" s="368"/>
      <c r="ER901" s="368"/>
      <c r="ES901" s="368"/>
      <c r="ET901" s="368"/>
    </row>
    <row r="902" spans="1:150" x14ac:dyDescent="0.25">
      <c r="A902" s="1206"/>
      <c r="B902" s="1206"/>
      <c r="C902" s="1207"/>
      <c r="D902" s="1207"/>
      <c r="E902" s="1207"/>
      <c r="F902" s="1207"/>
      <c r="Q902" s="1207"/>
      <c r="R902" s="1207"/>
      <c r="S902" s="1207"/>
      <c r="T902" s="1207"/>
      <c r="U902" s="1207"/>
      <c r="V902" s="1207"/>
      <c r="W902" s="1207"/>
      <c r="X902" s="1207"/>
      <c r="Y902" s="1207"/>
      <c r="Z902" s="1207"/>
      <c r="AA902" s="1207"/>
      <c r="AB902" s="1207"/>
      <c r="AE902" s="1207"/>
      <c r="AF902" s="1207"/>
      <c r="AG902" s="1207"/>
      <c r="AH902" s="1207"/>
      <c r="AI902" s="1207"/>
      <c r="AJ902" s="1207"/>
      <c r="AK902" s="1207"/>
      <c r="AL902" s="1207"/>
      <c r="AU902" s="1207"/>
      <c r="AV902" s="1207"/>
      <c r="AW902" s="1207"/>
      <c r="AX902" s="1207"/>
      <c r="BA902" s="1207"/>
      <c r="BB902" s="1207"/>
      <c r="BC902" s="1207"/>
      <c r="BD902" s="1207"/>
      <c r="BG902" s="1207"/>
      <c r="BH902" s="1207"/>
      <c r="BI902" s="1207"/>
      <c r="BJ902" s="1207"/>
      <c r="BK902" s="1207"/>
      <c r="BL902" s="1207"/>
      <c r="BM902" s="1207"/>
      <c r="BN902" s="1207"/>
      <c r="BS902" s="1207"/>
      <c r="BT902" s="1207"/>
      <c r="BU902" s="1207"/>
      <c r="BV902" s="1207"/>
      <c r="BY902" s="1207"/>
      <c r="BZ902" s="1207"/>
      <c r="CA902" s="1207"/>
      <c r="CB902" s="1207"/>
      <c r="CG902" s="1207"/>
      <c r="CH902" s="1207"/>
      <c r="CI902" s="1207"/>
      <c r="CJ902" s="1207"/>
      <c r="CM902" s="1207"/>
      <c r="CN902" s="1207"/>
      <c r="CO902" s="1207"/>
      <c r="CP902" s="1207"/>
      <c r="CQ902" s="1207"/>
      <c r="CR902" s="1207"/>
      <c r="CS902" s="1207"/>
      <c r="CT902" s="1207"/>
      <c r="CU902" s="1207"/>
      <c r="CV902" s="1207"/>
      <c r="CW902" s="1207"/>
      <c r="CX902" s="1207"/>
      <c r="CY902" s="1207"/>
      <c r="CZ902" s="1207"/>
      <c r="DA902" s="1207"/>
      <c r="DB902" s="1207"/>
      <c r="DE902" s="1207"/>
      <c r="DF902" s="1207"/>
      <c r="DG902" s="1207"/>
      <c r="DH902" s="1207"/>
      <c r="DS902" s="1207"/>
      <c r="DT902" s="1207"/>
      <c r="DU902" s="1207"/>
      <c r="DV902" s="1207"/>
      <c r="DY902" s="1207"/>
      <c r="DZ902" s="1207"/>
      <c r="EA902" s="1207"/>
      <c r="EB902" s="1207"/>
      <c r="EI902" s="1207"/>
      <c r="EJ902" s="1207"/>
      <c r="EK902" s="1207"/>
      <c r="EL902" s="1207"/>
      <c r="EM902" s="107"/>
      <c r="EN902" s="107"/>
      <c r="EO902" s="107"/>
      <c r="EP902" s="107"/>
      <c r="EQ902" s="368"/>
      <c r="ER902" s="368"/>
      <c r="ES902" s="368"/>
      <c r="ET902" s="368"/>
    </row>
    <row r="903" spans="1:150" x14ac:dyDescent="0.25">
      <c r="A903" s="1206"/>
      <c r="B903" s="1206"/>
      <c r="C903" s="1207"/>
      <c r="D903" s="1207"/>
      <c r="E903" s="1207"/>
      <c r="F903" s="1207"/>
      <c r="Q903" s="1207"/>
      <c r="R903" s="1207"/>
      <c r="S903" s="1207"/>
      <c r="T903" s="1207"/>
      <c r="U903" s="1207"/>
      <c r="V903" s="1207"/>
      <c r="W903" s="1207"/>
      <c r="X903" s="1207"/>
      <c r="Y903" s="1207"/>
      <c r="Z903" s="1207"/>
      <c r="AA903" s="1207"/>
      <c r="AB903" s="1207"/>
      <c r="AE903" s="1207"/>
      <c r="AF903" s="1207"/>
      <c r="AG903" s="1207"/>
      <c r="AH903" s="1207"/>
      <c r="AI903" s="1207"/>
      <c r="AJ903" s="1207"/>
      <c r="AK903" s="1207"/>
      <c r="AL903" s="1207"/>
      <c r="AU903" s="1207"/>
      <c r="AV903" s="1207"/>
      <c r="AW903" s="1207"/>
      <c r="AX903" s="1207"/>
      <c r="BA903" s="1207"/>
      <c r="BB903" s="1207"/>
      <c r="BC903" s="1207"/>
      <c r="BD903" s="1207"/>
      <c r="BG903" s="1207"/>
      <c r="BH903" s="1207"/>
      <c r="BI903" s="1207"/>
      <c r="BJ903" s="1207"/>
      <c r="BK903" s="1207"/>
      <c r="BL903" s="1207"/>
      <c r="BM903" s="1207"/>
      <c r="BN903" s="1207"/>
      <c r="BS903" s="1207"/>
      <c r="BT903" s="1207"/>
      <c r="BU903" s="1207"/>
      <c r="BV903" s="1207"/>
      <c r="BY903" s="1207"/>
      <c r="BZ903" s="1207"/>
      <c r="CA903" s="1207"/>
      <c r="CB903" s="1207"/>
      <c r="CG903" s="1207"/>
      <c r="CH903" s="1207"/>
      <c r="CI903" s="1207"/>
      <c r="CJ903" s="1207"/>
      <c r="CM903" s="1207"/>
      <c r="CN903" s="1207"/>
      <c r="CO903" s="1207"/>
      <c r="CP903" s="1207"/>
      <c r="CQ903" s="1207"/>
      <c r="CR903" s="1207"/>
      <c r="CS903" s="1207"/>
      <c r="CT903" s="1207"/>
      <c r="CU903" s="1207"/>
      <c r="CV903" s="1207"/>
      <c r="CW903" s="1207"/>
      <c r="CX903" s="1207"/>
      <c r="CY903" s="1207"/>
      <c r="CZ903" s="1207"/>
      <c r="DA903" s="1207"/>
      <c r="DB903" s="1207"/>
      <c r="DE903" s="1207"/>
      <c r="DF903" s="1207"/>
      <c r="DG903" s="1207"/>
      <c r="DH903" s="1207"/>
      <c r="DS903" s="1207"/>
      <c r="DT903" s="1207"/>
      <c r="DU903" s="1207"/>
      <c r="DV903" s="1207"/>
      <c r="DY903" s="1207"/>
      <c r="DZ903" s="1207"/>
      <c r="EA903" s="1207"/>
      <c r="EB903" s="1207"/>
      <c r="EI903" s="1207"/>
      <c r="EJ903" s="1207"/>
      <c r="EK903" s="1207"/>
      <c r="EL903" s="1207"/>
      <c r="EM903" s="107"/>
      <c r="EN903" s="107"/>
      <c r="EO903" s="107"/>
      <c r="EP903" s="107"/>
      <c r="EQ903" s="368"/>
      <c r="ER903" s="368"/>
      <c r="ES903" s="368"/>
      <c r="ET903" s="368"/>
    </row>
    <row r="904" spans="1:150" x14ac:dyDescent="0.25">
      <c r="A904" s="1206"/>
      <c r="B904" s="1206"/>
      <c r="C904" s="1207"/>
      <c r="D904" s="1207"/>
      <c r="E904" s="1207"/>
      <c r="F904" s="1207"/>
      <c r="Q904" s="1207"/>
      <c r="R904" s="1207"/>
      <c r="S904" s="1207"/>
      <c r="T904" s="1207"/>
      <c r="U904" s="1207"/>
      <c r="V904" s="1207"/>
      <c r="W904" s="1207"/>
      <c r="X904" s="1207"/>
      <c r="Y904" s="1207"/>
      <c r="Z904" s="1207"/>
      <c r="AA904" s="1207"/>
      <c r="AB904" s="1207"/>
      <c r="AE904" s="1207"/>
      <c r="AF904" s="1207"/>
      <c r="AG904" s="1207"/>
      <c r="AH904" s="1207"/>
      <c r="AI904" s="1207"/>
      <c r="AJ904" s="1207"/>
      <c r="AK904" s="1207"/>
      <c r="AL904" s="1207"/>
      <c r="AU904" s="1207"/>
      <c r="AV904" s="1207"/>
      <c r="AW904" s="1207"/>
      <c r="AX904" s="1207"/>
      <c r="BA904" s="1207"/>
      <c r="BB904" s="1207"/>
      <c r="BC904" s="1207"/>
      <c r="BD904" s="1207"/>
      <c r="BG904" s="1207"/>
      <c r="BH904" s="1207"/>
      <c r="BI904" s="1207"/>
      <c r="BJ904" s="1207"/>
      <c r="BK904" s="1207"/>
      <c r="BL904" s="1207"/>
      <c r="BM904" s="1207"/>
      <c r="BN904" s="1207"/>
      <c r="BS904" s="1207"/>
      <c r="BT904" s="1207"/>
      <c r="BU904" s="1207"/>
      <c r="BV904" s="1207"/>
      <c r="BY904" s="1207"/>
      <c r="BZ904" s="1207"/>
      <c r="CA904" s="1207"/>
      <c r="CB904" s="1207"/>
      <c r="CG904" s="1207"/>
      <c r="CH904" s="1207"/>
      <c r="CI904" s="1207"/>
      <c r="CJ904" s="1207"/>
      <c r="CM904" s="1207"/>
      <c r="CN904" s="1207"/>
      <c r="CO904" s="1207"/>
      <c r="CP904" s="1207"/>
      <c r="CQ904" s="1207"/>
      <c r="CR904" s="1207"/>
      <c r="CS904" s="1207"/>
      <c r="CT904" s="1207"/>
      <c r="CU904" s="1207"/>
      <c r="CV904" s="1207"/>
      <c r="CW904" s="1207"/>
      <c r="CX904" s="1207"/>
      <c r="CY904" s="1207"/>
      <c r="CZ904" s="1207"/>
      <c r="DA904" s="1207"/>
      <c r="DB904" s="1207"/>
      <c r="DE904" s="1207"/>
      <c r="DF904" s="1207"/>
      <c r="DG904" s="1207"/>
      <c r="DH904" s="1207"/>
      <c r="DS904" s="1207"/>
      <c r="DT904" s="1207"/>
      <c r="DU904" s="1207"/>
      <c r="DV904" s="1207"/>
      <c r="DY904" s="1207"/>
      <c r="DZ904" s="1207"/>
      <c r="EA904" s="1207"/>
      <c r="EB904" s="1207"/>
      <c r="EI904" s="1207"/>
      <c r="EJ904" s="1207"/>
      <c r="EK904" s="1207"/>
      <c r="EL904" s="1207"/>
      <c r="EM904" s="107"/>
      <c r="EN904" s="107"/>
      <c r="EO904" s="107"/>
      <c r="EP904" s="107"/>
      <c r="EQ904" s="368"/>
      <c r="ER904" s="368"/>
      <c r="ES904" s="368"/>
      <c r="ET904" s="368"/>
    </row>
    <row r="905" spans="1:150" x14ac:dyDescent="0.25">
      <c r="A905" s="1206"/>
      <c r="B905" s="1206"/>
      <c r="C905" s="1207"/>
      <c r="D905" s="1207"/>
      <c r="E905" s="1207"/>
      <c r="F905" s="1207"/>
      <c r="Q905" s="1207"/>
      <c r="R905" s="1207"/>
      <c r="S905" s="1207"/>
      <c r="T905" s="1207"/>
      <c r="U905" s="1207"/>
      <c r="V905" s="1207"/>
      <c r="W905" s="1207"/>
      <c r="X905" s="1207"/>
      <c r="Y905" s="1207"/>
      <c r="Z905" s="1207"/>
      <c r="AA905" s="1207"/>
      <c r="AB905" s="1207"/>
      <c r="AE905" s="1207"/>
      <c r="AF905" s="1207"/>
      <c r="AG905" s="1207"/>
      <c r="AH905" s="1207"/>
      <c r="AI905" s="1207"/>
      <c r="AJ905" s="1207"/>
      <c r="AK905" s="1207"/>
      <c r="AL905" s="1207"/>
      <c r="AU905" s="1207"/>
      <c r="AV905" s="1207"/>
      <c r="AW905" s="1207"/>
      <c r="AX905" s="1207"/>
      <c r="BA905" s="1207"/>
      <c r="BB905" s="1207"/>
      <c r="BC905" s="1207"/>
      <c r="BD905" s="1207"/>
      <c r="BG905" s="1207"/>
      <c r="BH905" s="1207"/>
      <c r="BI905" s="1207"/>
      <c r="BJ905" s="1207"/>
      <c r="BK905" s="1207"/>
      <c r="BL905" s="1207"/>
      <c r="BM905" s="1207"/>
      <c r="BN905" s="1207"/>
      <c r="BS905" s="1207"/>
      <c r="BT905" s="1207"/>
      <c r="BU905" s="1207"/>
      <c r="BV905" s="1207"/>
      <c r="BY905" s="1207"/>
      <c r="BZ905" s="1207"/>
      <c r="CA905" s="1207"/>
      <c r="CB905" s="1207"/>
      <c r="CG905" s="1207"/>
      <c r="CH905" s="1207"/>
      <c r="CI905" s="1207"/>
      <c r="CJ905" s="1207"/>
      <c r="CM905" s="1207"/>
      <c r="CN905" s="1207"/>
      <c r="CO905" s="1207"/>
      <c r="CP905" s="1207"/>
      <c r="CQ905" s="1207"/>
      <c r="CR905" s="1207"/>
      <c r="CS905" s="1207"/>
      <c r="CT905" s="1207"/>
      <c r="CU905" s="1207"/>
      <c r="CV905" s="1207"/>
      <c r="CW905" s="1207"/>
      <c r="CX905" s="1207"/>
      <c r="CY905" s="1207"/>
      <c r="CZ905" s="1207"/>
      <c r="DA905" s="1207"/>
      <c r="DB905" s="1207"/>
      <c r="DE905" s="1207"/>
      <c r="DF905" s="1207"/>
      <c r="DG905" s="1207"/>
      <c r="DH905" s="1207"/>
      <c r="DS905" s="1207"/>
      <c r="DT905" s="1207"/>
      <c r="DU905" s="1207"/>
      <c r="DV905" s="1207"/>
      <c r="DY905" s="1207"/>
      <c r="DZ905" s="1207"/>
      <c r="EA905" s="1207"/>
      <c r="EB905" s="1207"/>
      <c r="EI905" s="1207"/>
      <c r="EJ905" s="1207"/>
      <c r="EK905" s="1207"/>
      <c r="EL905" s="1207"/>
      <c r="EM905" s="107"/>
      <c r="EN905" s="107"/>
      <c r="EO905" s="107"/>
      <c r="EP905" s="107"/>
      <c r="EQ905" s="368"/>
      <c r="ER905" s="368"/>
      <c r="ES905" s="368"/>
      <c r="ET905" s="368"/>
    </row>
    <row r="906" spans="1:150" x14ac:dyDescent="0.25">
      <c r="A906" s="1206"/>
      <c r="B906" s="1206"/>
      <c r="C906" s="1207"/>
      <c r="D906" s="1207"/>
      <c r="E906" s="1207"/>
      <c r="F906" s="1207"/>
      <c r="Q906" s="1207"/>
      <c r="R906" s="1207"/>
      <c r="S906" s="1207"/>
      <c r="T906" s="1207"/>
      <c r="U906" s="1207"/>
      <c r="V906" s="1207"/>
      <c r="W906" s="1207"/>
      <c r="X906" s="1207"/>
      <c r="Y906" s="1207"/>
      <c r="Z906" s="1207"/>
      <c r="AA906" s="1207"/>
      <c r="AB906" s="1207"/>
      <c r="AE906" s="1207"/>
      <c r="AF906" s="1207"/>
      <c r="AG906" s="1207"/>
      <c r="AH906" s="1207"/>
      <c r="AI906" s="1207"/>
      <c r="AJ906" s="1207"/>
      <c r="AK906" s="1207"/>
      <c r="AL906" s="1207"/>
      <c r="AU906" s="1207"/>
      <c r="AV906" s="1207"/>
      <c r="AW906" s="1207"/>
      <c r="AX906" s="1207"/>
      <c r="BA906" s="1207"/>
      <c r="BB906" s="1207"/>
      <c r="BC906" s="1207"/>
      <c r="BD906" s="1207"/>
      <c r="BG906" s="1207"/>
      <c r="BH906" s="1207"/>
      <c r="BI906" s="1207"/>
      <c r="BJ906" s="1207"/>
      <c r="BK906" s="1207"/>
      <c r="BL906" s="1207"/>
      <c r="BM906" s="1207"/>
      <c r="BN906" s="1207"/>
      <c r="BS906" s="1207"/>
      <c r="BT906" s="1207"/>
      <c r="BU906" s="1207"/>
      <c r="BV906" s="1207"/>
      <c r="BY906" s="1207"/>
      <c r="BZ906" s="1207"/>
      <c r="CA906" s="1207"/>
      <c r="CB906" s="1207"/>
      <c r="CG906" s="1207"/>
      <c r="CH906" s="1207"/>
      <c r="CI906" s="1207"/>
      <c r="CJ906" s="1207"/>
      <c r="CM906" s="1207"/>
      <c r="CN906" s="1207"/>
      <c r="CO906" s="1207"/>
      <c r="CP906" s="1207"/>
      <c r="CQ906" s="1207"/>
      <c r="CR906" s="1207"/>
      <c r="CS906" s="1207"/>
      <c r="CT906" s="1207"/>
      <c r="CU906" s="1207"/>
      <c r="CV906" s="1207"/>
      <c r="CW906" s="1207"/>
      <c r="CX906" s="1207"/>
      <c r="CY906" s="1207"/>
      <c r="CZ906" s="1207"/>
      <c r="DA906" s="1207"/>
      <c r="DB906" s="1207"/>
      <c r="DE906" s="1207"/>
      <c r="DF906" s="1207"/>
      <c r="DG906" s="1207"/>
      <c r="DH906" s="1207"/>
      <c r="DS906" s="1207"/>
      <c r="DT906" s="1207"/>
      <c r="DU906" s="1207"/>
      <c r="DV906" s="1207"/>
      <c r="DY906" s="1207"/>
      <c r="DZ906" s="1207"/>
      <c r="EA906" s="1207"/>
      <c r="EB906" s="1207"/>
      <c r="EI906" s="1207"/>
      <c r="EJ906" s="1207"/>
      <c r="EK906" s="1207"/>
      <c r="EL906" s="1207"/>
      <c r="EM906" s="107"/>
      <c r="EN906" s="107"/>
      <c r="EO906" s="107"/>
      <c r="EP906" s="107"/>
      <c r="EQ906" s="368"/>
      <c r="ER906" s="368"/>
      <c r="ES906" s="368"/>
      <c r="ET906" s="368"/>
    </row>
    <row r="907" spans="1:150" x14ac:dyDescent="0.25">
      <c r="A907" s="1206"/>
      <c r="B907" s="1206"/>
      <c r="C907" s="1207"/>
      <c r="D907" s="1207"/>
      <c r="E907" s="1207"/>
      <c r="F907" s="1207"/>
      <c r="Q907" s="1207"/>
      <c r="R907" s="1207"/>
      <c r="S907" s="1207"/>
      <c r="T907" s="1207"/>
      <c r="U907" s="1207"/>
      <c r="V907" s="1207"/>
      <c r="W907" s="1207"/>
      <c r="X907" s="1207"/>
      <c r="Y907" s="1207"/>
      <c r="Z907" s="1207"/>
      <c r="AA907" s="1207"/>
      <c r="AB907" s="1207"/>
      <c r="AE907" s="1207"/>
      <c r="AF907" s="1207"/>
      <c r="AG907" s="1207"/>
      <c r="AH907" s="1207"/>
      <c r="AI907" s="1207"/>
      <c r="AJ907" s="1207"/>
      <c r="AK907" s="1207"/>
      <c r="AL907" s="1207"/>
      <c r="AU907" s="1207"/>
      <c r="AV907" s="1207"/>
      <c r="AW907" s="1207"/>
      <c r="AX907" s="1207"/>
      <c r="BA907" s="1207"/>
      <c r="BB907" s="1207"/>
      <c r="BC907" s="1207"/>
      <c r="BD907" s="1207"/>
      <c r="BG907" s="1207"/>
      <c r="BH907" s="1207"/>
      <c r="BI907" s="1207"/>
      <c r="BJ907" s="1207"/>
      <c r="BK907" s="1207"/>
      <c r="BL907" s="1207"/>
      <c r="BM907" s="1207"/>
      <c r="BN907" s="1207"/>
      <c r="BS907" s="1207"/>
      <c r="BT907" s="1207"/>
      <c r="BU907" s="1207"/>
      <c r="BV907" s="1207"/>
      <c r="BY907" s="1207"/>
      <c r="BZ907" s="1207"/>
      <c r="CA907" s="1207"/>
      <c r="CB907" s="1207"/>
      <c r="CG907" s="1207"/>
      <c r="CH907" s="1207"/>
      <c r="CI907" s="1207"/>
      <c r="CJ907" s="1207"/>
      <c r="CM907" s="1207"/>
      <c r="CN907" s="1207"/>
      <c r="CO907" s="1207"/>
      <c r="CP907" s="1207"/>
      <c r="CQ907" s="1207"/>
      <c r="CR907" s="1207"/>
      <c r="CS907" s="1207"/>
      <c r="CT907" s="1207"/>
      <c r="CU907" s="1207"/>
      <c r="CV907" s="1207"/>
      <c r="CW907" s="1207"/>
      <c r="CX907" s="1207"/>
      <c r="CY907" s="1207"/>
      <c r="CZ907" s="1207"/>
      <c r="DA907" s="1207"/>
      <c r="DB907" s="1207"/>
      <c r="DE907" s="1207"/>
      <c r="DF907" s="1207"/>
      <c r="DG907" s="1207"/>
      <c r="DH907" s="1207"/>
      <c r="DS907" s="1207"/>
      <c r="DT907" s="1207"/>
      <c r="DU907" s="1207"/>
      <c r="DV907" s="1207"/>
      <c r="DY907" s="1207"/>
      <c r="DZ907" s="1207"/>
      <c r="EA907" s="1207"/>
      <c r="EB907" s="1207"/>
      <c r="EI907" s="1207"/>
      <c r="EJ907" s="1207"/>
      <c r="EK907" s="1207"/>
      <c r="EL907" s="1207"/>
      <c r="EM907" s="107"/>
      <c r="EN907" s="107"/>
      <c r="EO907" s="107"/>
      <c r="EP907" s="107"/>
      <c r="EQ907" s="368"/>
      <c r="ER907" s="368"/>
      <c r="ES907" s="368"/>
      <c r="ET907" s="368"/>
    </row>
    <row r="908" spans="1:150" x14ac:dyDescent="0.25">
      <c r="A908" s="1206"/>
      <c r="B908" s="1206"/>
      <c r="C908" s="1207"/>
      <c r="D908" s="1207"/>
      <c r="E908" s="1207"/>
      <c r="F908" s="1207"/>
      <c r="Q908" s="1207"/>
      <c r="R908" s="1207"/>
      <c r="S908" s="1207"/>
      <c r="T908" s="1207"/>
      <c r="U908" s="1207"/>
      <c r="V908" s="1207"/>
      <c r="W908" s="1207"/>
      <c r="X908" s="1207"/>
      <c r="Y908" s="1207"/>
      <c r="Z908" s="1207"/>
      <c r="AA908" s="1207"/>
      <c r="AB908" s="1207"/>
      <c r="AE908" s="1207"/>
      <c r="AF908" s="1207"/>
      <c r="AG908" s="1207"/>
      <c r="AH908" s="1207"/>
      <c r="AI908" s="1207"/>
      <c r="AJ908" s="1207"/>
      <c r="AK908" s="1207"/>
      <c r="AL908" s="1207"/>
      <c r="AU908" s="1207"/>
      <c r="AV908" s="1207"/>
      <c r="AW908" s="1207"/>
      <c r="AX908" s="1207"/>
      <c r="BA908" s="1207"/>
      <c r="BB908" s="1207"/>
      <c r="BC908" s="1207"/>
      <c r="BD908" s="1207"/>
      <c r="BG908" s="1207"/>
      <c r="BH908" s="1207"/>
      <c r="BI908" s="1207"/>
      <c r="BJ908" s="1207"/>
      <c r="BK908" s="1207"/>
      <c r="BL908" s="1207"/>
      <c r="BM908" s="1207"/>
      <c r="BN908" s="1207"/>
      <c r="BS908" s="1207"/>
      <c r="BT908" s="1207"/>
      <c r="BU908" s="1207"/>
      <c r="BV908" s="1207"/>
      <c r="BY908" s="1207"/>
      <c r="BZ908" s="1207"/>
      <c r="CA908" s="1207"/>
      <c r="CB908" s="1207"/>
      <c r="CG908" s="1207"/>
      <c r="CH908" s="1207"/>
      <c r="CI908" s="1207"/>
      <c r="CJ908" s="1207"/>
      <c r="CM908" s="1207"/>
      <c r="CN908" s="1207"/>
      <c r="CO908" s="1207"/>
      <c r="CP908" s="1207"/>
      <c r="CQ908" s="1207"/>
      <c r="CR908" s="1207"/>
      <c r="CS908" s="1207"/>
      <c r="CT908" s="1207"/>
      <c r="CU908" s="1207"/>
      <c r="CV908" s="1207"/>
      <c r="CW908" s="1207"/>
      <c r="CX908" s="1207"/>
      <c r="CY908" s="1207"/>
      <c r="CZ908" s="1207"/>
      <c r="DA908" s="1207"/>
      <c r="DB908" s="1207"/>
      <c r="DE908" s="1207"/>
      <c r="DF908" s="1207"/>
      <c r="DG908" s="1207"/>
      <c r="DH908" s="1207"/>
      <c r="DS908" s="1207"/>
      <c r="DT908" s="1207"/>
      <c r="DU908" s="1207"/>
      <c r="DV908" s="1207"/>
      <c r="DY908" s="1207"/>
      <c r="DZ908" s="1207"/>
      <c r="EA908" s="1207"/>
      <c r="EB908" s="1207"/>
      <c r="EI908" s="1207"/>
      <c r="EJ908" s="1207"/>
      <c r="EK908" s="1207"/>
      <c r="EL908" s="1207"/>
      <c r="EM908" s="107"/>
      <c r="EN908" s="107"/>
      <c r="EO908" s="107"/>
      <c r="EP908" s="107"/>
      <c r="EQ908" s="368"/>
      <c r="ER908" s="368"/>
      <c r="ES908" s="368"/>
      <c r="ET908" s="368"/>
    </row>
    <row r="909" spans="1:150" x14ac:dyDescent="0.25">
      <c r="A909" s="1206"/>
      <c r="B909" s="1206"/>
      <c r="C909" s="1207"/>
      <c r="D909" s="1207"/>
      <c r="E909" s="1207"/>
      <c r="F909" s="1207"/>
      <c r="Q909" s="1207"/>
      <c r="R909" s="1207"/>
      <c r="S909" s="1207"/>
      <c r="T909" s="1207"/>
      <c r="U909" s="1207"/>
      <c r="V909" s="1207"/>
      <c r="W909" s="1207"/>
      <c r="X909" s="1207"/>
      <c r="Y909" s="1207"/>
      <c r="Z909" s="1207"/>
      <c r="AA909" s="1207"/>
      <c r="AB909" s="1207"/>
      <c r="AE909" s="1207"/>
      <c r="AF909" s="1207"/>
      <c r="AG909" s="1207"/>
      <c r="AH909" s="1207"/>
      <c r="AI909" s="1207"/>
      <c r="AJ909" s="1207"/>
      <c r="AK909" s="1207"/>
      <c r="AL909" s="1207"/>
      <c r="AU909" s="1207"/>
      <c r="AV909" s="1207"/>
      <c r="AW909" s="1207"/>
      <c r="AX909" s="1207"/>
      <c r="BA909" s="1207"/>
      <c r="BB909" s="1207"/>
      <c r="BC909" s="1207"/>
      <c r="BD909" s="1207"/>
      <c r="BG909" s="1207"/>
      <c r="BH909" s="1207"/>
      <c r="BI909" s="1207"/>
      <c r="BJ909" s="1207"/>
      <c r="BK909" s="1207"/>
      <c r="BL909" s="1207"/>
      <c r="BM909" s="1207"/>
      <c r="BN909" s="1207"/>
      <c r="BS909" s="1207"/>
      <c r="BT909" s="1207"/>
      <c r="BU909" s="1207"/>
      <c r="BV909" s="1207"/>
      <c r="BY909" s="1207"/>
      <c r="BZ909" s="1207"/>
      <c r="CA909" s="1207"/>
      <c r="CB909" s="1207"/>
      <c r="CG909" s="1207"/>
      <c r="CH909" s="1207"/>
      <c r="CI909" s="1207"/>
      <c r="CJ909" s="1207"/>
      <c r="CM909" s="1207"/>
      <c r="CN909" s="1207"/>
      <c r="CO909" s="1207"/>
      <c r="CP909" s="1207"/>
      <c r="CQ909" s="1207"/>
      <c r="CR909" s="1207"/>
      <c r="CS909" s="1207"/>
      <c r="CT909" s="1207"/>
      <c r="CU909" s="1207"/>
      <c r="CV909" s="1207"/>
      <c r="CW909" s="1207"/>
      <c r="CX909" s="1207"/>
      <c r="CY909" s="1207"/>
      <c r="CZ909" s="1207"/>
      <c r="DA909" s="1207"/>
      <c r="DB909" s="1207"/>
      <c r="DE909" s="1207"/>
      <c r="DF909" s="1207"/>
      <c r="DG909" s="1207"/>
      <c r="DH909" s="1207"/>
      <c r="DS909" s="1207"/>
      <c r="DT909" s="1207"/>
      <c r="DU909" s="1207"/>
      <c r="DV909" s="1207"/>
      <c r="DY909" s="1207"/>
      <c r="DZ909" s="1207"/>
      <c r="EA909" s="1207"/>
      <c r="EB909" s="1207"/>
      <c r="EI909" s="1207"/>
      <c r="EJ909" s="1207"/>
      <c r="EK909" s="1207"/>
      <c r="EL909" s="1207"/>
      <c r="EM909" s="107"/>
      <c r="EN909" s="107"/>
      <c r="EO909" s="107"/>
      <c r="EP909" s="107"/>
      <c r="EQ909" s="368"/>
      <c r="ER909" s="368"/>
      <c r="ES909" s="368"/>
      <c r="ET909" s="368"/>
    </row>
    <row r="910" spans="1:150" x14ac:dyDescent="0.25">
      <c r="A910" s="1206"/>
      <c r="B910" s="1206"/>
      <c r="C910" s="1207"/>
      <c r="D910" s="1207"/>
      <c r="E910" s="1207"/>
      <c r="F910" s="1207"/>
      <c r="Q910" s="1207"/>
      <c r="R910" s="1207"/>
      <c r="S910" s="1207"/>
      <c r="T910" s="1207"/>
      <c r="U910" s="1207"/>
      <c r="V910" s="1207"/>
      <c r="W910" s="1207"/>
      <c r="X910" s="1207"/>
      <c r="Y910" s="1207"/>
      <c r="Z910" s="1207"/>
      <c r="AA910" s="1207"/>
      <c r="AB910" s="1207"/>
      <c r="AE910" s="1207"/>
      <c r="AF910" s="1207"/>
      <c r="AG910" s="1207"/>
      <c r="AH910" s="1207"/>
      <c r="AI910" s="1207"/>
      <c r="AJ910" s="1207"/>
      <c r="AK910" s="1207"/>
      <c r="AL910" s="1207"/>
      <c r="AU910" s="1207"/>
      <c r="AV910" s="1207"/>
      <c r="AW910" s="1207"/>
      <c r="AX910" s="1207"/>
      <c r="BA910" s="1207"/>
      <c r="BB910" s="1207"/>
      <c r="BC910" s="1207"/>
      <c r="BD910" s="1207"/>
      <c r="BG910" s="1207"/>
      <c r="BH910" s="1207"/>
      <c r="BI910" s="1207"/>
      <c r="BJ910" s="1207"/>
      <c r="BK910" s="1207"/>
      <c r="BL910" s="1207"/>
      <c r="BM910" s="1207"/>
      <c r="BN910" s="1207"/>
      <c r="BS910" s="1207"/>
      <c r="BT910" s="1207"/>
      <c r="BU910" s="1207"/>
      <c r="BV910" s="1207"/>
      <c r="BY910" s="1207"/>
      <c r="BZ910" s="1207"/>
      <c r="CA910" s="1207"/>
      <c r="CB910" s="1207"/>
      <c r="CG910" s="1207"/>
      <c r="CH910" s="1207"/>
      <c r="CI910" s="1207"/>
      <c r="CJ910" s="1207"/>
      <c r="CM910" s="1207"/>
      <c r="CN910" s="1207"/>
      <c r="CO910" s="1207"/>
      <c r="CP910" s="1207"/>
      <c r="CQ910" s="1207"/>
      <c r="CR910" s="1207"/>
      <c r="CS910" s="1207"/>
      <c r="CT910" s="1207"/>
      <c r="CU910" s="1207"/>
      <c r="CV910" s="1207"/>
      <c r="CW910" s="1207"/>
      <c r="CX910" s="1207"/>
      <c r="CY910" s="1207"/>
      <c r="CZ910" s="1207"/>
      <c r="DA910" s="1207"/>
      <c r="DB910" s="1207"/>
      <c r="DE910" s="1207"/>
      <c r="DF910" s="1207"/>
      <c r="DG910" s="1207"/>
      <c r="DH910" s="1207"/>
      <c r="DS910" s="1207"/>
      <c r="DT910" s="1207"/>
      <c r="DU910" s="1207"/>
      <c r="DV910" s="1207"/>
      <c r="DY910" s="1207"/>
      <c r="DZ910" s="1207"/>
      <c r="EA910" s="1207"/>
      <c r="EB910" s="1207"/>
      <c r="EI910" s="1207"/>
      <c r="EJ910" s="1207"/>
      <c r="EK910" s="1207"/>
      <c r="EL910" s="1207"/>
      <c r="EM910" s="107"/>
      <c r="EN910" s="107"/>
      <c r="EO910" s="107"/>
      <c r="EP910" s="107"/>
      <c r="EQ910" s="368"/>
      <c r="ER910" s="368"/>
      <c r="ES910" s="368"/>
      <c r="ET910" s="368"/>
    </row>
    <row r="911" spans="1:150" x14ac:dyDescent="0.25">
      <c r="A911" s="1206"/>
      <c r="B911" s="1206"/>
      <c r="C911" s="1207"/>
      <c r="D911" s="1207"/>
      <c r="E911" s="1207"/>
      <c r="F911" s="1207"/>
      <c r="Q911" s="1207"/>
      <c r="R911" s="1207"/>
      <c r="S911" s="1207"/>
      <c r="T911" s="1207"/>
      <c r="U911" s="1207"/>
      <c r="V911" s="1207"/>
      <c r="W911" s="1207"/>
      <c r="X911" s="1207"/>
      <c r="Y911" s="1207"/>
      <c r="Z911" s="1207"/>
      <c r="AA911" s="1207"/>
      <c r="AB911" s="1207"/>
      <c r="AE911" s="1207"/>
      <c r="AF911" s="1207"/>
      <c r="AG911" s="1207"/>
      <c r="AH911" s="1207"/>
      <c r="AI911" s="1207"/>
      <c r="AJ911" s="1207"/>
      <c r="AK911" s="1207"/>
      <c r="AL911" s="1207"/>
      <c r="AU911" s="1207"/>
      <c r="AV911" s="1207"/>
      <c r="AW911" s="1207"/>
      <c r="AX911" s="1207"/>
      <c r="BA911" s="1207"/>
      <c r="BB911" s="1207"/>
      <c r="BC911" s="1207"/>
      <c r="BD911" s="1207"/>
      <c r="BG911" s="1207"/>
      <c r="BH911" s="1207"/>
      <c r="BI911" s="1207"/>
      <c r="BJ911" s="1207"/>
      <c r="BK911" s="1207"/>
      <c r="BL911" s="1207"/>
      <c r="BM911" s="1207"/>
      <c r="BN911" s="1207"/>
      <c r="BS911" s="1207"/>
      <c r="BT911" s="1207"/>
      <c r="BU911" s="1207"/>
      <c r="BV911" s="1207"/>
      <c r="BY911" s="1207"/>
      <c r="BZ911" s="1207"/>
      <c r="CA911" s="1207"/>
      <c r="CB911" s="1207"/>
      <c r="CG911" s="1207"/>
      <c r="CH911" s="1207"/>
      <c r="CI911" s="1207"/>
      <c r="CJ911" s="1207"/>
      <c r="CM911" s="1207"/>
      <c r="CN911" s="1207"/>
      <c r="CO911" s="1207"/>
      <c r="CP911" s="1207"/>
      <c r="CQ911" s="1207"/>
      <c r="CR911" s="1207"/>
      <c r="CS911" s="1207"/>
      <c r="CT911" s="1207"/>
      <c r="CU911" s="1207"/>
      <c r="CV911" s="1207"/>
      <c r="CW911" s="1207"/>
      <c r="CX911" s="1207"/>
      <c r="CY911" s="1207"/>
      <c r="CZ911" s="1207"/>
      <c r="DA911" s="1207"/>
      <c r="DB911" s="1207"/>
      <c r="DE911" s="1207"/>
      <c r="DF911" s="1207"/>
      <c r="DG911" s="1207"/>
      <c r="DH911" s="1207"/>
      <c r="DS911" s="1207"/>
      <c r="DT911" s="1207"/>
      <c r="DU911" s="1207"/>
      <c r="DV911" s="1207"/>
      <c r="DY911" s="1207"/>
      <c r="DZ911" s="1207"/>
      <c r="EA911" s="1207"/>
      <c r="EB911" s="1207"/>
      <c r="EI911" s="1207"/>
      <c r="EJ911" s="1207"/>
      <c r="EK911" s="1207"/>
      <c r="EL911" s="1207"/>
      <c r="EM911" s="107"/>
      <c r="EN911" s="107"/>
      <c r="EO911" s="107"/>
      <c r="EP911" s="107"/>
      <c r="EQ911" s="368"/>
      <c r="ER911" s="368"/>
      <c r="ES911" s="368"/>
      <c r="ET911" s="368"/>
    </row>
    <row r="912" spans="1:150" x14ac:dyDescent="0.25">
      <c r="A912" s="1206"/>
      <c r="B912" s="1206"/>
      <c r="C912" s="1207"/>
      <c r="D912" s="1207"/>
      <c r="E912" s="1207"/>
      <c r="F912" s="1207"/>
      <c r="Q912" s="1207"/>
      <c r="R912" s="1207"/>
      <c r="S912" s="1207"/>
      <c r="T912" s="1207"/>
      <c r="U912" s="1207"/>
      <c r="V912" s="1207"/>
      <c r="W912" s="1207"/>
      <c r="X912" s="1207"/>
      <c r="Y912" s="1207"/>
      <c r="Z912" s="1207"/>
      <c r="AA912" s="1207"/>
      <c r="AB912" s="1207"/>
      <c r="AE912" s="1207"/>
      <c r="AF912" s="1207"/>
      <c r="AG912" s="1207"/>
      <c r="AH912" s="1207"/>
      <c r="AI912" s="1207"/>
      <c r="AJ912" s="1207"/>
      <c r="AK912" s="1207"/>
      <c r="AL912" s="1207"/>
      <c r="AU912" s="1207"/>
      <c r="AV912" s="1207"/>
      <c r="AW912" s="1207"/>
      <c r="AX912" s="1207"/>
      <c r="BA912" s="1207"/>
      <c r="BB912" s="1207"/>
      <c r="BC912" s="1207"/>
      <c r="BD912" s="1207"/>
      <c r="BG912" s="1207"/>
      <c r="BH912" s="1207"/>
      <c r="BI912" s="1207"/>
      <c r="BJ912" s="1207"/>
      <c r="BK912" s="1207"/>
      <c r="BL912" s="1207"/>
      <c r="BM912" s="1207"/>
      <c r="BN912" s="1207"/>
      <c r="BS912" s="1207"/>
      <c r="BT912" s="1207"/>
      <c r="BU912" s="1207"/>
      <c r="BV912" s="1207"/>
      <c r="BY912" s="1207"/>
      <c r="BZ912" s="1207"/>
      <c r="CA912" s="1207"/>
      <c r="CB912" s="1207"/>
      <c r="CG912" s="1207"/>
      <c r="CH912" s="1207"/>
      <c r="CI912" s="1207"/>
      <c r="CJ912" s="1207"/>
      <c r="CM912" s="1207"/>
      <c r="CN912" s="1207"/>
      <c r="CO912" s="1207"/>
      <c r="CP912" s="1207"/>
      <c r="CQ912" s="1207"/>
      <c r="CR912" s="1207"/>
      <c r="CS912" s="1207"/>
      <c r="CT912" s="1207"/>
      <c r="CU912" s="1207"/>
      <c r="CV912" s="1207"/>
      <c r="CW912" s="1207"/>
      <c r="CX912" s="1207"/>
      <c r="CY912" s="1207"/>
      <c r="CZ912" s="1207"/>
      <c r="DA912" s="1207"/>
      <c r="DB912" s="1207"/>
      <c r="DE912" s="1207"/>
      <c r="DF912" s="1207"/>
      <c r="DG912" s="1207"/>
      <c r="DH912" s="1207"/>
      <c r="DS912" s="1207"/>
      <c r="DT912" s="1207"/>
      <c r="DU912" s="1207"/>
      <c r="DV912" s="1207"/>
      <c r="DY912" s="1207"/>
      <c r="DZ912" s="1207"/>
      <c r="EA912" s="1207"/>
      <c r="EB912" s="1207"/>
      <c r="EI912" s="1207"/>
      <c r="EJ912" s="1207"/>
      <c r="EK912" s="1207"/>
      <c r="EL912" s="1207"/>
      <c r="EM912" s="107"/>
      <c r="EN912" s="107"/>
      <c r="EO912" s="107"/>
      <c r="EP912" s="107"/>
      <c r="EQ912" s="368"/>
      <c r="ER912" s="368"/>
      <c r="ES912" s="368"/>
      <c r="ET912" s="368"/>
    </row>
    <row r="913" spans="1:150" x14ac:dyDescent="0.25">
      <c r="A913" s="1206"/>
      <c r="B913" s="1206"/>
      <c r="C913" s="1207"/>
      <c r="D913" s="1207"/>
      <c r="E913" s="1207"/>
      <c r="F913" s="1207"/>
      <c r="Q913" s="1207"/>
      <c r="R913" s="1207"/>
      <c r="S913" s="1207"/>
      <c r="T913" s="1207"/>
      <c r="U913" s="1207"/>
      <c r="V913" s="1207"/>
      <c r="W913" s="1207"/>
      <c r="X913" s="1207"/>
      <c r="Y913" s="1207"/>
      <c r="Z913" s="1207"/>
      <c r="AA913" s="1207"/>
      <c r="AB913" s="1207"/>
      <c r="AE913" s="1207"/>
      <c r="AF913" s="1207"/>
      <c r="AG913" s="1207"/>
      <c r="AH913" s="1207"/>
      <c r="AI913" s="1207"/>
      <c r="AJ913" s="1207"/>
      <c r="AK913" s="1207"/>
      <c r="AL913" s="1207"/>
      <c r="AU913" s="1207"/>
      <c r="AV913" s="1207"/>
      <c r="AW913" s="1207"/>
      <c r="AX913" s="1207"/>
      <c r="BA913" s="1207"/>
      <c r="BB913" s="1207"/>
      <c r="BC913" s="1207"/>
      <c r="BD913" s="1207"/>
      <c r="BG913" s="1207"/>
      <c r="BH913" s="1207"/>
      <c r="BI913" s="1207"/>
      <c r="BJ913" s="1207"/>
      <c r="BK913" s="1207"/>
      <c r="BL913" s="1207"/>
      <c r="BM913" s="1207"/>
      <c r="BN913" s="1207"/>
      <c r="BS913" s="1207"/>
      <c r="BT913" s="1207"/>
      <c r="BU913" s="1207"/>
      <c r="BV913" s="1207"/>
      <c r="BY913" s="1207"/>
      <c r="BZ913" s="1207"/>
      <c r="CA913" s="1207"/>
      <c r="CB913" s="1207"/>
      <c r="CG913" s="1207"/>
      <c r="CH913" s="1207"/>
      <c r="CI913" s="1207"/>
      <c r="CJ913" s="1207"/>
      <c r="CM913" s="1207"/>
      <c r="CN913" s="1207"/>
      <c r="CO913" s="1207"/>
      <c r="CP913" s="1207"/>
      <c r="CQ913" s="1207"/>
      <c r="CR913" s="1207"/>
      <c r="CS913" s="1207"/>
      <c r="CT913" s="1207"/>
      <c r="CU913" s="1207"/>
      <c r="CV913" s="1207"/>
      <c r="CW913" s="1207"/>
      <c r="CX913" s="1207"/>
      <c r="CY913" s="1207"/>
      <c r="CZ913" s="1207"/>
      <c r="DA913" s="1207"/>
      <c r="DB913" s="1207"/>
      <c r="DE913" s="1207"/>
      <c r="DF913" s="1207"/>
      <c r="DG913" s="1207"/>
      <c r="DH913" s="1207"/>
      <c r="DS913" s="1207"/>
      <c r="DT913" s="1207"/>
      <c r="DU913" s="1207"/>
      <c r="DV913" s="1207"/>
      <c r="DY913" s="1207"/>
      <c r="DZ913" s="1207"/>
      <c r="EA913" s="1207"/>
      <c r="EB913" s="1207"/>
      <c r="EI913" s="1207"/>
      <c r="EJ913" s="1207"/>
      <c r="EK913" s="1207"/>
      <c r="EL913" s="1207"/>
      <c r="EM913" s="107"/>
      <c r="EN913" s="107"/>
      <c r="EO913" s="107"/>
      <c r="EP913" s="107"/>
      <c r="EQ913" s="368"/>
      <c r="ER913" s="368"/>
      <c r="ES913" s="368"/>
      <c r="ET913" s="368"/>
    </row>
    <row r="914" spans="1:150" x14ac:dyDescent="0.25">
      <c r="A914" s="1206"/>
      <c r="B914" s="1206"/>
      <c r="C914" s="1207"/>
      <c r="D914" s="1207"/>
      <c r="E914" s="1207"/>
      <c r="F914" s="1207"/>
      <c r="Q914" s="1207"/>
      <c r="R914" s="1207"/>
      <c r="S914" s="1207"/>
      <c r="T914" s="1207"/>
      <c r="U914" s="1207"/>
      <c r="V914" s="1207"/>
      <c r="W914" s="1207"/>
      <c r="X914" s="1207"/>
      <c r="Y914" s="1207"/>
      <c r="Z914" s="1207"/>
      <c r="AA914" s="1207"/>
      <c r="AB914" s="1207"/>
      <c r="AE914" s="1207"/>
      <c r="AF914" s="1207"/>
      <c r="AG914" s="1207"/>
      <c r="AH914" s="1207"/>
      <c r="AI914" s="1207"/>
      <c r="AJ914" s="1207"/>
      <c r="AK914" s="1207"/>
      <c r="AL914" s="1207"/>
      <c r="AU914" s="1207"/>
      <c r="AV914" s="1207"/>
      <c r="AW914" s="1207"/>
      <c r="AX914" s="1207"/>
      <c r="BA914" s="1207"/>
      <c r="BB914" s="1207"/>
      <c r="BC914" s="1207"/>
      <c r="BD914" s="1207"/>
      <c r="BG914" s="1207"/>
      <c r="BH914" s="1207"/>
      <c r="BI914" s="1207"/>
      <c r="BJ914" s="1207"/>
      <c r="BK914" s="1207"/>
      <c r="BL914" s="1207"/>
      <c r="BM914" s="1207"/>
      <c r="BN914" s="1207"/>
      <c r="BS914" s="1207"/>
      <c r="BT914" s="1207"/>
      <c r="BU914" s="1207"/>
      <c r="BV914" s="1207"/>
      <c r="BY914" s="1207"/>
      <c r="BZ914" s="1207"/>
      <c r="CA914" s="1207"/>
      <c r="CB914" s="1207"/>
      <c r="CG914" s="1207"/>
      <c r="CH914" s="1207"/>
      <c r="CI914" s="1207"/>
      <c r="CJ914" s="1207"/>
      <c r="CM914" s="1207"/>
      <c r="CN914" s="1207"/>
      <c r="CO914" s="1207"/>
      <c r="CP914" s="1207"/>
      <c r="CQ914" s="1207"/>
      <c r="CR914" s="1207"/>
      <c r="CS914" s="1207"/>
      <c r="CT914" s="1207"/>
      <c r="CU914" s="1207"/>
      <c r="CV914" s="1207"/>
      <c r="CW914" s="1207"/>
      <c r="CX914" s="1207"/>
      <c r="CY914" s="1207"/>
      <c r="CZ914" s="1207"/>
      <c r="DA914" s="1207"/>
      <c r="DB914" s="1207"/>
      <c r="DE914" s="1207"/>
      <c r="DF914" s="1207"/>
      <c r="DG914" s="1207"/>
      <c r="DH914" s="1207"/>
      <c r="DS914" s="1207"/>
      <c r="DT914" s="1207"/>
      <c r="DU914" s="1207"/>
      <c r="DV914" s="1207"/>
      <c r="DY914" s="1207"/>
      <c r="DZ914" s="1207"/>
      <c r="EA914" s="1207"/>
      <c r="EB914" s="1207"/>
      <c r="EI914" s="1207"/>
      <c r="EJ914" s="1207"/>
      <c r="EK914" s="1207"/>
      <c r="EL914" s="1207"/>
      <c r="EM914" s="107"/>
      <c r="EN914" s="107"/>
      <c r="EO914" s="107"/>
      <c r="EP914" s="107"/>
      <c r="EQ914" s="368"/>
      <c r="ER914" s="368"/>
      <c r="ES914" s="368"/>
      <c r="ET914" s="368"/>
    </row>
    <row r="915" spans="1:150" x14ac:dyDescent="0.25">
      <c r="A915" s="1206"/>
      <c r="B915" s="1206"/>
      <c r="C915" s="1207"/>
      <c r="D915" s="1207"/>
      <c r="E915" s="1207"/>
      <c r="F915" s="1207"/>
      <c r="Q915" s="1207"/>
      <c r="R915" s="1207"/>
      <c r="S915" s="1207"/>
      <c r="T915" s="1207"/>
      <c r="U915" s="1207"/>
      <c r="V915" s="1207"/>
      <c r="W915" s="1207"/>
      <c r="X915" s="1207"/>
      <c r="Y915" s="1207"/>
      <c r="Z915" s="1207"/>
      <c r="AA915" s="1207"/>
      <c r="AB915" s="1207"/>
      <c r="AE915" s="1207"/>
      <c r="AF915" s="1207"/>
      <c r="AG915" s="1207"/>
      <c r="AH915" s="1207"/>
      <c r="AI915" s="1207"/>
      <c r="AJ915" s="1207"/>
      <c r="AK915" s="1207"/>
      <c r="AL915" s="1207"/>
      <c r="AU915" s="1207"/>
      <c r="AV915" s="1207"/>
      <c r="AW915" s="1207"/>
      <c r="AX915" s="1207"/>
      <c r="BA915" s="1207"/>
      <c r="BB915" s="1207"/>
      <c r="BC915" s="1207"/>
      <c r="BD915" s="1207"/>
      <c r="BG915" s="1207"/>
      <c r="BH915" s="1207"/>
      <c r="BI915" s="1207"/>
      <c r="BJ915" s="1207"/>
      <c r="BK915" s="1207"/>
      <c r="BL915" s="1207"/>
      <c r="BM915" s="1207"/>
      <c r="BN915" s="1207"/>
      <c r="BS915" s="1207"/>
      <c r="BT915" s="1207"/>
      <c r="BU915" s="1207"/>
      <c r="BV915" s="1207"/>
      <c r="BY915" s="1207"/>
      <c r="BZ915" s="1207"/>
      <c r="CA915" s="1207"/>
      <c r="CB915" s="1207"/>
      <c r="CG915" s="1207"/>
      <c r="CH915" s="1207"/>
      <c r="CI915" s="1207"/>
      <c r="CJ915" s="1207"/>
      <c r="CM915" s="1207"/>
      <c r="CN915" s="1207"/>
      <c r="CO915" s="1207"/>
      <c r="CP915" s="1207"/>
      <c r="CQ915" s="1207"/>
      <c r="CR915" s="1207"/>
      <c r="CS915" s="1207"/>
      <c r="CT915" s="1207"/>
      <c r="CU915" s="1207"/>
      <c r="CV915" s="1207"/>
      <c r="CW915" s="1207"/>
      <c r="CX915" s="1207"/>
      <c r="CY915" s="1207"/>
      <c r="CZ915" s="1207"/>
      <c r="DA915" s="1207"/>
      <c r="DB915" s="1207"/>
      <c r="DE915" s="1207"/>
      <c r="DF915" s="1207"/>
      <c r="DG915" s="1207"/>
      <c r="DH915" s="1207"/>
      <c r="DS915" s="1207"/>
      <c r="DT915" s="1207"/>
      <c r="DU915" s="1207"/>
      <c r="DV915" s="1207"/>
      <c r="DY915" s="1207"/>
      <c r="DZ915" s="1207"/>
      <c r="EA915" s="1207"/>
      <c r="EB915" s="1207"/>
      <c r="EI915" s="1207"/>
      <c r="EJ915" s="1207"/>
      <c r="EK915" s="1207"/>
      <c r="EL915" s="1207"/>
      <c r="EM915" s="107"/>
      <c r="EN915" s="107"/>
      <c r="EO915" s="107"/>
      <c r="EP915" s="107"/>
      <c r="EQ915" s="368"/>
      <c r="ER915" s="368"/>
      <c r="ES915" s="368"/>
      <c r="ET915" s="368"/>
    </row>
    <row r="916" spans="1:150" x14ac:dyDescent="0.25">
      <c r="A916" s="1206"/>
      <c r="B916" s="1206"/>
      <c r="C916" s="1207"/>
      <c r="D916" s="1207"/>
      <c r="E916" s="1207"/>
      <c r="F916" s="1207"/>
      <c r="Q916" s="1207"/>
      <c r="R916" s="1207"/>
      <c r="S916" s="1207"/>
      <c r="T916" s="1207"/>
      <c r="U916" s="1207"/>
      <c r="V916" s="1207"/>
      <c r="W916" s="1207"/>
      <c r="X916" s="1207"/>
      <c r="Y916" s="1207"/>
      <c r="Z916" s="1207"/>
      <c r="AA916" s="1207"/>
      <c r="AB916" s="1207"/>
      <c r="AE916" s="1207"/>
      <c r="AF916" s="1207"/>
      <c r="AG916" s="1207"/>
      <c r="AH916" s="1207"/>
      <c r="AI916" s="1207"/>
      <c r="AJ916" s="1207"/>
      <c r="AK916" s="1207"/>
      <c r="AL916" s="1207"/>
      <c r="AU916" s="1207"/>
      <c r="AV916" s="1207"/>
      <c r="AW916" s="1207"/>
      <c r="AX916" s="1207"/>
      <c r="BA916" s="1207"/>
      <c r="BB916" s="1207"/>
      <c r="BC916" s="1207"/>
      <c r="BD916" s="1207"/>
      <c r="BG916" s="1207"/>
      <c r="BH916" s="1207"/>
      <c r="BI916" s="1207"/>
      <c r="BJ916" s="1207"/>
      <c r="BK916" s="1207"/>
      <c r="BL916" s="1207"/>
      <c r="BM916" s="1207"/>
      <c r="BN916" s="1207"/>
      <c r="BS916" s="1207"/>
      <c r="BT916" s="1207"/>
      <c r="BU916" s="1207"/>
      <c r="BV916" s="1207"/>
      <c r="BY916" s="1207"/>
      <c r="BZ916" s="1207"/>
      <c r="CA916" s="1207"/>
      <c r="CB916" s="1207"/>
      <c r="CG916" s="1207"/>
      <c r="CH916" s="1207"/>
      <c r="CI916" s="1207"/>
      <c r="CJ916" s="1207"/>
      <c r="CM916" s="1207"/>
      <c r="CN916" s="1207"/>
      <c r="CO916" s="1207"/>
      <c r="CP916" s="1207"/>
      <c r="CQ916" s="1207"/>
      <c r="CR916" s="1207"/>
      <c r="CS916" s="1207"/>
      <c r="CT916" s="1207"/>
      <c r="CU916" s="1207"/>
      <c r="CV916" s="1207"/>
      <c r="CW916" s="1207"/>
      <c r="CX916" s="1207"/>
      <c r="CY916" s="1207"/>
      <c r="CZ916" s="1207"/>
      <c r="DA916" s="1207"/>
      <c r="DB916" s="1207"/>
      <c r="DE916" s="1207"/>
      <c r="DF916" s="1207"/>
      <c r="DG916" s="1207"/>
      <c r="DH916" s="1207"/>
      <c r="DS916" s="1207"/>
      <c r="DT916" s="1207"/>
      <c r="DU916" s="1207"/>
      <c r="DV916" s="1207"/>
      <c r="DY916" s="1207"/>
      <c r="DZ916" s="1207"/>
      <c r="EA916" s="1207"/>
      <c r="EB916" s="1207"/>
      <c r="EI916" s="1207"/>
      <c r="EJ916" s="1207"/>
      <c r="EK916" s="1207"/>
      <c r="EL916" s="1207"/>
      <c r="EM916" s="107"/>
      <c r="EN916" s="107"/>
      <c r="EO916" s="107"/>
      <c r="EP916" s="107"/>
      <c r="EQ916" s="368"/>
      <c r="ER916" s="368"/>
      <c r="ES916" s="368"/>
      <c r="ET916" s="368"/>
    </row>
    <row r="917" spans="1:150" x14ac:dyDescent="0.25">
      <c r="A917" s="1206"/>
      <c r="B917" s="1206"/>
      <c r="C917" s="1207"/>
      <c r="D917" s="1207"/>
      <c r="E917" s="1207"/>
      <c r="F917" s="1207"/>
      <c r="Q917" s="1207"/>
      <c r="R917" s="1207"/>
      <c r="S917" s="1207"/>
      <c r="T917" s="1207"/>
      <c r="U917" s="1207"/>
      <c r="V917" s="1207"/>
      <c r="W917" s="1207"/>
      <c r="X917" s="1207"/>
      <c r="Y917" s="1207"/>
      <c r="Z917" s="1207"/>
      <c r="AA917" s="1207"/>
      <c r="AB917" s="1207"/>
      <c r="AE917" s="1207"/>
      <c r="AF917" s="1207"/>
      <c r="AG917" s="1207"/>
      <c r="AH917" s="1207"/>
      <c r="AI917" s="1207"/>
      <c r="AJ917" s="1207"/>
      <c r="AK917" s="1207"/>
      <c r="AL917" s="1207"/>
      <c r="AU917" s="1207"/>
      <c r="AV917" s="1207"/>
      <c r="AW917" s="1207"/>
      <c r="AX917" s="1207"/>
      <c r="BA917" s="1207"/>
      <c r="BB917" s="1207"/>
      <c r="BC917" s="1207"/>
      <c r="BD917" s="1207"/>
      <c r="BG917" s="1207"/>
      <c r="BH917" s="1207"/>
      <c r="BI917" s="1207"/>
      <c r="BJ917" s="1207"/>
      <c r="BK917" s="1207"/>
      <c r="BL917" s="1207"/>
      <c r="BM917" s="1207"/>
      <c r="BN917" s="1207"/>
      <c r="BS917" s="1207"/>
      <c r="BT917" s="1207"/>
      <c r="BU917" s="1207"/>
      <c r="BV917" s="1207"/>
      <c r="BY917" s="1207"/>
      <c r="BZ917" s="1207"/>
      <c r="CA917" s="1207"/>
      <c r="CB917" s="1207"/>
      <c r="CG917" s="1207"/>
      <c r="CH917" s="1207"/>
      <c r="CI917" s="1207"/>
      <c r="CJ917" s="1207"/>
      <c r="CM917" s="1207"/>
      <c r="CN917" s="1207"/>
      <c r="CO917" s="1207"/>
      <c r="CP917" s="1207"/>
      <c r="CQ917" s="1207"/>
      <c r="CR917" s="1207"/>
      <c r="CS917" s="1207"/>
      <c r="CT917" s="1207"/>
      <c r="CU917" s="1207"/>
      <c r="CV917" s="1207"/>
      <c r="CW917" s="1207"/>
      <c r="CX917" s="1207"/>
      <c r="CY917" s="1207"/>
      <c r="CZ917" s="1207"/>
      <c r="DA917" s="1207"/>
      <c r="DB917" s="1207"/>
      <c r="DE917" s="1207"/>
      <c r="DF917" s="1207"/>
      <c r="DG917" s="1207"/>
      <c r="DH917" s="1207"/>
      <c r="DS917" s="1207"/>
      <c r="DT917" s="1207"/>
      <c r="DU917" s="1207"/>
      <c r="DV917" s="1207"/>
      <c r="DY917" s="1207"/>
      <c r="DZ917" s="1207"/>
      <c r="EA917" s="1207"/>
      <c r="EB917" s="1207"/>
      <c r="EI917" s="1207"/>
      <c r="EJ917" s="1207"/>
      <c r="EK917" s="1207"/>
      <c r="EL917" s="1207"/>
      <c r="EM917" s="107"/>
      <c r="EN917" s="107"/>
      <c r="EO917" s="107"/>
      <c r="EP917" s="107"/>
      <c r="EQ917" s="368"/>
      <c r="ER917" s="368"/>
      <c r="ES917" s="368"/>
      <c r="ET917" s="368"/>
    </row>
    <row r="918" spans="1:150" x14ac:dyDescent="0.25">
      <c r="A918" s="1206"/>
      <c r="B918" s="1206"/>
      <c r="C918" s="1207"/>
      <c r="D918" s="1207"/>
      <c r="E918" s="1207"/>
      <c r="F918" s="1207"/>
      <c r="Q918" s="1207"/>
      <c r="R918" s="1207"/>
      <c r="S918" s="1207"/>
      <c r="T918" s="1207"/>
      <c r="U918" s="1207"/>
      <c r="V918" s="1207"/>
      <c r="W918" s="1207"/>
      <c r="X918" s="1207"/>
      <c r="Y918" s="1207"/>
      <c r="Z918" s="1207"/>
      <c r="AA918" s="1207"/>
      <c r="AB918" s="1207"/>
      <c r="AE918" s="1207"/>
      <c r="AF918" s="1207"/>
      <c r="AG918" s="1207"/>
      <c r="AH918" s="1207"/>
      <c r="AI918" s="1207"/>
      <c r="AJ918" s="1207"/>
      <c r="AK918" s="1207"/>
      <c r="AL918" s="1207"/>
      <c r="AU918" s="1207"/>
      <c r="AV918" s="1207"/>
      <c r="AW918" s="1207"/>
      <c r="AX918" s="1207"/>
      <c r="BA918" s="1207"/>
      <c r="BB918" s="1207"/>
      <c r="BC918" s="1207"/>
      <c r="BD918" s="1207"/>
      <c r="BG918" s="1207"/>
      <c r="BH918" s="1207"/>
      <c r="BI918" s="1207"/>
      <c r="BJ918" s="1207"/>
      <c r="BK918" s="1207"/>
      <c r="BL918" s="1207"/>
      <c r="BM918" s="1207"/>
      <c r="BN918" s="1207"/>
      <c r="BS918" s="1207"/>
      <c r="BT918" s="1207"/>
      <c r="BU918" s="1207"/>
      <c r="BV918" s="1207"/>
      <c r="BY918" s="1207"/>
      <c r="BZ918" s="1207"/>
      <c r="CA918" s="1207"/>
      <c r="CB918" s="1207"/>
      <c r="CG918" s="1207"/>
      <c r="CH918" s="1207"/>
      <c r="CI918" s="1207"/>
      <c r="CJ918" s="1207"/>
      <c r="CM918" s="1207"/>
      <c r="CN918" s="1207"/>
      <c r="CO918" s="1207"/>
      <c r="CP918" s="1207"/>
      <c r="CQ918" s="1207"/>
      <c r="CR918" s="1207"/>
      <c r="CS918" s="1207"/>
      <c r="CT918" s="1207"/>
      <c r="CU918" s="1207"/>
      <c r="CV918" s="1207"/>
      <c r="CW918" s="1207"/>
      <c r="CX918" s="1207"/>
      <c r="CY918" s="1207"/>
      <c r="CZ918" s="1207"/>
      <c r="DA918" s="1207"/>
      <c r="DB918" s="1207"/>
      <c r="DE918" s="1207"/>
      <c r="DF918" s="1207"/>
      <c r="DG918" s="1207"/>
      <c r="DH918" s="1207"/>
      <c r="DS918" s="1207"/>
      <c r="DT918" s="1207"/>
      <c r="DU918" s="1207"/>
      <c r="DV918" s="1207"/>
      <c r="DY918" s="1207"/>
      <c r="DZ918" s="1207"/>
      <c r="EA918" s="1207"/>
      <c r="EB918" s="1207"/>
      <c r="EI918" s="1207"/>
      <c r="EJ918" s="1207"/>
      <c r="EK918" s="1207"/>
      <c r="EL918" s="1207"/>
      <c r="EM918" s="107"/>
      <c r="EN918" s="107"/>
      <c r="EO918" s="107"/>
      <c r="EP918" s="107"/>
      <c r="EQ918" s="368"/>
      <c r="ER918" s="368"/>
      <c r="ES918" s="368"/>
      <c r="ET918" s="368"/>
    </row>
    <row r="919" spans="1:150" x14ac:dyDescent="0.25">
      <c r="A919" s="1206"/>
      <c r="B919" s="1206"/>
      <c r="C919" s="1207"/>
      <c r="D919" s="1207"/>
      <c r="E919" s="1207"/>
      <c r="F919" s="1207"/>
      <c r="Q919" s="1207"/>
      <c r="R919" s="1207"/>
      <c r="S919" s="1207"/>
      <c r="T919" s="1207"/>
      <c r="U919" s="1207"/>
      <c r="V919" s="1207"/>
      <c r="W919" s="1207"/>
      <c r="X919" s="1207"/>
      <c r="Y919" s="1207"/>
      <c r="Z919" s="1207"/>
      <c r="AA919" s="1207"/>
      <c r="AB919" s="1207"/>
      <c r="AE919" s="1207"/>
      <c r="AF919" s="1207"/>
      <c r="AG919" s="1207"/>
      <c r="AH919" s="1207"/>
      <c r="AI919" s="1207"/>
      <c r="AJ919" s="1207"/>
      <c r="AK919" s="1207"/>
      <c r="AL919" s="1207"/>
      <c r="AU919" s="1207"/>
      <c r="AV919" s="1207"/>
      <c r="AW919" s="1207"/>
      <c r="AX919" s="1207"/>
      <c r="BA919" s="1207"/>
      <c r="BB919" s="1207"/>
      <c r="BC919" s="1207"/>
      <c r="BD919" s="1207"/>
      <c r="BG919" s="1207"/>
      <c r="BH919" s="1207"/>
      <c r="BI919" s="1207"/>
      <c r="BJ919" s="1207"/>
      <c r="BK919" s="1207"/>
      <c r="BL919" s="1207"/>
      <c r="BM919" s="1207"/>
      <c r="BN919" s="1207"/>
      <c r="BS919" s="1207"/>
      <c r="BT919" s="1207"/>
      <c r="BU919" s="1207"/>
      <c r="BV919" s="1207"/>
      <c r="BY919" s="1207"/>
      <c r="BZ919" s="1207"/>
      <c r="CA919" s="1207"/>
      <c r="CB919" s="1207"/>
      <c r="CG919" s="1207"/>
      <c r="CH919" s="1207"/>
      <c r="CI919" s="1207"/>
      <c r="CJ919" s="1207"/>
      <c r="CM919" s="1207"/>
      <c r="CN919" s="1207"/>
      <c r="CO919" s="1207"/>
      <c r="CP919" s="1207"/>
      <c r="CQ919" s="1207"/>
      <c r="CR919" s="1207"/>
      <c r="CS919" s="1207"/>
      <c r="CT919" s="1207"/>
      <c r="CU919" s="1207"/>
      <c r="CV919" s="1207"/>
      <c r="CW919" s="1207"/>
      <c r="CX919" s="1207"/>
      <c r="CY919" s="1207"/>
      <c r="CZ919" s="1207"/>
      <c r="DA919" s="1207"/>
      <c r="DB919" s="1207"/>
      <c r="DE919" s="1207"/>
      <c r="DF919" s="1207"/>
      <c r="DG919" s="1207"/>
      <c r="DH919" s="1207"/>
      <c r="DS919" s="1207"/>
      <c r="DT919" s="1207"/>
      <c r="DU919" s="1207"/>
      <c r="DV919" s="1207"/>
      <c r="DY919" s="1207"/>
      <c r="DZ919" s="1207"/>
      <c r="EA919" s="1207"/>
      <c r="EB919" s="1207"/>
      <c r="EI919" s="1207"/>
      <c r="EJ919" s="1207"/>
      <c r="EK919" s="1207"/>
      <c r="EL919" s="1207"/>
      <c r="EM919" s="107"/>
      <c r="EN919" s="107"/>
      <c r="EO919" s="107"/>
      <c r="EP919" s="107"/>
      <c r="EQ919" s="368"/>
      <c r="ER919" s="368"/>
      <c r="ES919" s="368"/>
      <c r="ET919" s="368"/>
    </row>
    <row r="920" spans="1:150" x14ac:dyDescent="0.25">
      <c r="A920" s="1206"/>
      <c r="B920" s="1206"/>
      <c r="C920" s="1207"/>
      <c r="D920" s="1207"/>
      <c r="E920" s="1207"/>
      <c r="F920" s="1207"/>
      <c r="Q920" s="1207"/>
      <c r="R920" s="1207"/>
      <c r="S920" s="1207"/>
      <c r="T920" s="1207"/>
      <c r="U920" s="1207"/>
      <c r="V920" s="1207"/>
      <c r="W920" s="1207"/>
      <c r="X920" s="1207"/>
      <c r="Y920" s="1207"/>
      <c r="Z920" s="1207"/>
      <c r="AA920" s="1207"/>
      <c r="AB920" s="1207"/>
      <c r="AE920" s="1207"/>
      <c r="AF920" s="1207"/>
      <c r="AG920" s="1207"/>
      <c r="AH920" s="1207"/>
      <c r="AI920" s="1207"/>
      <c r="AJ920" s="1207"/>
      <c r="AK920" s="1207"/>
      <c r="AL920" s="1207"/>
      <c r="AU920" s="1207"/>
      <c r="AV920" s="1207"/>
      <c r="AW920" s="1207"/>
      <c r="AX920" s="1207"/>
      <c r="BA920" s="1207"/>
      <c r="BB920" s="1207"/>
      <c r="BC920" s="1207"/>
      <c r="BD920" s="1207"/>
      <c r="BG920" s="1207"/>
      <c r="BH920" s="1207"/>
      <c r="BI920" s="1207"/>
      <c r="BJ920" s="1207"/>
      <c r="BK920" s="1207"/>
      <c r="BL920" s="1207"/>
      <c r="BM920" s="1207"/>
      <c r="BN920" s="1207"/>
      <c r="BS920" s="1207"/>
      <c r="BT920" s="1207"/>
      <c r="BU920" s="1207"/>
      <c r="BV920" s="1207"/>
      <c r="BY920" s="1207"/>
      <c r="BZ920" s="1207"/>
      <c r="CA920" s="1207"/>
      <c r="CB920" s="1207"/>
      <c r="CG920" s="1207"/>
      <c r="CH920" s="1207"/>
      <c r="CI920" s="1207"/>
      <c r="CJ920" s="1207"/>
      <c r="CM920" s="1207"/>
      <c r="CN920" s="1207"/>
      <c r="CO920" s="1207"/>
      <c r="CP920" s="1207"/>
      <c r="CQ920" s="1207"/>
      <c r="CR920" s="1207"/>
      <c r="CS920" s="1207"/>
      <c r="CT920" s="1207"/>
      <c r="CU920" s="1207"/>
      <c r="CV920" s="1207"/>
      <c r="CW920" s="1207"/>
      <c r="CX920" s="1207"/>
      <c r="CY920" s="1207"/>
      <c r="CZ920" s="1207"/>
      <c r="DA920" s="1207"/>
      <c r="DB920" s="1207"/>
      <c r="DE920" s="1207"/>
      <c r="DF920" s="1207"/>
      <c r="DG920" s="1207"/>
      <c r="DH920" s="1207"/>
      <c r="DS920" s="1207"/>
      <c r="DT920" s="1207"/>
      <c r="DU920" s="1207"/>
      <c r="DV920" s="1207"/>
      <c r="DY920" s="1207"/>
      <c r="DZ920" s="1207"/>
      <c r="EA920" s="1207"/>
      <c r="EB920" s="1207"/>
      <c r="EI920" s="1207"/>
      <c r="EJ920" s="1207"/>
      <c r="EK920" s="1207"/>
      <c r="EL920" s="1207"/>
      <c r="EM920" s="107"/>
      <c r="EN920" s="107"/>
      <c r="EO920" s="107"/>
      <c r="EP920" s="107"/>
      <c r="EQ920" s="368"/>
      <c r="ER920" s="368"/>
      <c r="ES920" s="368"/>
      <c r="ET920" s="368"/>
    </row>
    <row r="921" spans="1:150" x14ac:dyDescent="0.25">
      <c r="A921" s="1206"/>
      <c r="B921" s="1206"/>
      <c r="C921" s="1207"/>
      <c r="D921" s="1207"/>
      <c r="E921" s="1207"/>
      <c r="F921" s="1207"/>
      <c r="Q921" s="1207"/>
      <c r="R921" s="1207"/>
      <c r="S921" s="1207"/>
      <c r="T921" s="1207"/>
      <c r="U921" s="1207"/>
      <c r="V921" s="1207"/>
      <c r="W921" s="1207"/>
      <c r="X921" s="1207"/>
      <c r="Y921" s="1207"/>
      <c r="Z921" s="1207"/>
      <c r="AA921" s="1207"/>
      <c r="AB921" s="1207"/>
      <c r="AE921" s="1207"/>
      <c r="AF921" s="1207"/>
      <c r="AG921" s="1207"/>
      <c r="AH921" s="1207"/>
      <c r="AI921" s="1207"/>
      <c r="AJ921" s="1207"/>
      <c r="AK921" s="1207"/>
      <c r="AL921" s="1207"/>
      <c r="AU921" s="1207"/>
      <c r="AV921" s="1207"/>
      <c r="AW921" s="1207"/>
      <c r="AX921" s="1207"/>
      <c r="BA921" s="1207"/>
      <c r="BB921" s="1207"/>
      <c r="BC921" s="1207"/>
      <c r="BD921" s="1207"/>
      <c r="BG921" s="1207"/>
      <c r="BH921" s="1207"/>
      <c r="BI921" s="1207"/>
      <c r="BJ921" s="1207"/>
      <c r="BK921" s="1207"/>
      <c r="BL921" s="1207"/>
      <c r="BM921" s="1207"/>
      <c r="BN921" s="1207"/>
      <c r="BS921" s="1207"/>
      <c r="BT921" s="1207"/>
      <c r="BU921" s="1207"/>
      <c r="BV921" s="1207"/>
      <c r="BY921" s="1207"/>
      <c r="BZ921" s="1207"/>
      <c r="CA921" s="1207"/>
      <c r="CB921" s="1207"/>
      <c r="CG921" s="1207"/>
      <c r="CH921" s="1207"/>
      <c r="CI921" s="1207"/>
      <c r="CJ921" s="1207"/>
      <c r="CM921" s="1207"/>
      <c r="CN921" s="1207"/>
      <c r="CO921" s="1207"/>
      <c r="CP921" s="1207"/>
      <c r="CQ921" s="1207"/>
      <c r="CR921" s="1207"/>
      <c r="CS921" s="1207"/>
      <c r="CT921" s="1207"/>
      <c r="CU921" s="1207"/>
      <c r="CV921" s="1207"/>
      <c r="CW921" s="1207"/>
      <c r="CX921" s="1207"/>
      <c r="CY921" s="1207"/>
      <c r="CZ921" s="1207"/>
      <c r="DA921" s="1207"/>
      <c r="DB921" s="1207"/>
      <c r="DE921" s="1207"/>
      <c r="DF921" s="1207"/>
      <c r="DG921" s="1207"/>
      <c r="DH921" s="1207"/>
      <c r="DS921" s="1207"/>
      <c r="DT921" s="1207"/>
      <c r="DU921" s="1207"/>
      <c r="DV921" s="1207"/>
      <c r="DY921" s="1207"/>
      <c r="DZ921" s="1207"/>
      <c r="EA921" s="1207"/>
      <c r="EB921" s="1207"/>
      <c r="EI921" s="1207"/>
      <c r="EJ921" s="1207"/>
      <c r="EK921" s="1207"/>
      <c r="EL921" s="1207"/>
      <c r="EM921" s="107"/>
      <c r="EN921" s="107"/>
      <c r="EO921" s="107"/>
      <c r="EP921" s="107"/>
      <c r="EQ921" s="368"/>
      <c r="ER921" s="368"/>
      <c r="ES921" s="368"/>
      <c r="ET921" s="368"/>
    </row>
    <row r="922" spans="1:150" x14ac:dyDescent="0.25">
      <c r="A922" s="1206"/>
      <c r="B922" s="1206"/>
      <c r="C922" s="1207"/>
      <c r="D922" s="1207"/>
      <c r="E922" s="1207"/>
      <c r="F922" s="1207"/>
      <c r="Q922" s="1207"/>
      <c r="R922" s="1207"/>
      <c r="S922" s="1207"/>
      <c r="T922" s="1207"/>
      <c r="U922" s="1207"/>
      <c r="V922" s="1207"/>
      <c r="W922" s="1207"/>
      <c r="X922" s="1207"/>
      <c r="Y922" s="1207"/>
      <c r="Z922" s="1207"/>
      <c r="AA922" s="1207"/>
      <c r="AB922" s="1207"/>
      <c r="AE922" s="1207"/>
      <c r="AF922" s="1207"/>
      <c r="AG922" s="1207"/>
      <c r="AH922" s="1207"/>
      <c r="AI922" s="1207"/>
      <c r="AJ922" s="1207"/>
      <c r="AK922" s="1207"/>
      <c r="AL922" s="1207"/>
      <c r="AU922" s="1207"/>
      <c r="AV922" s="1207"/>
      <c r="AW922" s="1207"/>
      <c r="AX922" s="1207"/>
      <c r="BA922" s="1207"/>
      <c r="BB922" s="1207"/>
      <c r="BC922" s="1207"/>
      <c r="BD922" s="1207"/>
      <c r="BG922" s="1207"/>
      <c r="BH922" s="1207"/>
      <c r="BI922" s="1207"/>
      <c r="BJ922" s="1207"/>
      <c r="BK922" s="1207"/>
      <c r="BL922" s="1207"/>
      <c r="BM922" s="1207"/>
      <c r="BN922" s="1207"/>
      <c r="BS922" s="1207"/>
      <c r="BT922" s="1207"/>
      <c r="BU922" s="1207"/>
      <c r="BV922" s="1207"/>
      <c r="BY922" s="1207"/>
      <c r="BZ922" s="1207"/>
      <c r="CA922" s="1207"/>
      <c r="CB922" s="1207"/>
      <c r="CG922" s="1207"/>
      <c r="CH922" s="1207"/>
      <c r="CI922" s="1207"/>
      <c r="CJ922" s="1207"/>
      <c r="CM922" s="1207"/>
      <c r="CN922" s="1207"/>
      <c r="CO922" s="1207"/>
      <c r="CP922" s="1207"/>
      <c r="CQ922" s="1207"/>
      <c r="CR922" s="1207"/>
      <c r="CS922" s="1207"/>
      <c r="CT922" s="1207"/>
      <c r="CU922" s="1207"/>
      <c r="CV922" s="1207"/>
      <c r="CW922" s="1207"/>
      <c r="CX922" s="1207"/>
      <c r="CY922" s="1207"/>
      <c r="CZ922" s="1207"/>
      <c r="DA922" s="1207"/>
      <c r="DB922" s="1207"/>
      <c r="DE922" s="1207"/>
      <c r="DF922" s="1207"/>
      <c r="DG922" s="1207"/>
      <c r="DH922" s="1207"/>
      <c r="DS922" s="1207"/>
      <c r="DT922" s="1207"/>
      <c r="DU922" s="1207"/>
      <c r="DV922" s="1207"/>
      <c r="DY922" s="1207"/>
      <c r="DZ922" s="1207"/>
      <c r="EA922" s="1207"/>
      <c r="EB922" s="1207"/>
      <c r="EI922" s="1207"/>
      <c r="EJ922" s="1207"/>
      <c r="EK922" s="1207"/>
      <c r="EL922" s="1207"/>
      <c r="EM922" s="107"/>
      <c r="EN922" s="107"/>
      <c r="EO922" s="107"/>
      <c r="EP922" s="107"/>
      <c r="EQ922" s="368"/>
      <c r="ER922" s="368"/>
      <c r="ES922" s="368"/>
      <c r="ET922" s="368"/>
    </row>
    <row r="923" spans="1:150" x14ac:dyDescent="0.25">
      <c r="A923" s="1206"/>
      <c r="B923" s="1206"/>
      <c r="C923" s="1207"/>
      <c r="D923" s="1207"/>
      <c r="E923" s="1207"/>
      <c r="F923" s="1207"/>
      <c r="Q923" s="1207"/>
      <c r="R923" s="1207"/>
      <c r="S923" s="1207"/>
      <c r="T923" s="1207"/>
      <c r="U923" s="1207"/>
      <c r="V923" s="1207"/>
      <c r="W923" s="1207"/>
      <c r="X923" s="1207"/>
      <c r="Y923" s="1207"/>
      <c r="Z923" s="1207"/>
      <c r="AA923" s="1207"/>
      <c r="AB923" s="1207"/>
      <c r="AE923" s="1207"/>
      <c r="AF923" s="1207"/>
      <c r="AG923" s="1207"/>
      <c r="AH923" s="1207"/>
      <c r="AI923" s="1207"/>
      <c r="AJ923" s="1207"/>
      <c r="AK923" s="1207"/>
      <c r="AL923" s="1207"/>
      <c r="AU923" s="1207"/>
      <c r="AV923" s="1207"/>
      <c r="AW923" s="1207"/>
      <c r="AX923" s="1207"/>
      <c r="BA923" s="1207"/>
      <c r="BB923" s="1207"/>
      <c r="BC923" s="1207"/>
      <c r="BD923" s="1207"/>
      <c r="BG923" s="1207"/>
      <c r="BH923" s="1207"/>
      <c r="BI923" s="1207"/>
      <c r="BJ923" s="1207"/>
      <c r="BK923" s="1207"/>
      <c r="BL923" s="1207"/>
      <c r="BM923" s="1207"/>
      <c r="BN923" s="1207"/>
      <c r="BS923" s="1207"/>
      <c r="BT923" s="1207"/>
      <c r="BU923" s="1207"/>
      <c r="BV923" s="1207"/>
      <c r="BY923" s="1207"/>
      <c r="BZ923" s="1207"/>
      <c r="CA923" s="1207"/>
      <c r="CB923" s="1207"/>
      <c r="CG923" s="1207"/>
      <c r="CH923" s="1207"/>
      <c r="CI923" s="1207"/>
      <c r="CJ923" s="1207"/>
      <c r="CM923" s="1207"/>
      <c r="CN923" s="1207"/>
      <c r="CO923" s="1207"/>
      <c r="CP923" s="1207"/>
      <c r="CQ923" s="1207"/>
      <c r="CR923" s="1207"/>
      <c r="CS923" s="1207"/>
      <c r="CT923" s="1207"/>
      <c r="CU923" s="1207"/>
      <c r="CV923" s="1207"/>
      <c r="CW923" s="1207"/>
      <c r="CX923" s="1207"/>
      <c r="CY923" s="1207"/>
      <c r="CZ923" s="1207"/>
      <c r="DA923" s="1207"/>
      <c r="DB923" s="1207"/>
      <c r="DE923" s="1207"/>
      <c r="DF923" s="1207"/>
      <c r="DG923" s="1207"/>
      <c r="DH923" s="1207"/>
      <c r="DS923" s="1207"/>
      <c r="DT923" s="1207"/>
      <c r="DU923" s="1207"/>
      <c r="DV923" s="1207"/>
      <c r="DY923" s="1207"/>
      <c r="DZ923" s="1207"/>
      <c r="EA923" s="1207"/>
      <c r="EB923" s="1207"/>
      <c r="EI923" s="1207"/>
      <c r="EJ923" s="1207"/>
      <c r="EK923" s="1207"/>
      <c r="EL923" s="1207"/>
      <c r="EM923" s="107"/>
      <c r="EN923" s="107"/>
      <c r="EO923" s="107"/>
      <c r="EP923" s="107"/>
      <c r="EQ923" s="368"/>
      <c r="ER923" s="368"/>
      <c r="ES923" s="368"/>
      <c r="ET923" s="368"/>
    </row>
    <row r="924" spans="1:150" x14ac:dyDescent="0.25">
      <c r="A924" s="1206"/>
      <c r="B924" s="1206"/>
      <c r="C924" s="1207"/>
      <c r="D924" s="1207"/>
      <c r="E924" s="1207"/>
      <c r="F924" s="1207"/>
      <c r="Q924" s="1207"/>
      <c r="R924" s="1207"/>
      <c r="S924" s="1207"/>
      <c r="T924" s="1207"/>
      <c r="U924" s="1207"/>
      <c r="V924" s="1207"/>
      <c r="W924" s="1207"/>
      <c r="X924" s="1207"/>
      <c r="Y924" s="1207"/>
      <c r="Z924" s="1207"/>
      <c r="AA924" s="1207"/>
      <c r="AB924" s="1207"/>
      <c r="AE924" s="1207"/>
      <c r="AF924" s="1207"/>
      <c r="AG924" s="1207"/>
      <c r="AH924" s="1207"/>
      <c r="AI924" s="1207"/>
      <c r="AJ924" s="1207"/>
      <c r="AK924" s="1207"/>
      <c r="AL924" s="1207"/>
      <c r="AU924" s="1207"/>
      <c r="AV924" s="1207"/>
      <c r="AW924" s="1207"/>
      <c r="AX924" s="1207"/>
      <c r="BA924" s="1207"/>
      <c r="BB924" s="1207"/>
      <c r="BC924" s="1207"/>
      <c r="BD924" s="1207"/>
      <c r="BG924" s="1207"/>
      <c r="BH924" s="1207"/>
      <c r="BI924" s="1207"/>
      <c r="BJ924" s="1207"/>
      <c r="BK924" s="1207"/>
      <c r="BL924" s="1207"/>
      <c r="BM924" s="1207"/>
      <c r="BN924" s="1207"/>
      <c r="BS924" s="1207"/>
      <c r="BT924" s="1207"/>
      <c r="BU924" s="1207"/>
      <c r="BV924" s="1207"/>
      <c r="BY924" s="1207"/>
      <c r="BZ924" s="1207"/>
      <c r="CA924" s="1207"/>
      <c r="CB924" s="1207"/>
      <c r="CG924" s="1207"/>
      <c r="CH924" s="1207"/>
      <c r="CI924" s="1207"/>
      <c r="CJ924" s="1207"/>
      <c r="CM924" s="1207"/>
      <c r="CN924" s="1207"/>
      <c r="CO924" s="1207"/>
      <c r="CP924" s="1207"/>
      <c r="CQ924" s="1207"/>
      <c r="CR924" s="1207"/>
      <c r="CS924" s="1207"/>
      <c r="CT924" s="1207"/>
      <c r="CU924" s="1207"/>
      <c r="CV924" s="1207"/>
      <c r="CW924" s="1207"/>
      <c r="CX924" s="1207"/>
      <c r="CY924" s="1207"/>
      <c r="CZ924" s="1207"/>
      <c r="DA924" s="1207"/>
      <c r="DB924" s="1207"/>
      <c r="DE924" s="1207"/>
      <c r="DF924" s="1207"/>
      <c r="DG924" s="1207"/>
      <c r="DH924" s="1207"/>
      <c r="DS924" s="1207"/>
      <c r="DT924" s="1207"/>
      <c r="DU924" s="1207"/>
      <c r="DV924" s="1207"/>
      <c r="DY924" s="1207"/>
      <c r="DZ924" s="1207"/>
      <c r="EA924" s="1207"/>
      <c r="EB924" s="1207"/>
      <c r="EI924" s="1207"/>
      <c r="EJ924" s="1207"/>
      <c r="EK924" s="1207"/>
      <c r="EL924" s="1207"/>
      <c r="EM924" s="107"/>
      <c r="EN924" s="107"/>
      <c r="EO924" s="107"/>
      <c r="EP924" s="107"/>
      <c r="EQ924" s="368"/>
      <c r="ER924" s="368"/>
      <c r="ES924" s="368"/>
      <c r="ET924" s="368"/>
    </row>
    <row r="925" spans="1:150" x14ac:dyDescent="0.25">
      <c r="A925" s="1206"/>
      <c r="B925" s="1206"/>
      <c r="C925" s="1207"/>
      <c r="D925" s="1207"/>
      <c r="E925" s="1207"/>
      <c r="F925" s="1207"/>
      <c r="Q925" s="1207"/>
      <c r="R925" s="1207"/>
      <c r="S925" s="1207"/>
      <c r="T925" s="1207"/>
      <c r="U925" s="1207"/>
      <c r="V925" s="1207"/>
      <c r="W925" s="1207"/>
      <c r="X925" s="1207"/>
      <c r="Y925" s="1207"/>
      <c r="Z925" s="1207"/>
      <c r="AA925" s="1207"/>
      <c r="AB925" s="1207"/>
      <c r="AE925" s="1207"/>
      <c r="AF925" s="1207"/>
      <c r="AG925" s="1207"/>
      <c r="AH925" s="1207"/>
      <c r="AI925" s="1207"/>
      <c r="AJ925" s="1207"/>
      <c r="AK925" s="1207"/>
      <c r="AL925" s="1207"/>
      <c r="AU925" s="1207"/>
      <c r="AV925" s="1207"/>
      <c r="AW925" s="1207"/>
      <c r="AX925" s="1207"/>
      <c r="BA925" s="1207"/>
      <c r="BB925" s="1207"/>
      <c r="BC925" s="1207"/>
      <c r="BD925" s="1207"/>
      <c r="BG925" s="1207"/>
      <c r="BH925" s="1207"/>
      <c r="BI925" s="1207"/>
      <c r="BJ925" s="1207"/>
      <c r="BK925" s="1207"/>
      <c r="BL925" s="1207"/>
      <c r="BM925" s="1207"/>
      <c r="BN925" s="1207"/>
      <c r="BS925" s="1207"/>
      <c r="BT925" s="1207"/>
      <c r="BU925" s="1207"/>
      <c r="BV925" s="1207"/>
      <c r="BY925" s="1207"/>
      <c r="BZ925" s="1207"/>
      <c r="CA925" s="1207"/>
      <c r="CB925" s="1207"/>
      <c r="CG925" s="1207"/>
      <c r="CH925" s="1207"/>
      <c r="CI925" s="1207"/>
      <c r="CJ925" s="1207"/>
      <c r="CM925" s="1207"/>
      <c r="CN925" s="1207"/>
      <c r="CO925" s="1207"/>
      <c r="CP925" s="1207"/>
      <c r="CQ925" s="1207"/>
      <c r="CR925" s="1207"/>
      <c r="CS925" s="1207"/>
      <c r="CT925" s="1207"/>
      <c r="CU925" s="1207"/>
      <c r="CV925" s="1207"/>
      <c r="CW925" s="1207"/>
      <c r="CX925" s="1207"/>
      <c r="CY925" s="1207"/>
      <c r="CZ925" s="1207"/>
      <c r="DA925" s="1207"/>
      <c r="DB925" s="1207"/>
      <c r="DE925" s="1207"/>
      <c r="DF925" s="1207"/>
      <c r="DG925" s="1207"/>
      <c r="DH925" s="1207"/>
      <c r="DS925" s="1207"/>
      <c r="DT925" s="1207"/>
      <c r="DU925" s="1207"/>
      <c r="DV925" s="1207"/>
      <c r="DY925" s="1207"/>
      <c r="DZ925" s="1207"/>
      <c r="EA925" s="1207"/>
      <c r="EB925" s="1207"/>
      <c r="EI925" s="1207"/>
      <c r="EJ925" s="1207"/>
      <c r="EK925" s="1207"/>
      <c r="EL925" s="1207"/>
      <c r="EM925" s="107"/>
      <c r="EN925" s="107"/>
      <c r="EO925" s="107"/>
      <c r="EP925" s="107"/>
      <c r="EQ925" s="368"/>
      <c r="ER925" s="368"/>
      <c r="ES925" s="368"/>
      <c r="ET925" s="368"/>
    </row>
    <row r="926" spans="1:150" x14ac:dyDescent="0.25">
      <c r="A926" s="1206"/>
      <c r="B926" s="1206"/>
      <c r="C926" s="1207"/>
      <c r="D926" s="1207"/>
      <c r="E926" s="1207"/>
      <c r="F926" s="1207"/>
      <c r="Q926" s="1207"/>
      <c r="R926" s="1207"/>
      <c r="S926" s="1207"/>
      <c r="T926" s="1207"/>
      <c r="U926" s="1207"/>
      <c r="V926" s="1207"/>
      <c r="W926" s="1207"/>
      <c r="X926" s="1207"/>
      <c r="Y926" s="1207"/>
      <c r="Z926" s="1207"/>
      <c r="AA926" s="1207"/>
      <c r="AB926" s="1207"/>
      <c r="AE926" s="1207"/>
      <c r="AF926" s="1207"/>
      <c r="AG926" s="1207"/>
      <c r="AH926" s="1207"/>
      <c r="AI926" s="1207"/>
      <c r="AJ926" s="1207"/>
      <c r="AK926" s="1207"/>
      <c r="AL926" s="1207"/>
      <c r="AU926" s="1207"/>
      <c r="AV926" s="1207"/>
      <c r="AW926" s="1207"/>
      <c r="AX926" s="1207"/>
      <c r="BA926" s="1207"/>
      <c r="BB926" s="1207"/>
      <c r="BC926" s="1207"/>
      <c r="BD926" s="1207"/>
      <c r="BG926" s="1207"/>
      <c r="BH926" s="1207"/>
      <c r="BI926" s="1207"/>
      <c r="BJ926" s="1207"/>
      <c r="BK926" s="1207"/>
      <c r="BL926" s="1207"/>
      <c r="BM926" s="1207"/>
      <c r="BN926" s="1207"/>
      <c r="BS926" s="1207"/>
      <c r="BT926" s="1207"/>
      <c r="BU926" s="1207"/>
      <c r="BV926" s="1207"/>
      <c r="BY926" s="1207"/>
      <c r="BZ926" s="1207"/>
      <c r="CA926" s="1207"/>
      <c r="CB926" s="1207"/>
      <c r="CG926" s="1207"/>
      <c r="CH926" s="1207"/>
      <c r="CI926" s="1207"/>
      <c r="CJ926" s="1207"/>
      <c r="CM926" s="1207"/>
      <c r="CN926" s="1207"/>
      <c r="CO926" s="1207"/>
      <c r="CP926" s="1207"/>
      <c r="CQ926" s="1207"/>
      <c r="CR926" s="1207"/>
      <c r="CS926" s="1207"/>
      <c r="CT926" s="1207"/>
      <c r="CU926" s="1207"/>
      <c r="CV926" s="1207"/>
      <c r="CW926" s="1207"/>
      <c r="CX926" s="1207"/>
      <c r="CY926" s="1207"/>
      <c r="CZ926" s="1207"/>
      <c r="DA926" s="1207"/>
      <c r="DB926" s="1207"/>
      <c r="DE926" s="1207"/>
      <c r="DF926" s="1207"/>
      <c r="DG926" s="1207"/>
      <c r="DH926" s="1207"/>
      <c r="DS926" s="1207"/>
      <c r="DT926" s="1207"/>
      <c r="DU926" s="1207"/>
      <c r="DV926" s="1207"/>
      <c r="DY926" s="1207"/>
      <c r="DZ926" s="1207"/>
      <c r="EA926" s="1207"/>
      <c r="EB926" s="1207"/>
      <c r="EI926" s="1207"/>
      <c r="EJ926" s="1207"/>
      <c r="EK926" s="1207"/>
      <c r="EL926" s="1207"/>
      <c r="EM926" s="107"/>
      <c r="EN926" s="107"/>
      <c r="EO926" s="107"/>
      <c r="EP926" s="107"/>
      <c r="EQ926" s="368"/>
      <c r="ER926" s="368"/>
      <c r="ES926" s="368"/>
      <c r="ET926" s="368"/>
    </row>
    <row r="927" spans="1:150" x14ac:dyDescent="0.25">
      <c r="A927" s="1206"/>
      <c r="B927" s="1206"/>
      <c r="C927" s="1207"/>
      <c r="D927" s="1207"/>
      <c r="E927" s="1207"/>
      <c r="F927" s="1207"/>
      <c r="Q927" s="1207"/>
      <c r="R927" s="1207"/>
      <c r="S927" s="1207"/>
      <c r="T927" s="1207"/>
      <c r="U927" s="1207"/>
      <c r="V927" s="1207"/>
      <c r="W927" s="1207"/>
      <c r="X927" s="1207"/>
      <c r="Y927" s="1207"/>
      <c r="Z927" s="1207"/>
      <c r="AA927" s="1207"/>
      <c r="AB927" s="1207"/>
      <c r="AE927" s="1207"/>
      <c r="AF927" s="1207"/>
      <c r="AG927" s="1207"/>
      <c r="AH927" s="1207"/>
      <c r="AI927" s="1207"/>
      <c r="AJ927" s="1207"/>
      <c r="AK927" s="1207"/>
      <c r="AL927" s="1207"/>
      <c r="AU927" s="1207"/>
      <c r="AV927" s="1207"/>
      <c r="AW927" s="1207"/>
      <c r="AX927" s="1207"/>
      <c r="BA927" s="1207"/>
      <c r="BB927" s="1207"/>
      <c r="BC927" s="1207"/>
      <c r="BD927" s="1207"/>
      <c r="BG927" s="1207"/>
      <c r="BH927" s="1207"/>
      <c r="BI927" s="1207"/>
      <c r="BJ927" s="1207"/>
      <c r="BK927" s="1207"/>
      <c r="BL927" s="1207"/>
      <c r="BM927" s="1207"/>
      <c r="BN927" s="1207"/>
      <c r="BS927" s="1207"/>
      <c r="BT927" s="1207"/>
      <c r="BU927" s="1207"/>
      <c r="BV927" s="1207"/>
      <c r="BY927" s="1207"/>
      <c r="BZ927" s="1207"/>
      <c r="CA927" s="1207"/>
      <c r="CB927" s="1207"/>
      <c r="CG927" s="1207"/>
      <c r="CH927" s="1207"/>
      <c r="CI927" s="1207"/>
      <c r="CJ927" s="1207"/>
      <c r="CM927" s="1207"/>
      <c r="CN927" s="1207"/>
      <c r="CO927" s="1207"/>
      <c r="CP927" s="1207"/>
      <c r="CQ927" s="1207"/>
      <c r="CR927" s="1207"/>
      <c r="CS927" s="1207"/>
      <c r="CT927" s="1207"/>
      <c r="CU927" s="1207"/>
      <c r="CV927" s="1207"/>
      <c r="CW927" s="1207"/>
      <c r="CX927" s="1207"/>
      <c r="CY927" s="1207"/>
      <c r="CZ927" s="1207"/>
      <c r="DA927" s="1207"/>
      <c r="DB927" s="1207"/>
      <c r="DE927" s="1207"/>
      <c r="DF927" s="1207"/>
      <c r="DG927" s="1207"/>
      <c r="DH927" s="1207"/>
      <c r="DS927" s="1207"/>
      <c r="DT927" s="1207"/>
      <c r="DU927" s="1207"/>
      <c r="DV927" s="1207"/>
      <c r="DY927" s="1207"/>
      <c r="DZ927" s="1207"/>
      <c r="EA927" s="1207"/>
      <c r="EB927" s="1207"/>
      <c r="EI927" s="1207"/>
      <c r="EJ927" s="1207"/>
      <c r="EK927" s="1207"/>
      <c r="EL927" s="1207"/>
      <c r="EM927" s="107"/>
      <c r="EN927" s="107"/>
      <c r="EO927" s="107"/>
      <c r="EP927" s="107"/>
      <c r="EQ927" s="368"/>
      <c r="ER927" s="368"/>
      <c r="ES927" s="368"/>
      <c r="ET927" s="368"/>
    </row>
    <row r="928" spans="1:150" x14ac:dyDescent="0.25">
      <c r="A928" s="1206"/>
      <c r="B928" s="1206"/>
      <c r="C928" s="1207"/>
      <c r="D928" s="1207"/>
      <c r="E928" s="1207"/>
      <c r="F928" s="1207"/>
      <c r="Q928" s="1207"/>
      <c r="R928" s="1207"/>
      <c r="S928" s="1207"/>
      <c r="T928" s="1207"/>
      <c r="U928" s="1207"/>
      <c r="V928" s="1207"/>
      <c r="W928" s="1207"/>
      <c r="X928" s="1207"/>
      <c r="Y928" s="1207"/>
      <c r="Z928" s="1207"/>
      <c r="AA928" s="1207"/>
      <c r="AB928" s="1207"/>
      <c r="AE928" s="1207"/>
      <c r="AF928" s="1207"/>
      <c r="AG928" s="1207"/>
      <c r="AH928" s="1207"/>
      <c r="AI928" s="1207"/>
      <c r="AJ928" s="1207"/>
      <c r="AK928" s="1207"/>
      <c r="AL928" s="1207"/>
      <c r="AU928" s="1207"/>
      <c r="AV928" s="1207"/>
      <c r="AW928" s="1207"/>
      <c r="AX928" s="1207"/>
      <c r="BA928" s="1207"/>
      <c r="BB928" s="1207"/>
      <c r="BC928" s="1207"/>
      <c r="BD928" s="1207"/>
      <c r="BG928" s="1207"/>
      <c r="BH928" s="1207"/>
      <c r="BI928" s="1207"/>
      <c r="BJ928" s="1207"/>
      <c r="BK928" s="1207"/>
      <c r="BL928" s="1207"/>
      <c r="BM928" s="1207"/>
      <c r="BN928" s="1207"/>
      <c r="BS928" s="1207"/>
      <c r="BT928" s="1207"/>
      <c r="BU928" s="1207"/>
      <c r="BV928" s="1207"/>
      <c r="BY928" s="1207"/>
      <c r="BZ928" s="1207"/>
      <c r="CA928" s="1207"/>
      <c r="CB928" s="1207"/>
      <c r="CG928" s="1207"/>
      <c r="CH928" s="1207"/>
      <c r="CI928" s="1207"/>
      <c r="CJ928" s="1207"/>
      <c r="CM928" s="1207"/>
      <c r="CN928" s="1207"/>
      <c r="CO928" s="1207"/>
      <c r="CP928" s="1207"/>
      <c r="CQ928" s="1207"/>
      <c r="CR928" s="1207"/>
      <c r="CS928" s="1207"/>
      <c r="CT928" s="1207"/>
      <c r="CU928" s="1207"/>
      <c r="CV928" s="1207"/>
      <c r="CW928" s="1207"/>
      <c r="CX928" s="1207"/>
      <c r="CY928" s="1207"/>
      <c r="CZ928" s="1207"/>
      <c r="DA928" s="1207"/>
      <c r="DB928" s="1207"/>
      <c r="DE928" s="1207"/>
      <c r="DF928" s="1207"/>
      <c r="DG928" s="1207"/>
      <c r="DH928" s="1207"/>
      <c r="DS928" s="1207"/>
      <c r="DT928" s="1207"/>
      <c r="DU928" s="1207"/>
      <c r="DV928" s="1207"/>
      <c r="DY928" s="1207"/>
      <c r="DZ928" s="1207"/>
      <c r="EA928" s="1207"/>
      <c r="EB928" s="1207"/>
      <c r="EI928" s="1207"/>
      <c r="EJ928" s="1207"/>
      <c r="EK928" s="1207"/>
      <c r="EL928" s="1207"/>
      <c r="EM928" s="107"/>
      <c r="EN928" s="107"/>
      <c r="EO928" s="107"/>
      <c r="EP928" s="107"/>
      <c r="EQ928" s="368"/>
      <c r="ER928" s="368"/>
      <c r="ES928" s="368"/>
      <c r="ET928" s="368"/>
    </row>
    <row r="929" spans="1:150" x14ac:dyDescent="0.25">
      <c r="A929" s="1206"/>
      <c r="B929" s="1206"/>
      <c r="C929" s="1207"/>
      <c r="D929" s="1207"/>
      <c r="E929" s="1207"/>
      <c r="F929" s="1207"/>
      <c r="Q929" s="1207"/>
      <c r="R929" s="1207"/>
      <c r="S929" s="1207"/>
      <c r="T929" s="1207"/>
      <c r="U929" s="1207"/>
      <c r="V929" s="1207"/>
      <c r="W929" s="1207"/>
      <c r="X929" s="1207"/>
      <c r="Y929" s="1207"/>
      <c r="Z929" s="1207"/>
      <c r="AA929" s="1207"/>
      <c r="AB929" s="1207"/>
      <c r="AE929" s="1207"/>
      <c r="AF929" s="1207"/>
      <c r="AG929" s="1207"/>
      <c r="AH929" s="1207"/>
      <c r="AI929" s="1207"/>
      <c r="AJ929" s="1207"/>
      <c r="AK929" s="1207"/>
      <c r="AL929" s="1207"/>
      <c r="AU929" s="1207"/>
      <c r="AV929" s="1207"/>
      <c r="AW929" s="1207"/>
      <c r="AX929" s="1207"/>
      <c r="BA929" s="1207"/>
      <c r="BB929" s="1207"/>
      <c r="BC929" s="1207"/>
      <c r="BD929" s="1207"/>
      <c r="BG929" s="1207"/>
      <c r="BH929" s="1207"/>
      <c r="BI929" s="1207"/>
      <c r="BJ929" s="1207"/>
      <c r="BK929" s="1207"/>
      <c r="BL929" s="1207"/>
      <c r="BM929" s="1207"/>
      <c r="BN929" s="1207"/>
      <c r="BS929" s="1207"/>
      <c r="BT929" s="1207"/>
      <c r="BU929" s="1207"/>
      <c r="BV929" s="1207"/>
      <c r="BY929" s="1207"/>
      <c r="BZ929" s="1207"/>
      <c r="CA929" s="1207"/>
      <c r="CB929" s="1207"/>
      <c r="CG929" s="1207"/>
      <c r="CH929" s="1207"/>
      <c r="CI929" s="1207"/>
      <c r="CJ929" s="1207"/>
      <c r="CM929" s="1207"/>
      <c r="CN929" s="1207"/>
      <c r="CO929" s="1207"/>
      <c r="CP929" s="1207"/>
      <c r="CQ929" s="1207"/>
      <c r="CR929" s="1207"/>
      <c r="CS929" s="1207"/>
      <c r="CT929" s="1207"/>
      <c r="CU929" s="1207"/>
      <c r="CV929" s="1207"/>
      <c r="CW929" s="1207"/>
      <c r="CX929" s="1207"/>
      <c r="CY929" s="1207"/>
      <c r="CZ929" s="1207"/>
      <c r="DA929" s="1207"/>
      <c r="DB929" s="1207"/>
      <c r="DE929" s="1207"/>
      <c r="DF929" s="1207"/>
      <c r="DG929" s="1207"/>
      <c r="DH929" s="1207"/>
      <c r="DS929" s="1207"/>
      <c r="DT929" s="1207"/>
      <c r="DU929" s="1207"/>
      <c r="DV929" s="1207"/>
      <c r="DY929" s="1207"/>
      <c r="DZ929" s="1207"/>
      <c r="EA929" s="1207"/>
      <c r="EB929" s="1207"/>
      <c r="EI929" s="1207"/>
      <c r="EJ929" s="1207"/>
      <c r="EK929" s="1207"/>
      <c r="EL929" s="1207"/>
      <c r="EM929" s="107"/>
      <c r="EN929" s="107"/>
      <c r="EO929" s="107"/>
      <c r="EP929" s="107"/>
      <c r="EQ929" s="368"/>
      <c r="ER929" s="368"/>
      <c r="ES929" s="368"/>
      <c r="ET929" s="368"/>
    </row>
    <row r="930" spans="1:150" x14ac:dyDescent="0.25">
      <c r="A930" s="1206"/>
      <c r="B930" s="1206"/>
      <c r="C930" s="1207"/>
      <c r="D930" s="1207"/>
      <c r="E930" s="1207"/>
      <c r="F930" s="1207"/>
      <c r="Q930" s="1207"/>
      <c r="R930" s="1207"/>
      <c r="S930" s="1207"/>
      <c r="T930" s="1207"/>
      <c r="U930" s="1207"/>
      <c r="V930" s="1207"/>
      <c r="W930" s="1207"/>
      <c r="X930" s="1207"/>
      <c r="Y930" s="1207"/>
      <c r="Z930" s="1207"/>
      <c r="AA930" s="1207"/>
      <c r="AB930" s="1207"/>
      <c r="AE930" s="1207"/>
      <c r="AF930" s="1207"/>
      <c r="AG930" s="1207"/>
      <c r="AH930" s="1207"/>
      <c r="AI930" s="1207"/>
      <c r="AJ930" s="1207"/>
      <c r="AK930" s="1207"/>
      <c r="AL930" s="1207"/>
      <c r="AU930" s="1207"/>
      <c r="AV930" s="1207"/>
      <c r="AW930" s="1207"/>
      <c r="AX930" s="1207"/>
      <c r="BA930" s="1207"/>
      <c r="BB930" s="1207"/>
      <c r="BC930" s="1207"/>
      <c r="BD930" s="1207"/>
      <c r="BG930" s="1207"/>
      <c r="BH930" s="1207"/>
      <c r="BI930" s="1207"/>
      <c r="BJ930" s="1207"/>
      <c r="BK930" s="1207"/>
      <c r="BL930" s="1207"/>
      <c r="BM930" s="1207"/>
      <c r="BN930" s="1207"/>
      <c r="BS930" s="1207"/>
      <c r="BT930" s="1207"/>
      <c r="BU930" s="1207"/>
      <c r="BV930" s="1207"/>
      <c r="BY930" s="1207"/>
      <c r="BZ930" s="1207"/>
      <c r="CA930" s="1207"/>
      <c r="CB930" s="1207"/>
      <c r="CG930" s="1207"/>
      <c r="CH930" s="1207"/>
      <c r="CI930" s="1207"/>
      <c r="CJ930" s="1207"/>
      <c r="CM930" s="1207"/>
      <c r="CN930" s="1207"/>
      <c r="CO930" s="1207"/>
      <c r="CP930" s="1207"/>
      <c r="CQ930" s="1207"/>
      <c r="CR930" s="1207"/>
      <c r="CS930" s="1207"/>
      <c r="CT930" s="1207"/>
      <c r="CU930" s="1207"/>
      <c r="CV930" s="1207"/>
      <c r="CW930" s="1207"/>
      <c r="CX930" s="1207"/>
      <c r="CY930" s="1207"/>
      <c r="CZ930" s="1207"/>
      <c r="DA930" s="1207"/>
      <c r="DB930" s="1207"/>
      <c r="DE930" s="1207"/>
      <c r="DF930" s="1207"/>
      <c r="DG930" s="1207"/>
      <c r="DH930" s="1207"/>
      <c r="DS930" s="1207"/>
      <c r="DT930" s="1207"/>
      <c r="DU930" s="1207"/>
      <c r="DV930" s="1207"/>
      <c r="DY930" s="1207"/>
      <c r="DZ930" s="1207"/>
      <c r="EA930" s="1207"/>
      <c r="EB930" s="1207"/>
      <c r="EI930" s="1207"/>
      <c r="EJ930" s="1207"/>
      <c r="EK930" s="1207"/>
      <c r="EL930" s="1207"/>
      <c r="EM930" s="107"/>
      <c r="EN930" s="107"/>
      <c r="EO930" s="107"/>
      <c r="EP930" s="107"/>
      <c r="EQ930" s="368"/>
      <c r="ER930" s="368"/>
      <c r="ES930" s="368"/>
      <c r="ET930" s="368"/>
    </row>
    <row r="931" spans="1:150" x14ac:dyDescent="0.25">
      <c r="A931" s="1206"/>
      <c r="B931" s="1206"/>
      <c r="C931" s="1207"/>
      <c r="D931" s="1207"/>
      <c r="E931" s="1207"/>
      <c r="F931" s="1207"/>
      <c r="Q931" s="1207"/>
      <c r="R931" s="1207"/>
      <c r="S931" s="1207"/>
      <c r="T931" s="1207"/>
      <c r="U931" s="1207"/>
      <c r="V931" s="1207"/>
      <c r="W931" s="1207"/>
      <c r="X931" s="1207"/>
      <c r="Y931" s="1207"/>
      <c r="Z931" s="1207"/>
      <c r="AA931" s="1207"/>
      <c r="AB931" s="1207"/>
      <c r="AE931" s="1207"/>
      <c r="AF931" s="1207"/>
      <c r="AG931" s="1207"/>
      <c r="AH931" s="1207"/>
      <c r="AI931" s="1207"/>
      <c r="AJ931" s="1207"/>
      <c r="AK931" s="1207"/>
      <c r="AL931" s="1207"/>
      <c r="AU931" s="1207"/>
      <c r="AV931" s="1207"/>
      <c r="AW931" s="1207"/>
      <c r="AX931" s="1207"/>
      <c r="BA931" s="1207"/>
      <c r="BB931" s="1207"/>
      <c r="BC931" s="1207"/>
      <c r="BD931" s="1207"/>
      <c r="BG931" s="1207"/>
      <c r="BH931" s="1207"/>
      <c r="BI931" s="1207"/>
      <c r="BJ931" s="1207"/>
      <c r="BK931" s="1207"/>
      <c r="BL931" s="1207"/>
      <c r="BM931" s="1207"/>
      <c r="BN931" s="1207"/>
      <c r="BS931" s="1207"/>
      <c r="BT931" s="1207"/>
      <c r="BU931" s="1207"/>
      <c r="BV931" s="1207"/>
      <c r="BY931" s="1207"/>
      <c r="BZ931" s="1207"/>
      <c r="CA931" s="1207"/>
      <c r="CB931" s="1207"/>
      <c r="CG931" s="1207"/>
      <c r="CH931" s="1207"/>
      <c r="CI931" s="1207"/>
      <c r="CJ931" s="1207"/>
      <c r="CM931" s="1207"/>
      <c r="CN931" s="1207"/>
      <c r="CO931" s="1207"/>
      <c r="CP931" s="1207"/>
      <c r="CQ931" s="1207"/>
      <c r="CR931" s="1207"/>
      <c r="CS931" s="1207"/>
      <c r="CT931" s="1207"/>
      <c r="CU931" s="1207"/>
      <c r="CV931" s="1207"/>
      <c r="CW931" s="1207"/>
      <c r="CX931" s="1207"/>
      <c r="CY931" s="1207"/>
      <c r="CZ931" s="1207"/>
      <c r="DA931" s="1207"/>
      <c r="DB931" s="1207"/>
      <c r="DE931" s="1207"/>
      <c r="DF931" s="1207"/>
      <c r="DG931" s="1207"/>
      <c r="DH931" s="1207"/>
      <c r="DS931" s="1207"/>
      <c r="DT931" s="1207"/>
      <c r="DU931" s="1207"/>
      <c r="DV931" s="1207"/>
      <c r="DY931" s="1207"/>
      <c r="DZ931" s="1207"/>
      <c r="EA931" s="1207"/>
      <c r="EB931" s="1207"/>
      <c r="EI931" s="1207"/>
      <c r="EJ931" s="1207"/>
      <c r="EK931" s="1207"/>
      <c r="EL931" s="1207"/>
      <c r="EM931" s="107"/>
      <c r="EN931" s="107"/>
      <c r="EO931" s="107"/>
      <c r="EP931" s="107"/>
      <c r="EQ931" s="368"/>
      <c r="ER931" s="368"/>
      <c r="ES931" s="368"/>
      <c r="ET931" s="368"/>
    </row>
    <row r="932" spans="1:150" x14ac:dyDescent="0.25">
      <c r="A932" s="1206"/>
      <c r="B932" s="1206"/>
      <c r="C932" s="1207"/>
      <c r="D932" s="1207"/>
      <c r="E932" s="1207"/>
      <c r="F932" s="1207"/>
      <c r="Q932" s="1207"/>
      <c r="R932" s="1207"/>
      <c r="S932" s="1207"/>
      <c r="T932" s="1207"/>
      <c r="U932" s="1207"/>
      <c r="V932" s="1207"/>
      <c r="W932" s="1207"/>
      <c r="X932" s="1207"/>
      <c r="Y932" s="1207"/>
      <c r="Z932" s="1207"/>
      <c r="AA932" s="1207"/>
      <c r="AB932" s="1207"/>
      <c r="AE932" s="1207"/>
      <c r="AF932" s="1207"/>
      <c r="AG932" s="1207"/>
      <c r="AH932" s="1207"/>
      <c r="AI932" s="1207"/>
      <c r="AJ932" s="1207"/>
      <c r="AK932" s="1207"/>
      <c r="AL932" s="1207"/>
      <c r="AU932" s="1207"/>
      <c r="AV932" s="1207"/>
      <c r="AW932" s="1207"/>
      <c r="AX932" s="1207"/>
      <c r="BA932" s="1207"/>
      <c r="BB932" s="1207"/>
      <c r="BC932" s="1207"/>
      <c r="BD932" s="1207"/>
      <c r="BG932" s="1207"/>
      <c r="BH932" s="1207"/>
      <c r="BI932" s="1207"/>
      <c r="BJ932" s="1207"/>
      <c r="BK932" s="1207"/>
      <c r="BL932" s="1207"/>
      <c r="BM932" s="1207"/>
      <c r="BN932" s="1207"/>
      <c r="BS932" s="1207"/>
      <c r="BT932" s="1207"/>
      <c r="BU932" s="1207"/>
      <c r="BV932" s="1207"/>
      <c r="BY932" s="1207"/>
      <c r="BZ932" s="1207"/>
      <c r="CA932" s="1207"/>
      <c r="CB932" s="1207"/>
      <c r="CG932" s="1207"/>
      <c r="CH932" s="1207"/>
      <c r="CI932" s="1207"/>
      <c r="CJ932" s="1207"/>
      <c r="CM932" s="1207"/>
      <c r="CN932" s="1207"/>
      <c r="CO932" s="1207"/>
      <c r="CP932" s="1207"/>
      <c r="CQ932" s="1207"/>
      <c r="CR932" s="1207"/>
      <c r="CS932" s="1207"/>
      <c r="CT932" s="1207"/>
      <c r="CU932" s="1207"/>
      <c r="CV932" s="1207"/>
      <c r="CW932" s="1207"/>
      <c r="CX932" s="1207"/>
      <c r="CY932" s="1207"/>
      <c r="CZ932" s="1207"/>
      <c r="DA932" s="1207"/>
      <c r="DB932" s="1207"/>
      <c r="DE932" s="1207"/>
      <c r="DF932" s="1207"/>
      <c r="DG932" s="1207"/>
      <c r="DH932" s="1207"/>
      <c r="DS932" s="1207"/>
      <c r="DT932" s="1207"/>
      <c r="DU932" s="1207"/>
      <c r="DV932" s="1207"/>
      <c r="DY932" s="1207"/>
      <c r="DZ932" s="1207"/>
      <c r="EA932" s="1207"/>
      <c r="EB932" s="1207"/>
      <c r="EI932" s="1207"/>
      <c r="EJ932" s="1207"/>
      <c r="EK932" s="1207"/>
      <c r="EL932" s="1207"/>
      <c r="EM932" s="107"/>
      <c r="EN932" s="107"/>
      <c r="EO932" s="107"/>
      <c r="EP932" s="107"/>
      <c r="EQ932" s="368"/>
      <c r="ER932" s="368"/>
      <c r="ES932" s="368"/>
      <c r="ET932" s="368"/>
    </row>
    <row r="933" spans="1:150" x14ac:dyDescent="0.25">
      <c r="A933" s="1206"/>
      <c r="B933" s="1206"/>
      <c r="C933" s="1207"/>
      <c r="D933" s="1207"/>
      <c r="E933" s="1207"/>
      <c r="F933" s="1207"/>
      <c r="Q933" s="1207"/>
      <c r="R933" s="1207"/>
      <c r="S933" s="1207"/>
      <c r="T933" s="1207"/>
      <c r="U933" s="1207"/>
      <c r="V933" s="1207"/>
      <c r="W933" s="1207"/>
      <c r="X933" s="1207"/>
      <c r="Y933" s="1207"/>
      <c r="Z933" s="1207"/>
      <c r="AA933" s="1207"/>
      <c r="AB933" s="1207"/>
      <c r="AE933" s="1207"/>
      <c r="AF933" s="1207"/>
      <c r="AG933" s="1207"/>
      <c r="AH933" s="1207"/>
      <c r="AI933" s="1207"/>
      <c r="AJ933" s="1207"/>
      <c r="AK933" s="1207"/>
      <c r="AL933" s="1207"/>
      <c r="AU933" s="1207"/>
      <c r="AV933" s="1207"/>
      <c r="AW933" s="1207"/>
      <c r="AX933" s="1207"/>
      <c r="BA933" s="1207"/>
      <c r="BB933" s="1207"/>
      <c r="BC933" s="1207"/>
      <c r="BD933" s="1207"/>
      <c r="BG933" s="1207"/>
      <c r="BH933" s="1207"/>
      <c r="BI933" s="1207"/>
      <c r="BJ933" s="1207"/>
      <c r="BK933" s="1207"/>
      <c r="BL933" s="1207"/>
      <c r="BM933" s="1207"/>
      <c r="BN933" s="1207"/>
      <c r="BS933" s="1207"/>
      <c r="BT933" s="1207"/>
      <c r="BU933" s="1207"/>
      <c r="BV933" s="1207"/>
      <c r="BY933" s="1207"/>
      <c r="BZ933" s="1207"/>
      <c r="CA933" s="1207"/>
      <c r="CB933" s="1207"/>
      <c r="CG933" s="1207"/>
      <c r="CH933" s="1207"/>
      <c r="CI933" s="1207"/>
      <c r="CJ933" s="1207"/>
      <c r="CM933" s="1207"/>
      <c r="CN933" s="1207"/>
      <c r="CO933" s="1207"/>
      <c r="CP933" s="1207"/>
      <c r="CQ933" s="1207"/>
      <c r="CR933" s="1207"/>
      <c r="CS933" s="1207"/>
      <c r="CT933" s="1207"/>
      <c r="CU933" s="1207"/>
      <c r="CV933" s="1207"/>
      <c r="CW933" s="1207"/>
      <c r="CX933" s="1207"/>
      <c r="CY933" s="1207"/>
      <c r="CZ933" s="1207"/>
      <c r="DA933" s="1207"/>
      <c r="DB933" s="1207"/>
      <c r="DE933" s="1207"/>
      <c r="DF933" s="1207"/>
      <c r="DG933" s="1207"/>
      <c r="DH933" s="1207"/>
      <c r="DS933" s="1207"/>
      <c r="DT933" s="1207"/>
      <c r="DU933" s="1207"/>
      <c r="DV933" s="1207"/>
      <c r="DY933" s="1207"/>
      <c r="DZ933" s="1207"/>
      <c r="EA933" s="1207"/>
      <c r="EB933" s="1207"/>
      <c r="EI933" s="1207"/>
      <c r="EJ933" s="1207"/>
      <c r="EK933" s="1207"/>
      <c r="EL933" s="1207"/>
      <c r="EM933" s="107"/>
      <c r="EN933" s="107"/>
      <c r="EO933" s="107"/>
      <c r="EP933" s="107"/>
      <c r="EQ933" s="368"/>
      <c r="ER933" s="368"/>
      <c r="ES933" s="368"/>
      <c r="ET933" s="368"/>
    </row>
    <row r="934" spans="1:150" x14ac:dyDescent="0.25">
      <c r="A934" s="1206"/>
      <c r="B934" s="1206"/>
      <c r="C934" s="1207"/>
      <c r="D934" s="1207"/>
      <c r="E934" s="1207"/>
      <c r="F934" s="1207"/>
      <c r="Q934" s="1207"/>
      <c r="R934" s="1207"/>
      <c r="S934" s="1207"/>
      <c r="T934" s="1207"/>
      <c r="U934" s="1207"/>
      <c r="V934" s="1207"/>
      <c r="W934" s="1207"/>
      <c r="X934" s="1207"/>
      <c r="Y934" s="1207"/>
      <c r="Z934" s="1207"/>
      <c r="AA934" s="1207"/>
      <c r="AB934" s="1207"/>
      <c r="AE934" s="1207"/>
      <c r="AF934" s="1207"/>
      <c r="AG934" s="1207"/>
      <c r="AH934" s="1207"/>
      <c r="AI934" s="1207"/>
      <c r="AJ934" s="1207"/>
      <c r="AK934" s="1207"/>
      <c r="AL934" s="1207"/>
      <c r="AU934" s="1207"/>
      <c r="AV934" s="1207"/>
      <c r="AW934" s="1207"/>
      <c r="AX934" s="1207"/>
      <c r="BA934" s="1207"/>
      <c r="BB934" s="1207"/>
      <c r="BC934" s="1207"/>
      <c r="BD934" s="1207"/>
      <c r="BG934" s="1207"/>
      <c r="BH934" s="1207"/>
      <c r="BI934" s="1207"/>
      <c r="BJ934" s="1207"/>
      <c r="BK934" s="1207"/>
      <c r="BL934" s="1207"/>
      <c r="BM934" s="1207"/>
      <c r="BN934" s="1207"/>
      <c r="BS934" s="1207"/>
      <c r="BT934" s="1207"/>
      <c r="BU934" s="1207"/>
      <c r="BV934" s="1207"/>
      <c r="BY934" s="1207"/>
      <c r="BZ934" s="1207"/>
      <c r="CA934" s="1207"/>
      <c r="CB934" s="1207"/>
      <c r="CG934" s="1207"/>
      <c r="CH934" s="1207"/>
      <c r="CI934" s="1207"/>
      <c r="CJ934" s="1207"/>
      <c r="CM934" s="1207"/>
      <c r="CN934" s="1207"/>
      <c r="CO934" s="1207"/>
      <c r="CP934" s="1207"/>
      <c r="CQ934" s="1207"/>
      <c r="CR934" s="1207"/>
      <c r="CS934" s="1207"/>
      <c r="CT934" s="1207"/>
      <c r="CU934" s="1207"/>
      <c r="CV934" s="1207"/>
      <c r="CW934" s="1207"/>
      <c r="CX934" s="1207"/>
      <c r="CY934" s="1207"/>
      <c r="CZ934" s="1207"/>
      <c r="DA934" s="1207"/>
      <c r="DB934" s="1207"/>
      <c r="DE934" s="1207"/>
      <c r="DF934" s="1207"/>
      <c r="DG934" s="1207"/>
      <c r="DH934" s="1207"/>
      <c r="DS934" s="1207"/>
      <c r="DT934" s="1207"/>
      <c r="DU934" s="1207"/>
      <c r="DV934" s="1207"/>
      <c r="DY934" s="1207"/>
      <c r="DZ934" s="1207"/>
      <c r="EA934" s="1207"/>
      <c r="EB934" s="1207"/>
      <c r="EI934" s="1207"/>
      <c r="EJ934" s="1207"/>
      <c r="EK934" s="1207"/>
      <c r="EL934" s="1207"/>
      <c r="EM934" s="107"/>
      <c r="EN934" s="107"/>
      <c r="EO934" s="107"/>
      <c r="EP934" s="107"/>
      <c r="EQ934" s="368"/>
      <c r="ER934" s="368"/>
      <c r="ES934" s="368"/>
      <c r="ET934" s="368"/>
    </row>
    <row r="935" spans="1:150" x14ac:dyDescent="0.25">
      <c r="A935" s="1206"/>
      <c r="B935" s="1206"/>
      <c r="C935" s="1207"/>
      <c r="D935" s="1207"/>
      <c r="E935" s="1207"/>
      <c r="F935" s="1207"/>
      <c r="Q935" s="1207"/>
      <c r="R935" s="1207"/>
      <c r="S935" s="1207"/>
      <c r="T935" s="1207"/>
      <c r="U935" s="1207"/>
      <c r="V935" s="1207"/>
      <c r="W935" s="1207"/>
      <c r="X935" s="1207"/>
      <c r="Y935" s="1207"/>
      <c r="Z935" s="1207"/>
      <c r="AA935" s="1207"/>
      <c r="AB935" s="1207"/>
      <c r="AE935" s="1207"/>
      <c r="AF935" s="1207"/>
      <c r="AG935" s="1207"/>
      <c r="AH935" s="1207"/>
      <c r="AI935" s="1207"/>
      <c r="AJ935" s="1207"/>
      <c r="AK935" s="1207"/>
      <c r="AL935" s="1207"/>
      <c r="AU935" s="1207"/>
      <c r="AV935" s="1207"/>
      <c r="AW935" s="1207"/>
      <c r="AX935" s="1207"/>
      <c r="BA935" s="1207"/>
      <c r="BB935" s="1207"/>
      <c r="BC935" s="1207"/>
      <c r="BD935" s="1207"/>
      <c r="BG935" s="1207"/>
      <c r="BH935" s="1207"/>
      <c r="BI935" s="1207"/>
      <c r="BJ935" s="1207"/>
      <c r="BK935" s="1207"/>
      <c r="BL935" s="1207"/>
      <c r="BM935" s="1207"/>
      <c r="BN935" s="1207"/>
      <c r="BS935" s="1207"/>
      <c r="BT935" s="1207"/>
      <c r="BU935" s="1207"/>
      <c r="BV935" s="1207"/>
      <c r="BY935" s="1207"/>
      <c r="BZ935" s="1207"/>
      <c r="CA935" s="1207"/>
      <c r="CB935" s="1207"/>
      <c r="CG935" s="1207"/>
      <c r="CH935" s="1207"/>
      <c r="CI935" s="1207"/>
      <c r="CJ935" s="1207"/>
      <c r="CM935" s="1207"/>
      <c r="CN935" s="1207"/>
      <c r="CO935" s="1207"/>
      <c r="CP935" s="1207"/>
      <c r="CQ935" s="1207"/>
      <c r="CR935" s="1207"/>
      <c r="CS935" s="1207"/>
      <c r="CT935" s="1207"/>
      <c r="CU935" s="1207"/>
      <c r="CV935" s="1207"/>
      <c r="CW935" s="1207"/>
      <c r="CX935" s="1207"/>
      <c r="CY935" s="1207"/>
      <c r="CZ935" s="1207"/>
      <c r="DA935" s="1207"/>
      <c r="DB935" s="1207"/>
      <c r="DE935" s="1207"/>
      <c r="DF935" s="1207"/>
      <c r="DG935" s="1207"/>
      <c r="DH935" s="1207"/>
      <c r="DS935" s="1207"/>
      <c r="DT935" s="1207"/>
      <c r="DU935" s="1207"/>
      <c r="DV935" s="1207"/>
      <c r="DY935" s="1207"/>
      <c r="DZ935" s="1207"/>
      <c r="EA935" s="1207"/>
      <c r="EB935" s="1207"/>
      <c r="EI935" s="1207"/>
      <c r="EJ935" s="1207"/>
      <c r="EK935" s="1207"/>
      <c r="EL935" s="1207"/>
      <c r="EM935" s="107"/>
      <c r="EN935" s="107"/>
      <c r="EO935" s="107"/>
      <c r="EP935" s="107"/>
      <c r="EQ935" s="368"/>
      <c r="ER935" s="368"/>
      <c r="ES935" s="368"/>
      <c r="ET935" s="368"/>
    </row>
    <row r="936" spans="1:150" x14ac:dyDescent="0.25">
      <c r="A936" s="1206"/>
      <c r="B936" s="1206"/>
      <c r="C936" s="1207"/>
      <c r="D936" s="1207"/>
      <c r="E936" s="1207"/>
      <c r="F936" s="1207"/>
      <c r="Q936" s="1207"/>
      <c r="R936" s="1207"/>
      <c r="S936" s="1207"/>
      <c r="T936" s="1207"/>
      <c r="U936" s="1207"/>
      <c r="V936" s="1207"/>
      <c r="W936" s="1207"/>
      <c r="X936" s="1207"/>
      <c r="Y936" s="1207"/>
      <c r="Z936" s="1207"/>
      <c r="AA936" s="1207"/>
      <c r="AB936" s="1207"/>
      <c r="AE936" s="1207"/>
      <c r="AF936" s="1207"/>
      <c r="AG936" s="1207"/>
      <c r="AH936" s="1207"/>
      <c r="AI936" s="1207"/>
      <c r="AJ936" s="1207"/>
      <c r="AK936" s="1207"/>
      <c r="AL936" s="1207"/>
      <c r="AU936" s="1207"/>
      <c r="AV936" s="1207"/>
      <c r="AW936" s="1207"/>
      <c r="AX936" s="1207"/>
      <c r="BA936" s="1207"/>
      <c r="BB936" s="1207"/>
      <c r="BC936" s="1207"/>
      <c r="BD936" s="1207"/>
      <c r="BG936" s="1207"/>
      <c r="BH936" s="1207"/>
      <c r="BI936" s="1207"/>
      <c r="BJ936" s="1207"/>
      <c r="BK936" s="1207"/>
      <c r="BL936" s="1207"/>
      <c r="BM936" s="1207"/>
      <c r="BN936" s="1207"/>
      <c r="BS936" s="1207"/>
      <c r="BT936" s="1207"/>
      <c r="BU936" s="1207"/>
      <c r="BV936" s="1207"/>
      <c r="BY936" s="1207"/>
      <c r="BZ936" s="1207"/>
      <c r="CA936" s="1207"/>
      <c r="CB936" s="1207"/>
      <c r="CG936" s="1207"/>
      <c r="CH936" s="1207"/>
      <c r="CI936" s="1207"/>
      <c r="CJ936" s="1207"/>
      <c r="CM936" s="1207"/>
      <c r="CN936" s="1207"/>
      <c r="CO936" s="1207"/>
      <c r="CP936" s="1207"/>
      <c r="CQ936" s="1207"/>
      <c r="CR936" s="1207"/>
      <c r="CS936" s="1207"/>
      <c r="CT936" s="1207"/>
      <c r="CU936" s="1207"/>
      <c r="CV936" s="1207"/>
      <c r="CW936" s="1207"/>
      <c r="CX936" s="1207"/>
      <c r="CY936" s="1207"/>
      <c r="CZ936" s="1207"/>
      <c r="DA936" s="1207"/>
      <c r="DB936" s="1207"/>
      <c r="DE936" s="1207"/>
      <c r="DF936" s="1207"/>
      <c r="DG936" s="1207"/>
      <c r="DH936" s="1207"/>
      <c r="DS936" s="1207"/>
      <c r="DT936" s="1207"/>
      <c r="DU936" s="1207"/>
      <c r="DV936" s="1207"/>
      <c r="DY936" s="1207"/>
      <c r="DZ936" s="1207"/>
      <c r="EA936" s="1207"/>
      <c r="EB936" s="1207"/>
      <c r="EI936" s="1207"/>
      <c r="EJ936" s="1207"/>
      <c r="EK936" s="1207"/>
      <c r="EL936" s="1207"/>
      <c r="EM936" s="107"/>
      <c r="EN936" s="107"/>
      <c r="EO936" s="107"/>
      <c r="EP936" s="107"/>
      <c r="EQ936" s="368"/>
      <c r="ER936" s="368"/>
      <c r="ES936" s="368"/>
      <c r="ET936" s="368"/>
    </row>
    <row r="937" spans="1:150" x14ac:dyDescent="0.25">
      <c r="A937" s="1206"/>
      <c r="B937" s="1206"/>
      <c r="C937" s="1207"/>
      <c r="D937" s="1207"/>
      <c r="E937" s="1207"/>
      <c r="F937" s="1207"/>
      <c r="Q937" s="1207"/>
      <c r="R937" s="1207"/>
      <c r="S937" s="1207"/>
      <c r="T937" s="1207"/>
      <c r="U937" s="1207"/>
      <c r="V937" s="1207"/>
      <c r="W937" s="1207"/>
      <c r="X937" s="1207"/>
      <c r="Y937" s="1207"/>
      <c r="Z937" s="1207"/>
      <c r="AA937" s="1207"/>
      <c r="AB937" s="1207"/>
      <c r="AE937" s="1207"/>
      <c r="AF937" s="1207"/>
      <c r="AG937" s="1207"/>
      <c r="AH937" s="1207"/>
      <c r="AI937" s="1207"/>
      <c r="AJ937" s="1207"/>
      <c r="AK937" s="1207"/>
      <c r="AL937" s="1207"/>
      <c r="AU937" s="1207"/>
      <c r="AV937" s="1207"/>
      <c r="AW937" s="1207"/>
      <c r="AX937" s="1207"/>
      <c r="BA937" s="1207"/>
      <c r="BB937" s="1207"/>
      <c r="BC937" s="1207"/>
      <c r="BD937" s="1207"/>
      <c r="BG937" s="1207"/>
      <c r="BH937" s="1207"/>
      <c r="BI937" s="1207"/>
      <c r="BJ937" s="1207"/>
      <c r="BK937" s="1207"/>
      <c r="BL937" s="1207"/>
      <c r="BM937" s="1207"/>
      <c r="BN937" s="1207"/>
      <c r="BS937" s="1207"/>
      <c r="BT937" s="1207"/>
      <c r="BU937" s="1207"/>
      <c r="BV937" s="1207"/>
      <c r="BY937" s="1207"/>
      <c r="BZ937" s="1207"/>
      <c r="CA937" s="1207"/>
      <c r="CB937" s="1207"/>
      <c r="CG937" s="1207"/>
      <c r="CH937" s="1207"/>
      <c r="CI937" s="1207"/>
      <c r="CJ937" s="1207"/>
      <c r="CM937" s="1207"/>
      <c r="CN937" s="1207"/>
      <c r="CO937" s="1207"/>
      <c r="CP937" s="1207"/>
      <c r="CQ937" s="1207"/>
      <c r="CR937" s="1207"/>
      <c r="CS937" s="1207"/>
      <c r="CT937" s="1207"/>
      <c r="CU937" s="1207"/>
      <c r="CV937" s="1207"/>
      <c r="CW937" s="1207"/>
      <c r="CX937" s="1207"/>
      <c r="CY937" s="1207"/>
      <c r="CZ937" s="1207"/>
      <c r="DA937" s="1207"/>
      <c r="DB937" s="1207"/>
      <c r="DE937" s="1207"/>
      <c r="DF937" s="1207"/>
      <c r="DG937" s="1207"/>
      <c r="DH937" s="1207"/>
      <c r="DS937" s="1207"/>
      <c r="DT937" s="1207"/>
      <c r="DU937" s="1207"/>
      <c r="DV937" s="1207"/>
      <c r="DY937" s="1207"/>
      <c r="DZ937" s="1207"/>
      <c r="EA937" s="1207"/>
      <c r="EB937" s="1207"/>
      <c r="EI937" s="1207"/>
      <c r="EJ937" s="1207"/>
      <c r="EK937" s="1207"/>
      <c r="EL937" s="1207"/>
      <c r="EM937" s="107"/>
      <c r="EN937" s="107"/>
      <c r="EO937" s="107"/>
      <c r="EP937" s="107"/>
      <c r="EQ937" s="368"/>
      <c r="ER937" s="368"/>
      <c r="ES937" s="368"/>
      <c r="ET937" s="368"/>
    </row>
    <row r="938" spans="1:150" x14ac:dyDescent="0.25">
      <c r="A938" s="1206"/>
      <c r="B938" s="1206"/>
      <c r="C938" s="1207"/>
      <c r="D938" s="1207"/>
      <c r="E938" s="1207"/>
      <c r="F938" s="1207"/>
      <c r="Q938" s="1207"/>
      <c r="R938" s="1207"/>
      <c r="S938" s="1207"/>
      <c r="T938" s="1207"/>
      <c r="U938" s="1207"/>
      <c r="V938" s="1207"/>
      <c r="W938" s="1207"/>
      <c r="X938" s="1207"/>
      <c r="Y938" s="1207"/>
      <c r="Z938" s="1207"/>
      <c r="AA938" s="1207"/>
      <c r="AB938" s="1207"/>
      <c r="AE938" s="1207"/>
      <c r="AF938" s="1207"/>
      <c r="AG938" s="1207"/>
      <c r="AH938" s="1207"/>
      <c r="AI938" s="1207"/>
      <c r="AJ938" s="1207"/>
      <c r="AK938" s="1207"/>
      <c r="AL938" s="1207"/>
      <c r="AU938" s="1207"/>
      <c r="AV938" s="1207"/>
      <c r="AW938" s="1207"/>
      <c r="AX938" s="1207"/>
      <c r="BA938" s="1207"/>
      <c r="BB938" s="1207"/>
      <c r="BC938" s="1207"/>
      <c r="BD938" s="1207"/>
      <c r="BG938" s="1207"/>
      <c r="BH938" s="1207"/>
      <c r="BI938" s="1207"/>
      <c r="BJ938" s="1207"/>
      <c r="BK938" s="1207"/>
      <c r="BL938" s="1207"/>
      <c r="BM938" s="1207"/>
      <c r="BN938" s="1207"/>
      <c r="BS938" s="1207"/>
      <c r="BT938" s="1207"/>
      <c r="BU938" s="1207"/>
      <c r="BV938" s="1207"/>
      <c r="BY938" s="1207"/>
      <c r="BZ938" s="1207"/>
      <c r="CA938" s="1207"/>
      <c r="CB938" s="1207"/>
      <c r="CG938" s="1207"/>
      <c r="CH938" s="1207"/>
      <c r="CI938" s="1207"/>
      <c r="CJ938" s="1207"/>
      <c r="CM938" s="1207"/>
      <c r="CN938" s="1207"/>
      <c r="CO938" s="1207"/>
      <c r="CP938" s="1207"/>
      <c r="CQ938" s="1207"/>
      <c r="CR938" s="1207"/>
      <c r="CS938" s="1207"/>
      <c r="CT938" s="1207"/>
      <c r="CU938" s="1207"/>
      <c r="CV938" s="1207"/>
      <c r="CW938" s="1207"/>
      <c r="CX938" s="1207"/>
      <c r="CY938" s="1207"/>
      <c r="CZ938" s="1207"/>
      <c r="DA938" s="1207"/>
      <c r="DB938" s="1207"/>
      <c r="DE938" s="1207"/>
      <c r="DF938" s="1207"/>
      <c r="DG938" s="1207"/>
      <c r="DH938" s="1207"/>
      <c r="DS938" s="1207"/>
      <c r="DT938" s="1207"/>
      <c r="DU938" s="1207"/>
      <c r="DV938" s="1207"/>
      <c r="DY938" s="1207"/>
      <c r="DZ938" s="1207"/>
      <c r="EA938" s="1207"/>
      <c r="EB938" s="1207"/>
      <c r="EI938" s="1207"/>
      <c r="EJ938" s="1207"/>
      <c r="EK938" s="1207"/>
      <c r="EL938" s="1207"/>
      <c r="EM938" s="107"/>
      <c r="EN938" s="107"/>
      <c r="EO938" s="107"/>
      <c r="EP938" s="107"/>
      <c r="EQ938" s="368"/>
      <c r="ER938" s="368"/>
      <c r="ES938" s="368"/>
      <c r="ET938" s="368"/>
    </row>
    <row r="939" spans="1:150" x14ac:dyDescent="0.25">
      <c r="A939" s="1206"/>
      <c r="B939" s="1206"/>
      <c r="C939" s="1207"/>
      <c r="D939" s="1207"/>
      <c r="E939" s="1207"/>
      <c r="F939" s="1207"/>
      <c r="Q939" s="1207"/>
      <c r="R939" s="1207"/>
      <c r="S939" s="1207"/>
      <c r="T939" s="1207"/>
      <c r="U939" s="1207"/>
      <c r="V939" s="1207"/>
      <c r="W939" s="1207"/>
      <c r="X939" s="1207"/>
      <c r="Y939" s="1207"/>
      <c r="Z939" s="1207"/>
      <c r="AA939" s="1207"/>
      <c r="AB939" s="1207"/>
      <c r="AE939" s="1207"/>
      <c r="AF939" s="1207"/>
      <c r="AG939" s="1207"/>
      <c r="AH939" s="1207"/>
      <c r="AI939" s="1207"/>
      <c r="AJ939" s="1207"/>
      <c r="AK939" s="1207"/>
      <c r="AL939" s="1207"/>
      <c r="AU939" s="1207"/>
      <c r="AV939" s="1207"/>
      <c r="AW939" s="1207"/>
      <c r="AX939" s="1207"/>
      <c r="BA939" s="1207"/>
      <c r="BB939" s="1207"/>
      <c r="BC939" s="1207"/>
      <c r="BD939" s="1207"/>
      <c r="BG939" s="1207"/>
      <c r="BH939" s="1207"/>
      <c r="BI939" s="1207"/>
      <c r="BJ939" s="1207"/>
      <c r="BK939" s="1207"/>
      <c r="BL939" s="1207"/>
      <c r="BM939" s="1207"/>
      <c r="BN939" s="1207"/>
      <c r="BS939" s="1207"/>
      <c r="BT939" s="1207"/>
      <c r="BU939" s="1207"/>
      <c r="BV939" s="1207"/>
      <c r="BY939" s="1207"/>
      <c r="BZ939" s="1207"/>
      <c r="CA939" s="1207"/>
      <c r="CB939" s="1207"/>
      <c r="CG939" s="1207"/>
      <c r="CH939" s="1207"/>
      <c r="CI939" s="1207"/>
      <c r="CJ939" s="1207"/>
      <c r="CM939" s="1207"/>
      <c r="CN939" s="1207"/>
      <c r="CO939" s="1207"/>
      <c r="CP939" s="1207"/>
      <c r="CQ939" s="1207"/>
      <c r="CR939" s="1207"/>
      <c r="CS939" s="1207"/>
      <c r="CT939" s="1207"/>
      <c r="CU939" s="1207"/>
      <c r="CV939" s="1207"/>
      <c r="CW939" s="1207"/>
      <c r="CX939" s="1207"/>
      <c r="CY939" s="1207"/>
      <c r="CZ939" s="1207"/>
      <c r="DA939" s="1207"/>
      <c r="DB939" s="1207"/>
      <c r="DE939" s="1207"/>
      <c r="DF939" s="1207"/>
      <c r="DG939" s="1207"/>
      <c r="DH939" s="1207"/>
      <c r="DS939" s="1207"/>
      <c r="DT939" s="1207"/>
      <c r="DU939" s="1207"/>
      <c r="DV939" s="1207"/>
      <c r="DY939" s="1207"/>
      <c r="DZ939" s="1207"/>
      <c r="EA939" s="1207"/>
      <c r="EB939" s="1207"/>
      <c r="EI939" s="1207"/>
      <c r="EJ939" s="1207"/>
      <c r="EK939" s="1207"/>
      <c r="EL939" s="1207"/>
      <c r="EM939" s="107"/>
      <c r="EN939" s="107"/>
      <c r="EO939" s="107"/>
      <c r="EP939" s="107"/>
      <c r="EQ939" s="368"/>
      <c r="ER939" s="368"/>
      <c r="ES939" s="368"/>
      <c r="ET939" s="368"/>
    </row>
    <row r="940" spans="1:150" x14ac:dyDescent="0.25">
      <c r="A940" s="1206"/>
      <c r="B940" s="1206"/>
      <c r="C940" s="1207"/>
      <c r="D940" s="1207"/>
      <c r="E940" s="1207"/>
      <c r="F940" s="1207"/>
      <c r="Q940" s="1207"/>
      <c r="R940" s="1207"/>
      <c r="S940" s="1207"/>
      <c r="T940" s="1207"/>
      <c r="U940" s="1207"/>
      <c r="V940" s="1207"/>
      <c r="W940" s="1207"/>
      <c r="X940" s="1207"/>
      <c r="Y940" s="1207"/>
      <c r="Z940" s="1207"/>
      <c r="AA940" s="1207"/>
      <c r="AB940" s="1207"/>
      <c r="AE940" s="1207"/>
      <c r="AF940" s="1207"/>
      <c r="AG940" s="1207"/>
      <c r="AH940" s="1207"/>
      <c r="AI940" s="1207"/>
      <c r="AJ940" s="1207"/>
      <c r="AK940" s="1207"/>
      <c r="AL940" s="1207"/>
      <c r="AU940" s="1207"/>
      <c r="AV940" s="1207"/>
      <c r="AW940" s="1207"/>
      <c r="AX940" s="1207"/>
      <c r="BA940" s="1207"/>
      <c r="BB940" s="1207"/>
      <c r="BC940" s="1207"/>
      <c r="BD940" s="1207"/>
      <c r="BG940" s="1207"/>
      <c r="BH940" s="1207"/>
      <c r="BI940" s="1207"/>
      <c r="BJ940" s="1207"/>
      <c r="BK940" s="1207"/>
      <c r="BL940" s="1207"/>
      <c r="BM940" s="1207"/>
      <c r="BN940" s="1207"/>
      <c r="BS940" s="1207"/>
      <c r="BT940" s="1207"/>
      <c r="BU940" s="1207"/>
      <c r="BV940" s="1207"/>
      <c r="BY940" s="1207"/>
      <c r="BZ940" s="1207"/>
      <c r="CA940" s="1207"/>
      <c r="CB940" s="1207"/>
      <c r="CG940" s="1207"/>
      <c r="CH940" s="1207"/>
      <c r="CI940" s="1207"/>
      <c r="CJ940" s="1207"/>
      <c r="CM940" s="1207"/>
      <c r="CN940" s="1207"/>
      <c r="CO940" s="1207"/>
      <c r="CP940" s="1207"/>
      <c r="CQ940" s="1207"/>
      <c r="CR940" s="1207"/>
      <c r="CS940" s="1207"/>
      <c r="CT940" s="1207"/>
      <c r="CU940" s="1207"/>
      <c r="CV940" s="1207"/>
      <c r="CW940" s="1207"/>
      <c r="CX940" s="1207"/>
      <c r="CY940" s="1207"/>
      <c r="CZ940" s="1207"/>
      <c r="DA940" s="1207"/>
      <c r="DB940" s="1207"/>
      <c r="DE940" s="1207"/>
      <c r="DF940" s="1207"/>
      <c r="DG940" s="1207"/>
      <c r="DH940" s="1207"/>
      <c r="DS940" s="1207"/>
      <c r="DT940" s="1207"/>
      <c r="DU940" s="1207"/>
      <c r="DV940" s="1207"/>
      <c r="DY940" s="1207"/>
      <c r="DZ940" s="1207"/>
      <c r="EA940" s="1207"/>
      <c r="EB940" s="1207"/>
      <c r="EI940" s="1207"/>
      <c r="EJ940" s="1207"/>
      <c r="EK940" s="1207"/>
      <c r="EL940" s="1207"/>
      <c r="EM940" s="107"/>
      <c r="EN940" s="107"/>
      <c r="EO940" s="107"/>
      <c r="EP940" s="107"/>
      <c r="EQ940" s="368"/>
      <c r="ER940" s="368"/>
      <c r="ES940" s="368"/>
      <c r="ET940" s="368"/>
    </row>
    <row r="941" spans="1:150" x14ac:dyDescent="0.25">
      <c r="A941" s="1206"/>
      <c r="B941" s="1206"/>
      <c r="C941" s="1207"/>
      <c r="D941" s="1207"/>
      <c r="E941" s="1207"/>
      <c r="F941" s="1207"/>
      <c r="Q941" s="1207"/>
      <c r="R941" s="1207"/>
      <c r="S941" s="1207"/>
      <c r="T941" s="1207"/>
      <c r="U941" s="1207"/>
      <c r="V941" s="1207"/>
      <c r="W941" s="1207"/>
      <c r="X941" s="1207"/>
      <c r="Y941" s="1207"/>
      <c r="Z941" s="1207"/>
      <c r="AA941" s="1207"/>
      <c r="AB941" s="1207"/>
      <c r="AE941" s="1207"/>
      <c r="AF941" s="1207"/>
      <c r="AG941" s="1207"/>
      <c r="AH941" s="1207"/>
      <c r="AI941" s="1207"/>
      <c r="AJ941" s="1207"/>
      <c r="AK941" s="1207"/>
      <c r="AL941" s="1207"/>
      <c r="AU941" s="1207"/>
      <c r="AV941" s="1207"/>
      <c r="AW941" s="1207"/>
      <c r="AX941" s="1207"/>
      <c r="BA941" s="1207"/>
      <c r="BB941" s="1207"/>
      <c r="BC941" s="1207"/>
      <c r="BD941" s="1207"/>
      <c r="BG941" s="1207"/>
      <c r="BH941" s="1207"/>
      <c r="BI941" s="1207"/>
      <c r="BJ941" s="1207"/>
      <c r="BK941" s="1207"/>
      <c r="BL941" s="1207"/>
      <c r="BM941" s="1207"/>
      <c r="BN941" s="1207"/>
      <c r="BS941" s="1207"/>
      <c r="BT941" s="1207"/>
      <c r="BU941" s="1207"/>
      <c r="BV941" s="1207"/>
      <c r="BY941" s="1207"/>
      <c r="BZ941" s="1207"/>
      <c r="CA941" s="1207"/>
      <c r="CB941" s="1207"/>
      <c r="CG941" s="1207"/>
      <c r="CH941" s="1207"/>
      <c r="CI941" s="1207"/>
      <c r="CJ941" s="1207"/>
      <c r="CM941" s="1207"/>
      <c r="CN941" s="1207"/>
      <c r="CO941" s="1207"/>
      <c r="CP941" s="1207"/>
      <c r="CQ941" s="1207"/>
      <c r="CR941" s="1207"/>
      <c r="CS941" s="1207"/>
      <c r="CT941" s="1207"/>
      <c r="CU941" s="1207"/>
      <c r="CV941" s="1207"/>
      <c r="CW941" s="1207"/>
      <c r="CX941" s="1207"/>
      <c r="CY941" s="1207"/>
      <c r="CZ941" s="1207"/>
      <c r="DA941" s="1207"/>
      <c r="DB941" s="1207"/>
      <c r="DE941" s="1207"/>
      <c r="DF941" s="1207"/>
      <c r="DG941" s="1207"/>
      <c r="DH941" s="1207"/>
      <c r="DS941" s="1207"/>
      <c r="DT941" s="1207"/>
      <c r="DU941" s="1207"/>
      <c r="DV941" s="1207"/>
      <c r="DY941" s="1207"/>
      <c r="DZ941" s="1207"/>
      <c r="EA941" s="1207"/>
      <c r="EB941" s="1207"/>
      <c r="EI941" s="1207"/>
      <c r="EJ941" s="1207"/>
      <c r="EK941" s="1207"/>
      <c r="EL941" s="1207"/>
      <c r="EM941" s="107"/>
      <c r="EN941" s="107"/>
      <c r="EO941" s="107"/>
      <c r="EP941" s="107"/>
      <c r="EQ941" s="368"/>
      <c r="ER941" s="368"/>
      <c r="ES941" s="368"/>
      <c r="ET941" s="368"/>
    </row>
    <row r="942" spans="1:150" x14ac:dyDescent="0.25">
      <c r="A942" s="1206"/>
      <c r="B942" s="1206"/>
      <c r="C942" s="1207"/>
      <c r="D942" s="1207"/>
      <c r="E942" s="1207"/>
      <c r="F942" s="1207"/>
      <c r="Q942" s="1207"/>
      <c r="R942" s="1207"/>
      <c r="S942" s="1207"/>
      <c r="T942" s="1207"/>
      <c r="U942" s="1207"/>
      <c r="V942" s="1207"/>
      <c r="W942" s="1207"/>
      <c r="X942" s="1207"/>
      <c r="Y942" s="1207"/>
      <c r="Z942" s="1207"/>
      <c r="AA942" s="1207"/>
      <c r="AB942" s="1207"/>
      <c r="AE942" s="1207"/>
      <c r="AF942" s="1207"/>
      <c r="AG942" s="1207"/>
      <c r="AH942" s="1207"/>
      <c r="AI942" s="1207"/>
      <c r="AJ942" s="1207"/>
      <c r="AK942" s="1207"/>
      <c r="AL942" s="1207"/>
      <c r="AU942" s="1207"/>
      <c r="AV942" s="1207"/>
      <c r="AW942" s="1207"/>
      <c r="AX942" s="1207"/>
      <c r="BA942" s="1207"/>
      <c r="BB942" s="1207"/>
      <c r="BC942" s="1207"/>
      <c r="BD942" s="1207"/>
      <c r="BG942" s="1207"/>
      <c r="BH942" s="1207"/>
      <c r="BI942" s="1207"/>
      <c r="BJ942" s="1207"/>
      <c r="BK942" s="1207"/>
      <c r="BL942" s="1207"/>
      <c r="BM942" s="1207"/>
      <c r="BN942" s="1207"/>
      <c r="BS942" s="1207"/>
      <c r="BT942" s="1207"/>
      <c r="BU942" s="1207"/>
      <c r="BV942" s="1207"/>
      <c r="BY942" s="1207"/>
      <c r="BZ942" s="1207"/>
      <c r="CA942" s="1207"/>
      <c r="CB942" s="1207"/>
      <c r="CG942" s="1207"/>
      <c r="CH942" s="1207"/>
      <c r="CI942" s="1207"/>
      <c r="CJ942" s="1207"/>
      <c r="CM942" s="1207"/>
      <c r="CN942" s="1207"/>
      <c r="CO942" s="1207"/>
      <c r="CP942" s="1207"/>
      <c r="CQ942" s="1207"/>
      <c r="CR942" s="1207"/>
      <c r="CS942" s="1207"/>
      <c r="CT942" s="1207"/>
      <c r="CU942" s="1207"/>
      <c r="CV942" s="1207"/>
      <c r="CW942" s="1207"/>
      <c r="CX942" s="1207"/>
      <c r="CY942" s="1207"/>
      <c r="CZ942" s="1207"/>
      <c r="DA942" s="1207"/>
      <c r="DB942" s="1207"/>
      <c r="DE942" s="1207"/>
      <c r="DF942" s="1207"/>
      <c r="DG942" s="1207"/>
      <c r="DH942" s="1207"/>
      <c r="DS942" s="1207"/>
      <c r="DT942" s="1207"/>
      <c r="DU942" s="1207"/>
      <c r="DV942" s="1207"/>
      <c r="DY942" s="1207"/>
      <c r="DZ942" s="1207"/>
      <c r="EA942" s="1207"/>
      <c r="EB942" s="1207"/>
      <c r="EI942" s="1207"/>
      <c r="EJ942" s="1207"/>
      <c r="EK942" s="1207"/>
      <c r="EL942" s="1207"/>
      <c r="EM942" s="107"/>
      <c r="EN942" s="107"/>
      <c r="EO942" s="107"/>
      <c r="EP942" s="107"/>
      <c r="EQ942" s="368"/>
      <c r="ER942" s="368"/>
      <c r="ES942" s="368"/>
      <c r="ET942" s="368"/>
    </row>
    <row r="943" spans="1:150" x14ac:dyDescent="0.25">
      <c r="A943" s="1206"/>
      <c r="B943" s="1206"/>
      <c r="C943" s="1207"/>
      <c r="D943" s="1207"/>
      <c r="E943" s="1207"/>
      <c r="F943" s="1207"/>
      <c r="Q943" s="1207"/>
      <c r="R943" s="1207"/>
      <c r="S943" s="1207"/>
      <c r="T943" s="1207"/>
      <c r="U943" s="1207"/>
      <c r="V943" s="1207"/>
      <c r="W943" s="1207"/>
      <c r="X943" s="1207"/>
      <c r="Y943" s="1207"/>
      <c r="Z943" s="1207"/>
      <c r="AA943" s="1207"/>
      <c r="AB943" s="1207"/>
      <c r="AE943" s="1207"/>
      <c r="AF943" s="1207"/>
      <c r="AG943" s="1207"/>
      <c r="AH943" s="1207"/>
      <c r="AI943" s="1207"/>
      <c r="AJ943" s="1207"/>
      <c r="AK943" s="1207"/>
      <c r="AL943" s="1207"/>
      <c r="AU943" s="1207"/>
      <c r="AV943" s="1207"/>
      <c r="AW943" s="1207"/>
      <c r="AX943" s="1207"/>
      <c r="BA943" s="1207"/>
      <c r="BB943" s="1207"/>
      <c r="BC943" s="1207"/>
      <c r="BD943" s="1207"/>
      <c r="BG943" s="1207"/>
      <c r="BH943" s="1207"/>
      <c r="BI943" s="1207"/>
      <c r="BJ943" s="1207"/>
      <c r="BK943" s="1207"/>
      <c r="BL943" s="1207"/>
      <c r="BM943" s="1207"/>
      <c r="BN943" s="1207"/>
      <c r="BS943" s="1207"/>
      <c r="BT943" s="1207"/>
      <c r="BU943" s="1207"/>
      <c r="BV943" s="1207"/>
      <c r="BY943" s="1207"/>
      <c r="BZ943" s="1207"/>
      <c r="CA943" s="1207"/>
      <c r="CB943" s="1207"/>
      <c r="CG943" s="1207"/>
      <c r="CH943" s="1207"/>
      <c r="CI943" s="1207"/>
      <c r="CJ943" s="1207"/>
      <c r="CM943" s="1207"/>
      <c r="CN943" s="1207"/>
      <c r="CO943" s="1207"/>
      <c r="CP943" s="1207"/>
      <c r="CQ943" s="1207"/>
      <c r="CR943" s="1207"/>
      <c r="CS943" s="1207"/>
      <c r="CT943" s="1207"/>
      <c r="CU943" s="1207"/>
      <c r="CV943" s="1207"/>
      <c r="CW943" s="1207"/>
      <c r="CX943" s="1207"/>
      <c r="CY943" s="1207"/>
      <c r="CZ943" s="1207"/>
      <c r="DA943" s="1207"/>
      <c r="DB943" s="1207"/>
      <c r="DE943" s="1207"/>
      <c r="DF943" s="1207"/>
      <c r="DG943" s="1207"/>
      <c r="DH943" s="1207"/>
      <c r="DS943" s="1207"/>
      <c r="DT943" s="1207"/>
      <c r="DU943" s="1207"/>
      <c r="DV943" s="1207"/>
      <c r="DY943" s="1207"/>
      <c r="DZ943" s="1207"/>
      <c r="EA943" s="1207"/>
      <c r="EB943" s="1207"/>
      <c r="EI943" s="1207"/>
      <c r="EJ943" s="1207"/>
      <c r="EK943" s="1207"/>
      <c r="EL943" s="1207"/>
      <c r="EM943" s="107"/>
      <c r="EN943" s="107"/>
      <c r="EO943" s="107"/>
      <c r="EP943" s="107"/>
      <c r="EQ943" s="368"/>
      <c r="ER943" s="368"/>
      <c r="ES943" s="368"/>
      <c r="ET943" s="368"/>
    </row>
  </sheetData>
  <mergeCells count="213">
    <mergeCell ref="EA1:EB1"/>
    <mergeCell ref="EK1:EL1"/>
    <mergeCell ref="Q1:R1"/>
    <mergeCell ref="U1:V1"/>
    <mergeCell ref="Y1:Z1"/>
    <mergeCell ref="S1:T1"/>
    <mergeCell ref="W1:X1"/>
    <mergeCell ref="AA1:AB1"/>
    <mergeCell ref="A1:B2"/>
    <mergeCell ref="C1:D1"/>
    <mergeCell ref="M1:N2"/>
    <mergeCell ref="E1:F1"/>
    <mergeCell ref="BA1:BB1"/>
    <mergeCell ref="BE1:BF2"/>
    <mergeCell ref="BG1:BH1"/>
    <mergeCell ref="AO1:AQ1"/>
    <mergeCell ref="AU1:AV1"/>
    <mergeCell ref="AY1:AZ2"/>
    <mergeCell ref="AC1:AD2"/>
    <mergeCell ref="AE1:AF1"/>
    <mergeCell ref="AI1:AJ1"/>
    <mergeCell ref="AG1:AH1"/>
    <mergeCell ref="CE1:CF2"/>
    <mergeCell ref="CG1:CH1"/>
    <mergeCell ref="CK1:CL2"/>
    <mergeCell ref="BK1:BL1"/>
    <mergeCell ref="BS1:BT1"/>
    <mergeCell ref="BY1:BZ1"/>
    <mergeCell ref="BU1:BV1"/>
    <mergeCell ref="CA1:CB1"/>
    <mergeCell ref="CI1:CJ1"/>
    <mergeCell ref="DS1:DT1"/>
    <mergeCell ref="DW1:DX2"/>
    <mergeCell ref="CY1:CZ1"/>
    <mergeCell ref="DE1:DF1"/>
    <mergeCell ref="DI1:DJ2"/>
    <mergeCell ref="CM1:CN1"/>
    <mergeCell ref="CQ1:CR1"/>
    <mergeCell ref="CU1:CV1"/>
    <mergeCell ref="CO1:CP1"/>
    <mergeCell ref="CS1:CT1"/>
    <mergeCell ref="CW1:CX1"/>
    <mergeCell ref="DA1:DB1"/>
    <mergeCell ref="DG1:DH1"/>
    <mergeCell ref="DU1:DV1"/>
    <mergeCell ref="EM4:EP4"/>
    <mergeCell ref="EQ4:ET4"/>
    <mergeCell ref="A140:B140"/>
    <mergeCell ref="M140:N140"/>
    <mergeCell ref="AC140:AD140"/>
    <mergeCell ref="AY140:AZ140"/>
    <mergeCell ref="BE140:BF140"/>
    <mergeCell ref="EM1:EP1"/>
    <mergeCell ref="EQ1:ET1"/>
    <mergeCell ref="A3:B3"/>
    <mergeCell ref="M3:N3"/>
    <mergeCell ref="AC3:AD3"/>
    <mergeCell ref="AY3:AZ3"/>
    <mergeCell ref="BE3:BF3"/>
    <mergeCell ref="CE3:CF3"/>
    <mergeCell ref="CK3:CL3"/>
    <mergeCell ref="DI3:DJ3"/>
    <mergeCell ref="DY1:DZ1"/>
    <mergeCell ref="EE1:EF2"/>
    <mergeCell ref="EI1:EJ1"/>
    <mergeCell ref="DQ1:DR2"/>
    <mergeCell ref="CE140:CF140"/>
    <mergeCell ref="CK140:CL140"/>
    <mergeCell ref="DI140:DJ140"/>
    <mergeCell ref="DQ140:DR140"/>
    <mergeCell ref="DW140:DX140"/>
    <mergeCell ref="EE140:EF140"/>
    <mergeCell ref="DQ3:DR3"/>
    <mergeCell ref="DW3:DX3"/>
    <mergeCell ref="EE3:EF3"/>
    <mergeCell ref="DQ232:DR232"/>
    <mergeCell ref="DW232:DX232"/>
    <mergeCell ref="EE232:EF232"/>
    <mergeCell ref="CK151:CL151"/>
    <mergeCell ref="DI151:DJ151"/>
    <mergeCell ref="DQ151:DR151"/>
    <mergeCell ref="DW151:DX151"/>
    <mergeCell ref="EE151:EF151"/>
    <mergeCell ref="A232:B232"/>
    <mergeCell ref="M232:N232"/>
    <mergeCell ref="AC232:AD232"/>
    <mergeCell ref="AY232:AZ232"/>
    <mergeCell ref="BE232:BF232"/>
    <mergeCell ref="A151:B151"/>
    <mergeCell ref="M151:N151"/>
    <mergeCell ref="AC151:AD151"/>
    <mergeCell ref="AY151:AZ151"/>
    <mergeCell ref="BE151:BF151"/>
    <mergeCell ref="CE151:CF151"/>
    <mergeCell ref="DQ243:DR243"/>
    <mergeCell ref="DW243:DX243"/>
    <mergeCell ref="EE243:EF243"/>
    <mergeCell ref="CK242:CL242"/>
    <mergeCell ref="DI242:DJ242"/>
    <mergeCell ref="DQ242:DR242"/>
    <mergeCell ref="DW242:DX242"/>
    <mergeCell ref="EE242:EF242"/>
    <mergeCell ref="A243:B243"/>
    <mergeCell ref="M243:N243"/>
    <mergeCell ref="AC243:AD243"/>
    <mergeCell ref="AY243:AZ243"/>
    <mergeCell ref="BE243:BF243"/>
    <mergeCell ref="A242:B242"/>
    <mergeCell ref="M242:N242"/>
    <mergeCell ref="AC242:AD242"/>
    <mergeCell ref="AY242:AZ242"/>
    <mergeCell ref="BE242:BF242"/>
    <mergeCell ref="CE242:CF242"/>
    <mergeCell ref="DQ245:DR245"/>
    <mergeCell ref="DW245:DX245"/>
    <mergeCell ref="EE245:EF245"/>
    <mergeCell ref="CK244:CL244"/>
    <mergeCell ref="DI244:DJ244"/>
    <mergeCell ref="DQ244:DR244"/>
    <mergeCell ref="DW244:DX244"/>
    <mergeCell ref="EE244:EF244"/>
    <mergeCell ref="A245:B245"/>
    <mergeCell ref="M245:N245"/>
    <mergeCell ref="AC245:AD245"/>
    <mergeCell ref="AY245:AZ245"/>
    <mergeCell ref="BE245:BF245"/>
    <mergeCell ref="A244:B244"/>
    <mergeCell ref="M244:N244"/>
    <mergeCell ref="AC244:AD244"/>
    <mergeCell ref="AY244:AZ244"/>
    <mergeCell ref="BE244:BF244"/>
    <mergeCell ref="CE244:CF244"/>
    <mergeCell ref="DQ336:DR336"/>
    <mergeCell ref="DW336:DX336"/>
    <mergeCell ref="EE336:EF336"/>
    <mergeCell ref="CK318:CL318"/>
    <mergeCell ref="DI318:DJ318"/>
    <mergeCell ref="DQ318:DR318"/>
    <mergeCell ref="DW318:DX318"/>
    <mergeCell ref="EE318:EF318"/>
    <mergeCell ref="A336:B336"/>
    <mergeCell ref="M336:N336"/>
    <mergeCell ref="AC336:AD336"/>
    <mergeCell ref="AY336:AZ336"/>
    <mergeCell ref="BE336:BF336"/>
    <mergeCell ref="A318:B318"/>
    <mergeCell ref="M318:N318"/>
    <mergeCell ref="AC318:AD318"/>
    <mergeCell ref="AY318:AZ318"/>
    <mergeCell ref="BE318:BF318"/>
    <mergeCell ref="CE318:CF318"/>
    <mergeCell ref="DQ403:DR403"/>
    <mergeCell ref="DW403:DX403"/>
    <mergeCell ref="EE403:EF403"/>
    <mergeCell ref="CK390:CL390"/>
    <mergeCell ref="DI390:DJ390"/>
    <mergeCell ref="DQ390:DR390"/>
    <mergeCell ref="DW390:DX390"/>
    <mergeCell ref="EE390:EF390"/>
    <mergeCell ref="A403:B403"/>
    <mergeCell ref="M403:N403"/>
    <mergeCell ref="AC403:AD403"/>
    <mergeCell ref="AY403:AZ403"/>
    <mergeCell ref="BE403:BF403"/>
    <mergeCell ref="A390:B390"/>
    <mergeCell ref="M390:N390"/>
    <mergeCell ref="AC390:AD390"/>
    <mergeCell ref="AY390:AZ390"/>
    <mergeCell ref="BE390:BF390"/>
    <mergeCell ref="CE390:CF390"/>
    <mergeCell ref="DQ405:DR405"/>
    <mergeCell ref="DW405:DX405"/>
    <mergeCell ref="EE405:EF405"/>
    <mergeCell ref="CK404:CL404"/>
    <mergeCell ref="DI404:DJ404"/>
    <mergeCell ref="DQ404:DR404"/>
    <mergeCell ref="DW404:DX404"/>
    <mergeCell ref="EE404:EF404"/>
    <mergeCell ref="A405:B405"/>
    <mergeCell ref="M405:N405"/>
    <mergeCell ref="AC405:AD405"/>
    <mergeCell ref="AY405:AZ405"/>
    <mergeCell ref="BE405:BF405"/>
    <mergeCell ref="A404:B404"/>
    <mergeCell ref="M404:N404"/>
    <mergeCell ref="AC404:AD404"/>
    <mergeCell ref="AY404:AZ404"/>
    <mergeCell ref="BE404:BF404"/>
    <mergeCell ref="CE404:CF404"/>
    <mergeCell ref="AK1:AL1"/>
    <mergeCell ref="AR1:AT1"/>
    <mergeCell ref="AW1:AX1"/>
    <mergeCell ref="BC1:BD1"/>
    <mergeCell ref="BI1:BJ1"/>
    <mergeCell ref="BM1:BN1"/>
    <mergeCell ref="CE405:CF405"/>
    <mergeCell ref="CK405:CL405"/>
    <mergeCell ref="DI405:DJ405"/>
    <mergeCell ref="CE403:CF403"/>
    <mergeCell ref="CK403:CL403"/>
    <mergeCell ref="DI403:DJ403"/>
    <mergeCell ref="CE336:CF336"/>
    <mergeCell ref="CK336:CL336"/>
    <mergeCell ref="DI336:DJ336"/>
    <mergeCell ref="CE245:CF245"/>
    <mergeCell ref="CK245:CL245"/>
    <mergeCell ref="DI245:DJ245"/>
    <mergeCell ref="CE243:CF243"/>
    <mergeCell ref="CK243:CL243"/>
    <mergeCell ref="DI243:DJ243"/>
    <mergeCell ref="CE232:CF232"/>
    <mergeCell ref="CK232:CL232"/>
    <mergeCell ref="DI232:DJ23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620"/>
  <sheetViews>
    <sheetView zoomScaleNormal="100" workbookViewId="0">
      <pane xSplit="2" ySplit="3" topLeftCell="M20" activePane="bottomRight" state="frozen"/>
      <selection pane="topRight" activeCell="B1" sqref="B1"/>
      <selection pane="bottomLeft" activeCell="A4" sqref="A4"/>
      <selection pane="bottomRight" activeCell="B34" sqref="B34"/>
    </sheetView>
  </sheetViews>
  <sheetFormatPr defaultColWidth="9.109375" defaultRowHeight="13.8" x14ac:dyDescent="0.25"/>
  <cols>
    <col min="1" max="1" width="6.6640625" style="445" customWidth="1"/>
    <col min="2" max="2" width="30.6640625" style="99" customWidth="1"/>
    <col min="3" max="3" width="10.109375" style="94" customWidth="1"/>
    <col min="4" max="4" width="9.33203125" style="94" customWidth="1"/>
    <col min="5" max="5" width="9.6640625" style="101" customWidth="1"/>
    <col min="6" max="6" width="9.5546875" style="101" customWidth="1"/>
    <col min="7" max="8" width="8.6640625" style="94" customWidth="1"/>
    <col min="9" max="10" width="8.6640625" style="101" customWidth="1"/>
    <col min="11" max="13" width="8.6640625" style="94" customWidth="1"/>
    <col min="14" max="15" width="8.6640625" style="101" customWidth="1"/>
    <col min="16" max="18" width="8.6640625" style="100" customWidth="1"/>
    <col min="19" max="28" width="9.109375" style="40"/>
    <col min="29" max="29" width="13.6640625" style="40" customWidth="1"/>
    <col min="30" max="246" width="9.109375" style="40"/>
    <col min="247" max="247" width="37.88671875" style="40" customWidth="1"/>
    <col min="248" max="257" width="10.33203125" style="40" customWidth="1"/>
    <col min="258" max="258" width="10.6640625" style="40" customWidth="1"/>
    <col min="259" max="260" width="10.33203125" style="40" customWidth="1"/>
    <col min="261" max="261" width="10.88671875" style="40" customWidth="1"/>
    <col min="262" max="270" width="10.33203125" style="40" customWidth="1"/>
    <col min="271" max="271" width="28.88671875" style="40" customWidth="1"/>
    <col min="272" max="502" width="9.109375" style="40"/>
    <col min="503" max="503" width="37.88671875" style="40" customWidth="1"/>
    <col min="504" max="513" width="10.33203125" style="40" customWidth="1"/>
    <col min="514" max="514" width="10.6640625" style="40" customWidth="1"/>
    <col min="515" max="516" width="10.33203125" style="40" customWidth="1"/>
    <col min="517" max="517" width="10.88671875" style="40" customWidth="1"/>
    <col min="518" max="526" width="10.33203125" style="40" customWidth="1"/>
    <col min="527" max="527" width="28.88671875" style="40" customWidth="1"/>
    <col min="528" max="758" width="9.109375" style="40"/>
    <col min="759" max="759" width="37.88671875" style="40" customWidth="1"/>
    <col min="760" max="769" width="10.33203125" style="40" customWidth="1"/>
    <col min="770" max="770" width="10.6640625" style="40" customWidth="1"/>
    <col min="771" max="772" width="10.33203125" style="40" customWidth="1"/>
    <col min="773" max="773" width="10.88671875" style="40" customWidth="1"/>
    <col min="774" max="782" width="10.33203125" style="40" customWidth="1"/>
    <col min="783" max="783" width="28.88671875" style="40" customWidth="1"/>
    <col min="784" max="1014" width="9.109375" style="40"/>
    <col min="1015" max="1015" width="37.88671875" style="40" customWidth="1"/>
    <col min="1016" max="1025" width="10.33203125" style="40" customWidth="1"/>
    <col min="1026" max="1026" width="10.6640625" style="40" customWidth="1"/>
    <col min="1027" max="1028" width="10.33203125" style="40" customWidth="1"/>
    <col min="1029" max="1029" width="10.88671875" style="40" customWidth="1"/>
    <col min="1030" max="1038" width="10.33203125" style="40" customWidth="1"/>
    <col min="1039" max="1039" width="28.88671875" style="40" customWidth="1"/>
    <col min="1040" max="1270" width="9.109375" style="40"/>
    <col min="1271" max="1271" width="37.88671875" style="40" customWidth="1"/>
    <col min="1272" max="1281" width="10.33203125" style="40" customWidth="1"/>
    <col min="1282" max="1282" width="10.6640625" style="40" customWidth="1"/>
    <col min="1283" max="1284" width="10.33203125" style="40" customWidth="1"/>
    <col min="1285" max="1285" width="10.88671875" style="40" customWidth="1"/>
    <col min="1286" max="1294" width="10.33203125" style="40" customWidth="1"/>
    <col min="1295" max="1295" width="28.88671875" style="40" customWidth="1"/>
    <col min="1296" max="1526" width="9.109375" style="40"/>
    <col min="1527" max="1527" width="37.88671875" style="40" customWidth="1"/>
    <col min="1528" max="1537" width="10.33203125" style="40" customWidth="1"/>
    <col min="1538" max="1538" width="10.6640625" style="40" customWidth="1"/>
    <col min="1539" max="1540" width="10.33203125" style="40" customWidth="1"/>
    <col min="1541" max="1541" width="10.88671875" style="40" customWidth="1"/>
    <col min="1542" max="1550" width="10.33203125" style="40" customWidth="1"/>
    <col min="1551" max="1551" width="28.88671875" style="40" customWidth="1"/>
    <col min="1552" max="1782" width="9.109375" style="40"/>
    <col min="1783" max="1783" width="37.88671875" style="40" customWidth="1"/>
    <col min="1784" max="1793" width="10.33203125" style="40" customWidth="1"/>
    <col min="1794" max="1794" width="10.6640625" style="40" customWidth="1"/>
    <col min="1795" max="1796" width="10.33203125" style="40" customWidth="1"/>
    <col min="1797" max="1797" width="10.88671875" style="40" customWidth="1"/>
    <col min="1798" max="1806" width="10.33203125" style="40" customWidth="1"/>
    <col min="1807" max="1807" width="28.88671875" style="40" customWidth="1"/>
    <col min="1808" max="2038" width="9.109375" style="40"/>
    <col min="2039" max="2039" width="37.88671875" style="40" customWidth="1"/>
    <col min="2040" max="2049" width="10.33203125" style="40" customWidth="1"/>
    <col min="2050" max="2050" width="10.6640625" style="40" customWidth="1"/>
    <col min="2051" max="2052" width="10.33203125" style="40" customWidth="1"/>
    <col min="2053" max="2053" width="10.88671875" style="40" customWidth="1"/>
    <col min="2054" max="2062" width="10.33203125" style="40" customWidth="1"/>
    <col min="2063" max="2063" width="28.88671875" style="40" customWidth="1"/>
    <col min="2064" max="2294" width="9.109375" style="40"/>
    <col min="2295" max="2295" width="37.88671875" style="40" customWidth="1"/>
    <col min="2296" max="2305" width="10.33203125" style="40" customWidth="1"/>
    <col min="2306" max="2306" width="10.6640625" style="40" customWidth="1"/>
    <col min="2307" max="2308" width="10.33203125" style="40" customWidth="1"/>
    <col min="2309" max="2309" width="10.88671875" style="40" customWidth="1"/>
    <col min="2310" max="2318" width="10.33203125" style="40" customWidth="1"/>
    <col min="2319" max="2319" width="28.88671875" style="40" customWidth="1"/>
    <col min="2320" max="2550" width="9.109375" style="40"/>
    <col min="2551" max="2551" width="37.88671875" style="40" customWidth="1"/>
    <col min="2552" max="2561" width="10.33203125" style="40" customWidth="1"/>
    <col min="2562" max="2562" width="10.6640625" style="40" customWidth="1"/>
    <col min="2563" max="2564" width="10.33203125" style="40" customWidth="1"/>
    <col min="2565" max="2565" width="10.88671875" style="40" customWidth="1"/>
    <col min="2566" max="2574" width="10.33203125" style="40" customWidth="1"/>
    <col min="2575" max="2575" width="28.88671875" style="40" customWidth="1"/>
    <col min="2576" max="2806" width="9.109375" style="40"/>
    <col min="2807" max="2807" width="37.88671875" style="40" customWidth="1"/>
    <col min="2808" max="2817" width="10.33203125" style="40" customWidth="1"/>
    <col min="2818" max="2818" width="10.6640625" style="40" customWidth="1"/>
    <col min="2819" max="2820" width="10.33203125" style="40" customWidth="1"/>
    <col min="2821" max="2821" width="10.88671875" style="40" customWidth="1"/>
    <col min="2822" max="2830" width="10.33203125" style="40" customWidth="1"/>
    <col min="2831" max="2831" width="28.88671875" style="40" customWidth="1"/>
    <col min="2832" max="3062" width="9.109375" style="40"/>
    <col min="3063" max="3063" width="37.88671875" style="40" customWidth="1"/>
    <col min="3064" max="3073" width="10.33203125" style="40" customWidth="1"/>
    <col min="3074" max="3074" width="10.6640625" style="40" customWidth="1"/>
    <col min="3075" max="3076" width="10.33203125" style="40" customWidth="1"/>
    <col min="3077" max="3077" width="10.88671875" style="40" customWidth="1"/>
    <col min="3078" max="3086" width="10.33203125" style="40" customWidth="1"/>
    <col min="3087" max="3087" width="28.88671875" style="40" customWidth="1"/>
    <col min="3088" max="3318" width="9.109375" style="40"/>
    <col min="3319" max="3319" width="37.88671875" style="40" customWidth="1"/>
    <col min="3320" max="3329" width="10.33203125" style="40" customWidth="1"/>
    <col min="3330" max="3330" width="10.6640625" style="40" customWidth="1"/>
    <col min="3331" max="3332" width="10.33203125" style="40" customWidth="1"/>
    <col min="3333" max="3333" width="10.88671875" style="40" customWidth="1"/>
    <col min="3334" max="3342" width="10.33203125" style="40" customWidth="1"/>
    <col min="3343" max="3343" width="28.88671875" style="40" customWidth="1"/>
    <col min="3344" max="3574" width="9.109375" style="40"/>
    <col min="3575" max="3575" width="37.88671875" style="40" customWidth="1"/>
    <col min="3576" max="3585" width="10.33203125" style="40" customWidth="1"/>
    <col min="3586" max="3586" width="10.6640625" style="40" customWidth="1"/>
    <col min="3587" max="3588" width="10.33203125" style="40" customWidth="1"/>
    <col min="3589" max="3589" width="10.88671875" style="40" customWidth="1"/>
    <col min="3590" max="3598" width="10.33203125" style="40" customWidth="1"/>
    <col min="3599" max="3599" width="28.88671875" style="40" customWidth="1"/>
    <col min="3600" max="3830" width="9.109375" style="40"/>
    <col min="3831" max="3831" width="37.88671875" style="40" customWidth="1"/>
    <col min="3832" max="3841" width="10.33203125" style="40" customWidth="1"/>
    <col min="3842" max="3842" width="10.6640625" style="40" customWidth="1"/>
    <col min="3843" max="3844" width="10.33203125" style="40" customWidth="1"/>
    <col min="3845" max="3845" width="10.88671875" style="40" customWidth="1"/>
    <col min="3846" max="3854" width="10.33203125" style="40" customWidth="1"/>
    <col min="3855" max="3855" width="28.88671875" style="40" customWidth="1"/>
    <col min="3856" max="4086" width="9.109375" style="40"/>
    <col min="4087" max="4087" width="37.88671875" style="40" customWidth="1"/>
    <col min="4088" max="4097" width="10.33203125" style="40" customWidth="1"/>
    <col min="4098" max="4098" width="10.6640625" style="40" customWidth="1"/>
    <col min="4099" max="4100" width="10.33203125" style="40" customWidth="1"/>
    <col min="4101" max="4101" width="10.88671875" style="40" customWidth="1"/>
    <col min="4102" max="4110" width="10.33203125" style="40" customWidth="1"/>
    <col min="4111" max="4111" width="28.88671875" style="40" customWidth="1"/>
    <col min="4112" max="4342" width="9.109375" style="40"/>
    <col min="4343" max="4343" width="37.88671875" style="40" customWidth="1"/>
    <col min="4344" max="4353" width="10.33203125" style="40" customWidth="1"/>
    <col min="4354" max="4354" width="10.6640625" style="40" customWidth="1"/>
    <col min="4355" max="4356" width="10.33203125" style="40" customWidth="1"/>
    <col min="4357" max="4357" width="10.88671875" style="40" customWidth="1"/>
    <col min="4358" max="4366" width="10.33203125" style="40" customWidth="1"/>
    <col min="4367" max="4367" width="28.88671875" style="40" customWidth="1"/>
    <col min="4368" max="4598" width="9.109375" style="40"/>
    <col min="4599" max="4599" width="37.88671875" style="40" customWidth="1"/>
    <col min="4600" max="4609" width="10.33203125" style="40" customWidth="1"/>
    <col min="4610" max="4610" width="10.6640625" style="40" customWidth="1"/>
    <col min="4611" max="4612" width="10.33203125" style="40" customWidth="1"/>
    <col min="4613" max="4613" width="10.88671875" style="40" customWidth="1"/>
    <col min="4614" max="4622" width="10.33203125" style="40" customWidth="1"/>
    <col min="4623" max="4623" width="28.88671875" style="40" customWidth="1"/>
    <col min="4624" max="4854" width="9.109375" style="40"/>
    <col min="4855" max="4855" width="37.88671875" style="40" customWidth="1"/>
    <col min="4856" max="4865" width="10.33203125" style="40" customWidth="1"/>
    <col min="4866" max="4866" width="10.6640625" style="40" customWidth="1"/>
    <col min="4867" max="4868" width="10.33203125" style="40" customWidth="1"/>
    <col min="4869" max="4869" width="10.88671875" style="40" customWidth="1"/>
    <col min="4870" max="4878" width="10.33203125" style="40" customWidth="1"/>
    <col min="4879" max="4879" width="28.88671875" style="40" customWidth="1"/>
    <col min="4880" max="5110" width="9.109375" style="40"/>
    <col min="5111" max="5111" width="37.88671875" style="40" customWidth="1"/>
    <col min="5112" max="5121" width="10.33203125" style="40" customWidth="1"/>
    <col min="5122" max="5122" width="10.6640625" style="40" customWidth="1"/>
    <col min="5123" max="5124" width="10.33203125" style="40" customWidth="1"/>
    <col min="5125" max="5125" width="10.88671875" style="40" customWidth="1"/>
    <col min="5126" max="5134" width="10.33203125" style="40" customWidth="1"/>
    <col min="5135" max="5135" width="28.88671875" style="40" customWidth="1"/>
    <col min="5136" max="5366" width="9.109375" style="40"/>
    <col min="5367" max="5367" width="37.88671875" style="40" customWidth="1"/>
    <col min="5368" max="5377" width="10.33203125" style="40" customWidth="1"/>
    <col min="5378" max="5378" width="10.6640625" style="40" customWidth="1"/>
    <col min="5379" max="5380" width="10.33203125" style="40" customWidth="1"/>
    <col min="5381" max="5381" width="10.88671875" style="40" customWidth="1"/>
    <col min="5382" max="5390" width="10.33203125" style="40" customWidth="1"/>
    <col min="5391" max="5391" width="28.88671875" style="40" customWidth="1"/>
    <col min="5392" max="5622" width="9.109375" style="40"/>
    <col min="5623" max="5623" width="37.88671875" style="40" customWidth="1"/>
    <col min="5624" max="5633" width="10.33203125" style="40" customWidth="1"/>
    <col min="5634" max="5634" width="10.6640625" style="40" customWidth="1"/>
    <col min="5635" max="5636" width="10.33203125" style="40" customWidth="1"/>
    <col min="5637" max="5637" width="10.88671875" style="40" customWidth="1"/>
    <col min="5638" max="5646" width="10.33203125" style="40" customWidth="1"/>
    <col min="5647" max="5647" width="28.88671875" style="40" customWidth="1"/>
    <col min="5648" max="5878" width="9.109375" style="40"/>
    <col min="5879" max="5879" width="37.88671875" style="40" customWidth="1"/>
    <col min="5880" max="5889" width="10.33203125" style="40" customWidth="1"/>
    <col min="5890" max="5890" width="10.6640625" style="40" customWidth="1"/>
    <col min="5891" max="5892" width="10.33203125" style="40" customWidth="1"/>
    <col min="5893" max="5893" width="10.88671875" style="40" customWidth="1"/>
    <col min="5894" max="5902" width="10.33203125" style="40" customWidth="1"/>
    <col min="5903" max="5903" width="28.88671875" style="40" customWidth="1"/>
    <col min="5904" max="6134" width="9.109375" style="40"/>
    <col min="6135" max="6135" width="37.88671875" style="40" customWidth="1"/>
    <col min="6136" max="6145" width="10.33203125" style="40" customWidth="1"/>
    <col min="6146" max="6146" width="10.6640625" style="40" customWidth="1"/>
    <col min="6147" max="6148" width="10.33203125" style="40" customWidth="1"/>
    <col min="6149" max="6149" width="10.88671875" style="40" customWidth="1"/>
    <col min="6150" max="6158" width="10.33203125" style="40" customWidth="1"/>
    <col min="6159" max="6159" width="28.88671875" style="40" customWidth="1"/>
    <col min="6160" max="6390" width="9.109375" style="40"/>
    <col min="6391" max="6391" width="37.88671875" style="40" customWidth="1"/>
    <col min="6392" max="6401" width="10.33203125" style="40" customWidth="1"/>
    <col min="6402" max="6402" width="10.6640625" style="40" customWidth="1"/>
    <col min="6403" max="6404" width="10.33203125" style="40" customWidth="1"/>
    <col min="6405" max="6405" width="10.88671875" style="40" customWidth="1"/>
    <col min="6406" max="6414" width="10.33203125" style="40" customWidth="1"/>
    <col min="6415" max="6415" width="28.88671875" style="40" customWidth="1"/>
    <col min="6416" max="6646" width="9.109375" style="40"/>
    <col min="6647" max="6647" width="37.88671875" style="40" customWidth="1"/>
    <col min="6648" max="6657" width="10.33203125" style="40" customWidth="1"/>
    <col min="6658" max="6658" width="10.6640625" style="40" customWidth="1"/>
    <col min="6659" max="6660" width="10.33203125" style="40" customWidth="1"/>
    <col min="6661" max="6661" width="10.88671875" style="40" customWidth="1"/>
    <col min="6662" max="6670" width="10.33203125" style="40" customWidth="1"/>
    <col min="6671" max="6671" width="28.88671875" style="40" customWidth="1"/>
    <col min="6672" max="6902" width="9.109375" style="40"/>
    <col min="6903" max="6903" width="37.88671875" style="40" customWidth="1"/>
    <col min="6904" max="6913" width="10.33203125" style="40" customWidth="1"/>
    <col min="6914" max="6914" width="10.6640625" style="40" customWidth="1"/>
    <col min="6915" max="6916" width="10.33203125" style="40" customWidth="1"/>
    <col min="6917" max="6917" width="10.88671875" style="40" customWidth="1"/>
    <col min="6918" max="6926" width="10.33203125" style="40" customWidth="1"/>
    <col min="6927" max="6927" width="28.88671875" style="40" customWidth="1"/>
    <col min="6928" max="7158" width="9.109375" style="40"/>
    <col min="7159" max="7159" width="37.88671875" style="40" customWidth="1"/>
    <col min="7160" max="7169" width="10.33203125" style="40" customWidth="1"/>
    <col min="7170" max="7170" width="10.6640625" style="40" customWidth="1"/>
    <col min="7171" max="7172" width="10.33203125" style="40" customWidth="1"/>
    <col min="7173" max="7173" width="10.88671875" style="40" customWidth="1"/>
    <col min="7174" max="7182" width="10.33203125" style="40" customWidth="1"/>
    <col min="7183" max="7183" width="28.88671875" style="40" customWidth="1"/>
    <col min="7184" max="7414" width="9.109375" style="40"/>
    <col min="7415" max="7415" width="37.88671875" style="40" customWidth="1"/>
    <col min="7416" max="7425" width="10.33203125" style="40" customWidth="1"/>
    <col min="7426" max="7426" width="10.6640625" style="40" customWidth="1"/>
    <col min="7427" max="7428" width="10.33203125" style="40" customWidth="1"/>
    <col min="7429" max="7429" width="10.88671875" style="40" customWidth="1"/>
    <col min="7430" max="7438" width="10.33203125" style="40" customWidth="1"/>
    <col min="7439" max="7439" width="28.88671875" style="40" customWidth="1"/>
    <col min="7440" max="7670" width="9.109375" style="40"/>
    <col min="7671" max="7671" width="37.88671875" style="40" customWidth="1"/>
    <col min="7672" max="7681" width="10.33203125" style="40" customWidth="1"/>
    <col min="7682" max="7682" width="10.6640625" style="40" customWidth="1"/>
    <col min="7683" max="7684" width="10.33203125" style="40" customWidth="1"/>
    <col min="7685" max="7685" width="10.88671875" style="40" customWidth="1"/>
    <col min="7686" max="7694" width="10.33203125" style="40" customWidth="1"/>
    <col min="7695" max="7695" width="28.88671875" style="40" customWidth="1"/>
    <col min="7696" max="7926" width="9.109375" style="40"/>
    <col min="7927" max="7927" width="37.88671875" style="40" customWidth="1"/>
    <col min="7928" max="7937" width="10.33203125" style="40" customWidth="1"/>
    <col min="7938" max="7938" width="10.6640625" style="40" customWidth="1"/>
    <col min="7939" max="7940" width="10.33203125" style="40" customWidth="1"/>
    <col min="7941" max="7941" width="10.88671875" style="40" customWidth="1"/>
    <col min="7942" max="7950" width="10.33203125" style="40" customWidth="1"/>
    <col min="7951" max="7951" width="28.88671875" style="40" customWidth="1"/>
    <col min="7952" max="8182" width="9.109375" style="40"/>
    <col min="8183" max="8183" width="37.88671875" style="40" customWidth="1"/>
    <col min="8184" max="8193" width="10.33203125" style="40" customWidth="1"/>
    <col min="8194" max="8194" width="10.6640625" style="40" customWidth="1"/>
    <col min="8195" max="8196" width="10.33203125" style="40" customWidth="1"/>
    <col min="8197" max="8197" width="10.88671875" style="40" customWidth="1"/>
    <col min="8198" max="8206" width="10.33203125" style="40" customWidth="1"/>
    <col min="8207" max="8207" width="28.88671875" style="40" customWidth="1"/>
    <col min="8208" max="8438" width="9.109375" style="40"/>
    <col min="8439" max="8439" width="37.88671875" style="40" customWidth="1"/>
    <col min="8440" max="8449" width="10.33203125" style="40" customWidth="1"/>
    <col min="8450" max="8450" width="10.6640625" style="40" customWidth="1"/>
    <col min="8451" max="8452" width="10.33203125" style="40" customWidth="1"/>
    <col min="8453" max="8453" width="10.88671875" style="40" customWidth="1"/>
    <col min="8454" max="8462" width="10.33203125" style="40" customWidth="1"/>
    <col min="8463" max="8463" width="28.88671875" style="40" customWidth="1"/>
    <col min="8464" max="8694" width="9.109375" style="40"/>
    <col min="8695" max="8695" width="37.88671875" style="40" customWidth="1"/>
    <col min="8696" max="8705" width="10.33203125" style="40" customWidth="1"/>
    <col min="8706" max="8706" width="10.6640625" style="40" customWidth="1"/>
    <col min="8707" max="8708" width="10.33203125" style="40" customWidth="1"/>
    <col min="8709" max="8709" width="10.88671875" style="40" customWidth="1"/>
    <col min="8710" max="8718" width="10.33203125" style="40" customWidth="1"/>
    <col min="8719" max="8719" width="28.88671875" style="40" customWidth="1"/>
    <col min="8720" max="8950" width="9.109375" style="40"/>
    <col min="8951" max="8951" width="37.88671875" style="40" customWidth="1"/>
    <col min="8952" max="8961" width="10.33203125" style="40" customWidth="1"/>
    <col min="8962" max="8962" width="10.6640625" style="40" customWidth="1"/>
    <col min="8963" max="8964" width="10.33203125" style="40" customWidth="1"/>
    <col min="8965" max="8965" width="10.88671875" style="40" customWidth="1"/>
    <col min="8966" max="8974" width="10.33203125" style="40" customWidth="1"/>
    <col min="8975" max="8975" width="28.88671875" style="40" customWidth="1"/>
    <col min="8976" max="9206" width="9.109375" style="40"/>
    <col min="9207" max="9207" width="37.88671875" style="40" customWidth="1"/>
    <col min="9208" max="9217" width="10.33203125" style="40" customWidth="1"/>
    <col min="9218" max="9218" width="10.6640625" style="40" customWidth="1"/>
    <col min="9219" max="9220" width="10.33203125" style="40" customWidth="1"/>
    <col min="9221" max="9221" width="10.88671875" style="40" customWidth="1"/>
    <col min="9222" max="9230" width="10.33203125" style="40" customWidth="1"/>
    <col min="9231" max="9231" width="28.88671875" style="40" customWidth="1"/>
    <col min="9232" max="9462" width="9.109375" style="40"/>
    <col min="9463" max="9463" width="37.88671875" style="40" customWidth="1"/>
    <col min="9464" max="9473" width="10.33203125" style="40" customWidth="1"/>
    <col min="9474" max="9474" width="10.6640625" style="40" customWidth="1"/>
    <col min="9475" max="9476" width="10.33203125" style="40" customWidth="1"/>
    <col min="9477" max="9477" width="10.88671875" style="40" customWidth="1"/>
    <col min="9478" max="9486" width="10.33203125" style="40" customWidth="1"/>
    <col min="9487" max="9487" width="28.88671875" style="40" customWidth="1"/>
    <col min="9488" max="9718" width="9.109375" style="40"/>
    <col min="9719" max="9719" width="37.88671875" style="40" customWidth="1"/>
    <col min="9720" max="9729" width="10.33203125" style="40" customWidth="1"/>
    <col min="9730" max="9730" width="10.6640625" style="40" customWidth="1"/>
    <col min="9731" max="9732" width="10.33203125" style="40" customWidth="1"/>
    <col min="9733" max="9733" width="10.88671875" style="40" customWidth="1"/>
    <col min="9734" max="9742" width="10.33203125" style="40" customWidth="1"/>
    <col min="9743" max="9743" width="28.88671875" style="40" customWidth="1"/>
    <col min="9744" max="9974" width="9.109375" style="40"/>
    <col min="9975" max="9975" width="37.88671875" style="40" customWidth="1"/>
    <col min="9976" max="9985" width="10.33203125" style="40" customWidth="1"/>
    <col min="9986" max="9986" width="10.6640625" style="40" customWidth="1"/>
    <col min="9987" max="9988" width="10.33203125" style="40" customWidth="1"/>
    <col min="9989" max="9989" width="10.88671875" style="40" customWidth="1"/>
    <col min="9990" max="9998" width="10.33203125" style="40" customWidth="1"/>
    <col min="9999" max="9999" width="28.88671875" style="40" customWidth="1"/>
    <col min="10000" max="10230" width="9.109375" style="40"/>
    <col min="10231" max="10231" width="37.88671875" style="40" customWidth="1"/>
    <col min="10232" max="10241" width="10.33203125" style="40" customWidth="1"/>
    <col min="10242" max="10242" width="10.6640625" style="40" customWidth="1"/>
    <col min="10243" max="10244" width="10.33203125" style="40" customWidth="1"/>
    <col min="10245" max="10245" width="10.88671875" style="40" customWidth="1"/>
    <col min="10246" max="10254" width="10.33203125" style="40" customWidth="1"/>
    <col min="10255" max="10255" width="28.88671875" style="40" customWidth="1"/>
    <col min="10256" max="10486" width="9.109375" style="40"/>
    <col min="10487" max="10487" width="37.88671875" style="40" customWidth="1"/>
    <col min="10488" max="10497" width="10.33203125" style="40" customWidth="1"/>
    <col min="10498" max="10498" width="10.6640625" style="40" customWidth="1"/>
    <col min="10499" max="10500" width="10.33203125" style="40" customWidth="1"/>
    <col min="10501" max="10501" width="10.88671875" style="40" customWidth="1"/>
    <col min="10502" max="10510" width="10.33203125" style="40" customWidth="1"/>
    <col min="10511" max="10511" width="28.88671875" style="40" customWidth="1"/>
    <col min="10512" max="10742" width="9.109375" style="40"/>
    <col min="10743" max="10743" width="37.88671875" style="40" customWidth="1"/>
    <col min="10744" max="10753" width="10.33203125" style="40" customWidth="1"/>
    <col min="10754" max="10754" width="10.6640625" style="40" customWidth="1"/>
    <col min="10755" max="10756" width="10.33203125" style="40" customWidth="1"/>
    <col min="10757" max="10757" width="10.88671875" style="40" customWidth="1"/>
    <col min="10758" max="10766" width="10.33203125" style="40" customWidth="1"/>
    <col min="10767" max="10767" width="28.88671875" style="40" customWidth="1"/>
    <col min="10768" max="10998" width="9.109375" style="40"/>
    <col min="10999" max="10999" width="37.88671875" style="40" customWidth="1"/>
    <col min="11000" max="11009" width="10.33203125" style="40" customWidth="1"/>
    <col min="11010" max="11010" width="10.6640625" style="40" customWidth="1"/>
    <col min="11011" max="11012" width="10.33203125" style="40" customWidth="1"/>
    <col min="11013" max="11013" width="10.88671875" style="40" customWidth="1"/>
    <col min="11014" max="11022" width="10.33203125" style="40" customWidth="1"/>
    <col min="11023" max="11023" width="28.88671875" style="40" customWidth="1"/>
    <col min="11024" max="11254" width="9.109375" style="40"/>
    <col min="11255" max="11255" width="37.88671875" style="40" customWidth="1"/>
    <col min="11256" max="11265" width="10.33203125" style="40" customWidth="1"/>
    <col min="11266" max="11266" width="10.6640625" style="40" customWidth="1"/>
    <col min="11267" max="11268" width="10.33203125" style="40" customWidth="1"/>
    <col min="11269" max="11269" width="10.88671875" style="40" customWidth="1"/>
    <col min="11270" max="11278" width="10.33203125" style="40" customWidth="1"/>
    <col min="11279" max="11279" width="28.88671875" style="40" customWidth="1"/>
    <col min="11280" max="11510" width="9.109375" style="40"/>
    <col min="11511" max="11511" width="37.88671875" style="40" customWidth="1"/>
    <col min="11512" max="11521" width="10.33203125" style="40" customWidth="1"/>
    <col min="11522" max="11522" width="10.6640625" style="40" customWidth="1"/>
    <col min="11523" max="11524" width="10.33203125" style="40" customWidth="1"/>
    <col min="11525" max="11525" width="10.88671875" style="40" customWidth="1"/>
    <col min="11526" max="11534" width="10.33203125" style="40" customWidth="1"/>
    <col min="11535" max="11535" width="28.88671875" style="40" customWidth="1"/>
    <col min="11536" max="11766" width="9.109375" style="40"/>
    <col min="11767" max="11767" width="37.88671875" style="40" customWidth="1"/>
    <col min="11768" max="11777" width="10.33203125" style="40" customWidth="1"/>
    <col min="11778" max="11778" width="10.6640625" style="40" customWidth="1"/>
    <col min="11779" max="11780" width="10.33203125" style="40" customWidth="1"/>
    <col min="11781" max="11781" width="10.88671875" style="40" customWidth="1"/>
    <col min="11782" max="11790" width="10.33203125" style="40" customWidth="1"/>
    <col min="11791" max="11791" width="28.88671875" style="40" customWidth="1"/>
    <col min="11792" max="12022" width="9.109375" style="40"/>
    <col min="12023" max="12023" width="37.88671875" style="40" customWidth="1"/>
    <col min="12024" max="12033" width="10.33203125" style="40" customWidth="1"/>
    <col min="12034" max="12034" width="10.6640625" style="40" customWidth="1"/>
    <col min="12035" max="12036" width="10.33203125" style="40" customWidth="1"/>
    <col min="12037" max="12037" width="10.88671875" style="40" customWidth="1"/>
    <col min="12038" max="12046" width="10.33203125" style="40" customWidth="1"/>
    <col min="12047" max="12047" width="28.88671875" style="40" customWidth="1"/>
    <col min="12048" max="12278" width="9.109375" style="40"/>
    <col min="12279" max="12279" width="37.88671875" style="40" customWidth="1"/>
    <col min="12280" max="12289" width="10.33203125" style="40" customWidth="1"/>
    <col min="12290" max="12290" width="10.6640625" style="40" customWidth="1"/>
    <col min="12291" max="12292" width="10.33203125" style="40" customWidth="1"/>
    <col min="12293" max="12293" width="10.88671875" style="40" customWidth="1"/>
    <col min="12294" max="12302" width="10.33203125" style="40" customWidth="1"/>
    <col min="12303" max="12303" width="28.88671875" style="40" customWidth="1"/>
    <col min="12304" max="12534" width="9.109375" style="40"/>
    <col min="12535" max="12535" width="37.88671875" style="40" customWidth="1"/>
    <col min="12536" max="12545" width="10.33203125" style="40" customWidth="1"/>
    <col min="12546" max="12546" width="10.6640625" style="40" customWidth="1"/>
    <col min="12547" max="12548" width="10.33203125" style="40" customWidth="1"/>
    <col min="12549" max="12549" width="10.88671875" style="40" customWidth="1"/>
    <col min="12550" max="12558" width="10.33203125" style="40" customWidth="1"/>
    <col min="12559" max="12559" width="28.88671875" style="40" customWidth="1"/>
    <col min="12560" max="12790" width="9.109375" style="40"/>
    <col min="12791" max="12791" width="37.88671875" style="40" customWidth="1"/>
    <col min="12792" max="12801" width="10.33203125" style="40" customWidth="1"/>
    <col min="12802" max="12802" width="10.6640625" style="40" customWidth="1"/>
    <col min="12803" max="12804" width="10.33203125" style="40" customWidth="1"/>
    <col min="12805" max="12805" width="10.88671875" style="40" customWidth="1"/>
    <col min="12806" max="12814" width="10.33203125" style="40" customWidth="1"/>
    <col min="12815" max="12815" width="28.88671875" style="40" customWidth="1"/>
    <col min="12816" max="13046" width="9.109375" style="40"/>
    <col min="13047" max="13047" width="37.88671875" style="40" customWidth="1"/>
    <col min="13048" max="13057" width="10.33203125" style="40" customWidth="1"/>
    <col min="13058" max="13058" width="10.6640625" style="40" customWidth="1"/>
    <col min="13059" max="13060" width="10.33203125" style="40" customWidth="1"/>
    <col min="13061" max="13061" width="10.88671875" style="40" customWidth="1"/>
    <col min="13062" max="13070" width="10.33203125" style="40" customWidth="1"/>
    <col min="13071" max="13071" width="28.88671875" style="40" customWidth="1"/>
    <col min="13072" max="13302" width="9.109375" style="40"/>
    <col min="13303" max="13303" width="37.88671875" style="40" customWidth="1"/>
    <col min="13304" max="13313" width="10.33203125" style="40" customWidth="1"/>
    <col min="13314" max="13314" width="10.6640625" style="40" customWidth="1"/>
    <col min="13315" max="13316" width="10.33203125" style="40" customWidth="1"/>
    <col min="13317" max="13317" width="10.88671875" style="40" customWidth="1"/>
    <col min="13318" max="13326" width="10.33203125" style="40" customWidth="1"/>
    <col min="13327" max="13327" width="28.88671875" style="40" customWidth="1"/>
    <col min="13328" max="13558" width="9.109375" style="40"/>
    <col min="13559" max="13559" width="37.88671875" style="40" customWidth="1"/>
    <col min="13560" max="13569" width="10.33203125" style="40" customWidth="1"/>
    <col min="13570" max="13570" width="10.6640625" style="40" customWidth="1"/>
    <col min="13571" max="13572" width="10.33203125" style="40" customWidth="1"/>
    <col min="13573" max="13573" width="10.88671875" style="40" customWidth="1"/>
    <col min="13574" max="13582" width="10.33203125" style="40" customWidth="1"/>
    <col min="13583" max="13583" width="28.88671875" style="40" customWidth="1"/>
    <col min="13584" max="13814" width="9.109375" style="40"/>
    <col min="13815" max="13815" width="37.88671875" style="40" customWidth="1"/>
    <col min="13816" max="13825" width="10.33203125" style="40" customWidth="1"/>
    <col min="13826" max="13826" width="10.6640625" style="40" customWidth="1"/>
    <col min="13827" max="13828" width="10.33203125" style="40" customWidth="1"/>
    <col min="13829" max="13829" width="10.88671875" style="40" customWidth="1"/>
    <col min="13830" max="13838" width="10.33203125" style="40" customWidth="1"/>
    <col min="13839" max="13839" width="28.88671875" style="40" customWidth="1"/>
    <col min="13840" max="14070" width="9.109375" style="40"/>
    <col min="14071" max="14071" width="37.88671875" style="40" customWidth="1"/>
    <col min="14072" max="14081" width="10.33203125" style="40" customWidth="1"/>
    <col min="14082" max="14082" width="10.6640625" style="40" customWidth="1"/>
    <col min="14083" max="14084" width="10.33203125" style="40" customWidth="1"/>
    <col min="14085" max="14085" width="10.88671875" style="40" customWidth="1"/>
    <col min="14086" max="14094" width="10.33203125" style="40" customWidth="1"/>
    <col min="14095" max="14095" width="28.88671875" style="40" customWidth="1"/>
    <col min="14096" max="14326" width="9.109375" style="40"/>
    <col min="14327" max="14327" width="37.88671875" style="40" customWidth="1"/>
    <col min="14328" max="14337" width="10.33203125" style="40" customWidth="1"/>
    <col min="14338" max="14338" width="10.6640625" style="40" customWidth="1"/>
    <col min="14339" max="14340" width="10.33203125" style="40" customWidth="1"/>
    <col min="14341" max="14341" width="10.88671875" style="40" customWidth="1"/>
    <col min="14342" max="14350" width="10.33203125" style="40" customWidth="1"/>
    <col min="14351" max="14351" width="28.88671875" style="40" customWidth="1"/>
    <col min="14352" max="14582" width="9.109375" style="40"/>
    <col min="14583" max="14583" width="37.88671875" style="40" customWidth="1"/>
    <col min="14584" max="14593" width="10.33203125" style="40" customWidth="1"/>
    <col min="14594" max="14594" width="10.6640625" style="40" customWidth="1"/>
    <col min="14595" max="14596" width="10.33203125" style="40" customWidth="1"/>
    <col min="14597" max="14597" width="10.88671875" style="40" customWidth="1"/>
    <col min="14598" max="14606" width="10.33203125" style="40" customWidth="1"/>
    <col min="14607" max="14607" width="28.88671875" style="40" customWidth="1"/>
    <col min="14608" max="14838" width="9.109375" style="40"/>
    <col min="14839" max="14839" width="37.88671875" style="40" customWidth="1"/>
    <col min="14840" max="14849" width="10.33203125" style="40" customWidth="1"/>
    <col min="14850" max="14850" width="10.6640625" style="40" customWidth="1"/>
    <col min="14851" max="14852" width="10.33203125" style="40" customWidth="1"/>
    <col min="14853" max="14853" width="10.88671875" style="40" customWidth="1"/>
    <col min="14854" max="14862" width="10.33203125" style="40" customWidth="1"/>
    <col min="14863" max="14863" width="28.88671875" style="40" customWidth="1"/>
    <col min="14864" max="15094" width="9.109375" style="40"/>
    <col min="15095" max="15095" width="37.88671875" style="40" customWidth="1"/>
    <col min="15096" max="15105" width="10.33203125" style="40" customWidth="1"/>
    <col min="15106" max="15106" width="10.6640625" style="40" customWidth="1"/>
    <col min="15107" max="15108" width="10.33203125" style="40" customWidth="1"/>
    <col min="15109" max="15109" width="10.88671875" style="40" customWidth="1"/>
    <col min="15110" max="15118" width="10.33203125" style="40" customWidth="1"/>
    <col min="15119" max="15119" width="28.88671875" style="40" customWidth="1"/>
    <col min="15120" max="15350" width="9.109375" style="40"/>
    <col min="15351" max="15351" width="37.88671875" style="40" customWidth="1"/>
    <col min="15352" max="15361" width="10.33203125" style="40" customWidth="1"/>
    <col min="15362" max="15362" width="10.6640625" style="40" customWidth="1"/>
    <col min="15363" max="15364" width="10.33203125" style="40" customWidth="1"/>
    <col min="15365" max="15365" width="10.88671875" style="40" customWidth="1"/>
    <col min="15366" max="15374" width="10.33203125" style="40" customWidth="1"/>
    <col min="15375" max="15375" width="28.88671875" style="40" customWidth="1"/>
    <col min="15376" max="15606" width="9.109375" style="40"/>
    <col min="15607" max="15607" width="37.88671875" style="40" customWidth="1"/>
    <col min="15608" max="15617" width="10.33203125" style="40" customWidth="1"/>
    <col min="15618" max="15618" width="10.6640625" style="40" customWidth="1"/>
    <col min="15619" max="15620" width="10.33203125" style="40" customWidth="1"/>
    <col min="15621" max="15621" width="10.88671875" style="40" customWidth="1"/>
    <col min="15622" max="15630" width="10.33203125" style="40" customWidth="1"/>
    <col min="15631" max="15631" width="28.88671875" style="40" customWidth="1"/>
    <col min="15632" max="15862" width="9.109375" style="40"/>
    <col min="15863" max="15863" width="37.88671875" style="40" customWidth="1"/>
    <col min="15864" max="15873" width="10.33203125" style="40" customWidth="1"/>
    <col min="15874" max="15874" width="10.6640625" style="40" customWidth="1"/>
    <col min="15875" max="15876" width="10.33203125" style="40" customWidth="1"/>
    <col min="15877" max="15877" width="10.88671875" style="40" customWidth="1"/>
    <col min="15878" max="15886" width="10.33203125" style="40" customWidth="1"/>
    <col min="15887" max="15887" width="28.88671875" style="40" customWidth="1"/>
    <col min="15888" max="16118" width="9.109375" style="40"/>
    <col min="16119" max="16119" width="37.88671875" style="40" customWidth="1"/>
    <col min="16120" max="16129" width="10.33203125" style="40" customWidth="1"/>
    <col min="16130" max="16130" width="10.6640625" style="40" customWidth="1"/>
    <col min="16131" max="16132" width="10.33203125" style="40" customWidth="1"/>
    <col min="16133" max="16133" width="10.88671875" style="40" customWidth="1"/>
    <col min="16134" max="16142" width="10.33203125" style="40" customWidth="1"/>
    <col min="16143" max="16143" width="28.88671875" style="40" customWidth="1"/>
    <col min="16144" max="16384" width="9.109375" style="40"/>
  </cols>
  <sheetData>
    <row r="1" spans="1:29" ht="14.4" customHeight="1" thickBot="1" x14ac:dyDescent="0.3">
      <c r="A1" s="2628" t="s">
        <v>2257</v>
      </c>
      <c r="B1" s="2689" t="s">
        <v>760</v>
      </c>
      <c r="C1" s="2667" t="s">
        <v>2258</v>
      </c>
      <c r="D1" s="2667" t="s">
        <v>2259</v>
      </c>
      <c r="E1" s="2667" t="s">
        <v>2258</v>
      </c>
      <c r="F1" s="2667" t="s">
        <v>2259</v>
      </c>
      <c r="G1" s="2669" t="s">
        <v>2260</v>
      </c>
      <c r="H1" s="2669" t="s">
        <v>2261</v>
      </c>
      <c r="I1" s="2669" t="s">
        <v>2260</v>
      </c>
      <c r="J1" s="2669" t="s">
        <v>2261</v>
      </c>
      <c r="K1" s="2669" t="s">
        <v>2262</v>
      </c>
      <c r="L1" s="2669" t="s">
        <v>490</v>
      </c>
      <c r="M1" s="2669" t="s">
        <v>2263</v>
      </c>
      <c r="N1" s="2669" t="s">
        <v>761</v>
      </c>
      <c r="O1" s="2671" t="s">
        <v>491</v>
      </c>
      <c r="P1" s="2673" t="s">
        <v>2265</v>
      </c>
      <c r="Q1" s="2674"/>
      <c r="R1" s="2675"/>
      <c r="S1" s="2679" t="s">
        <v>2264</v>
      </c>
      <c r="T1" s="2679"/>
      <c r="U1" s="2679"/>
      <c r="V1" s="2679"/>
      <c r="W1" s="2679"/>
      <c r="X1" s="2679"/>
      <c r="Y1" s="2680"/>
      <c r="Z1" s="2681" t="s">
        <v>2270</v>
      </c>
      <c r="AA1" s="2682"/>
      <c r="AB1" s="2682"/>
      <c r="AC1" s="2664" t="s">
        <v>2271</v>
      </c>
    </row>
    <row r="2" spans="1:29" s="92" customFormat="1" ht="70.2" customHeight="1" thickBot="1" x14ac:dyDescent="0.3">
      <c r="A2" s="2688"/>
      <c r="B2" s="2690"/>
      <c r="C2" s="2668"/>
      <c r="D2" s="2668"/>
      <c r="E2" s="2668"/>
      <c r="F2" s="2668"/>
      <c r="G2" s="2670"/>
      <c r="H2" s="2670"/>
      <c r="I2" s="2670"/>
      <c r="J2" s="2670"/>
      <c r="K2" s="2670"/>
      <c r="L2" s="2670"/>
      <c r="M2" s="2670"/>
      <c r="N2" s="2670"/>
      <c r="O2" s="2672"/>
      <c r="P2" s="2676"/>
      <c r="Q2" s="2677"/>
      <c r="R2" s="2678"/>
      <c r="S2" s="2394" t="s">
        <v>761</v>
      </c>
      <c r="T2" s="2395" t="s">
        <v>490</v>
      </c>
      <c r="U2" s="102" t="s">
        <v>2263</v>
      </c>
      <c r="V2" s="2395" t="s">
        <v>581</v>
      </c>
      <c r="W2" s="2395" t="s">
        <v>761</v>
      </c>
      <c r="X2" s="2395" t="s">
        <v>491</v>
      </c>
      <c r="Y2" s="2395" t="s">
        <v>581</v>
      </c>
      <c r="Z2" s="2683"/>
      <c r="AA2" s="2684"/>
      <c r="AB2" s="2684"/>
      <c r="AC2" s="2665"/>
    </row>
    <row r="3" spans="1:29" s="93" customFormat="1" ht="31.2" thickBot="1" x14ac:dyDescent="0.3">
      <c r="A3" s="2629"/>
      <c r="B3" s="2691"/>
      <c r="C3" s="2692" t="s">
        <v>492</v>
      </c>
      <c r="D3" s="2692"/>
      <c r="E3" s="2666" t="s">
        <v>493</v>
      </c>
      <c r="F3" s="2666"/>
      <c r="G3" s="2666" t="s">
        <v>492</v>
      </c>
      <c r="H3" s="2666"/>
      <c r="I3" s="2666" t="s">
        <v>493</v>
      </c>
      <c r="J3" s="2666"/>
      <c r="K3" s="2666" t="s">
        <v>492</v>
      </c>
      <c r="L3" s="2666"/>
      <c r="M3" s="2666"/>
      <c r="N3" s="2666" t="s">
        <v>493</v>
      </c>
      <c r="O3" s="2666"/>
      <c r="P3" s="2396" t="s">
        <v>492</v>
      </c>
      <c r="Q3" s="2397" t="s">
        <v>493</v>
      </c>
      <c r="R3" s="2398" t="s">
        <v>494</v>
      </c>
      <c r="S3" s="2685" t="s">
        <v>492</v>
      </c>
      <c r="T3" s="2686"/>
      <c r="U3" s="2686"/>
      <c r="V3" s="2687"/>
      <c r="W3" s="2685" t="s">
        <v>493</v>
      </c>
      <c r="X3" s="2686"/>
      <c r="Y3" s="2687"/>
      <c r="Z3" s="2399" t="s">
        <v>492</v>
      </c>
      <c r="AA3" s="2400" t="s">
        <v>493</v>
      </c>
      <c r="AB3" s="2430" t="s">
        <v>494</v>
      </c>
      <c r="AC3" s="2454"/>
    </row>
    <row r="4" spans="1:29" s="96" customFormat="1" ht="30" customHeight="1" thickBot="1" x14ac:dyDescent="0.3">
      <c r="A4" s="2401" t="s">
        <v>20</v>
      </c>
      <c r="B4" s="446" t="s">
        <v>753</v>
      </c>
      <c r="C4" s="627">
        <v>153</v>
      </c>
      <c r="D4" s="627">
        <v>116.5</v>
      </c>
      <c r="E4" s="627">
        <v>2</v>
      </c>
      <c r="F4" s="627">
        <v>1</v>
      </c>
      <c r="G4" s="627">
        <v>0</v>
      </c>
      <c r="H4" s="627">
        <v>0</v>
      </c>
      <c r="I4" s="627">
        <v>0</v>
      </c>
      <c r="J4" s="627">
        <v>0</v>
      </c>
      <c r="K4" s="627">
        <f>C4+D4+G4+H4</f>
        <v>269.5</v>
      </c>
      <c r="L4" s="627">
        <v>0</v>
      </c>
      <c r="M4" s="627">
        <v>0</v>
      </c>
      <c r="N4" s="627">
        <f>E4+F4+I4+J4</f>
        <v>3</v>
      </c>
      <c r="O4" s="627">
        <v>0</v>
      </c>
      <c r="P4" s="629">
        <f>K4+L4+M4</f>
        <v>269.5</v>
      </c>
      <c r="Q4" s="627">
        <f>N4+O4</f>
        <v>3</v>
      </c>
      <c r="R4" s="630">
        <f t="shared" ref="R4:R19" si="0">SUM(P4:Q4)</f>
        <v>272.5</v>
      </c>
      <c r="S4" s="651"/>
      <c r="T4" s="651"/>
      <c r="U4" s="651"/>
      <c r="V4" s="627">
        <f>SUM(S4:U4)</f>
        <v>0</v>
      </c>
      <c r="W4" s="651"/>
      <c r="X4" s="651"/>
      <c r="Y4" s="627">
        <f>SUM(W4:X4)</f>
        <v>0</v>
      </c>
      <c r="Z4" s="2402">
        <f t="shared" ref="Z4:Z36" si="1">P4+V4</f>
        <v>269.5</v>
      </c>
      <c r="AA4" s="627">
        <f t="shared" ref="AA4:AA36" si="2">Q4+Y4</f>
        <v>3</v>
      </c>
      <c r="AB4" s="628">
        <f>SUM(Z4:AA4)</f>
        <v>272.5</v>
      </c>
      <c r="AC4" s="2455"/>
    </row>
    <row r="5" spans="1:29" ht="30" customHeight="1" thickBot="1" x14ac:dyDescent="0.3">
      <c r="A5" s="2403"/>
      <c r="B5" s="447" t="s">
        <v>195</v>
      </c>
      <c r="C5" s="631">
        <f>SUM(C6:C19)</f>
        <v>2</v>
      </c>
      <c r="D5" s="631"/>
      <c r="E5" s="627">
        <f t="shared" ref="E5:AB5" si="3">SUM(E6:E19)</f>
        <v>0</v>
      </c>
      <c r="F5" s="627">
        <f t="shared" si="3"/>
        <v>0</v>
      </c>
      <c r="G5" s="627">
        <f t="shared" si="3"/>
        <v>143.5</v>
      </c>
      <c r="H5" s="627">
        <f t="shared" si="3"/>
        <v>65</v>
      </c>
      <c r="I5" s="627">
        <f t="shared" si="3"/>
        <v>23.5</v>
      </c>
      <c r="J5" s="627">
        <f t="shared" si="3"/>
        <v>11</v>
      </c>
      <c r="K5" s="627">
        <f t="shared" si="3"/>
        <v>210.5</v>
      </c>
      <c r="L5" s="627">
        <f t="shared" si="3"/>
        <v>0</v>
      </c>
      <c r="M5" s="627">
        <f t="shared" si="3"/>
        <v>0</v>
      </c>
      <c r="N5" s="627">
        <f t="shared" si="3"/>
        <v>34.5</v>
      </c>
      <c r="O5" s="627">
        <f t="shared" si="3"/>
        <v>0</v>
      </c>
      <c r="P5" s="629">
        <f t="shared" si="3"/>
        <v>210.5</v>
      </c>
      <c r="Q5" s="627">
        <f t="shared" si="3"/>
        <v>34.5</v>
      </c>
      <c r="R5" s="630">
        <f t="shared" si="3"/>
        <v>245</v>
      </c>
      <c r="S5" s="627">
        <f t="shared" si="3"/>
        <v>0</v>
      </c>
      <c r="T5" s="627">
        <f t="shared" si="3"/>
        <v>0</v>
      </c>
      <c r="U5" s="627">
        <f t="shared" si="3"/>
        <v>0</v>
      </c>
      <c r="V5" s="627">
        <f t="shared" si="3"/>
        <v>0</v>
      </c>
      <c r="W5" s="627">
        <f t="shared" si="3"/>
        <v>0</v>
      </c>
      <c r="X5" s="627">
        <f t="shared" si="3"/>
        <v>0</v>
      </c>
      <c r="Y5" s="627">
        <f t="shared" si="3"/>
        <v>0</v>
      </c>
      <c r="Z5" s="2402">
        <f t="shared" si="1"/>
        <v>210.5</v>
      </c>
      <c r="AA5" s="627">
        <f t="shared" si="2"/>
        <v>34.5</v>
      </c>
      <c r="AB5" s="628">
        <f t="shared" si="3"/>
        <v>245</v>
      </c>
      <c r="AC5" s="2456"/>
    </row>
    <row r="6" spans="1:29" s="95" customFormat="1" ht="30" customHeight="1" x14ac:dyDescent="0.25">
      <c r="A6" s="2404">
        <v>40101</v>
      </c>
      <c r="B6" s="448" t="s">
        <v>754</v>
      </c>
      <c r="C6" s="632"/>
      <c r="D6" s="632"/>
      <c r="E6" s="633"/>
      <c r="F6" s="633"/>
      <c r="G6" s="633"/>
      <c r="H6" s="633">
        <v>0</v>
      </c>
      <c r="I6" s="633">
        <v>4</v>
      </c>
      <c r="J6" s="633">
        <v>6</v>
      </c>
      <c r="K6" s="633">
        <f>C6+D6+G6+H6</f>
        <v>0</v>
      </c>
      <c r="L6" s="633"/>
      <c r="M6" s="633"/>
      <c r="N6" s="634">
        <f>E6+F6+I6+J6</f>
        <v>10</v>
      </c>
      <c r="O6" s="633"/>
      <c r="P6" s="635">
        <f t="shared" ref="P6:P21" si="4">K6+L6+M6</f>
        <v>0</v>
      </c>
      <c r="Q6" s="636">
        <f>N6+O6</f>
        <v>10</v>
      </c>
      <c r="R6" s="637">
        <f t="shared" si="0"/>
        <v>10</v>
      </c>
      <c r="S6" s="633"/>
      <c r="T6" s="633"/>
      <c r="U6" s="633"/>
      <c r="V6" s="654">
        <f>SUM(S6:U6)</f>
        <v>0</v>
      </c>
      <c r="W6" s="634">
        <v>0</v>
      </c>
      <c r="X6" s="633"/>
      <c r="Y6" s="654">
        <f t="shared" ref="Y6:Y21" si="5">SUM(W6:X6)</f>
        <v>0</v>
      </c>
      <c r="Z6" s="2405">
        <f t="shared" si="1"/>
        <v>0</v>
      </c>
      <c r="AA6" s="634">
        <f t="shared" si="2"/>
        <v>10</v>
      </c>
      <c r="AB6" s="2431">
        <f>SUM(Z6:AA6)</f>
        <v>10</v>
      </c>
      <c r="AC6" s="2457"/>
    </row>
    <row r="7" spans="1:29" s="95" customFormat="1" ht="30" customHeight="1" x14ac:dyDescent="0.25">
      <c r="A7" s="2406" t="s">
        <v>14</v>
      </c>
      <c r="B7" s="449" t="s">
        <v>68</v>
      </c>
      <c r="C7" s="638"/>
      <c r="D7" s="638"/>
      <c r="E7" s="639"/>
      <c r="F7" s="639"/>
      <c r="G7" s="639">
        <v>2</v>
      </c>
      <c r="H7" s="639">
        <v>21</v>
      </c>
      <c r="I7" s="639"/>
      <c r="J7" s="639"/>
      <c r="K7" s="639">
        <f t="shared" ref="K7:K20" si="6">C7+D7+G7+H7</f>
        <v>23</v>
      </c>
      <c r="L7" s="639"/>
      <c r="M7" s="639"/>
      <c r="N7" s="639"/>
      <c r="O7" s="639"/>
      <c r="P7" s="640">
        <f t="shared" si="4"/>
        <v>23</v>
      </c>
      <c r="Q7" s="641">
        <f>N7+O7</f>
        <v>0</v>
      </c>
      <c r="R7" s="642">
        <f t="shared" si="0"/>
        <v>23</v>
      </c>
      <c r="S7" s="639">
        <v>0</v>
      </c>
      <c r="T7" s="639"/>
      <c r="U7" s="639"/>
      <c r="V7" s="641">
        <f t="shared" ref="V7:V19" si="7">SUM(S7:U7)</f>
        <v>0</v>
      </c>
      <c r="W7" s="639"/>
      <c r="X7" s="639"/>
      <c r="Y7" s="641">
        <f t="shared" si="5"/>
        <v>0</v>
      </c>
      <c r="Z7" s="2407">
        <f t="shared" si="1"/>
        <v>23</v>
      </c>
      <c r="AA7" s="639">
        <f t="shared" si="2"/>
        <v>0</v>
      </c>
      <c r="AB7" s="2432">
        <f>SUM(Z7:AA7)</f>
        <v>23</v>
      </c>
      <c r="AC7" s="2457"/>
    </row>
    <row r="8" spans="1:29" ht="30" customHeight="1" x14ac:dyDescent="0.25">
      <c r="A8" s="2406" t="s">
        <v>15</v>
      </c>
      <c r="B8" s="449" t="s">
        <v>69</v>
      </c>
      <c r="C8" s="638"/>
      <c r="D8" s="638"/>
      <c r="E8" s="639"/>
      <c r="F8" s="639"/>
      <c r="G8" s="639">
        <v>15</v>
      </c>
      <c r="H8" s="639"/>
      <c r="I8" s="639"/>
      <c r="J8" s="639"/>
      <c r="K8" s="639">
        <f t="shared" si="6"/>
        <v>15</v>
      </c>
      <c r="L8" s="639"/>
      <c r="M8" s="639"/>
      <c r="N8" s="639"/>
      <c r="O8" s="639"/>
      <c r="P8" s="640">
        <f t="shared" si="4"/>
        <v>15</v>
      </c>
      <c r="Q8" s="641">
        <f t="shared" ref="Q8:Q19" si="8">N8+O8</f>
        <v>0</v>
      </c>
      <c r="R8" s="642">
        <f t="shared" si="0"/>
        <v>15</v>
      </c>
      <c r="S8" s="639">
        <v>0</v>
      </c>
      <c r="T8" s="639"/>
      <c r="U8" s="639"/>
      <c r="V8" s="641">
        <f t="shared" si="7"/>
        <v>0</v>
      </c>
      <c r="W8" s="639"/>
      <c r="X8" s="639"/>
      <c r="Y8" s="641">
        <f t="shared" si="5"/>
        <v>0</v>
      </c>
      <c r="Z8" s="2407">
        <f t="shared" si="1"/>
        <v>15</v>
      </c>
      <c r="AA8" s="639">
        <f t="shared" si="2"/>
        <v>0</v>
      </c>
      <c r="AB8" s="2432">
        <f t="shared" ref="AB8:AB35" si="9">SUM(Z8:AA8)</f>
        <v>15</v>
      </c>
      <c r="AC8" s="2458"/>
    </row>
    <row r="9" spans="1:29" ht="30" customHeight="1" x14ac:dyDescent="0.25">
      <c r="A9" s="2406" t="s">
        <v>16</v>
      </c>
      <c r="B9" s="449" t="s">
        <v>1194</v>
      </c>
      <c r="C9" s="638">
        <v>1</v>
      </c>
      <c r="D9" s="638"/>
      <c r="E9" s="639"/>
      <c r="F9" s="639"/>
      <c r="G9" s="639">
        <v>6</v>
      </c>
      <c r="H9" s="639">
        <v>0</v>
      </c>
      <c r="I9" s="639">
        <v>15.5</v>
      </c>
      <c r="J9" s="639">
        <v>2.5</v>
      </c>
      <c r="K9" s="639">
        <f>C9+D9+G9+H9</f>
        <v>7</v>
      </c>
      <c r="L9" s="639"/>
      <c r="M9" s="639"/>
      <c r="N9" s="639">
        <f t="shared" ref="N9:N16" si="10">E9+F9+I9+J9</f>
        <v>18</v>
      </c>
      <c r="O9" s="639"/>
      <c r="P9" s="640">
        <f t="shared" si="4"/>
        <v>7</v>
      </c>
      <c r="Q9" s="641">
        <f t="shared" si="8"/>
        <v>18</v>
      </c>
      <c r="R9" s="642">
        <f t="shared" si="0"/>
        <v>25</v>
      </c>
      <c r="S9" s="639">
        <v>0</v>
      </c>
      <c r="T9" s="639"/>
      <c r="U9" s="639"/>
      <c r="V9" s="641">
        <f t="shared" si="7"/>
        <v>0</v>
      </c>
      <c r="W9" s="639">
        <v>0</v>
      </c>
      <c r="X9" s="639"/>
      <c r="Y9" s="641">
        <f t="shared" si="5"/>
        <v>0</v>
      </c>
      <c r="Z9" s="2407">
        <f t="shared" si="1"/>
        <v>7</v>
      </c>
      <c r="AA9" s="639">
        <f t="shared" si="2"/>
        <v>18</v>
      </c>
      <c r="AB9" s="2432">
        <f t="shared" si="9"/>
        <v>25</v>
      </c>
      <c r="AC9" s="2459" t="s">
        <v>2272</v>
      </c>
    </row>
    <row r="10" spans="1:29" ht="30" customHeight="1" x14ac:dyDescent="0.25">
      <c r="A10" s="2406" t="s">
        <v>1197</v>
      </c>
      <c r="B10" s="449" t="s">
        <v>1224</v>
      </c>
      <c r="C10" s="638"/>
      <c r="D10" s="638"/>
      <c r="E10" s="639"/>
      <c r="F10" s="639"/>
      <c r="G10" s="639">
        <v>11</v>
      </c>
      <c r="H10" s="639"/>
      <c r="I10" s="639"/>
      <c r="J10" s="639"/>
      <c r="K10" s="639">
        <f>C10+D10+G10+H10</f>
        <v>11</v>
      </c>
      <c r="L10" s="639"/>
      <c r="M10" s="639"/>
      <c r="N10" s="639"/>
      <c r="O10" s="639"/>
      <c r="P10" s="640">
        <f t="shared" ref="P10" si="11">K10+L10+M10</f>
        <v>11</v>
      </c>
      <c r="Q10" s="641">
        <f t="shared" ref="Q10" si="12">N10+O10</f>
        <v>0</v>
      </c>
      <c r="R10" s="642">
        <f t="shared" ref="R10" si="13">SUM(P10:Q10)</f>
        <v>11</v>
      </c>
      <c r="S10" s="639"/>
      <c r="T10" s="639"/>
      <c r="U10" s="639"/>
      <c r="V10" s="641">
        <f t="shared" si="7"/>
        <v>0</v>
      </c>
      <c r="W10" s="639"/>
      <c r="X10" s="639"/>
      <c r="Y10" s="641">
        <f t="shared" si="5"/>
        <v>0</v>
      </c>
      <c r="Z10" s="2407">
        <f t="shared" ref="Z10" si="14">P10+V10</f>
        <v>11</v>
      </c>
      <c r="AA10" s="639">
        <f t="shared" ref="AA10" si="15">Q10+Y10</f>
        <v>0</v>
      </c>
      <c r="AB10" s="2432">
        <f t="shared" ref="AB10" si="16">SUM(Z10:AA10)</f>
        <v>11</v>
      </c>
      <c r="AC10" s="2458"/>
    </row>
    <row r="11" spans="1:29" ht="30" customHeight="1" x14ac:dyDescent="0.25">
      <c r="A11" s="2406">
        <v>40103</v>
      </c>
      <c r="B11" s="449" t="s">
        <v>70</v>
      </c>
      <c r="C11" s="638"/>
      <c r="D11" s="638"/>
      <c r="E11" s="639"/>
      <c r="F11" s="639"/>
      <c r="G11" s="639">
        <v>28</v>
      </c>
      <c r="H11" s="639">
        <v>1</v>
      </c>
      <c r="I11" s="639"/>
      <c r="J11" s="639"/>
      <c r="K11" s="639">
        <f t="shared" si="6"/>
        <v>29</v>
      </c>
      <c r="L11" s="639"/>
      <c r="M11" s="639"/>
      <c r="N11" s="639"/>
      <c r="O11" s="639"/>
      <c r="P11" s="640">
        <f t="shared" si="4"/>
        <v>29</v>
      </c>
      <c r="Q11" s="641">
        <f t="shared" si="8"/>
        <v>0</v>
      </c>
      <c r="R11" s="642">
        <f t="shared" si="0"/>
        <v>29</v>
      </c>
      <c r="S11" s="639"/>
      <c r="T11" s="639"/>
      <c r="U11" s="639"/>
      <c r="V11" s="641">
        <f t="shared" si="7"/>
        <v>0</v>
      </c>
      <c r="W11" s="639"/>
      <c r="X11" s="639"/>
      <c r="Y11" s="641">
        <f t="shared" si="5"/>
        <v>0</v>
      </c>
      <c r="Z11" s="2407">
        <f t="shared" si="1"/>
        <v>29</v>
      </c>
      <c r="AA11" s="639">
        <f t="shared" si="2"/>
        <v>0</v>
      </c>
      <c r="AB11" s="2432">
        <f t="shared" si="9"/>
        <v>29</v>
      </c>
      <c r="AC11" s="2458"/>
    </row>
    <row r="12" spans="1:29" ht="30" customHeight="1" x14ac:dyDescent="0.25">
      <c r="A12" s="2406" t="s">
        <v>17</v>
      </c>
      <c r="B12" s="449" t="s">
        <v>71</v>
      </c>
      <c r="C12" s="638"/>
      <c r="D12" s="638"/>
      <c r="E12" s="639"/>
      <c r="F12" s="639"/>
      <c r="G12" s="639">
        <v>1</v>
      </c>
      <c r="H12" s="639">
        <v>4</v>
      </c>
      <c r="I12" s="639"/>
      <c r="J12" s="639"/>
      <c r="K12" s="639">
        <f t="shared" si="6"/>
        <v>5</v>
      </c>
      <c r="L12" s="639"/>
      <c r="M12" s="639"/>
      <c r="N12" s="639"/>
      <c r="O12" s="639"/>
      <c r="P12" s="640">
        <f t="shared" si="4"/>
        <v>5</v>
      </c>
      <c r="Q12" s="641">
        <f t="shared" si="8"/>
        <v>0</v>
      </c>
      <c r="R12" s="642">
        <f t="shared" si="0"/>
        <v>5</v>
      </c>
      <c r="S12" s="639"/>
      <c r="T12" s="639"/>
      <c r="U12" s="639"/>
      <c r="V12" s="641">
        <f t="shared" si="7"/>
        <v>0</v>
      </c>
      <c r="W12" s="639"/>
      <c r="X12" s="639"/>
      <c r="Y12" s="641">
        <f t="shared" si="5"/>
        <v>0</v>
      </c>
      <c r="Z12" s="2407">
        <f t="shared" si="1"/>
        <v>5</v>
      </c>
      <c r="AA12" s="639">
        <f t="shared" si="2"/>
        <v>0</v>
      </c>
      <c r="AB12" s="2432">
        <f t="shared" si="9"/>
        <v>5</v>
      </c>
      <c r="AC12" s="2458"/>
    </row>
    <row r="13" spans="1:29" ht="30" customHeight="1" x14ac:dyDescent="0.25">
      <c r="A13" s="2406" t="s">
        <v>18</v>
      </c>
      <c r="B13" s="449" t="s">
        <v>755</v>
      </c>
      <c r="C13" s="638"/>
      <c r="D13" s="638"/>
      <c r="E13" s="639"/>
      <c r="F13" s="639"/>
      <c r="G13" s="639">
        <v>26</v>
      </c>
      <c r="H13" s="639">
        <v>1</v>
      </c>
      <c r="I13" s="639"/>
      <c r="J13" s="639">
        <v>2</v>
      </c>
      <c r="K13" s="639">
        <f t="shared" si="6"/>
        <v>27</v>
      </c>
      <c r="L13" s="639"/>
      <c r="M13" s="639"/>
      <c r="N13" s="639">
        <f t="shared" si="10"/>
        <v>2</v>
      </c>
      <c r="O13" s="639"/>
      <c r="P13" s="640">
        <f t="shared" si="4"/>
        <v>27</v>
      </c>
      <c r="Q13" s="641">
        <f t="shared" si="8"/>
        <v>2</v>
      </c>
      <c r="R13" s="642">
        <f t="shared" si="0"/>
        <v>29</v>
      </c>
      <c r="S13" s="639">
        <v>0</v>
      </c>
      <c r="T13" s="639"/>
      <c r="U13" s="639"/>
      <c r="V13" s="641">
        <f t="shared" si="7"/>
        <v>0</v>
      </c>
      <c r="W13" s="639">
        <v>0</v>
      </c>
      <c r="X13" s="639"/>
      <c r="Y13" s="641">
        <f t="shared" si="5"/>
        <v>0</v>
      </c>
      <c r="Z13" s="2407">
        <f t="shared" si="1"/>
        <v>27</v>
      </c>
      <c r="AA13" s="639">
        <f t="shared" si="2"/>
        <v>2</v>
      </c>
      <c r="AB13" s="2432">
        <f t="shared" si="9"/>
        <v>29</v>
      </c>
      <c r="AC13" s="2458"/>
    </row>
    <row r="14" spans="1:29" ht="15" customHeight="1" x14ac:dyDescent="0.25">
      <c r="A14" s="2406">
        <v>40105</v>
      </c>
      <c r="B14" s="449" t="s">
        <v>756</v>
      </c>
      <c r="C14" s="638"/>
      <c r="D14" s="638"/>
      <c r="E14" s="639"/>
      <c r="F14" s="639"/>
      <c r="G14" s="639">
        <v>24</v>
      </c>
      <c r="H14" s="639">
        <v>8</v>
      </c>
      <c r="I14" s="639"/>
      <c r="J14" s="639"/>
      <c r="K14" s="639">
        <f t="shared" si="6"/>
        <v>32</v>
      </c>
      <c r="L14" s="639"/>
      <c r="M14" s="639"/>
      <c r="N14" s="639"/>
      <c r="O14" s="639"/>
      <c r="P14" s="640">
        <f t="shared" si="4"/>
        <v>32</v>
      </c>
      <c r="Q14" s="641">
        <f t="shared" si="8"/>
        <v>0</v>
      </c>
      <c r="R14" s="642">
        <f t="shared" si="0"/>
        <v>32</v>
      </c>
      <c r="S14" s="639">
        <v>0</v>
      </c>
      <c r="T14" s="639"/>
      <c r="U14" s="639"/>
      <c r="V14" s="641">
        <f t="shared" si="7"/>
        <v>0</v>
      </c>
      <c r="W14" s="639"/>
      <c r="X14" s="639"/>
      <c r="Y14" s="641">
        <f t="shared" si="5"/>
        <v>0</v>
      </c>
      <c r="Z14" s="2407">
        <f t="shared" si="1"/>
        <v>32</v>
      </c>
      <c r="AA14" s="639">
        <f t="shared" si="2"/>
        <v>0</v>
      </c>
      <c r="AB14" s="2432">
        <f t="shared" si="9"/>
        <v>32</v>
      </c>
      <c r="AC14" s="2456"/>
    </row>
    <row r="15" spans="1:29" ht="15" customHeight="1" x14ac:dyDescent="0.25">
      <c r="A15" s="2406">
        <v>40106</v>
      </c>
      <c r="B15" s="449" t="s">
        <v>757</v>
      </c>
      <c r="C15" s="638"/>
      <c r="D15" s="638"/>
      <c r="E15" s="639"/>
      <c r="F15" s="639"/>
      <c r="G15" s="639">
        <v>14.5</v>
      </c>
      <c r="H15" s="639">
        <v>3</v>
      </c>
      <c r="I15" s="639"/>
      <c r="J15" s="639"/>
      <c r="K15" s="639">
        <f t="shared" si="6"/>
        <v>17.5</v>
      </c>
      <c r="L15" s="639"/>
      <c r="M15" s="639"/>
      <c r="N15" s="639"/>
      <c r="O15" s="639"/>
      <c r="P15" s="640">
        <f t="shared" si="4"/>
        <v>17.5</v>
      </c>
      <c r="Q15" s="641">
        <f t="shared" si="8"/>
        <v>0</v>
      </c>
      <c r="R15" s="642">
        <f t="shared" si="0"/>
        <v>17.5</v>
      </c>
      <c r="S15" s="639"/>
      <c r="T15" s="639"/>
      <c r="U15" s="639"/>
      <c r="V15" s="641">
        <f t="shared" si="7"/>
        <v>0</v>
      </c>
      <c r="W15" s="639"/>
      <c r="X15" s="639"/>
      <c r="Y15" s="641">
        <f t="shared" si="5"/>
        <v>0</v>
      </c>
      <c r="Z15" s="2407">
        <f t="shared" si="1"/>
        <v>17.5</v>
      </c>
      <c r="AA15" s="639">
        <f t="shared" si="2"/>
        <v>0</v>
      </c>
      <c r="AB15" s="2432">
        <f t="shared" si="9"/>
        <v>17.5</v>
      </c>
      <c r="AC15" s="2458"/>
    </row>
    <row r="16" spans="1:29" ht="15" customHeight="1" x14ac:dyDescent="0.25">
      <c r="A16" s="2406">
        <v>40107</v>
      </c>
      <c r="B16" s="450" t="s">
        <v>189</v>
      </c>
      <c r="C16" s="638"/>
      <c r="D16" s="638"/>
      <c r="E16" s="639"/>
      <c r="F16" s="639"/>
      <c r="G16" s="643"/>
      <c r="H16" s="643"/>
      <c r="I16" s="643">
        <v>4</v>
      </c>
      <c r="J16" s="639">
        <v>0.5</v>
      </c>
      <c r="K16" s="639">
        <f t="shared" si="6"/>
        <v>0</v>
      </c>
      <c r="L16" s="643"/>
      <c r="M16" s="643"/>
      <c r="N16" s="639">
        <f t="shared" si="10"/>
        <v>4.5</v>
      </c>
      <c r="O16" s="639"/>
      <c r="P16" s="640">
        <f t="shared" si="4"/>
        <v>0</v>
      </c>
      <c r="Q16" s="641">
        <f t="shared" si="8"/>
        <v>4.5</v>
      </c>
      <c r="R16" s="642">
        <f t="shared" si="0"/>
        <v>4.5</v>
      </c>
      <c r="S16" s="639"/>
      <c r="T16" s="643"/>
      <c r="U16" s="643"/>
      <c r="V16" s="641">
        <f t="shared" si="7"/>
        <v>0</v>
      </c>
      <c r="W16" s="639"/>
      <c r="X16" s="639"/>
      <c r="Y16" s="641">
        <f t="shared" si="5"/>
        <v>0</v>
      </c>
      <c r="Z16" s="2407">
        <f t="shared" si="1"/>
        <v>0</v>
      </c>
      <c r="AA16" s="639">
        <f t="shared" si="2"/>
        <v>4.5</v>
      </c>
      <c r="AB16" s="2432">
        <f t="shared" si="9"/>
        <v>4.5</v>
      </c>
      <c r="AC16" s="2458"/>
    </row>
    <row r="17" spans="1:29" ht="24.6" customHeight="1" x14ac:dyDescent="0.25">
      <c r="A17" s="2406" t="s">
        <v>1206</v>
      </c>
      <c r="B17" s="450" t="s">
        <v>76</v>
      </c>
      <c r="C17" s="638">
        <v>1</v>
      </c>
      <c r="D17" s="638"/>
      <c r="E17" s="639"/>
      <c r="F17" s="639"/>
      <c r="G17" s="643">
        <v>7</v>
      </c>
      <c r="H17" s="643">
        <v>1</v>
      </c>
      <c r="I17" s="643"/>
      <c r="J17" s="643"/>
      <c r="K17" s="639">
        <f t="shared" si="6"/>
        <v>9</v>
      </c>
      <c r="L17" s="643"/>
      <c r="M17" s="643"/>
      <c r="N17" s="639"/>
      <c r="O17" s="643"/>
      <c r="P17" s="640">
        <f t="shared" si="4"/>
        <v>9</v>
      </c>
      <c r="Q17" s="641">
        <f t="shared" si="8"/>
        <v>0</v>
      </c>
      <c r="R17" s="644">
        <f t="shared" si="0"/>
        <v>9</v>
      </c>
      <c r="S17" s="639"/>
      <c r="T17" s="643"/>
      <c r="U17" s="643"/>
      <c r="V17" s="641">
        <f t="shared" si="7"/>
        <v>0</v>
      </c>
      <c r="W17" s="639"/>
      <c r="X17" s="643"/>
      <c r="Y17" s="641">
        <f t="shared" si="5"/>
        <v>0</v>
      </c>
      <c r="Z17" s="2407">
        <f t="shared" si="1"/>
        <v>9</v>
      </c>
      <c r="AA17" s="639">
        <f t="shared" si="2"/>
        <v>0</v>
      </c>
      <c r="AB17" s="2432">
        <f t="shared" si="9"/>
        <v>9</v>
      </c>
      <c r="AC17" s="2458"/>
    </row>
    <row r="18" spans="1:29" ht="30" customHeight="1" x14ac:dyDescent="0.25">
      <c r="A18" s="2406" t="s">
        <v>1208</v>
      </c>
      <c r="B18" s="450" t="s">
        <v>485</v>
      </c>
      <c r="C18" s="645"/>
      <c r="D18" s="645"/>
      <c r="E18" s="646"/>
      <c r="F18" s="646"/>
      <c r="G18" s="643">
        <v>9</v>
      </c>
      <c r="H18" s="643">
        <v>1</v>
      </c>
      <c r="I18" s="643"/>
      <c r="J18" s="643"/>
      <c r="K18" s="639">
        <f t="shared" si="6"/>
        <v>10</v>
      </c>
      <c r="L18" s="643"/>
      <c r="M18" s="643"/>
      <c r="N18" s="639"/>
      <c r="O18" s="643"/>
      <c r="P18" s="640">
        <f t="shared" si="4"/>
        <v>10</v>
      </c>
      <c r="Q18" s="641">
        <f t="shared" si="8"/>
        <v>0</v>
      </c>
      <c r="R18" s="644">
        <f t="shared" si="0"/>
        <v>10</v>
      </c>
      <c r="S18" s="639"/>
      <c r="T18" s="643"/>
      <c r="U18" s="643"/>
      <c r="V18" s="641">
        <f t="shared" si="7"/>
        <v>0</v>
      </c>
      <c r="W18" s="639"/>
      <c r="X18" s="643"/>
      <c r="Y18" s="641">
        <f t="shared" si="5"/>
        <v>0</v>
      </c>
      <c r="Z18" s="2407">
        <f t="shared" si="1"/>
        <v>10</v>
      </c>
      <c r="AA18" s="639">
        <f t="shared" si="2"/>
        <v>0</v>
      </c>
      <c r="AB18" s="2432">
        <f t="shared" si="9"/>
        <v>10</v>
      </c>
      <c r="AC18" s="2458"/>
    </row>
    <row r="19" spans="1:29" ht="30.6" customHeight="1" thickBot="1" x14ac:dyDescent="0.3">
      <c r="A19" s="2406">
        <v>40109</v>
      </c>
      <c r="B19" s="2408" t="s">
        <v>187</v>
      </c>
      <c r="C19" s="647"/>
      <c r="D19" s="647"/>
      <c r="E19" s="648"/>
      <c r="F19" s="648"/>
      <c r="G19" s="648"/>
      <c r="H19" s="648">
        <v>25</v>
      </c>
      <c r="I19" s="648"/>
      <c r="J19" s="648"/>
      <c r="K19" s="649">
        <f t="shared" si="6"/>
        <v>25</v>
      </c>
      <c r="L19" s="648"/>
      <c r="M19" s="648"/>
      <c r="N19" s="633"/>
      <c r="O19" s="648"/>
      <c r="P19" s="640">
        <f t="shared" si="4"/>
        <v>25</v>
      </c>
      <c r="Q19" s="641">
        <f t="shared" si="8"/>
        <v>0</v>
      </c>
      <c r="R19" s="644">
        <f t="shared" si="0"/>
        <v>25</v>
      </c>
      <c r="S19" s="649"/>
      <c r="T19" s="648"/>
      <c r="U19" s="648"/>
      <c r="V19" s="2409">
        <f t="shared" si="7"/>
        <v>0</v>
      </c>
      <c r="W19" s="633"/>
      <c r="X19" s="648"/>
      <c r="Y19" s="2409">
        <f t="shared" si="5"/>
        <v>0</v>
      </c>
      <c r="Z19" s="2410">
        <f t="shared" si="1"/>
        <v>25</v>
      </c>
      <c r="AA19" s="646">
        <f t="shared" si="2"/>
        <v>0</v>
      </c>
      <c r="AB19" s="2433">
        <f t="shared" si="9"/>
        <v>25</v>
      </c>
      <c r="AC19" s="2458"/>
    </row>
    <row r="20" spans="1:29" ht="30" customHeight="1" thickBot="1" x14ac:dyDescent="0.3">
      <c r="A20" s="2411">
        <v>50100</v>
      </c>
      <c r="B20" s="451" t="s">
        <v>80</v>
      </c>
      <c r="C20" s="651"/>
      <c r="D20" s="651"/>
      <c r="E20" s="651"/>
      <c r="F20" s="651"/>
      <c r="G20" s="651">
        <v>219</v>
      </c>
      <c r="H20" s="651">
        <v>70</v>
      </c>
      <c r="I20" s="651"/>
      <c r="J20" s="651"/>
      <c r="K20" s="627">
        <f t="shared" si="6"/>
        <v>289</v>
      </c>
      <c r="L20" s="651"/>
      <c r="M20" s="651"/>
      <c r="N20" s="651"/>
      <c r="O20" s="651"/>
      <c r="P20" s="629">
        <f t="shared" si="4"/>
        <v>289</v>
      </c>
      <c r="Q20" s="627">
        <f>N20+O20</f>
        <v>0</v>
      </c>
      <c r="R20" s="630">
        <f>SUM(P20:Q20)</f>
        <v>289</v>
      </c>
      <c r="S20" s="651">
        <v>0</v>
      </c>
      <c r="T20" s="651"/>
      <c r="U20" s="651"/>
      <c r="V20" s="627">
        <f>SUM(S20:U20)</f>
        <v>0</v>
      </c>
      <c r="W20" s="651"/>
      <c r="X20" s="651"/>
      <c r="Y20" s="627">
        <f t="shared" si="5"/>
        <v>0</v>
      </c>
      <c r="Z20" s="2402">
        <f t="shared" si="1"/>
        <v>289</v>
      </c>
      <c r="AA20" s="627">
        <f t="shared" si="2"/>
        <v>0</v>
      </c>
      <c r="AB20" s="2434">
        <f t="shared" si="9"/>
        <v>289</v>
      </c>
      <c r="AC20" s="2458"/>
    </row>
    <row r="21" spans="1:29" ht="30" customHeight="1" thickBot="1" x14ac:dyDescent="0.3">
      <c r="A21" s="2412" t="s">
        <v>19</v>
      </c>
      <c r="B21" s="451" t="s">
        <v>186</v>
      </c>
      <c r="C21" s="651"/>
      <c r="D21" s="651"/>
      <c r="E21" s="651"/>
      <c r="F21" s="651"/>
      <c r="G21" s="651">
        <v>148</v>
      </c>
      <c r="H21" s="651">
        <v>42</v>
      </c>
      <c r="I21" s="651">
        <v>7</v>
      </c>
      <c r="J21" s="651"/>
      <c r="K21" s="627">
        <f>C21+D21+G21+H21</f>
        <v>190</v>
      </c>
      <c r="L21" s="651"/>
      <c r="M21" s="651"/>
      <c r="N21" s="651">
        <v>7</v>
      </c>
      <c r="O21" s="651"/>
      <c r="P21" s="629">
        <f t="shared" si="4"/>
        <v>190</v>
      </c>
      <c r="Q21" s="627">
        <f>N21+O21</f>
        <v>7</v>
      </c>
      <c r="R21" s="630">
        <f>SUM(P21:Q21)</f>
        <v>197</v>
      </c>
      <c r="S21" s="651"/>
      <c r="T21" s="651"/>
      <c r="U21" s="651"/>
      <c r="V21" s="627">
        <f>SUM(S21:U21)</f>
        <v>0</v>
      </c>
      <c r="W21" s="651"/>
      <c r="X21" s="651"/>
      <c r="Y21" s="627">
        <f t="shared" si="5"/>
        <v>0</v>
      </c>
      <c r="Z21" s="2402">
        <f t="shared" si="1"/>
        <v>190</v>
      </c>
      <c r="AA21" s="627">
        <f t="shared" si="2"/>
        <v>7</v>
      </c>
      <c r="AB21" s="2434">
        <f t="shared" si="9"/>
        <v>197</v>
      </c>
      <c r="AC21" s="2458"/>
    </row>
    <row r="22" spans="1:29" ht="30" customHeight="1" thickBot="1" x14ac:dyDescent="0.3">
      <c r="A22" s="2403">
        <v>20000</v>
      </c>
      <c r="B22" s="451" t="s">
        <v>758</v>
      </c>
      <c r="C22" s="627">
        <f>SUM(C23:C24)</f>
        <v>0</v>
      </c>
      <c r="D22" s="627">
        <f>SUM(D23:D24)</f>
        <v>0</v>
      </c>
      <c r="E22" s="627">
        <f>SUM(E23:E24)</f>
        <v>0</v>
      </c>
      <c r="F22" s="627">
        <f t="shared" ref="F22:Y22" si="17">SUM(F23:F24)</f>
        <v>0</v>
      </c>
      <c r="G22" s="627">
        <f t="shared" si="17"/>
        <v>0</v>
      </c>
      <c r="H22" s="627">
        <f t="shared" si="17"/>
        <v>0</v>
      </c>
      <c r="I22" s="627">
        <f t="shared" si="17"/>
        <v>0</v>
      </c>
      <c r="J22" s="627">
        <f t="shared" si="17"/>
        <v>0</v>
      </c>
      <c r="K22" s="627">
        <f t="shared" si="17"/>
        <v>0</v>
      </c>
      <c r="L22" s="627">
        <f t="shared" si="17"/>
        <v>246</v>
      </c>
      <c r="M22" s="627">
        <f t="shared" si="17"/>
        <v>40</v>
      </c>
      <c r="N22" s="627">
        <f t="shared" si="17"/>
        <v>0</v>
      </c>
      <c r="O22" s="627">
        <f t="shared" si="17"/>
        <v>0</v>
      </c>
      <c r="P22" s="629">
        <f t="shared" si="17"/>
        <v>286</v>
      </c>
      <c r="Q22" s="627">
        <f t="shared" si="17"/>
        <v>0</v>
      </c>
      <c r="R22" s="630">
        <f t="shared" si="17"/>
        <v>286</v>
      </c>
      <c r="S22" s="627">
        <f t="shared" si="17"/>
        <v>0</v>
      </c>
      <c r="T22" s="627">
        <f t="shared" si="17"/>
        <v>0</v>
      </c>
      <c r="U22" s="628">
        <f t="shared" si="17"/>
        <v>0</v>
      </c>
      <c r="V22" s="628">
        <f t="shared" si="17"/>
        <v>0</v>
      </c>
      <c r="W22" s="627">
        <f t="shared" si="17"/>
        <v>0</v>
      </c>
      <c r="X22" s="627">
        <f t="shared" si="17"/>
        <v>0</v>
      </c>
      <c r="Y22" s="628">
        <f t="shared" si="17"/>
        <v>0</v>
      </c>
      <c r="Z22" s="2413">
        <f t="shared" si="1"/>
        <v>286</v>
      </c>
      <c r="AA22" s="627">
        <f t="shared" si="2"/>
        <v>0</v>
      </c>
      <c r="AB22" s="2434">
        <f t="shared" si="9"/>
        <v>286</v>
      </c>
      <c r="AC22" s="2458"/>
    </row>
    <row r="23" spans="1:29" s="97" customFormat="1" ht="30" customHeight="1" x14ac:dyDescent="0.25">
      <c r="A23" s="2414">
        <v>20202</v>
      </c>
      <c r="B23" s="452" t="s">
        <v>765</v>
      </c>
      <c r="C23" s="652"/>
      <c r="D23" s="652"/>
      <c r="E23" s="652"/>
      <c r="F23" s="652"/>
      <c r="G23" s="652"/>
      <c r="H23" s="652"/>
      <c r="I23" s="652"/>
      <c r="J23" s="652"/>
      <c r="K23" s="652"/>
      <c r="L23" s="652">
        <v>185</v>
      </c>
      <c r="M23" s="652">
        <v>23</v>
      </c>
      <c r="N23" s="652"/>
      <c r="O23" s="652"/>
      <c r="P23" s="653">
        <f>M23+L23+K23+H23+G23+D23+C23</f>
        <v>208</v>
      </c>
      <c r="Q23" s="654">
        <f>O23+N23+J23+I23+F23+E23</f>
        <v>0</v>
      </c>
      <c r="R23" s="655">
        <f>SUM(P23:Q23)</f>
        <v>208</v>
      </c>
      <c r="S23" s="652"/>
      <c r="T23" s="652"/>
      <c r="U23" s="652"/>
      <c r="V23" s="654">
        <f>SUM(S23:U23)</f>
        <v>0</v>
      </c>
      <c r="W23" s="652"/>
      <c r="X23" s="652"/>
      <c r="Y23" s="654">
        <f>SUM(W23:X23)</f>
        <v>0</v>
      </c>
      <c r="Z23" s="2405">
        <f t="shared" si="1"/>
        <v>208</v>
      </c>
      <c r="AA23" s="634">
        <f t="shared" si="2"/>
        <v>0</v>
      </c>
      <c r="AB23" s="2435">
        <f t="shared" si="9"/>
        <v>208</v>
      </c>
      <c r="AC23" s="2460" t="s">
        <v>2335</v>
      </c>
    </row>
    <row r="24" spans="1:29" s="97" customFormat="1" ht="30" customHeight="1" thickBot="1" x14ac:dyDescent="0.3">
      <c r="A24" s="2415">
        <v>20203</v>
      </c>
      <c r="B24" s="453" t="s">
        <v>199</v>
      </c>
      <c r="C24" s="648"/>
      <c r="D24" s="648"/>
      <c r="E24" s="648"/>
      <c r="F24" s="648"/>
      <c r="G24" s="648"/>
      <c r="H24" s="648"/>
      <c r="I24" s="648"/>
      <c r="J24" s="648"/>
      <c r="K24" s="648"/>
      <c r="L24" s="648">
        <v>61</v>
      </c>
      <c r="M24" s="648">
        <v>17</v>
      </c>
      <c r="N24" s="648"/>
      <c r="O24" s="648"/>
      <c r="P24" s="656">
        <f>M24+L24+K24+H24+G24+D24+C24</f>
        <v>78</v>
      </c>
      <c r="Q24" s="657">
        <f>O24+N24+J24+I24+F24+E24</f>
        <v>0</v>
      </c>
      <c r="R24" s="658">
        <f>SUM(P24:Q24)</f>
        <v>78</v>
      </c>
      <c r="S24" s="648"/>
      <c r="T24" s="648"/>
      <c r="U24" s="648"/>
      <c r="V24" s="657">
        <f>SUM(S24:U24)</f>
        <v>0</v>
      </c>
      <c r="W24" s="648"/>
      <c r="X24" s="648"/>
      <c r="Y24" s="657">
        <f>SUM(W24:X24)</f>
        <v>0</v>
      </c>
      <c r="Z24" s="2416">
        <f t="shared" si="1"/>
        <v>78</v>
      </c>
      <c r="AA24" s="648">
        <f t="shared" si="2"/>
        <v>0</v>
      </c>
      <c r="AB24" s="2436">
        <f t="shared" si="9"/>
        <v>78</v>
      </c>
      <c r="AC24" s="2461"/>
    </row>
    <row r="25" spans="1:29" s="43" customFormat="1" ht="30" customHeight="1" thickBot="1" x14ac:dyDescent="0.3">
      <c r="A25" s="2403"/>
      <c r="B25" s="454" t="s">
        <v>292</v>
      </c>
      <c r="C25" s="631">
        <f>C4+C5+C20+C21+C22</f>
        <v>155</v>
      </c>
      <c r="D25" s="631">
        <f t="shared" ref="D25:Y25" si="18">D4+D5+D20+D21+D22</f>
        <v>116.5</v>
      </c>
      <c r="E25" s="627">
        <f>E4+E5+E20+E21+E22</f>
        <v>2</v>
      </c>
      <c r="F25" s="627">
        <f t="shared" si="18"/>
        <v>1</v>
      </c>
      <c r="G25" s="627">
        <f t="shared" si="18"/>
        <v>510.5</v>
      </c>
      <c r="H25" s="627">
        <f t="shared" si="18"/>
        <v>177</v>
      </c>
      <c r="I25" s="627">
        <f t="shared" si="18"/>
        <v>30.5</v>
      </c>
      <c r="J25" s="627">
        <f t="shared" si="18"/>
        <v>11</v>
      </c>
      <c r="K25" s="627">
        <f t="shared" si="18"/>
        <v>959</v>
      </c>
      <c r="L25" s="627">
        <f t="shared" si="18"/>
        <v>246</v>
      </c>
      <c r="M25" s="627">
        <f t="shared" si="18"/>
        <v>40</v>
      </c>
      <c r="N25" s="627">
        <f t="shared" si="18"/>
        <v>44.5</v>
      </c>
      <c r="O25" s="627">
        <f t="shared" si="18"/>
        <v>0</v>
      </c>
      <c r="P25" s="629">
        <f t="shared" si="18"/>
        <v>1245</v>
      </c>
      <c r="Q25" s="627">
        <f t="shared" si="18"/>
        <v>44.5</v>
      </c>
      <c r="R25" s="630">
        <f t="shared" si="18"/>
        <v>1289.5</v>
      </c>
      <c r="S25" s="627">
        <f t="shared" si="18"/>
        <v>0</v>
      </c>
      <c r="T25" s="627">
        <f t="shared" si="18"/>
        <v>0</v>
      </c>
      <c r="U25" s="627">
        <f t="shared" si="18"/>
        <v>0</v>
      </c>
      <c r="V25" s="627">
        <f t="shared" si="18"/>
        <v>0</v>
      </c>
      <c r="W25" s="627">
        <f t="shared" si="18"/>
        <v>0</v>
      </c>
      <c r="X25" s="627">
        <f t="shared" si="18"/>
        <v>0</v>
      </c>
      <c r="Y25" s="627">
        <f t="shared" si="18"/>
        <v>0</v>
      </c>
      <c r="Z25" s="2417">
        <f t="shared" si="1"/>
        <v>1245</v>
      </c>
      <c r="AA25" s="650">
        <f t="shared" si="2"/>
        <v>44.5</v>
      </c>
      <c r="AB25" s="2434">
        <f t="shared" si="9"/>
        <v>1289.5</v>
      </c>
      <c r="AC25" s="2462"/>
    </row>
    <row r="26" spans="1:29" s="43" customFormat="1" ht="30" customHeight="1" thickBot="1" x14ac:dyDescent="0.3">
      <c r="A26" s="2403">
        <v>11101</v>
      </c>
      <c r="B26" s="454" t="s">
        <v>759</v>
      </c>
      <c r="C26" s="631"/>
      <c r="D26" s="631"/>
      <c r="E26" s="627"/>
      <c r="F26" s="627"/>
      <c r="G26" s="627"/>
      <c r="H26" s="627"/>
      <c r="I26" s="627"/>
      <c r="J26" s="627"/>
      <c r="K26" s="627"/>
      <c r="L26" s="627"/>
      <c r="M26" s="627"/>
      <c r="N26" s="627"/>
      <c r="O26" s="627"/>
      <c r="P26" s="629">
        <v>4</v>
      </c>
      <c r="Q26" s="627"/>
      <c r="R26" s="630">
        <f>SUM(P26:Q26)</f>
        <v>4</v>
      </c>
      <c r="S26" s="627"/>
      <c r="T26" s="627"/>
      <c r="U26" s="627"/>
      <c r="V26" s="627">
        <v>0</v>
      </c>
      <c r="W26" s="627"/>
      <c r="X26" s="627"/>
      <c r="Y26" s="627"/>
      <c r="Z26" s="2402">
        <f t="shared" si="1"/>
        <v>4</v>
      </c>
      <c r="AA26" s="627">
        <f t="shared" si="2"/>
        <v>0</v>
      </c>
      <c r="AB26" s="2434">
        <f t="shared" si="9"/>
        <v>4</v>
      </c>
      <c r="AC26" s="2462"/>
    </row>
    <row r="27" spans="1:29" s="43" customFormat="1" ht="15" customHeight="1" x14ac:dyDescent="0.25">
      <c r="A27" s="2404"/>
      <c r="B27" s="2438" t="s">
        <v>495</v>
      </c>
      <c r="C27" s="659"/>
      <c r="D27" s="659"/>
      <c r="E27" s="636"/>
      <c r="F27" s="636"/>
      <c r="G27" s="636"/>
      <c r="H27" s="636"/>
      <c r="I27" s="636"/>
      <c r="J27" s="636"/>
      <c r="K27" s="636"/>
      <c r="L27" s="636"/>
      <c r="M27" s="636"/>
      <c r="N27" s="636"/>
      <c r="O27" s="636"/>
      <c r="P27" s="635">
        <f>SUM(P29:P35)</f>
        <v>21</v>
      </c>
      <c r="Q27" s="636"/>
      <c r="R27" s="637">
        <f>SUM(R29:R35)</f>
        <v>21</v>
      </c>
      <c r="S27" s="636"/>
      <c r="T27" s="636"/>
      <c r="U27" s="636"/>
      <c r="V27" s="636"/>
      <c r="W27" s="636"/>
      <c r="X27" s="636"/>
      <c r="Y27" s="636"/>
      <c r="Z27" s="2418">
        <f t="shared" si="1"/>
        <v>21</v>
      </c>
      <c r="AA27" s="2419">
        <f t="shared" si="2"/>
        <v>0</v>
      </c>
      <c r="AB27" s="2437">
        <f t="shared" si="9"/>
        <v>21</v>
      </c>
      <c r="AC27" s="2462"/>
    </row>
    <row r="28" spans="1:29" s="43" customFormat="1" ht="15" customHeight="1" x14ac:dyDescent="0.25">
      <c r="A28" s="2420"/>
      <c r="B28" s="455" t="s">
        <v>607</v>
      </c>
      <c r="C28" s="659"/>
      <c r="D28" s="659"/>
      <c r="E28" s="636"/>
      <c r="F28" s="636"/>
      <c r="G28" s="636"/>
      <c r="H28" s="636"/>
      <c r="I28" s="636"/>
      <c r="J28" s="636"/>
      <c r="K28" s="636"/>
      <c r="L28" s="636"/>
      <c r="M28" s="636"/>
      <c r="N28" s="636"/>
      <c r="O28" s="636"/>
      <c r="P28" s="635"/>
      <c r="Q28" s="636"/>
      <c r="R28" s="637"/>
      <c r="S28" s="636"/>
      <c r="T28" s="636"/>
      <c r="U28" s="636"/>
      <c r="V28" s="636"/>
      <c r="W28" s="636"/>
      <c r="X28" s="636"/>
      <c r="Y28" s="636"/>
      <c r="Z28" s="2407">
        <f t="shared" si="1"/>
        <v>0</v>
      </c>
      <c r="AA28" s="639">
        <f t="shared" si="2"/>
        <v>0</v>
      </c>
      <c r="AB28" s="2432">
        <f t="shared" si="9"/>
        <v>0</v>
      </c>
      <c r="AC28" s="2462"/>
    </row>
    <row r="29" spans="1:29" ht="15" customHeight="1" x14ac:dyDescent="0.25">
      <c r="A29" s="2421"/>
      <c r="B29" s="448" t="s">
        <v>164</v>
      </c>
      <c r="C29" s="632"/>
      <c r="D29" s="632"/>
      <c r="E29" s="633"/>
      <c r="F29" s="633"/>
      <c r="G29" s="633"/>
      <c r="H29" s="633"/>
      <c r="I29" s="633"/>
      <c r="J29" s="633"/>
      <c r="K29" s="633"/>
      <c r="L29" s="633"/>
      <c r="M29" s="633"/>
      <c r="N29" s="633"/>
      <c r="O29" s="633"/>
      <c r="P29" s="660">
        <v>4</v>
      </c>
      <c r="Q29" s="633">
        <v>0</v>
      </c>
      <c r="R29" s="661">
        <f>SUM(P29:Q29)</f>
        <v>4</v>
      </c>
      <c r="S29" s="633"/>
      <c r="T29" s="633"/>
      <c r="U29" s="633"/>
      <c r="V29" s="636"/>
      <c r="W29" s="633"/>
      <c r="X29" s="633"/>
      <c r="Y29" s="636"/>
      <c r="Z29" s="2407">
        <f t="shared" si="1"/>
        <v>4</v>
      </c>
      <c r="AA29" s="639">
        <f t="shared" si="2"/>
        <v>0</v>
      </c>
      <c r="AB29" s="2432">
        <f t="shared" si="9"/>
        <v>4</v>
      </c>
      <c r="AC29" s="2458"/>
    </row>
    <row r="30" spans="1:29" s="43" customFormat="1" ht="15" customHeight="1" x14ac:dyDescent="0.25">
      <c r="A30" s="2420"/>
      <c r="B30" s="448" t="s">
        <v>186</v>
      </c>
      <c r="C30" s="659"/>
      <c r="D30" s="659"/>
      <c r="E30" s="636"/>
      <c r="F30" s="636"/>
      <c r="G30" s="636"/>
      <c r="H30" s="636"/>
      <c r="I30" s="636"/>
      <c r="J30" s="636"/>
      <c r="K30" s="636"/>
      <c r="L30" s="636"/>
      <c r="M30" s="636"/>
      <c r="N30" s="636"/>
      <c r="O30" s="636"/>
      <c r="P30" s="660">
        <v>2</v>
      </c>
      <c r="Q30" s="636"/>
      <c r="R30" s="661">
        <f t="shared" ref="R30:R35" si="19">SUM(P30:Q30)</f>
        <v>2</v>
      </c>
      <c r="S30" s="636"/>
      <c r="T30" s="636"/>
      <c r="U30" s="636"/>
      <c r="V30" s="636"/>
      <c r="W30" s="636"/>
      <c r="X30" s="636"/>
      <c r="Y30" s="636"/>
      <c r="Z30" s="2407">
        <f t="shared" si="1"/>
        <v>2</v>
      </c>
      <c r="AA30" s="639">
        <f t="shared" si="2"/>
        <v>0</v>
      </c>
      <c r="AB30" s="2432">
        <f t="shared" si="9"/>
        <v>2</v>
      </c>
      <c r="AC30" s="2462"/>
    </row>
    <row r="31" spans="1:29" s="43" customFormat="1" ht="30" customHeight="1" x14ac:dyDescent="0.25">
      <c r="A31" s="2420"/>
      <c r="B31" s="448" t="s">
        <v>183</v>
      </c>
      <c r="C31" s="659"/>
      <c r="D31" s="659"/>
      <c r="E31" s="636"/>
      <c r="F31" s="636"/>
      <c r="G31" s="636"/>
      <c r="H31" s="636"/>
      <c r="I31" s="636"/>
      <c r="J31" s="636"/>
      <c r="K31" s="636"/>
      <c r="L31" s="636"/>
      <c r="M31" s="636"/>
      <c r="N31" s="636"/>
      <c r="O31" s="636"/>
      <c r="P31" s="660">
        <v>0</v>
      </c>
      <c r="Q31" s="636"/>
      <c r="R31" s="661">
        <f t="shared" si="19"/>
        <v>0</v>
      </c>
      <c r="S31" s="636"/>
      <c r="T31" s="636"/>
      <c r="U31" s="636"/>
      <c r="V31" s="636"/>
      <c r="W31" s="636"/>
      <c r="X31" s="636"/>
      <c r="Y31" s="636"/>
      <c r="Z31" s="2407">
        <f t="shared" si="1"/>
        <v>0</v>
      </c>
      <c r="AA31" s="639">
        <f t="shared" si="2"/>
        <v>0</v>
      </c>
      <c r="AB31" s="2432">
        <f t="shared" si="9"/>
        <v>0</v>
      </c>
      <c r="AC31" s="2462"/>
    </row>
    <row r="32" spans="1:29" s="43" customFormat="1" ht="30" customHeight="1" x14ac:dyDescent="0.25">
      <c r="A32" s="2420"/>
      <c r="B32" s="448" t="s">
        <v>762</v>
      </c>
      <c r="C32" s="659"/>
      <c r="D32" s="659"/>
      <c r="E32" s="636"/>
      <c r="F32" s="636"/>
      <c r="G32" s="636"/>
      <c r="H32" s="636"/>
      <c r="I32" s="636"/>
      <c r="J32" s="636"/>
      <c r="K32" s="636"/>
      <c r="L32" s="636"/>
      <c r="M32" s="636"/>
      <c r="N32" s="636"/>
      <c r="O32" s="636"/>
      <c r="P32" s="660">
        <v>2</v>
      </c>
      <c r="Q32" s="636"/>
      <c r="R32" s="661">
        <f t="shared" si="19"/>
        <v>2</v>
      </c>
      <c r="S32" s="636"/>
      <c r="T32" s="636"/>
      <c r="U32" s="636"/>
      <c r="V32" s="636"/>
      <c r="W32" s="636"/>
      <c r="X32" s="636"/>
      <c r="Y32" s="636"/>
      <c r="Z32" s="2407">
        <f t="shared" si="1"/>
        <v>2</v>
      </c>
      <c r="AA32" s="639">
        <f t="shared" si="2"/>
        <v>0</v>
      </c>
      <c r="AB32" s="2432">
        <f t="shared" si="9"/>
        <v>2</v>
      </c>
      <c r="AC32" s="2462"/>
    </row>
    <row r="33" spans="1:44" ht="30" customHeight="1" x14ac:dyDescent="0.25">
      <c r="A33" s="2421"/>
      <c r="B33" s="2439" t="s">
        <v>763</v>
      </c>
      <c r="C33" s="638"/>
      <c r="D33" s="638"/>
      <c r="E33" s="639"/>
      <c r="F33" s="639"/>
      <c r="G33" s="639"/>
      <c r="H33" s="639"/>
      <c r="I33" s="639"/>
      <c r="J33" s="639"/>
      <c r="K33" s="639"/>
      <c r="L33" s="639"/>
      <c r="M33" s="639"/>
      <c r="N33" s="639"/>
      <c r="O33" s="639"/>
      <c r="P33" s="662"/>
      <c r="Q33" s="639"/>
      <c r="R33" s="661">
        <f t="shared" si="19"/>
        <v>0</v>
      </c>
      <c r="S33" s="639"/>
      <c r="T33" s="639"/>
      <c r="U33" s="639"/>
      <c r="V33" s="641"/>
      <c r="W33" s="639"/>
      <c r="X33" s="639"/>
      <c r="Y33" s="641"/>
      <c r="Z33" s="2407">
        <f t="shared" si="1"/>
        <v>0</v>
      </c>
      <c r="AA33" s="639">
        <f t="shared" si="2"/>
        <v>0</v>
      </c>
      <c r="AB33" s="2432">
        <f t="shared" si="9"/>
        <v>0</v>
      </c>
      <c r="AC33" s="2458"/>
    </row>
    <row r="34" spans="1:44" ht="30" customHeight="1" x14ac:dyDescent="0.25">
      <c r="A34" s="2421"/>
      <c r="B34" s="2440" t="s">
        <v>764</v>
      </c>
      <c r="C34" s="638"/>
      <c r="D34" s="638"/>
      <c r="E34" s="639"/>
      <c r="F34" s="639"/>
      <c r="G34" s="639"/>
      <c r="H34" s="639"/>
      <c r="I34" s="639"/>
      <c r="J34" s="639"/>
      <c r="K34" s="639"/>
      <c r="L34" s="639"/>
      <c r="M34" s="639"/>
      <c r="N34" s="639"/>
      <c r="O34" s="639"/>
      <c r="P34" s="662">
        <v>1</v>
      </c>
      <c r="Q34" s="639"/>
      <c r="R34" s="661">
        <f t="shared" si="19"/>
        <v>1</v>
      </c>
      <c r="S34" s="639"/>
      <c r="T34" s="639"/>
      <c r="U34" s="639"/>
      <c r="V34" s="641"/>
      <c r="W34" s="639"/>
      <c r="X34" s="639"/>
      <c r="Y34" s="641"/>
      <c r="Z34" s="2407">
        <f t="shared" si="1"/>
        <v>1</v>
      </c>
      <c r="AA34" s="639">
        <f t="shared" si="2"/>
        <v>0</v>
      </c>
      <c r="AB34" s="2432">
        <f t="shared" si="9"/>
        <v>1</v>
      </c>
      <c r="AC34" s="2458"/>
    </row>
    <row r="35" spans="1:44" ht="30" customHeight="1" thickBot="1" x14ac:dyDescent="0.3">
      <c r="A35" s="2421"/>
      <c r="B35" s="2440" t="s">
        <v>56</v>
      </c>
      <c r="C35" s="638"/>
      <c r="D35" s="638"/>
      <c r="E35" s="639"/>
      <c r="F35" s="639"/>
      <c r="G35" s="639"/>
      <c r="H35" s="639"/>
      <c r="I35" s="639"/>
      <c r="J35" s="639"/>
      <c r="K35" s="639"/>
      <c r="L35" s="639"/>
      <c r="M35" s="639"/>
      <c r="N35" s="639"/>
      <c r="O35" s="639"/>
      <c r="P35" s="662">
        <v>12</v>
      </c>
      <c r="Q35" s="639"/>
      <c r="R35" s="2422">
        <f t="shared" si="19"/>
        <v>12</v>
      </c>
      <c r="S35" s="639"/>
      <c r="T35" s="639"/>
      <c r="U35" s="639"/>
      <c r="V35" s="641"/>
      <c r="W35" s="639"/>
      <c r="X35" s="639"/>
      <c r="Y35" s="641"/>
      <c r="Z35" s="2423">
        <f t="shared" si="1"/>
        <v>12</v>
      </c>
      <c r="AA35" s="639">
        <f t="shared" si="2"/>
        <v>0</v>
      </c>
      <c r="AB35" s="2432">
        <f t="shared" si="9"/>
        <v>12</v>
      </c>
      <c r="AC35" s="2458"/>
    </row>
    <row r="36" spans="1:44" s="50" customFormat="1" ht="30" customHeight="1" thickBot="1" x14ac:dyDescent="0.35">
      <c r="A36" s="2424"/>
      <c r="B36" s="456" t="s">
        <v>496</v>
      </c>
      <c r="C36" s="663"/>
      <c r="D36" s="663"/>
      <c r="E36" s="664"/>
      <c r="F36" s="664"/>
      <c r="G36" s="664"/>
      <c r="H36" s="664"/>
      <c r="I36" s="664"/>
      <c r="J36" s="664"/>
      <c r="K36" s="664"/>
      <c r="L36" s="664"/>
      <c r="M36" s="664"/>
      <c r="N36" s="664"/>
      <c r="O36" s="664"/>
      <c r="P36" s="627">
        <f>P25+P26+P27</f>
        <v>1270</v>
      </c>
      <c r="Q36" s="627">
        <f>Q25+Q26+Q27</f>
        <v>44.5</v>
      </c>
      <c r="R36" s="630">
        <f>SUM(P36:Q36)</f>
        <v>1314.5</v>
      </c>
      <c r="S36" s="2425">
        <f>S25+S26+S27</f>
        <v>0</v>
      </c>
      <c r="T36" s="2425">
        <f t="shared" ref="T36:X36" si="20">T25+T26+T27</f>
        <v>0</v>
      </c>
      <c r="U36" s="2425">
        <f t="shared" si="20"/>
        <v>0</v>
      </c>
      <c r="V36" s="2425">
        <f t="shared" si="20"/>
        <v>0</v>
      </c>
      <c r="W36" s="2425">
        <f t="shared" si="20"/>
        <v>0</v>
      </c>
      <c r="X36" s="2425">
        <f t="shared" si="20"/>
        <v>0</v>
      </c>
      <c r="Y36" s="627">
        <f>SUM(W36:X36)</f>
        <v>0</v>
      </c>
      <c r="Z36" s="2426">
        <f t="shared" si="1"/>
        <v>1270</v>
      </c>
      <c r="AA36" s="651">
        <f t="shared" si="2"/>
        <v>44.5</v>
      </c>
      <c r="AB36" s="628">
        <f>SUM(Z36:AA36)</f>
        <v>1314.5</v>
      </c>
      <c r="AC36" s="2463"/>
    </row>
    <row r="37" spans="1:44" x14ac:dyDescent="0.25">
      <c r="E37" s="98"/>
      <c r="F37" s="98"/>
      <c r="G37" s="98"/>
      <c r="H37" s="98"/>
      <c r="I37" s="98"/>
      <c r="J37" s="98"/>
      <c r="K37" s="98"/>
      <c r="L37" s="98"/>
      <c r="M37" s="98"/>
      <c r="N37" s="98"/>
      <c r="O37" s="98"/>
      <c r="S37" s="2427"/>
      <c r="T37" s="2427"/>
      <c r="U37" s="2427"/>
      <c r="V37" s="2427"/>
      <c r="W37" s="2427"/>
      <c r="X37" s="2427"/>
      <c r="Y37" s="2427"/>
      <c r="Z37" s="2428"/>
      <c r="AA37" s="2429"/>
      <c r="AB37" s="2427"/>
      <c r="AC37" s="96"/>
      <c r="AD37" s="96"/>
      <c r="AE37" s="96"/>
      <c r="AF37" s="96"/>
      <c r="AG37" s="96"/>
      <c r="AH37" s="96"/>
      <c r="AI37" s="96"/>
      <c r="AJ37" s="96"/>
      <c r="AK37" s="96"/>
      <c r="AL37" s="96"/>
      <c r="AM37" s="96"/>
      <c r="AN37" s="96"/>
      <c r="AO37" s="96"/>
      <c r="AP37" s="96"/>
      <c r="AQ37" s="96"/>
      <c r="AR37" s="96"/>
    </row>
    <row r="38" spans="1:44" x14ac:dyDescent="0.25">
      <c r="E38" s="98"/>
      <c r="F38" s="98"/>
      <c r="G38" s="98"/>
      <c r="H38" s="98"/>
      <c r="I38" s="98"/>
      <c r="J38" s="98"/>
      <c r="K38" s="98"/>
      <c r="L38" s="98"/>
      <c r="M38" s="98"/>
      <c r="N38" s="98"/>
      <c r="O38" s="98"/>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row>
    <row r="39" spans="1:44" x14ac:dyDescent="0.25">
      <c r="E39" s="98"/>
      <c r="F39" s="98"/>
      <c r="G39" s="98"/>
      <c r="H39" s="98"/>
      <c r="I39" s="98"/>
      <c r="J39" s="98"/>
      <c r="K39" s="98"/>
      <c r="L39" s="98"/>
      <c r="M39" s="98"/>
      <c r="N39" s="98"/>
      <c r="O39" s="98"/>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row>
    <row r="40" spans="1:44" x14ac:dyDescent="0.25">
      <c r="E40" s="98"/>
      <c r="F40" s="98"/>
      <c r="G40" s="98"/>
      <c r="H40" s="98"/>
      <c r="I40" s="98"/>
      <c r="J40" s="98"/>
      <c r="K40" s="98"/>
      <c r="L40" s="98"/>
      <c r="M40" s="98"/>
      <c r="N40" s="98"/>
      <c r="O40" s="98"/>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row>
    <row r="41" spans="1:44" x14ac:dyDescent="0.25">
      <c r="E41" s="98"/>
      <c r="F41" s="98"/>
      <c r="G41" s="98"/>
      <c r="H41" s="98"/>
      <c r="I41" s="98"/>
      <c r="J41" s="98"/>
      <c r="K41" s="98"/>
      <c r="L41" s="98"/>
      <c r="M41" s="98"/>
      <c r="N41" s="98"/>
      <c r="O41" s="98"/>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row>
    <row r="42" spans="1:44" x14ac:dyDescent="0.25">
      <c r="E42" s="98"/>
      <c r="F42" s="98"/>
      <c r="G42" s="98"/>
      <c r="H42" s="98"/>
      <c r="I42" s="98"/>
      <c r="J42" s="98"/>
      <c r="K42" s="98"/>
      <c r="L42" s="98"/>
      <c r="M42" s="98"/>
      <c r="N42" s="98"/>
      <c r="O42" s="98"/>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row>
    <row r="43" spans="1:44" x14ac:dyDescent="0.25">
      <c r="E43" s="98"/>
      <c r="F43" s="98"/>
      <c r="G43" s="98"/>
      <c r="H43" s="98"/>
      <c r="I43" s="98"/>
      <c r="J43" s="98"/>
      <c r="K43" s="98"/>
      <c r="L43" s="98"/>
      <c r="M43" s="98"/>
      <c r="N43" s="98"/>
      <c r="O43" s="98"/>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row>
    <row r="44" spans="1:44" x14ac:dyDescent="0.25">
      <c r="E44" s="98"/>
      <c r="F44" s="98"/>
      <c r="G44" s="98"/>
      <c r="H44" s="98"/>
      <c r="I44" s="98"/>
      <c r="J44" s="98"/>
      <c r="K44" s="98"/>
      <c r="L44" s="98"/>
      <c r="M44" s="98"/>
      <c r="N44" s="98"/>
      <c r="O44" s="98"/>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row>
    <row r="45" spans="1:44" x14ac:dyDescent="0.25">
      <c r="E45" s="98"/>
      <c r="F45" s="98"/>
      <c r="G45" s="98"/>
      <c r="H45" s="98"/>
      <c r="I45" s="98"/>
      <c r="J45" s="98"/>
      <c r="K45" s="98"/>
      <c r="L45" s="98"/>
      <c r="M45" s="98"/>
      <c r="N45" s="98"/>
      <c r="O45" s="98"/>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row>
    <row r="46" spans="1:44" x14ac:dyDescent="0.25">
      <c r="B46" s="40"/>
      <c r="C46" s="40"/>
      <c r="D46" s="40"/>
      <c r="E46" s="98"/>
      <c r="F46" s="98"/>
      <c r="G46" s="98"/>
      <c r="H46" s="98"/>
      <c r="I46" s="98"/>
      <c r="J46" s="98"/>
      <c r="K46" s="98"/>
      <c r="L46" s="98"/>
      <c r="M46" s="98"/>
      <c r="N46" s="98"/>
      <c r="O46" s="98"/>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row>
    <row r="47" spans="1:44" x14ac:dyDescent="0.25">
      <c r="B47" s="40"/>
      <c r="C47" s="40"/>
      <c r="D47" s="40"/>
      <c r="E47" s="98"/>
      <c r="F47" s="98"/>
      <c r="G47" s="98"/>
      <c r="H47" s="98"/>
      <c r="I47" s="98"/>
      <c r="J47" s="98"/>
      <c r="K47" s="98"/>
      <c r="L47" s="98"/>
      <c r="M47" s="98"/>
      <c r="N47" s="98"/>
      <c r="O47" s="98"/>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row>
    <row r="48" spans="1:44" x14ac:dyDescent="0.25">
      <c r="B48" s="40"/>
      <c r="C48" s="40"/>
      <c r="D48" s="40"/>
      <c r="E48" s="98"/>
      <c r="F48" s="98"/>
      <c r="G48" s="98"/>
      <c r="H48" s="98"/>
      <c r="I48" s="98"/>
      <c r="J48" s="98"/>
      <c r="K48" s="98"/>
      <c r="L48" s="98"/>
      <c r="M48" s="98"/>
      <c r="N48" s="98"/>
      <c r="O48" s="98"/>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row>
    <row r="49" spans="1:44" x14ac:dyDescent="0.25">
      <c r="A49" s="40"/>
      <c r="B49" s="40"/>
      <c r="C49" s="40"/>
      <c r="D49" s="40"/>
      <c r="E49" s="98"/>
      <c r="F49" s="98"/>
      <c r="G49" s="98"/>
      <c r="H49" s="98"/>
      <c r="I49" s="98"/>
      <c r="J49" s="98"/>
      <c r="K49" s="98"/>
      <c r="L49" s="98"/>
      <c r="M49" s="98"/>
      <c r="N49" s="98"/>
      <c r="O49" s="98"/>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row>
    <row r="50" spans="1:44" x14ac:dyDescent="0.25">
      <c r="A50" s="40"/>
      <c r="B50" s="40"/>
      <c r="C50" s="40"/>
      <c r="D50" s="40"/>
      <c r="E50" s="98"/>
      <c r="F50" s="98"/>
      <c r="G50" s="98"/>
      <c r="H50" s="98"/>
      <c r="I50" s="98"/>
      <c r="J50" s="98"/>
      <c r="K50" s="98"/>
      <c r="L50" s="98"/>
      <c r="M50" s="98"/>
      <c r="N50" s="98"/>
      <c r="O50" s="98"/>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row>
    <row r="51" spans="1:44" x14ac:dyDescent="0.25">
      <c r="A51" s="40"/>
      <c r="B51" s="40"/>
      <c r="C51" s="40"/>
      <c r="D51" s="40"/>
      <c r="E51" s="98"/>
      <c r="F51" s="98"/>
      <c r="G51" s="98"/>
      <c r="H51" s="98"/>
      <c r="I51" s="98"/>
      <c r="J51" s="98"/>
      <c r="K51" s="98"/>
      <c r="L51" s="98"/>
      <c r="M51" s="98"/>
      <c r="N51" s="98"/>
      <c r="O51" s="98"/>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row>
    <row r="52" spans="1:44" x14ac:dyDescent="0.25">
      <c r="A52" s="40"/>
      <c r="B52" s="40"/>
      <c r="C52" s="40"/>
      <c r="D52" s="40"/>
      <c r="E52" s="98"/>
      <c r="F52" s="98"/>
      <c r="G52" s="98"/>
      <c r="H52" s="98"/>
      <c r="I52" s="98"/>
      <c r="J52" s="98"/>
      <c r="K52" s="98"/>
      <c r="L52" s="98"/>
      <c r="M52" s="98"/>
      <c r="N52" s="98"/>
      <c r="O52" s="98"/>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row>
    <row r="53" spans="1:44" x14ac:dyDescent="0.25">
      <c r="A53" s="40"/>
      <c r="B53" s="40"/>
      <c r="C53" s="40"/>
      <c r="D53" s="40"/>
      <c r="E53" s="98"/>
      <c r="F53" s="98"/>
      <c r="G53" s="98"/>
      <c r="H53" s="98"/>
      <c r="I53" s="98"/>
      <c r="J53" s="98"/>
      <c r="K53" s="98"/>
      <c r="L53" s="98"/>
      <c r="M53" s="98"/>
      <c r="N53" s="98"/>
      <c r="O53" s="98"/>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row>
    <row r="54" spans="1:44" x14ac:dyDescent="0.25">
      <c r="A54" s="40"/>
      <c r="B54" s="40"/>
      <c r="C54" s="40"/>
      <c r="D54" s="40"/>
      <c r="E54" s="98"/>
      <c r="F54" s="98"/>
      <c r="G54" s="98"/>
      <c r="H54" s="98"/>
      <c r="I54" s="98"/>
      <c r="J54" s="98"/>
      <c r="K54" s="98"/>
      <c r="L54" s="98"/>
      <c r="M54" s="98"/>
      <c r="N54" s="98"/>
      <c r="O54" s="98"/>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row>
    <row r="55" spans="1:44" x14ac:dyDescent="0.25">
      <c r="A55" s="40"/>
      <c r="B55" s="40"/>
      <c r="C55" s="40"/>
      <c r="D55" s="40"/>
      <c r="E55" s="98"/>
      <c r="F55" s="98"/>
      <c r="G55" s="98"/>
      <c r="H55" s="98"/>
      <c r="I55" s="98"/>
      <c r="J55" s="98"/>
      <c r="K55" s="98"/>
      <c r="L55" s="98"/>
      <c r="M55" s="98"/>
      <c r="N55" s="98"/>
      <c r="O55" s="98"/>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row>
    <row r="56" spans="1:44" x14ac:dyDescent="0.25">
      <c r="A56" s="40"/>
      <c r="B56" s="40"/>
      <c r="C56" s="40"/>
      <c r="D56" s="40"/>
      <c r="E56" s="98"/>
      <c r="F56" s="98"/>
      <c r="G56" s="98"/>
      <c r="H56" s="98"/>
      <c r="I56" s="98"/>
      <c r="J56" s="98"/>
      <c r="K56" s="98"/>
      <c r="L56" s="98"/>
      <c r="M56" s="98"/>
      <c r="N56" s="98"/>
      <c r="O56" s="98"/>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row>
    <row r="57" spans="1:44" x14ac:dyDescent="0.25">
      <c r="A57" s="40"/>
      <c r="B57" s="40"/>
      <c r="C57" s="40"/>
      <c r="D57" s="40"/>
      <c r="E57" s="98"/>
      <c r="F57" s="98"/>
      <c r="G57" s="98"/>
      <c r="H57" s="98"/>
      <c r="I57" s="98"/>
      <c r="J57" s="98"/>
      <c r="K57" s="98"/>
      <c r="L57" s="98"/>
      <c r="M57" s="98"/>
      <c r="N57" s="98"/>
      <c r="O57" s="98"/>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row>
    <row r="58" spans="1:44" x14ac:dyDescent="0.25">
      <c r="A58" s="40"/>
      <c r="B58" s="40"/>
      <c r="C58" s="40"/>
      <c r="D58" s="40"/>
      <c r="E58" s="98"/>
      <c r="F58" s="98"/>
      <c r="G58" s="98"/>
      <c r="H58" s="98"/>
      <c r="I58" s="98"/>
      <c r="J58" s="98"/>
      <c r="K58" s="98"/>
      <c r="L58" s="98"/>
      <c r="M58" s="98"/>
      <c r="N58" s="98"/>
      <c r="O58" s="98"/>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row>
    <row r="59" spans="1:44" x14ac:dyDescent="0.25">
      <c r="A59" s="40"/>
      <c r="B59" s="40"/>
      <c r="C59" s="40"/>
      <c r="D59" s="40"/>
      <c r="E59" s="98"/>
      <c r="F59" s="98"/>
      <c r="G59" s="98"/>
      <c r="H59" s="98"/>
      <c r="I59" s="98"/>
      <c r="J59" s="98"/>
      <c r="K59" s="98"/>
      <c r="L59" s="98"/>
      <c r="M59" s="98"/>
      <c r="N59" s="98"/>
      <c r="O59" s="98"/>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row>
    <row r="60" spans="1:44" x14ac:dyDescent="0.25">
      <c r="A60" s="40"/>
      <c r="B60" s="40"/>
      <c r="C60" s="40"/>
      <c r="D60" s="40"/>
      <c r="E60" s="98"/>
      <c r="F60" s="98"/>
      <c r="G60" s="98"/>
      <c r="H60" s="98"/>
      <c r="I60" s="98"/>
      <c r="J60" s="98"/>
      <c r="K60" s="98"/>
      <c r="L60" s="98"/>
      <c r="M60" s="98"/>
      <c r="N60" s="98"/>
      <c r="O60" s="98"/>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row>
    <row r="61" spans="1:44" x14ac:dyDescent="0.25">
      <c r="A61" s="40"/>
      <c r="B61" s="40"/>
      <c r="C61" s="40"/>
      <c r="D61" s="40"/>
      <c r="E61" s="98"/>
      <c r="F61" s="98"/>
      <c r="G61" s="98"/>
      <c r="H61" s="98"/>
      <c r="I61" s="98"/>
      <c r="J61" s="98"/>
      <c r="K61" s="98"/>
      <c r="L61" s="98"/>
      <c r="M61" s="98"/>
      <c r="N61" s="98"/>
      <c r="O61" s="98"/>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row>
    <row r="62" spans="1:44" x14ac:dyDescent="0.25">
      <c r="A62" s="40"/>
      <c r="B62" s="40"/>
      <c r="C62" s="40"/>
      <c r="D62" s="40"/>
      <c r="E62" s="98"/>
      <c r="F62" s="98"/>
      <c r="G62" s="98"/>
      <c r="H62" s="98"/>
      <c r="I62" s="98"/>
      <c r="J62" s="98"/>
      <c r="K62" s="98"/>
      <c r="L62" s="98"/>
      <c r="M62" s="98"/>
      <c r="N62" s="98"/>
      <c r="O62" s="98"/>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row>
    <row r="63" spans="1:44" x14ac:dyDescent="0.25">
      <c r="A63" s="40"/>
      <c r="B63" s="40"/>
      <c r="C63" s="40"/>
      <c r="D63" s="40"/>
      <c r="E63" s="98"/>
      <c r="F63" s="98"/>
      <c r="G63" s="98"/>
      <c r="H63" s="98"/>
      <c r="I63" s="98"/>
      <c r="J63" s="98"/>
      <c r="K63" s="98"/>
      <c r="L63" s="98"/>
      <c r="M63" s="98"/>
      <c r="N63" s="98"/>
      <c r="O63" s="98"/>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row>
    <row r="64" spans="1:44" x14ac:dyDescent="0.25">
      <c r="A64" s="40"/>
      <c r="B64" s="40"/>
      <c r="C64" s="40"/>
      <c r="D64" s="40"/>
      <c r="E64" s="98"/>
      <c r="F64" s="98"/>
      <c r="G64" s="98"/>
      <c r="H64" s="98"/>
      <c r="I64" s="98"/>
      <c r="J64" s="98"/>
      <c r="K64" s="98"/>
      <c r="L64" s="98"/>
      <c r="M64" s="98"/>
      <c r="N64" s="98"/>
      <c r="O64" s="98"/>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row>
    <row r="65" spans="1:44" x14ac:dyDescent="0.25">
      <c r="A65" s="40"/>
      <c r="B65" s="40"/>
      <c r="C65" s="40"/>
      <c r="D65" s="40"/>
      <c r="E65" s="98"/>
      <c r="F65" s="98"/>
      <c r="G65" s="98"/>
      <c r="H65" s="98"/>
      <c r="I65" s="98"/>
      <c r="J65" s="98"/>
      <c r="K65" s="98"/>
      <c r="L65" s="98"/>
      <c r="M65" s="98"/>
      <c r="N65" s="98"/>
      <c r="O65" s="98"/>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row>
    <row r="66" spans="1:44" x14ac:dyDescent="0.25">
      <c r="A66" s="40"/>
      <c r="B66" s="40"/>
      <c r="C66" s="40"/>
      <c r="D66" s="40"/>
      <c r="E66" s="98"/>
      <c r="F66" s="98"/>
      <c r="G66" s="98"/>
      <c r="H66" s="98"/>
      <c r="I66" s="98"/>
      <c r="J66" s="98"/>
      <c r="K66" s="98"/>
      <c r="L66" s="98"/>
      <c r="M66" s="98"/>
      <c r="N66" s="98"/>
      <c r="O66" s="98"/>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row>
    <row r="67" spans="1:44" x14ac:dyDescent="0.25">
      <c r="A67" s="40"/>
      <c r="B67" s="40"/>
      <c r="C67" s="40"/>
      <c r="D67" s="40"/>
      <c r="E67" s="98"/>
      <c r="F67" s="98"/>
      <c r="G67" s="98"/>
      <c r="H67" s="98"/>
      <c r="I67" s="98"/>
      <c r="J67" s="98"/>
      <c r="K67" s="98"/>
      <c r="L67" s="98"/>
      <c r="M67" s="98"/>
      <c r="N67" s="98"/>
      <c r="O67" s="98"/>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row>
    <row r="68" spans="1:44" x14ac:dyDescent="0.25">
      <c r="A68" s="40"/>
      <c r="B68" s="40"/>
      <c r="C68" s="40"/>
      <c r="D68" s="40"/>
      <c r="E68" s="98"/>
      <c r="F68" s="98"/>
      <c r="G68" s="98"/>
      <c r="H68" s="98"/>
      <c r="I68" s="98"/>
      <c r="J68" s="98"/>
      <c r="K68" s="98"/>
      <c r="L68" s="98"/>
      <c r="M68" s="98"/>
      <c r="N68" s="98"/>
      <c r="O68" s="98"/>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row>
    <row r="69" spans="1:44" x14ac:dyDescent="0.25">
      <c r="A69" s="40"/>
      <c r="B69" s="40"/>
      <c r="C69" s="40"/>
      <c r="D69" s="40"/>
      <c r="E69" s="98"/>
      <c r="F69" s="98"/>
      <c r="G69" s="98"/>
      <c r="H69" s="98"/>
      <c r="I69" s="98"/>
      <c r="J69" s="98"/>
      <c r="K69" s="98"/>
      <c r="L69" s="98"/>
      <c r="M69" s="98"/>
      <c r="N69" s="98"/>
      <c r="O69" s="98"/>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row>
    <row r="70" spans="1:44" x14ac:dyDescent="0.25">
      <c r="A70" s="40"/>
      <c r="B70" s="40"/>
      <c r="C70" s="40"/>
      <c r="D70" s="40"/>
      <c r="E70" s="98"/>
      <c r="F70" s="98"/>
      <c r="G70" s="98"/>
      <c r="H70" s="98"/>
      <c r="I70" s="98"/>
      <c r="J70" s="98"/>
      <c r="K70" s="98"/>
      <c r="L70" s="98"/>
      <c r="M70" s="98"/>
      <c r="N70" s="98"/>
      <c r="O70" s="98"/>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row>
    <row r="71" spans="1:44" x14ac:dyDescent="0.25">
      <c r="A71" s="40"/>
      <c r="B71" s="40"/>
      <c r="C71" s="40"/>
      <c r="D71" s="40"/>
      <c r="E71" s="98"/>
      <c r="F71" s="98"/>
      <c r="G71" s="98"/>
      <c r="H71" s="98"/>
      <c r="I71" s="98"/>
      <c r="J71" s="98"/>
      <c r="K71" s="98"/>
      <c r="L71" s="98"/>
      <c r="M71" s="98"/>
      <c r="N71" s="98"/>
      <c r="O71" s="98"/>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row>
    <row r="72" spans="1:44" x14ac:dyDescent="0.25">
      <c r="A72" s="40"/>
      <c r="B72" s="40"/>
      <c r="C72" s="40"/>
      <c r="D72" s="40"/>
      <c r="E72" s="98"/>
      <c r="F72" s="98"/>
      <c r="G72" s="98"/>
      <c r="H72" s="98"/>
      <c r="I72" s="98"/>
      <c r="J72" s="98"/>
      <c r="K72" s="98"/>
      <c r="L72" s="98"/>
      <c r="M72" s="98"/>
      <c r="N72" s="98"/>
      <c r="O72" s="98"/>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row>
    <row r="73" spans="1:44" x14ac:dyDescent="0.25">
      <c r="A73" s="40"/>
      <c r="B73" s="40"/>
      <c r="C73" s="40"/>
      <c r="D73" s="40"/>
      <c r="E73" s="98"/>
      <c r="F73" s="98"/>
      <c r="G73" s="98"/>
      <c r="H73" s="98"/>
      <c r="I73" s="98"/>
      <c r="J73" s="98"/>
      <c r="K73" s="98"/>
      <c r="L73" s="98"/>
      <c r="M73" s="98"/>
      <c r="N73" s="98"/>
      <c r="O73" s="98"/>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row>
    <row r="74" spans="1:44" x14ac:dyDescent="0.25">
      <c r="A74" s="40"/>
      <c r="B74" s="40"/>
      <c r="C74" s="40"/>
      <c r="D74" s="40"/>
      <c r="E74" s="98"/>
      <c r="F74" s="98"/>
      <c r="G74" s="98"/>
      <c r="H74" s="98"/>
      <c r="I74" s="98"/>
      <c r="J74" s="98"/>
      <c r="K74" s="98"/>
      <c r="L74" s="98"/>
      <c r="M74" s="98"/>
      <c r="N74" s="98"/>
      <c r="O74" s="98"/>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row>
    <row r="75" spans="1:44" x14ac:dyDescent="0.25">
      <c r="A75" s="40"/>
      <c r="B75" s="40"/>
      <c r="C75" s="40"/>
      <c r="D75" s="40"/>
      <c r="E75" s="98"/>
      <c r="F75" s="98"/>
      <c r="G75" s="98"/>
      <c r="H75" s="98"/>
      <c r="I75" s="98"/>
      <c r="J75" s="98"/>
      <c r="K75" s="98"/>
      <c r="L75" s="98"/>
      <c r="M75" s="98"/>
      <c r="N75" s="98"/>
      <c r="O75" s="98"/>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row>
    <row r="76" spans="1:44" x14ac:dyDescent="0.25">
      <c r="A76" s="40"/>
      <c r="B76" s="40"/>
      <c r="C76" s="40"/>
      <c r="D76" s="40"/>
      <c r="E76" s="98"/>
      <c r="F76" s="98"/>
      <c r="G76" s="98"/>
      <c r="H76" s="98"/>
      <c r="I76" s="98"/>
      <c r="J76" s="98"/>
      <c r="K76" s="98"/>
      <c r="L76" s="98"/>
      <c r="M76" s="98"/>
      <c r="N76" s="98"/>
      <c r="O76" s="98"/>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row>
    <row r="77" spans="1:44" x14ac:dyDescent="0.25">
      <c r="A77" s="40"/>
      <c r="B77" s="40"/>
      <c r="C77" s="40"/>
      <c r="D77" s="40"/>
      <c r="E77" s="98"/>
      <c r="F77" s="98"/>
      <c r="G77" s="98"/>
      <c r="H77" s="98"/>
      <c r="I77" s="98"/>
      <c r="J77" s="98"/>
      <c r="K77" s="98"/>
      <c r="L77" s="98"/>
      <c r="M77" s="98"/>
      <c r="N77" s="98"/>
      <c r="O77" s="98"/>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row>
    <row r="78" spans="1:44" x14ac:dyDescent="0.25">
      <c r="A78" s="40"/>
      <c r="B78" s="40"/>
      <c r="C78" s="40"/>
      <c r="D78" s="40"/>
      <c r="E78" s="98"/>
      <c r="F78" s="98"/>
      <c r="G78" s="98"/>
      <c r="H78" s="98"/>
      <c r="I78" s="98"/>
      <c r="J78" s="98"/>
      <c r="K78" s="98"/>
      <c r="L78" s="98"/>
      <c r="M78" s="98"/>
      <c r="N78" s="98"/>
      <c r="O78" s="98"/>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row>
    <row r="79" spans="1:44" x14ac:dyDescent="0.25">
      <c r="A79" s="40"/>
      <c r="B79" s="40"/>
      <c r="C79" s="40"/>
      <c r="D79" s="40"/>
      <c r="E79" s="98"/>
      <c r="F79" s="98"/>
      <c r="G79" s="98"/>
      <c r="H79" s="98"/>
      <c r="I79" s="98"/>
      <c r="J79" s="98"/>
      <c r="K79" s="98"/>
      <c r="L79" s="98"/>
      <c r="M79" s="98"/>
      <c r="N79" s="98"/>
      <c r="O79" s="98"/>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row>
    <row r="80" spans="1:44" x14ac:dyDescent="0.25">
      <c r="A80" s="40"/>
      <c r="B80" s="40"/>
      <c r="C80" s="40"/>
      <c r="D80" s="40"/>
      <c r="E80" s="98"/>
      <c r="F80" s="98"/>
      <c r="G80" s="98"/>
      <c r="H80" s="98"/>
      <c r="I80" s="98"/>
      <c r="J80" s="98"/>
      <c r="K80" s="98"/>
      <c r="L80" s="98"/>
      <c r="M80" s="98"/>
      <c r="N80" s="98"/>
      <c r="O80" s="98"/>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row>
    <row r="81" spans="1:44" x14ac:dyDescent="0.25">
      <c r="A81" s="40"/>
      <c r="B81" s="40"/>
      <c r="C81" s="40"/>
      <c r="D81" s="40"/>
      <c r="E81" s="98"/>
      <c r="F81" s="98"/>
      <c r="G81" s="98"/>
      <c r="H81" s="98"/>
      <c r="I81" s="98"/>
      <c r="J81" s="98"/>
      <c r="K81" s="98"/>
      <c r="L81" s="98"/>
      <c r="M81" s="98"/>
      <c r="N81" s="98"/>
      <c r="O81" s="98"/>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row>
    <row r="82" spans="1:44" x14ac:dyDescent="0.25">
      <c r="A82" s="40"/>
      <c r="B82" s="40"/>
      <c r="C82" s="40"/>
      <c r="D82" s="40"/>
      <c r="E82" s="98"/>
      <c r="F82" s="98"/>
      <c r="G82" s="98"/>
      <c r="H82" s="98"/>
      <c r="I82" s="98"/>
      <c r="J82" s="98"/>
      <c r="K82" s="98"/>
      <c r="L82" s="98"/>
      <c r="M82" s="98"/>
      <c r="N82" s="98"/>
      <c r="O82" s="98"/>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row>
    <row r="83" spans="1:44" x14ac:dyDescent="0.25">
      <c r="A83" s="40"/>
      <c r="B83" s="40"/>
      <c r="C83" s="40"/>
      <c r="D83" s="40"/>
      <c r="E83" s="98"/>
      <c r="F83" s="98"/>
      <c r="G83" s="98"/>
      <c r="H83" s="98"/>
      <c r="I83" s="98"/>
      <c r="J83" s="98"/>
      <c r="K83" s="98"/>
      <c r="L83" s="98"/>
      <c r="M83" s="98"/>
      <c r="N83" s="98"/>
      <c r="O83" s="98"/>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row>
    <row r="84" spans="1:44" x14ac:dyDescent="0.25">
      <c r="A84" s="40"/>
      <c r="B84" s="40"/>
      <c r="C84" s="40"/>
      <c r="D84" s="40"/>
      <c r="E84" s="98"/>
      <c r="F84" s="98"/>
      <c r="G84" s="98"/>
      <c r="H84" s="98"/>
      <c r="I84" s="98"/>
      <c r="J84" s="98"/>
      <c r="K84" s="98"/>
      <c r="L84" s="98"/>
      <c r="M84" s="98"/>
      <c r="N84" s="98"/>
      <c r="O84" s="98"/>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row>
    <row r="85" spans="1:44" x14ac:dyDescent="0.25">
      <c r="A85" s="40"/>
      <c r="B85" s="40"/>
      <c r="C85" s="40"/>
      <c r="D85" s="40"/>
      <c r="E85" s="98"/>
      <c r="F85" s="98"/>
      <c r="G85" s="98"/>
      <c r="H85" s="98"/>
      <c r="I85" s="98"/>
      <c r="J85" s="98"/>
      <c r="K85" s="98"/>
      <c r="L85" s="98"/>
      <c r="M85" s="98"/>
      <c r="N85" s="98"/>
      <c r="O85" s="98"/>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row>
    <row r="86" spans="1:44" x14ac:dyDescent="0.25">
      <c r="A86" s="40"/>
      <c r="B86" s="40"/>
      <c r="C86" s="40"/>
      <c r="D86" s="40"/>
      <c r="E86" s="98"/>
      <c r="F86" s="98"/>
      <c r="G86" s="98"/>
      <c r="H86" s="98"/>
      <c r="I86" s="98"/>
      <c r="J86" s="98"/>
      <c r="K86" s="98"/>
      <c r="L86" s="98"/>
      <c r="M86" s="98"/>
      <c r="N86" s="98"/>
      <c r="O86" s="98"/>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row>
    <row r="87" spans="1:44" x14ac:dyDescent="0.25">
      <c r="A87" s="40"/>
      <c r="B87" s="40"/>
      <c r="C87" s="40"/>
      <c r="D87" s="40"/>
      <c r="E87" s="98"/>
      <c r="F87" s="98"/>
      <c r="G87" s="98"/>
      <c r="H87" s="98"/>
      <c r="I87" s="98"/>
      <c r="J87" s="98"/>
      <c r="K87" s="98"/>
      <c r="L87" s="98"/>
      <c r="M87" s="98"/>
      <c r="N87" s="98"/>
      <c r="O87" s="98"/>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row>
    <row r="88" spans="1:44" x14ac:dyDescent="0.25">
      <c r="A88" s="40"/>
      <c r="B88" s="40"/>
      <c r="C88" s="40"/>
      <c r="D88" s="40"/>
      <c r="E88" s="98"/>
      <c r="F88" s="98"/>
      <c r="G88" s="98"/>
      <c r="H88" s="98"/>
      <c r="I88" s="98"/>
      <c r="J88" s="98"/>
      <c r="K88" s="98"/>
      <c r="L88" s="98"/>
      <c r="M88" s="98"/>
      <c r="N88" s="98"/>
      <c r="O88" s="98"/>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row>
    <row r="89" spans="1:44" x14ac:dyDescent="0.25">
      <c r="A89" s="40"/>
      <c r="B89" s="40"/>
      <c r="C89" s="40"/>
      <c r="D89" s="40"/>
      <c r="E89" s="98"/>
      <c r="F89" s="98"/>
      <c r="G89" s="98"/>
      <c r="H89" s="98"/>
      <c r="I89" s="98"/>
      <c r="J89" s="98"/>
      <c r="K89" s="98"/>
      <c r="L89" s="98"/>
      <c r="M89" s="98"/>
      <c r="N89" s="98"/>
      <c r="O89" s="98"/>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row>
    <row r="90" spans="1:44" x14ac:dyDescent="0.25">
      <c r="A90" s="40"/>
      <c r="B90" s="40"/>
      <c r="C90" s="40"/>
      <c r="D90" s="40"/>
      <c r="E90" s="98"/>
      <c r="F90" s="98"/>
      <c r="G90" s="98"/>
      <c r="H90" s="98"/>
      <c r="I90" s="98"/>
      <c r="J90" s="98"/>
      <c r="K90" s="98"/>
      <c r="L90" s="98"/>
      <c r="M90" s="98"/>
      <c r="N90" s="98"/>
      <c r="O90" s="98"/>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row>
    <row r="91" spans="1:44" x14ac:dyDescent="0.25">
      <c r="A91" s="40"/>
      <c r="B91" s="40"/>
      <c r="C91" s="40"/>
      <c r="D91" s="40"/>
      <c r="E91" s="98"/>
      <c r="F91" s="98"/>
      <c r="G91" s="98"/>
      <c r="H91" s="98"/>
      <c r="I91" s="98"/>
      <c r="J91" s="98"/>
      <c r="K91" s="98"/>
      <c r="L91" s="98"/>
      <c r="M91" s="98"/>
      <c r="N91" s="98"/>
      <c r="O91" s="98"/>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row>
    <row r="92" spans="1:44" x14ac:dyDescent="0.25">
      <c r="A92" s="40"/>
      <c r="B92" s="40"/>
      <c r="C92" s="40"/>
      <c r="D92" s="40"/>
      <c r="E92" s="98"/>
      <c r="F92" s="98"/>
      <c r="G92" s="98"/>
      <c r="H92" s="98"/>
      <c r="I92" s="98"/>
      <c r="J92" s="98"/>
      <c r="K92" s="98"/>
      <c r="L92" s="98"/>
      <c r="M92" s="98"/>
      <c r="N92" s="98"/>
      <c r="O92" s="98"/>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row>
    <row r="93" spans="1:44" x14ac:dyDescent="0.25">
      <c r="A93" s="40"/>
      <c r="B93" s="40"/>
      <c r="C93" s="40"/>
      <c r="D93" s="40"/>
      <c r="E93" s="98"/>
      <c r="F93" s="98"/>
      <c r="G93" s="98"/>
      <c r="H93" s="98"/>
      <c r="I93" s="98"/>
      <c r="J93" s="98"/>
      <c r="K93" s="98"/>
      <c r="L93" s="98"/>
      <c r="M93" s="98"/>
      <c r="N93" s="98"/>
      <c r="O93" s="98"/>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row>
    <row r="94" spans="1:44" x14ac:dyDescent="0.25">
      <c r="A94" s="40"/>
      <c r="B94" s="40"/>
      <c r="C94" s="40"/>
      <c r="D94" s="40"/>
      <c r="E94" s="98"/>
      <c r="F94" s="98"/>
      <c r="G94" s="98"/>
      <c r="H94" s="98"/>
      <c r="I94" s="98"/>
      <c r="J94" s="98"/>
      <c r="K94" s="98"/>
      <c r="L94" s="98"/>
      <c r="M94" s="98"/>
      <c r="N94" s="98"/>
      <c r="O94" s="98"/>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row>
    <row r="95" spans="1:44" x14ac:dyDescent="0.25">
      <c r="A95" s="40"/>
      <c r="B95" s="40"/>
      <c r="C95" s="40"/>
      <c r="D95" s="40"/>
      <c r="E95" s="98"/>
      <c r="F95" s="98"/>
      <c r="G95" s="98"/>
      <c r="H95" s="98"/>
      <c r="I95" s="98"/>
      <c r="J95" s="98"/>
      <c r="K95" s="98"/>
      <c r="L95" s="98"/>
      <c r="M95" s="98"/>
      <c r="N95" s="98"/>
      <c r="O95" s="98"/>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row>
    <row r="96" spans="1:44" x14ac:dyDescent="0.25">
      <c r="A96" s="40"/>
      <c r="B96" s="40"/>
      <c r="C96" s="40"/>
      <c r="D96" s="40"/>
      <c r="E96" s="98"/>
      <c r="F96" s="98"/>
      <c r="G96" s="98"/>
      <c r="H96" s="98"/>
      <c r="I96" s="98"/>
      <c r="J96" s="98"/>
      <c r="K96" s="98"/>
      <c r="L96" s="98"/>
      <c r="M96" s="98"/>
      <c r="N96" s="98"/>
      <c r="O96" s="98"/>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row>
    <row r="97" spans="1:44" x14ac:dyDescent="0.25">
      <c r="A97" s="40"/>
      <c r="B97" s="40"/>
      <c r="C97" s="40"/>
      <c r="D97" s="40"/>
      <c r="E97" s="98"/>
      <c r="F97" s="98"/>
      <c r="G97" s="98"/>
      <c r="H97" s="98"/>
      <c r="I97" s="98"/>
      <c r="J97" s="98"/>
      <c r="K97" s="98"/>
      <c r="L97" s="98"/>
      <c r="M97" s="98"/>
      <c r="N97" s="98"/>
      <c r="O97" s="98"/>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row>
    <row r="98" spans="1:44" x14ac:dyDescent="0.25">
      <c r="A98" s="40"/>
      <c r="B98" s="40"/>
      <c r="C98" s="40"/>
      <c r="D98" s="40"/>
      <c r="E98" s="98"/>
      <c r="F98" s="98"/>
      <c r="G98" s="98"/>
      <c r="H98" s="98"/>
      <c r="I98" s="98"/>
      <c r="J98" s="98"/>
      <c r="K98" s="98"/>
      <c r="L98" s="98"/>
      <c r="M98" s="98"/>
      <c r="N98" s="98"/>
      <c r="O98" s="98"/>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row>
    <row r="99" spans="1:44" x14ac:dyDescent="0.25">
      <c r="A99" s="40"/>
      <c r="B99" s="40"/>
      <c r="C99" s="40"/>
      <c r="D99" s="40"/>
      <c r="E99" s="98"/>
      <c r="F99" s="98"/>
      <c r="G99" s="98"/>
      <c r="H99" s="98"/>
      <c r="I99" s="98"/>
      <c r="J99" s="98"/>
      <c r="K99" s="98"/>
      <c r="L99" s="98"/>
      <c r="M99" s="98"/>
      <c r="N99" s="98"/>
      <c r="O99" s="98"/>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row>
    <row r="100" spans="1:44" x14ac:dyDescent="0.25">
      <c r="A100" s="40"/>
      <c r="B100" s="40"/>
      <c r="C100" s="40"/>
      <c r="D100" s="40"/>
      <c r="E100" s="98"/>
      <c r="F100" s="98"/>
      <c r="G100" s="98"/>
      <c r="H100" s="98"/>
      <c r="I100" s="98"/>
      <c r="J100" s="98"/>
      <c r="K100" s="98"/>
      <c r="L100" s="98"/>
      <c r="M100" s="98"/>
      <c r="N100" s="98"/>
      <c r="O100" s="98"/>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row>
    <row r="101" spans="1:44" x14ac:dyDescent="0.25">
      <c r="A101" s="40"/>
      <c r="B101" s="40"/>
      <c r="C101" s="40"/>
      <c r="D101" s="40"/>
      <c r="E101" s="98"/>
      <c r="F101" s="98"/>
      <c r="G101" s="98"/>
      <c r="H101" s="98"/>
      <c r="I101" s="98"/>
      <c r="J101" s="98"/>
      <c r="K101" s="98"/>
      <c r="L101" s="98"/>
      <c r="M101" s="98"/>
      <c r="N101" s="98"/>
      <c r="O101" s="98"/>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row>
    <row r="102" spans="1:44" x14ac:dyDescent="0.25">
      <c r="A102" s="40"/>
      <c r="B102" s="40"/>
      <c r="C102" s="40"/>
      <c r="D102" s="40"/>
      <c r="E102" s="98"/>
      <c r="F102" s="98"/>
      <c r="G102" s="98"/>
      <c r="H102" s="98"/>
      <c r="I102" s="98"/>
      <c r="J102" s="98"/>
      <c r="K102" s="98"/>
      <c r="L102" s="98"/>
      <c r="M102" s="98"/>
      <c r="N102" s="98"/>
      <c r="O102" s="98"/>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row>
    <row r="103" spans="1:44" x14ac:dyDescent="0.25">
      <c r="A103" s="40"/>
      <c r="B103" s="40"/>
      <c r="C103" s="40"/>
      <c r="D103" s="40"/>
      <c r="E103" s="98"/>
      <c r="F103" s="98"/>
      <c r="G103" s="98"/>
      <c r="H103" s="98"/>
      <c r="I103" s="98"/>
      <c r="J103" s="98"/>
      <c r="K103" s="98"/>
      <c r="L103" s="98"/>
      <c r="M103" s="98"/>
      <c r="N103" s="98"/>
      <c r="O103" s="98"/>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row>
    <row r="104" spans="1:44" x14ac:dyDescent="0.25">
      <c r="A104" s="40"/>
      <c r="B104" s="40"/>
      <c r="C104" s="40"/>
      <c r="D104" s="40"/>
      <c r="E104" s="98"/>
      <c r="F104" s="98"/>
      <c r="G104" s="98"/>
      <c r="H104" s="98"/>
      <c r="I104" s="98"/>
      <c r="J104" s="98"/>
      <c r="K104" s="98"/>
      <c r="L104" s="98"/>
      <c r="M104" s="98"/>
      <c r="N104" s="98"/>
      <c r="O104" s="98"/>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row>
    <row r="105" spans="1:44" x14ac:dyDescent="0.25">
      <c r="A105" s="40"/>
      <c r="B105" s="40"/>
      <c r="C105" s="40"/>
      <c r="D105" s="40"/>
      <c r="E105" s="98"/>
      <c r="F105" s="98"/>
      <c r="G105" s="98"/>
      <c r="H105" s="98"/>
      <c r="I105" s="98"/>
      <c r="J105" s="98"/>
      <c r="K105" s="98"/>
      <c r="L105" s="98"/>
      <c r="M105" s="98"/>
      <c r="N105" s="98"/>
      <c r="O105" s="98"/>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row>
    <row r="106" spans="1:44" x14ac:dyDescent="0.25">
      <c r="A106" s="40"/>
      <c r="B106" s="40"/>
      <c r="C106" s="40"/>
      <c r="D106" s="40"/>
      <c r="E106" s="98"/>
      <c r="F106" s="98"/>
      <c r="G106" s="98"/>
      <c r="H106" s="98"/>
      <c r="I106" s="98"/>
      <c r="J106" s="98"/>
      <c r="K106" s="98"/>
      <c r="L106" s="98"/>
      <c r="M106" s="98"/>
      <c r="N106" s="98"/>
      <c r="O106" s="98"/>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row>
    <row r="107" spans="1:44" x14ac:dyDescent="0.25">
      <c r="A107" s="40"/>
      <c r="B107" s="40"/>
      <c r="C107" s="40"/>
      <c r="D107" s="40"/>
      <c r="E107" s="98"/>
      <c r="F107" s="98"/>
      <c r="G107" s="98"/>
      <c r="H107" s="98"/>
      <c r="I107" s="98"/>
      <c r="J107" s="98"/>
      <c r="K107" s="98"/>
      <c r="L107" s="98"/>
      <c r="M107" s="98"/>
      <c r="N107" s="98"/>
      <c r="O107" s="98"/>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row>
    <row r="108" spans="1:44" x14ac:dyDescent="0.25">
      <c r="A108" s="40"/>
      <c r="B108" s="40"/>
      <c r="C108" s="40"/>
      <c r="D108" s="40"/>
      <c r="E108" s="98"/>
      <c r="F108" s="98"/>
      <c r="G108" s="98"/>
      <c r="H108" s="98"/>
      <c r="I108" s="98"/>
      <c r="J108" s="98"/>
      <c r="K108" s="98"/>
      <c r="L108" s="98"/>
      <c r="M108" s="98"/>
      <c r="N108" s="98"/>
      <c r="O108" s="98"/>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row>
    <row r="109" spans="1:44" x14ac:dyDescent="0.25">
      <c r="A109" s="40"/>
      <c r="B109" s="40"/>
      <c r="C109" s="40"/>
      <c r="D109" s="40"/>
      <c r="E109" s="98"/>
      <c r="F109" s="98"/>
      <c r="G109" s="98"/>
      <c r="H109" s="98"/>
      <c r="I109" s="98"/>
      <c r="J109" s="98"/>
      <c r="K109" s="98"/>
      <c r="L109" s="98"/>
      <c r="M109" s="98"/>
      <c r="N109" s="98"/>
      <c r="O109" s="98"/>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row>
    <row r="110" spans="1:44" x14ac:dyDescent="0.25">
      <c r="A110" s="40"/>
      <c r="B110" s="40"/>
      <c r="C110" s="40"/>
      <c r="D110" s="40"/>
      <c r="E110" s="98"/>
      <c r="F110" s="98"/>
      <c r="G110" s="98"/>
      <c r="H110" s="98"/>
      <c r="I110" s="98"/>
      <c r="J110" s="98"/>
      <c r="K110" s="98"/>
      <c r="L110" s="98"/>
      <c r="M110" s="98"/>
      <c r="N110" s="98"/>
      <c r="O110" s="98"/>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row>
    <row r="111" spans="1:44" x14ac:dyDescent="0.25">
      <c r="A111" s="40"/>
      <c r="B111" s="40"/>
      <c r="C111" s="40"/>
      <c r="D111" s="40"/>
      <c r="E111" s="98"/>
      <c r="F111" s="98"/>
      <c r="G111" s="98"/>
      <c r="H111" s="98"/>
      <c r="I111" s="98"/>
      <c r="J111" s="98"/>
      <c r="K111" s="98"/>
      <c r="L111" s="98"/>
      <c r="M111" s="98"/>
      <c r="N111" s="98"/>
      <c r="O111" s="98"/>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row>
    <row r="112" spans="1:44" x14ac:dyDescent="0.25">
      <c r="A112" s="40"/>
      <c r="B112" s="40"/>
      <c r="C112" s="40"/>
      <c r="D112" s="40"/>
      <c r="E112" s="98"/>
      <c r="F112" s="98"/>
      <c r="G112" s="98"/>
      <c r="H112" s="98"/>
      <c r="I112" s="98"/>
      <c r="J112" s="98"/>
      <c r="K112" s="98"/>
      <c r="L112" s="98"/>
      <c r="M112" s="98"/>
      <c r="N112" s="98"/>
      <c r="O112" s="98"/>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row>
    <row r="113" spans="1:44" x14ac:dyDescent="0.25">
      <c r="A113" s="40"/>
      <c r="B113" s="40"/>
      <c r="C113" s="40"/>
      <c r="D113" s="40"/>
      <c r="E113" s="98"/>
      <c r="F113" s="98"/>
      <c r="G113" s="98"/>
      <c r="H113" s="98"/>
      <c r="I113" s="98"/>
      <c r="J113" s="98"/>
      <c r="K113" s="98"/>
      <c r="L113" s="98"/>
      <c r="M113" s="98"/>
      <c r="N113" s="98"/>
      <c r="O113" s="98"/>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row>
    <row r="114" spans="1:44" x14ac:dyDescent="0.25">
      <c r="A114" s="40"/>
      <c r="B114" s="40"/>
      <c r="C114" s="40"/>
      <c r="D114" s="40"/>
      <c r="E114" s="98"/>
      <c r="F114" s="98"/>
      <c r="G114" s="98"/>
      <c r="H114" s="98"/>
      <c r="I114" s="98"/>
      <c r="J114" s="98"/>
      <c r="K114" s="98"/>
      <c r="L114" s="98"/>
      <c r="M114" s="98"/>
      <c r="N114" s="98"/>
      <c r="O114" s="98"/>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row>
    <row r="115" spans="1:44" x14ac:dyDescent="0.25">
      <c r="A115" s="40"/>
      <c r="B115" s="40"/>
      <c r="C115" s="40"/>
      <c r="D115" s="40"/>
      <c r="E115" s="98"/>
      <c r="F115" s="98"/>
      <c r="G115" s="98"/>
      <c r="H115" s="98"/>
      <c r="I115" s="98"/>
      <c r="J115" s="98"/>
      <c r="K115" s="98"/>
      <c r="L115" s="98"/>
      <c r="M115" s="98"/>
      <c r="N115" s="98"/>
      <c r="O115" s="98"/>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row>
    <row r="116" spans="1:44" x14ac:dyDescent="0.25">
      <c r="A116" s="40"/>
      <c r="B116" s="40"/>
      <c r="C116" s="40"/>
      <c r="D116" s="40"/>
      <c r="E116" s="98"/>
      <c r="F116" s="98"/>
      <c r="G116" s="98"/>
      <c r="H116" s="98"/>
      <c r="I116" s="98"/>
      <c r="J116" s="98"/>
      <c r="K116" s="98"/>
      <c r="L116" s="98"/>
      <c r="M116" s="98"/>
      <c r="N116" s="98"/>
      <c r="O116" s="98"/>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row>
    <row r="117" spans="1:44" x14ac:dyDescent="0.25">
      <c r="A117" s="40"/>
      <c r="B117" s="40"/>
      <c r="C117" s="40"/>
      <c r="D117" s="40"/>
      <c r="E117" s="98"/>
      <c r="F117" s="98"/>
      <c r="G117" s="98"/>
      <c r="H117" s="98"/>
      <c r="I117" s="98"/>
      <c r="J117" s="98"/>
      <c r="K117" s="98"/>
      <c r="L117" s="98"/>
      <c r="M117" s="98"/>
      <c r="N117" s="98"/>
      <c r="O117" s="98"/>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row>
    <row r="118" spans="1:44" x14ac:dyDescent="0.25">
      <c r="A118" s="40"/>
      <c r="B118" s="40"/>
      <c r="C118" s="40"/>
      <c r="D118" s="40"/>
      <c r="E118" s="98"/>
      <c r="F118" s="98"/>
      <c r="G118" s="98"/>
      <c r="H118" s="98"/>
      <c r="I118" s="98"/>
      <c r="J118" s="98"/>
      <c r="K118" s="98"/>
      <c r="L118" s="98"/>
      <c r="M118" s="98"/>
      <c r="N118" s="98"/>
      <c r="O118" s="98"/>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row>
    <row r="119" spans="1:44" x14ac:dyDescent="0.25">
      <c r="A119" s="40"/>
      <c r="B119" s="40"/>
      <c r="C119" s="40"/>
      <c r="D119" s="40"/>
      <c r="E119" s="98"/>
      <c r="F119" s="98"/>
      <c r="G119" s="98"/>
      <c r="H119" s="98"/>
      <c r="I119" s="98"/>
      <c r="J119" s="98"/>
      <c r="K119" s="98"/>
      <c r="L119" s="98"/>
      <c r="M119" s="98"/>
      <c r="N119" s="98"/>
      <c r="O119" s="98"/>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row>
    <row r="120" spans="1:44" x14ac:dyDescent="0.25">
      <c r="A120" s="40"/>
      <c r="B120" s="40"/>
      <c r="C120" s="40"/>
      <c r="D120" s="40"/>
      <c r="E120" s="98"/>
      <c r="F120" s="98"/>
      <c r="G120" s="98"/>
      <c r="H120" s="98"/>
      <c r="I120" s="98"/>
      <c r="J120" s="98"/>
      <c r="K120" s="98"/>
      <c r="L120" s="98"/>
      <c r="M120" s="98"/>
      <c r="N120" s="98"/>
      <c r="O120" s="98"/>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row>
    <row r="121" spans="1:44" x14ac:dyDescent="0.25">
      <c r="A121" s="40"/>
      <c r="B121" s="40"/>
      <c r="C121" s="40"/>
      <c r="D121" s="40"/>
      <c r="E121" s="98"/>
      <c r="F121" s="98"/>
      <c r="G121" s="98"/>
      <c r="H121" s="98"/>
      <c r="I121" s="98"/>
      <c r="J121" s="98"/>
      <c r="K121" s="98"/>
      <c r="L121" s="98"/>
      <c r="M121" s="98"/>
      <c r="N121" s="98"/>
      <c r="O121" s="98"/>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row>
    <row r="122" spans="1:44" x14ac:dyDescent="0.25">
      <c r="A122" s="40"/>
      <c r="B122" s="40"/>
      <c r="C122" s="40"/>
      <c r="D122" s="40"/>
      <c r="E122" s="98"/>
      <c r="F122" s="98"/>
      <c r="G122" s="98"/>
      <c r="H122" s="98"/>
      <c r="I122" s="98"/>
      <c r="J122" s="98"/>
      <c r="K122" s="98"/>
      <c r="L122" s="98"/>
      <c r="M122" s="98"/>
      <c r="N122" s="98"/>
      <c r="O122" s="98"/>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row>
    <row r="123" spans="1:44" x14ac:dyDescent="0.25">
      <c r="A123" s="40"/>
      <c r="B123" s="40"/>
      <c r="C123" s="40"/>
      <c r="D123" s="40"/>
      <c r="E123" s="98"/>
      <c r="F123" s="98"/>
      <c r="G123" s="98"/>
      <c r="H123" s="98"/>
      <c r="I123" s="98"/>
      <c r="J123" s="98"/>
      <c r="K123" s="98"/>
      <c r="L123" s="98"/>
      <c r="M123" s="98"/>
      <c r="N123" s="98"/>
      <c r="O123" s="98"/>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row>
    <row r="124" spans="1:44" x14ac:dyDescent="0.25">
      <c r="A124" s="40"/>
      <c r="B124" s="40"/>
      <c r="C124" s="40"/>
      <c r="D124" s="40"/>
      <c r="E124" s="98"/>
      <c r="F124" s="98"/>
      <c r="G124" s="98"/>
      <c r="H124" s="98"/>
      <c r="I124" s="98"/>
      <c r="J124" s="98"/>
      <c r="K124" s="98"/>
      <c r="L124" s="98"/>
      <c r="M124" s="98"/>
      <c r="N124" s="98"/>
      <c r="O124" s="98"/>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row>
    <row r="125" spans="1:44" x14ac:dyDescent="0.25">
      <c r="A125" s="40"/>
      <c r="B125" s="40"/>
      <c r="C125" s="40"/>
      <c r="D125" s="40"/>
      <c r="E125" s="98"/>
      <c r="F125" s="98"/>
      <c r="G125" s="98"/>
      <c r="H125" s="98"/>
      <c r="I125" s="98"/>
      <c r="J125" s="98"/>
      <c r="K125" s="98"/>
      <c r="L125" s="98"/>
      <c r="M125" s="98"/>
      <c r="N125" s="98"/>
      <c r="O125" s="98"/>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row>
    <row r="126" spans="1:44" x14ac:dyDescent="0.25">
      <c r="A126" s="40"/>
      <c r="B126" s="40"/>
      <c r="C126" s="40"/>
      <c r="D126" s="40"/>
      <c r="E126" s="98"/>
      <c r="F126" s="98"/>
      <c r="G126" s="98"/>
      <c r="H126" s="98"/>
      <c r="I126" s="98"/>
      <c r="J126" s="98"/>
      <c r="K126" s="98"/>
      <c r="L126" s="98"/>
      <c r="M126" s="98"/>
      <c r="N126" s="98"/>
      <c r="O126" s="98"/>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row>
    <row r="127" spans="1:44" x14ac:dyDescent="0.25">
      <c r="A127" s="40"/>
      <c r="B127" s="40"/>
      <c r="C127" s="40"/>
      <c r="D127" s="40"/>
      <c r="E127" s="98"/>
      <c r="F127" s="98"/>
      <c r="G127" s="98"/>
      <c r="H127" s="98"/>
      <c r="I127" s="98"/>
      <c r="J127" s="98"/>
      <c r="K127" s="98"/>
      <c r="L127" s="98"/>
      <c r="M127" s="98"/>
      <c r="N127" s="98"/>
      <c r="O127" s="98"/>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row>
    <row r="128" spans="1:44" x14ac:dyDescent="0.25">
      <c r="A128" s="40"/>
      <c r="B128" s="40"/>
      <c r="C128" s="40"/>
      <c r="D128" s="40"/>
      <c r="E128" s="98"/>
      <c r="F128" s="98"/>
      <c r="G128" s="98"/>
      <c r="H128" s="98"/>
      <c r="I128" s="98"/>
      <c r="J128" s="98"/>
      <c r="K128" s="98"/>
      <c r="L128" s="98"/>
      <c r="M128" s="98"/>
      <c r="N128" s="98"/>
      <c r="O128" s="98"/>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row>
    <row r="129" spans="1:44" x14ac:dyDescent="0.25">
      <c r="A129" s="40"/>
      <c r="B129" s="40"/>
      <c r="C129" s="40"/>
      <c r="D129" s="40"/>
      <c r="E129" s="98"/>
      <c r="F129" s="98"/>
      <c r="G129" s="98"/>
      <c r="H129" s="98"/>
      <c r="I129" s="98"/>
      <c r="J129" s="98"/>
      <c r="K129" s="98"/>
      <c r="L129" s="98"/>
      <c r="M129" s="98"/>
      <c r="N129" s="98"/>
      <c r="O129" s="98"/>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row>
    <row r="130" spans="1:44" x14ac:dyDescent="0.25">
      <c r="A130" s="40"/>
      <c r="B130" s="40"/>
      <c r="C130" s="40"/>
      <c r="D130" s="40"/>
      <c r="E130" s="98"/>
      <c r="F130" s="98"/>
      <c r="G130" s="98"/>
      <c r="H130" s="98"/>
      <c r="I130" s="98"/>
      <c r="J130" s="98"/>
      <c r="K130" s="98"/>
      <c r="L130" s="98"/>
      <c r="M130" s="98"/>
      <c r="N130" s="98"/>
      <c r="O130" s="98"/>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row>
    <row r="131" spans="1:44" x14ac:dyDescent="0.25">
      <c r="A131" s="40"/>
      <c r="B131" s="40"/>
      <c r="C131" s="40"/>
      <c r="D131" s="40"/>
      <c r="E131" s="98"/>
      <c r="F131" s="98"/>
      <c r="G131" s="98"/>
      <c r="H131" s="98"/>
      <c r="I131" s="98"/>
      <c r="J131" s="98"/>
      <c r="K131" s="98"/>
      <c r="L131" s="98"/>
      <c r="M131" s="98"/>
      <c r="N131" s="98"/>
      <c r="O131" s="98"/>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row>
    <row r="132" spans="1:44" x14ac:dyDescent="0.25">
      <c r="A132" s="40"/>
      <c r="B132" s="40"/>
      <c r="C132" s="40"/>
      <c r="D132" s="40"/>
      <c r="E132" s="98"/>
      <c r="F132" s="98"/>
      <c r="G132" s="98"/>
      <c r="H132" s="98"/>
      <c r="I132" s="98"/>
      <c r="J132" s="98"/>
      <c r="K132" s="98"/>
      <c r="L132" s="98"/>
      <c r="M132" s="98"/>
      <c r="N132" s="98"/>
      <c r="O132" s="98"/>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row>
    <row r="133" spans="1:44" x14ac:dyDescent="0.25">
      <c r="A133" s="40"/>
      <c r="B133" s="40"/>
      <c r="C133" s="40"/>
      <c r="D133" s="40"/>
      <c r="E133" s="98"/>
      <c r="F133" s="98"/>
      <c r="G133" s="98"/>
      <c r="H133" s="98"/>
      <c r="I133" s="98"/>
      <c r="J133" s="98"/>
      <c r="K133" s="98"/>
      <c r="L133" s="98"/>
      <c r="M133" s="98"/>
      <c r="N133" s="98"/>
      <c r="O133" s="98"/>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row>
    <row r="134" spans="1:44" x14ac:dyDescent="0.25">
      <c r="A134" s="40"/>
      <c r="B134" s="40"/>
      <c r="C134" s="40"/>
      <c r="D134" s="40"/>
      <c r="E134" s="98"/>
      <c r="F134" s="98"/>
      <c r="G134" s="98"/>
      <c r="H134" s="98"/>
      <c r="I134" s="98"/>
      <c r="J134" s="98"/>
      <c r="K134" s="98"/>
      <c r="L134" s="98"/>
      <c r="M134" s="98"/>
      <c r="N134" s="98"/>
      <c r="O134" s="98"/>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row>
    <row r="135" spans="1:44" x14ac:dyDescent="0.25">
      <c r="A135" s="40"/>
      <c r="B135" s="40"/>
      <c r="C135" s="40"/>
      <c r="D135" s="40"/>
      <c r="E135" s="98"/>
      <c r="F135" s="98"/>
      <c r="G135" s="98"/>
      <c r="H135" s="98"/>
      <c r="I135" s="98"/>
      <c r="J135" s="98"/>
      <c r="K135" s="98"/>
      <c r="L135" s="98"/>
      <c r="M135" s="98"/>
      <c r="N135" s="98"/>
      <c r="O135" s="98"/>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row>
    <row r="136" spans="1:44" x14ac:dyDescent="0.25">
      <c r="A136" s="40"/>
      <c r="B136" s="40"/>
      <c r="C136" s="40"/>
      <c r="D136" s="40"/>
      <c r="E136" s="98"/>
      <c r="F136" s="98"/>
      <c r="G136" s="98"/>
      <c r="H136" s="98"/>
      <c r="I136" s="98"/>
      <c r="J136" s="98"/>
      <c r="K136" s="98"/>
      <c r="L136" s="98"/>
      <c r="M136" s="98"/>
      <c r="N136" s="98"/>
      <c r="O136" s="98"/>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row>
    <row r="137" spans="1:44" x14ac:dyDescent="0.25">
      <c r="A137" s="40"/>
      <c r="B137" s="40"/>
      <c r="C137" s="40"/>
      <c r="D137" s="40"/>
      <c r="E137" s="98"/>
      <c r="F137" s="98"/>
      <c r="G137" s="98"/>
      <c r="H137" s="98"/>
      <c r="I137" s="98"/>
      <c r="J137" s="98"/>
      <c r="K137" s="98"/>
      <c r="L137" s="98"/>
      <c r="M137" s="98"/>
      <c r="N137" s="98"/>
      <c r="O137" s="98"/>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row>
    <row r="138" spans="1:44" x14ac:dyDescent="0.25">
      <c r="A138" s="40"/>
      <c r="B138" s="40"/>
      <c r="C138" s="40"/>
      <c r="D138" s="40"/>
      <c r="E138" s="98"/>
      <c r="F138" s="98"/>
      <c r="G138" s="98"/>
      <c r="H138" s="98"/>
      <c r="I138" s="98"/>
      <c r="J138" s="98"/>
      <c r="K138" s="98"/>
      <c r="L138" s="98"/>
      <c r="M138" s="98"/>
      <c r="N138" s="98"/>
      <c r="O138" s="98"/>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row>
    <row r="139" spans="1:44" x14ac:dyDescent="0.25">
      <c r="A139" s="40"/>
      <c r="B139" s="40"/>
      <c r="C139" s="40"/>
      <c r="D139" s="40"/>
      <c r="E139" s="98"/>
      <c r="F139" s="98"/>
      <c r="G139" s="98"/>
      <c r="H139" s="98"/>
      <c r="I139" s="98"/>
      <c r="J139" s="98"/>
      <c r="K139" s="98"/>
      <c r="L139" s="98"/>
      <c r="M139" s="98"/>
      <c r="N139" s="98"/>
      <c r="O139" s="98"/>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row>
    <row r="140" spans="1:44" x14ac:dyDescent="0.25">
      <c r="A140" s="40"/>
      <c r="B140" s="40"/>
      <c r="C140" s="40"/>
      <c r="D140" s="40"/>
      <c r="E140" s="98"/>
      <c r="F140" s="98"/>
      <c r="G140" s="98"/>
      <c r="H140" s="98"/>
      <c r="I140" s="98"/>
      <c r="J140" s="98"/>
      <c r="K140" s="98"/>
      <c r="L140" s="98"/>
      <c r="M140" s="98"/>
      <c r="N140" s="98"/>
      <c r="O140" s="98"/>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row>
    <row r="141" spans="1:44" x14ac:dyDescent="0.25">
      <c r="A141" s="40"/>
      <c r="B141" s="40"/>
      <c r="C141" s="40"/>
      <c r="D141" s="40"/>
      <c r="E141" s="98"/>
      <c r="F141" s="98"/>
      <c r="G141" s="98"/>
      <c r="H141" s="98"/>
      <c r="I141" s="98"/>
      <c r="J141" s="98"/>
      <c r="K141" s="98"/>
      <c r="L141" s="98"/>
      <c r="M141" s="98"/>
      <c r="N141" s="98"/>
      <c r="O141" s="98"/>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row>
    <row r="142" spans="1:44" x14ac:dyDescent="0.25">
      <c r="A142" s="40"/>
      <c r="B142" s="40"/>
      <c r="C142" s="40"/>
      <c r="D142" s="40"/>
      <c r="E142" s="98"/>
      <c r="F142" s="98"/>
      <c r="G142" s="98"/>
      <c r="H142" s="98"/>
      <c r="I142" s="98"/>
      <c r="J142" s="98"/>
      <c r="K142" s="98"/>
      <c r="L142" s="98"/>
      <c r="M142" s="98"/>
      <c r="N142" s="98"/>
      <c r="O142" s="98"/>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row>
    <row r="143" spans="1:44" x14ac:dyDescent="0.25">
      <c r="A143" s="40"/>
      <c r="B143" s="40"/>
      <c r="C143" s="40"/>
      <c r="D143" s="40"/>
      <c r="E143" s="98"/>
      <c r="F143" s="98"/>
      <c r="G143" s="98"/>
      <c r="H143" s="98"/>
      <c r="I143" s="98"/>
      <c r="J143" s="98"/>
      <c r="K143" s="98"/>
      <c r="L143" s="98"/>
      <c r="M143" s="98"/>
      <c r="N143" s="98"/>
      <c r="O143" s="98"/>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row>
    <row r="144" spans="1:44" x14ac:dyDescent="0.25">
      <c r="A144" s="40"/>
      <c r="B144" s="40"/>
      <c r="C144" s="40"/>
      <c r="D144" s="40"/>
      <c r="E144" s="98"/>
      <c r="F144" s="98"/>
      <c r="G144" s="98"/>
      <c r="H144" s="98"/>
      <c r="I144" s="98"/>
      <c r="J144" s="98"/>
      <c r="K144" s="98"/>
      <c r="L144" s="98"/>
      <c r="M144" s="98"/>
      <c r="N144" s="98"/>
      <c r="O144" s="98"/>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row>
    <row r="145" spans="1:44" x14ac:dyDescent="0.25">
      <c r="A145" s="40"/>
      <c r="B145" s="40"/>
      <c r="C145" s="40"/>
      <c r="D145" s="40"/>
      <c r="E145" s="98"/>
      <c r="F145" s="98"/>
      <c r="G145" s="98"/>
      <c r="H145" s="98"/>
      <c r="I145" s="98"/>
      <c r="J145" s="98"/>
      <c r="K145" s="98"/>
      <c r="L145" s="98"/>
      <c r="M145" s="98"/>
      <c r="N145" s="98"/>
      <c r="O145" s="98"/>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row>
    <row r="146" spans="1:44" x14ac:dyDescent="0.25">
      <c r="A146" s="40"/>
      <c r="B146" s="40"/>
      <c r="C146" s="40"/>
      <c r="D146" s="40"/>
      <c r="E146" s="98"/>
      <c r="F146" s="98"/>
      <c r="G146" s="98"/>
      <c r="H146" s="98"/>
      <c r="I146" s="98"/>
      <c r="J146" s="98"/>
      <c r="K146" s="98"/>
      <c r="L146" s="98"/>
      <c r="M146" s="98"/>
      <c r="N146" s="98"/>
      <c r="O146" s="98"/>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row>
    <row r="147" spans="1:44" x14ac:dyDescent="0.25">
      <c r="A147" s="40"/>
      <c r="B147" s="40"/>
      <c r="C147" s="40"/>
      <c r="D147" s="40"/>
      <c r="E147" s="98"/>
      <c r="F147" s="98"/>
      <c r="G147" s="98"/>
      <c r="H147" s="98"/>
      <c r="I147" s="98"/>
      <c r="J147" s="98"/>
      <c r="K147" s="98"/>
      <c r="L147" s="98"/>
      <c r="M147" s="98"/>
      <c r="N147" s="98"/>
      <c r="O147" s="98"/>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row>
    <row r="148" spans="1:44" x14ac:dyDescent="0.25">
      <c r="A148" s="40"/>
      <c r="B148" s="40"/>
      <c r="C148" s="40"/>
      <c r="D148" s="40"/>
      <c r="E148" s="98"/>
      <c r="F148" s="98"/>
      <c r="G148" s="98"/>
      <c r="H148" s="98"/>
      <c r="I148" s="98"/>
      <c r="J148" s="98"/>
      <c r="K148" s="98"/>
      <c r="L148" s="98"/>
      <c r="M148" s="98"/>
      <c r="N148" s="98"/>
      <c r="O148" s="98"/>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row>
    <row r="149" spans="1:44" x14ac:dyDescent="0.25">
      <c r="A149" s="40"/>
      <c r="B149" s="40"/>
      <c r="C149" s="40"/>
      <c r="D149" s="40"/>
      <c r="E149" s="98"/>
      <c r="F149" s="98"/>
      <c r="G149" s="98"/>
      <c r="H149" s="98"/>
      <c r="I149" s="98"/>
      <c r="J149" s="98"/>
      <c r="K149" s="98"/>
      <c r="L149" s="98"/>
      <c r="M149" s="98"/>
      <c r="N149" s="98"/>
      <c r="O149" s="98"/>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row>
    <row r="150" spans="1:44" x14ac:dyDescent="0.25">
      <c r="A150" s="40"/>
      <c r="B150" s="40"/>
      <c r="C150" s="40"/>
      <c r="D150" s="40"/>
      <c r="E150" s="98"/>
      <c r="F150" s="98"/>
      <c r="G150" s="98"/>
      <c r="H150" s="98"/>
      <c r="I150" s="98"/>
      <c r="J150" s="98"/>
      <c r="K150" s="98"/>
      <c r="L150" s="98"/>
      <c r="M150" s="98"/>
      <c r="N150" s="98"/>
      <c r="O150" s="98"/>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row>
    <row r="151" spans="1:44" x14ac:dyDescent="0.25">
      <c r="A151" s="40"/>
      <c r="B151" s="40"/>
      <c r="C151" s="40"/>
      <c r="D151" s="40"/>
      <c r="E151" s="98"/>
      <c r="F151" s="98"/>
      <c r="G151" s="98"/>
      <c r="H151" s="98"/>
      <c r="I151" s="98"/>
      <c r="J151" s="98"/>
      <c r="K151" s="98"/>
      <c r="L151" s="98"/>
      <c r="M151" s="98"/>
      <c r="N151" s="98"/>
      <c r="O151" s="98"/>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row>
    <row r="152" spans="1:44" x14ac:dyDescent="0.25">
      <c r="A152" s="40"/>
      <c r="B152" s="40"/>
      <c r="C152" s="40"/>
      <c r="D152" s="40"/>
      <c r="E152" s="98"/>
      <c r="F152" s="98"/>
      <c r="G152" s="98"/>
      <c r="H152" s="98"/>
      <c r="I152" s="98"/>
      <c r="J152" s="98"/>
      <c r="K152" s="98"/>
      <c r="L152" s="98"/>
      <c r="M152" s="98"/>
      <c r="N152" s="98"/>
      <c r="O152" s="98"/>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row>
    <row r="153" spans="1:44" x14ac:dyDescent="0.25">
      <c r="A153" s="40"/>
      <c r="B153" s="40"/>
      <c r="C153" s="40"/>
      <c r="D153" s="40"/>
      <c r="E153" s="98"/>
      <c r="F153" s="98"/>
      <c r="G153" s="98"/>
      <c r="H153" s="98"/>
      <c r="I153" s="98"/>
      <c r="J153" s="98"/>
      <c r="K153" s="98"/>
      <c r="L153" s="98"/>
      <c r="M153" s="98"/>
      <c r="N153" s="98"/>
      <c r="O153" s="98"/>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row>
    <row r="154" spans="1:44" x14ac:dyDescent="0.25">
      <c r="A154" s="40"/>
      <c r="B154" s="40"/>
      <c r="C154" s="40"/>
      <c r="D154" s="40"/>
      <c r="E154" s="98"/>
      <c r="F154" s="98"/>
      <c r="G154" s="98"/>
      <c r="H154" s="98"/>
      <c r="I154" s="98"/>
      <c r="J154" s="98"/>
      <c r="K154" s="98"/>
      <c r="L154" s="98"/>
      <c r="M154" s="98"/>
      <c r="N154" s="98"/>
      <c r="O154" s="98"/>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row>
    <row r="155" spans="1:44" x14ac:dyDescent="0.25">
      <c r="A155" s="40"/>
      <c r="B155" s="40"/>
      <c r="C155" s="40"/>
      <c r="D155" s="40"/>
      <c r="E155" s="98"/>
      <c r="F155" s="98"/>
      <c r="G155" s="98"/>
      <c r="H155" s="98"/>
      <c r="I155" s="98"/>
      <c r="J155" s="98"/>
      <c r="K155" s="98"/>
      <c r="L155" s="98"/>
      <c r="M155" s="98"/>
      <c r="N155" s="98"/>
      <c r="O155" s="98"/>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row>
    <row r="156" spans="1:44" x14ac:dyDescent="0.25">
      <c r="A156" s="40"/>
      <c r="B156" s="40"/>
      <c r="C156" s="40"/>
      <c r="D156" s="40"/>
      <c r="E156" s="98"/>
      <c r="F156" s="98"/>
      <c r="G156" s="98"/>
      <c r="H156" s="98"/>
      <c r="I156" s="98"/>
      <c r="J156" s="98"/>
      <c r="K156" s="98"/>
      <c r="L156" s="98"/>
      <c r="M156" s="98"/>
      <c r="N156" s="98"/>
      <c r="O156" s="98"/>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row>
    <row r="157" spans="1:44" x14ac:dyDescent="0.25">
      <c r="A157" s="40"/>
      <c r="B157" s="40"/>
      <c r="C157" s="40"/>
      <c r="D157" s="40"/>
      <c r="E157" s="98"/>
      <c r="F157" s="98"/>
      <c r="G157" s="98"/>
      <c r="H157" s="98"/>
      <c r="I157" s="98"/>
      <c r="J157" s="98"/>
      <c r="K157" s="98"/>
      <c r="L157" s="98"/>
      <c r="M157" s="98"/>
      <c r="N157" s="98"/>
      <c r="O157" s="98"/>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row>
    <row r="158" spans="1:44" x14ac:dyDescent="0.25">
      <c r="A158" s="40"/>
      <c r="B158" s="40"/>
      <c r="C158" s="40"/>
      <c r="D158" s="40"/>
      <c r="E158" s="98"/>
      <c r="F158" s="98"/>
      <c r="G158" s="98"/>
      <c r="H158" s="98"/>
      <c r="I158" s="98"/>
      <c r="J158" s="98"/>
      <c r="K158" s="98"/>
      <c r="L158" s="98"/>
      <c r="M158" s="98"/>
      <c r="N158" s="98"/>
      <c r="O158" s="98"/>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row>
    <row r="159" spans="1:44" x14ac:dyDescent="0.25">
      <c r="A159" s="40"/>
      <c r="B159" s="40"/>
      <c r="C159" s="40"/>
      <c r="D159" s="40"/>
      <c r="E159" s="98"/>
      <c r="F159" s="98"/>
      <c r="G159" s="98"/>
      <c r="H159" s="98"/>
      <c r="I159" s="98"/>
      <c r="J159" s="98"/>
      <c r="K159" s="98"/>
      <c r="L159" s="98"/>
      <c r="M159" s="98"/>
      <c r="N159" s="98"/>
      <c r="O159" s="98"/>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row>
    <row r="160" spans="1:44" x14ac:dyDescent="0.25">
      <c r="A160" s="40"/>
      <c r="B160" s="40"/>
      <c r="C160" s="40"/>
      <c r="D160" s="40"/>
      <c r="E160" s="98"/>
      <c r="F160" s="98"/>
      <c r="G160" s="98"/>
      <c r="H160" s="98"/>
      <c r="I160" s="98"/>
      <c r="J160" s="98"/>
      <c r="K160" s="98"/>
      <c r="L160" s="98"/>
      <c r="M160" s="98"/>
      <c r="N160" s="98"/>
      <c r="O160" s="98"/>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row>
    <row r="161" spans="1:44" x14ac:dyDescent="0.25">
      <c r="A161" s="40"/>
      <c r="B161" s="40"/>
      <c r="C161" s="40"/>
      <c r="D161" s="40"/>
      <c r="E161" s="98"/>
      <c r="F161" s="98"/>
      <c r="G161" s="98"/>
      <c r="H161" s="98"/>
      <c r="I161" s="98"/>
      <c r="J161" s="98"/>
      <c r="K161" s="98"/>
      <c r="L161" s="98"/>
      <c r="M161" s="98"/>
      <c r="N161" s="98"/>
      <c r="O161" s="98"/>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row>
    <row r="162" spans="1:44" x14ac:dyDescent="0.25">
      <c r="A162" s="40"/>
      <c r="B162" s="40"/>
      <c r="C162" s="40"/>
      <c r="D162" s="40"/>
      <c r="E162" s="98"/>
      <c r="F162" s="98"/>
      <c r="G162" s="98"/>
      <c r="H162" s="98"/>
      <c r="I162" s="98"/>
      <c r="J162" s="98"/>
      <c r="K162" s="98"/>
      <c r="L162" s="98"/>
      <c r="M162" s="98"/>
      <c r="N162" s="98"/>
      <c r="O162" s="98"/>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row>
    <row r="163" spans="1:44" x14ac:dyDescent="0.25">
      <c r="A163" s="40"/>
      <c r="B163" s="40"/>
      <c r="C163" s="40"/>
      <c r="D163" s="40"/>
      <c r="E163" s="98"/>
      <c r="F163" s="98"/>
      <c r="G163" s="98"/>
      <c r="H163" s="98"/>
      <c r="I163" s="98"/>
      <c r="J163" s="98"/>
      <c r="K163" s="98"/>
      <c r="L163" s="98"/>
      <c r="M163" s="98"/>
      <c r="N163" s="98"/>
      <c r="O163" s="98"/>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row>
    <row r="164" spans="1:44" x14ac:dyDescent="0.25">
      <c r="A164" s="40"/>
      <c r="B164" s="40"/>
      <c r="C164" s="40"/>
      <c r="D164" s="40"/>
      <c r="E164" s="98"/>
      <c r="F164" s="98"/>
      <c r="G164" s="98"/>
      <c r="H164" s="98"/>
      <c r="I164" s="98"/>
      <c r="J164" s="98"/>
      <c r="K164" s="98"/>
      <c r="L164" s="98"/>
      <c r="M164" s="98"/>
      <c r="N164" s="98"/>
      <c r="O164" s="98"/>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row>
    <row r="165" spans="1:44" x14ac:dyDescent="0.25">
      <c r="A165" s="40"/>
      <c r="B165" s="40"/>
      <c r="C165" s="40"/>
      <c r="D165" s="40"/>
      <c r="E165" s="98"/>
      <c r="F165" s="98"/>
      <c r="G165" s="98"/>
      <c r="H165" s="98"/>
      <c r="I165" s="98"/>
      <c r="J165" s="98"/>
      <c r="K165" s="98"/>
      <c r="L165" s="98"/>
      <c r="M165" s="98"/>
      <c r="N165" s="98"/>
      <c r="O165" s="98"/>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row>
    <row r="166" spans="1:44" x14ac:dyDescent="0.25">
      <c r="A166" s="40"/>
      <c r="B166" s="40"/>
      <c r="C166" s="40"/>
      <c r="D166" s="40"/>
      <c r="E166" s="98"/>
      <c r="F166" s="98"/>
      <c r="G166" s="98"/>
      <c r="H166" s="98"/>
      <c r="I166" s="98"/>
      <c r="J166" s="98"/>
      <c r="K166" s="98"/>
      <c r="L166" s="98"/>
      <c r="M166" s="98"/>
      <c r="N166" s="98"/>
      <c r="O166" s="98"/>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row>
    <row r="167" spans="1:44" x14ac:dyDescent="0.25">
      <c r="A167" s="40"/>
      <c r="B167" s="40"/>
      <c r="C167" s="40"/>
      <c r="D167" s="40"/>
      <c r="E167" s="98"/>
      <c r="F167" s="98"/>
      <c r="G167" s="98"/>
      <c r="H167" s="98"/>
      <c r="I167" s="98"/>
      <c r="J167" s="98"/>
      <c r="K167" s="98"/>
      <c r="L167" s="98"/>
      <c r="M167" s="98"/>
      <c r="N167" s="98"/>
      <c r="O167" s="98"/>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row>
    <row r="168" spans="1:44" x14ac:dyDescent="0.25">
      <c r="A168" s="40"/>
      <c r="B168" s="40"/>
      <c r="C168" s="40"/>
      <c r="D168" s="40"/>
      <c r="E168" s="98"/>
      <c r="F168" s="98"/>
      <c r="G168" s="98"/>
      <c r="H168" s="98"/>
      <c r="I168" s="98"/>
      <c r="J168" s="98"/>
      <c r="K168" s="98"/>
      <c r="L168" s="98"/>
      <c r="M168" s="98"/>
      <c r="N168" s="98"/>
      <c r="O168" s="98"/>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row>
    <row r="169" spans="1:44" x14ac:dyDescent="0.25">
      <c r="A169" s="40"/>
      <c r="B169" s="40"/>
      <c r="C169" s="40"/>
      <c r="D169" s="40"/>
      <c r="E169" s="98"/>
      <c r="F169" s="98"/>
      <c r="G169" s="98"/>
      <c r="H169" s="98"/>
      <c r="I169" s="98"/>
      <c r="J169" s="98"/>
      <c r="K169" s="98"/>
      <c r="L169" s="98"/>
      <c r="M169" s="98"/>
      <c r="N169" s="98"/>
      <c r="O169" s="98"/>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row>
    <row r="170" spans="1:44" x14ac:dyDescent="0.25">
      <c r="A170" s="40"/>
      <c r="B170" s="40"/>
      <c r="C170" s="40"/>
      <c r="D170" s="40"/>
      <c r="E170" s="98"/>
      <c r="F170" s="98"/>
      <c r="G170" s="98"/>
      <c r="H170" s="98"/>
      <c r="I170" s="98"/>
      <c r="J170" s="98"/>
      <c r="K170" s="98"/>
      <c r="L170" s="98"/>
      <c r="M170" s="98"/>
      <c r="N170" s="98"/>
      <c r="O170" s="98"/>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row>
    <row r="171" spans="1:44" x14ac:dyDescent="0.25">
      <c r="A171" s="40"/>
      <c r="B171" s="40"/>
      <c r="C171" s="40"/>
      <c r="D171" s="40"/>
      <c r="E171" s="98"/>
      <c r="F171" s="98"/>
      <c r="G171" s="98"/>
      <c r="H171" s="98"/>
      <c r="I171" s="98"/>
      <c r="J171" s="98"/>
      <c r="K171" s="98"/>
      <c r="L171" s="98"/>
      <c r="M171" s="98"/>
      <c r="N171" s="98"/>
      <c r="O171" s="98"/>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row>
    <row r="172" spans="1:44" x14ac:dyDescent="0.25">
      <c r="A172" s="40"/>
      <c r="B172" s="40"/>
      <c r="C172" s="40"/>
      <c r="D172" s="40"/>
      <c r="E172" s="98"/>
      <c r="F172" s="98"/>
      <c r="G172" s="98"/>
      <c r="H172" s="98"/>
      <c r="I172" s="98"/>
      <c r="J172" s="98"/>
      <c r="K172" s="98"/>
      <c r="L172" s="98"/>
      <c r="M172" s="98"/>
      <c r="N172" s="98"/>
      <c r="O172" s="98"/>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row>
    <row r="173" spans="1:44" x14ac:dyDescent="0.25">
      <c r="A173" s="40"/>
      <c r="B173" s="40"/>
      <c r="C173" s="40"/>
      <c r="D173" s="40"/>
      <c r="E173" s="98"/>
      <c r="F173" s="98"/>
      <c r="G173" s="98"/>
      <c r="H173" s="98"/>
      <c r="I173" s="98"/>
      <c r="J173" s="98"/>
      <c r="K173" s="98"/>
      <c r="L173" s="98"/>
      <c r="M173" s="98"/>
      <c r="N173" s="98"/>
      <c r="O173" s="98"/>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row>
    <row r="174" spans="1:44" x14ac:dyDescent="0.25">
      <c r="A174" s="40"/>
      <c r="B174" s="40"/>
      <c r="C174" s="40"/>
      <c r="D174" s="40"/>
      <c r="E174" s="98"/>
      <c r="F174" s="98"/>
      <c r="G174" s="98"/>
      <c r="H174" s="98"/>
      <c r="I174" s="98"/>
      <c r="J174" s="98"/>
      <c r="K174" s="98"/>
      <c r="L174" s="98"/>
      <c r="M174" s="98"/>
      <c r="N174" s="98"/>
      <c r="O174" s="98"/>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row>
    <row r="175" spans="1:44" x14ac:dyDescent="0.25">
      <c r="A175" s="40"/>
      <c r="B175" s="40"/>
      <c r="C175" s="40"/>
      <c r="D175" s="40"/>
      <c r="E175" s="98"/>
      <c r="F175" s="98"/>
      <c r="G175" s="98"/>
      <c r="H175" s="98"/>
      <c r="I175" s="98"/>
      <c r="J175" s="98"/>
      <c r="K175" s="98"/>
      <c r="L175" s="98"/>
      <c r="M175" s="98"/>
      <c r="N175" s="98"/>
      <c r="O175" s="98"/>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row>
    <row r="176" spans="1:44" x14ac:dyDescent="0.25">
      <c r="A176" s="40"/>
      <c r="B176" s="40"/>
      <c r="C176" s="40"/>
      <c r="D176" s="40"/>
      <c r="E176" s="98"/>
      <c r="F176" s="98"/>
      <c r="G176" s="98"/>
      <c r="H176" s="98"/>
      <c r="I176" s="98"/>
      <c r="J176" s="98"/>
      <c r="K176" s="98"/>
      <c r="L176" s="98"/>
      <c r="M176" s="98"/>
      <c r="N176" s="98"/>
      <c r="O176" s="98"/>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row>
    <row r="177" spans="1:44" x14ac:dyDescent="0.25">
      <c r="A177" s="40"/>
      <c r="B177" s="40"/>
      <c r="C177" s="40"/>
      <c r="D177" s="40"/>
      <c r="E177" s="98"/>
      <c r="F177" s="98"/>
      <c r="G177" s="98"/>
      <c r="H177" s="98"/>
      <c r="I177" s="98"/>
      <c r="J177" s="98"/>
      <c r="K177" s="98"/>
      <c r="L177" s="98"/>
      <c r="M177" s="98"/>
      <c r="N177" s="98"/>
      <c r="O177" s="98"/>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row>
    <row r="178" spans="1:44" x14ac:dyDescent="0.25">
      <c r="A178" s="40"/>
      <c r="B178" s="40"/>
      <c r="C178" s="40"/>
      <c r="D178" s="40"/>
      <c r="E178" s="98"/>
      <c r="F178" s="98"/>
      <c r="G178" s="98"/>
      <c r="H178" s="98"/>
      <c r="I178" s="98"/>
      <c r="J178" s="98"/>
      <c r="K178" s="98"/>
      <c r="L178" s="98"/>
      <c r="M178" s="98"/>
      <c r="N178" s="98"/>
      <c r="O178" s="98"/>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row>
    <row r="179" spans="1:44" x14ac:dyDescent="0.25">
      <c r="A179" s="40"/>
      <c r="B179" s="40"/>
      <c r="C179" s="40"/>
      <c r="D179" s="40"/>
      <c r="E179" s="98"/>
      <c r="F179" s="98"/>
      <c r="G179" s="98"/>
      <c r="H179" s="98"/>
      <c r="I179" s="98"/>
      <c r="J179" s="98"/>
      <c r="K179" s="98"/>
      <c r="L179" s="98"/>
      <c r="M179" s="98"/>
      <c r="N179" s="98"/>
      <c r="O179" s="98"/>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row>
    <row r="180" spans="1:44" x14ac:dyDescent="0.25">
      <c r="A180" s="40"/>
      <c r="B180" s="40"/>
      <c r="C180" s="40"/>
      <c r="D180" s="40"/>
      <c r="E180" s="98"/>
      <c r="F180" s="98"/>
      <c r="G180" s="98"/>
      <c r="H180" s="98"/>
      <c r="I180" s="98"/>
      <c r="J180" s="98"/>
      <c r="K180" s="98"/>
      <c r="L180" s="98"/>
      <c r="M180" s="98"/>
      <c r="N180" s="98"/>
      <c r="O180" s="98"/>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row>
    <row r="181" spans="1:44" x14ac:dyDescent="0.25">
      <c r="A181" s="40"/>
      <c r="B181" s="40"/>
      <c r="C181" s="40"/>
      <c r="D181" s="40"/>
      <c r="E181" s="98"/>
      <c r="F181" s="98"/>
      <c r="G181" s="98"/>
      <c r="H181" s="98"/>
      <c r="I181" s="98"/>
      <c r="J181" s="98"/>
      <c r="K181" s="98"/>
      <c r="L181" s="98"/>
      <c r="M181" s="98"/>
      <c r="N181" s="98"/>
      <c r="O181" s="98"/>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row>
    <row r="182" spans="1:44" x14ac:dyDescent="0.25">
      <c r="A182" s="40"/>
      <c r="B182" s="40"/>
      <c r="C182" s="40"/>
      <c r="D182" s="40"/>
      <c r="E182" s="98"/>
      <c r="F182" s="98"/>
      <c r="G182" s="98"/>
      <c r="H182" s="98"/>
      <c r="I182" s="98"/>
      <c r="J182" s="98"/>
      <c r="K182" s="98"/>
      <c r="L182" s="98"/>
      <c r="M182" s="98"/>
      <c r="N182" s="98"/>
      <c r="O182" s="98"/>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row>
    <row r="183" spans="1:44" x14ac:dyDescent="0.25">
      <c r="A183" s="40"/>
      <c r="B183" s="40"/>
      <c r="C183" s="40"/>
      <c r="D183" s="40"/>
      <c r="E183" s="98"/>
      <c r="F183" s="98"/>
      <c r="G183" s="98"/>
      <c r="H183" s="98"/>
      <c r="I183" s="98"/>
      <c r="J183" s="98"/>
      <c r="K183" s="98"/>
      <c r="L183" s="98"/>
      <c r="M183" s="98"/>
      <c r="N183" s="98"/>
      <c r="O183" s="98"/>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row>
    <row r="184" spans="1:44" x14ac:dyDescent="0.25">
      <c r="A184" s="40"/>
      <c r="B184" s="40"/>
      <c r="C184" s="40"/>
      <c r="D184" s="40"/>
      <c r="E184" s="98"/>
      <c r="F184" s="98"/>
      <c r="G184" s="98"/>
      <c r="H184" s="98"/>
      <c r="I184" s="98"/>
      <c r="J184" s="98"/>
      <c r="K184" s="98"/>
      <c r="L184" s="98"/>
      <c r="M184" s="98"/>
      <c r="N184" s="98"/>
      <c r="O184" s="98"/>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row>
    <row r="185" spans="1:44" x14ac:dyDescent="0.25">
      <c r="A185" s="40"/>
      <c r="B185" s="40"/>
      <c r="C185" s="40"/>
      <c r="D185" s="40"/>
      <c r="E185" s="98"/>
      <c r="F185" s="98"/>
      <c r="G185" s="98"/>
      <c r="H185" s="98"/>
      <c r="I185" s="98"/>
      <c r="J185" s="98"/>
      <c r="K185" s="98"/>
      <c r="L185" s="98"/>
      <c r="M185" s="98"/>
      <c r="N185" s="98"/>
      <c r="O185" s="98"/>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row>
    <row r="186" spans="1:44" x14ac:dyDescent="0.25">
      <c r="A186" s="40"/>
      <c r="B186" s="40"/>
      <c r="C186" s="40"/>
      <c r="D186" s="40"/>
      <c r="E186" s="98"/>
      <c r="F186" s="98"/>
      <c r="G186" s="98"/>
      <c r="H186" s="98"/>
      <c r="I186" s="98"/>
      <c r="J186" s="98"/>
      <c r="K186" s="98"/>
      <c r="L186" s="98"/>
      <c r="M186" s="98"/>
      <c r="N186" s="98"/>
      <c r="O186" s="98"/>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row>
    <row r="187" spans="1:44" x14ac:dyDescent="0.25">
      <c r="A187" s="40"/>
      <c r="B187" s="40"/>
      <c r="C187" s="40"/>
      <c r="D187" s="40"/>
      <c r="E187" s="98"/>
      <c r="F187" s="98"/>
      <c r="G187" s="98"/>
      <c r="H187" s="98"/>
      <c r="I187" s="98"/>
      <c r="J187" s="98"/>
      <c r="K187" s="98"/>
      <c r="L187" s="98"/>
      <c r="M187" s="98"/>
      <c r="N187" s="98"/>
      <c r="O187" s="98"/>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row>
    <row r="188" spans="1:44" x14ac:dyDescent="0.25">
      <c r="A188" s="40"/>
      <c r="B188" s="40"/>
      <c r="C188" s="40"/>
      <c r="D188" s="40"/>
      <c r="E188" s="98"/>
      <c r="F188" s="98"/>
      <c r="G188" s="98"/>
      <c r="H188" s="98"/>
      <c r="I188" s="98"/>
      <c r="J188" s="98"/>
      <c r="K188" s="98"/>
      <c r="L188" s="98"/>
      <c r="M188" s="98"/>
      <c r="N188" s="98"/>
      <c r="O188" s="98"/>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row>
    <row r="189" spans="1:44" x14ac:dyDescent="0.25">
      <c r="A189" s="40"/>
      <c r="B189" s="40"/>
      <c r="C189" s="40"/>
      <c r="D189" s="40"/>
      <c r="E189" s="98"/>
      <c r="F189" s="98"/>
      <c r="G189" s="98"/>
      <c r="H189" s="98"/>
      <c r="I189" s="98"/>
      <c r="J189" s="98"/>
      <c r="K189" s="98"/>
      <c r="L189" s="98"/>
      <c r="M189" s="98"/>
      <c r="N189" s="98"/>
      <c r="O189" s="98"/>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row>
    <row r="190" spans="1:44" x14ac:dyDescent="0.25">
      <c r="A190" s="40"/>
      <c r="B190" s="40"/>
      <c r="C190" s="40"/>
      <c r="D190" s="40"/>
      <c r="E190" s="98"/>
      <c r="F190" s="98"/>
      <c r="G190" s="98"/>
      <c r="H190" s="98"/>
      <c r="I190" s="98"/>
      <c r="J190" s="98"/>
      <c r="K190" s="98"/>
      <c r="L190" s="98"/>
      <c r="M190" s="98"/>
      <c r="N190" s="98"/>
      <c r="O190" s="98"/>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row>
    <row r="191" spans="1:44" x14ac:dyDescent="0.25">
      <c r="A191" s="40"/>
      <c r="B191" s="40"/>
      <c r="C191" s="40"/>
      <c r="D191" s="40"/>
      <c r="E191" s="98"/>
      <c r="F191" s="98"/>
      <c r="G191" s="98"/>
      <c r="H191" s="98"/>
      <c r="I191" s="98"/>
      <c r="J191" s="98"/>
      <c r="K191" s="98"/>
      <c r="L191" s="98"/>
      <c r="M191" s="98"/>
      <c r="N191" s="98"/>
      <c r="O191" s="98"/>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row>
    <row r="192" spans="1:44" x14ac:dyDescent="0.25">
      <c r="A192" s="40"/>
      <c r="B192" s="40"/>
      <c r="C192" s="40"/>
      <c r="D192" s="40"/>
      <c r="E192" s="98"/>
      <c r="F192" s="98"/>
      <c r="G192" s="98"/>
      <c r="H192" s="98"/>
      <c r="I192" s="98"/>
      <c r="J192" s="98"/>
      <c r="K192" s="98"/>
      <c r="L192" s="98"/>
      <c r="M192" s="98"/>
      <c r="N192" s="98"/>
      <c r="O192" s="98"/>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row>
    <row r="193" spans="1:44" x14ac:dyDescent="0.25">
      <c r="A193" s="40"/>
      <c r="B193" s="40"/>
      <c r="C193" s="40"/>
      <c r="D193" s="40"/>
      <c r="E193" s="98"/>
      <c r="F193" s="98"/>
      <c r="G193" s="98"/>
      <c r="H193" s="98"/>
      <c r="I193" s="98"/>
      <c r="J193" s="98"/>
      <c r="K193" s="98"/>
      <c r="L193" s="98"/>
      <c r="M193" s="98"/>
      <c r="N193" s="98"/>
      <c r="O193" s="98"/>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row>
    <row r="194" spans="1:44" x14ac:dyDescent="0.25">
      <c r="A194" s="40"/>
      <c r="B194" s="40"/>
      <c r="C194" s="40"/>
      <c r="D194" s="40"/>
      <c r="E194" s="98"/>
      <c r="F194" s="98"/>
      <c r="G194" s="98"/>
      <c r="H194" s="98"/>
      <c r="I194" s="98"/>
      <c r="J194" s="98"/>
      <c r="K194" s="98"/>
      <c r="L194" s="98"/>
      <c r="M194" s="98"/>
      <c r="N194" s="98"/>
      <c r="O194" s="98"/>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row>
    <row r="195" spans="1:44" x14ac:dyDescent="0.25">
      <c r="A195" s="40"/>
      <c r="B195" s="40"/>
      <c r="C195" s="40"/>
      <c r="D195" s="40"/>
      <c r="E195" s="98"/>
      <c r="F195" s="98"/>
      <c r="G195" s="98"/>
      <c r="H195" s="98"/>
      <c r="I195" s="98"/>
      <c r="J195" s="98"/>
      <c r="K195" s="98"/>
      <c r="L195" s="98"/>
      <c r="M195" s="98"/>
      <c r="N195" s="98"/>
      <c r="O195" s="98"/>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row>
    <row r="196" spans="1:44" x14ac:dyDescent="0.25">
      <c r="A196" s="40"/>
      <c r="B196" s="40"/>
      <c r="C196" s="40"/>
      <c r="D196" s="40"/>
      <c r="E196" s="98"/>
      <c r="F196" s="98"/>
      <c r="G196" s="98"/>
      <c r="H196" s="98"/>
      <c r="I196" s="98"/>
      <c r="J196" s="98"/>
      <c r="K196" s="98"/>
      <c r="L196" s="98"/>
      <c r="M196" s="98"/>
      <c r="N196" s="98"/>
      <c r="O196" s="98"/>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row>
    <row r="197" spans="1:44" x14ac:dyDescent="0.25">
      <c r="A197" s="40"/>
      <c r="B197" s="40"/>
      <c r="C197" s="40"/>
      <c r="D197" s="40"/>
      <c r="E197" s="98"/>
      <c r="F197" s="98"/>
      <c r="G197" s="98"/>
      <c r="H197" s="98"/>
      <c r="I197" s="98"/>
      <c r="J197" s="98"/>
      <c r="K197" s="98"/>
      <c r="L197" s="98"/>
      <c r="M197" s="98"/>
      <c r="N197" s="98"/>
      <c r="O197" s="98"/>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row>
    <row r="198" spans="1:44" x14ac:dyDescent="0.25">
      <c r="A198" s="40"/>
      <c r="B198" s="40"/>
      <c r="C198" s="40"/>
      <c r="D198" s="40"/>
      <c r="E198" s="98"/>
      <c r="F198" s="98"/>
      <c r="G198" s="98"/>
      <c r="H198" s="98"/>
      <c r="I198" s="98"/>
      <c r="J198" s="98"/>
      <c r="K198" s="98"/>
      <c r="L198" s="98"/>
      <c r="M198" s="98"/>
      <c r="N198" s="98"/>
      <c r="O198" s="98"/>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row>
    <row r="199" spans="1:44" x14ac:dyDescent="0.25">
      <c r="A199" s="40"/>
      <c r="B199" s="40"/>
      <c r="C199" s="40"/>
      <c r="D199" s="40"/>
      <c r="E199" s="98"/>
      <c r="F199" s="98"/>
      <c r="G199" s="98"/>
      <c r="H199" s="98"/>
      <c r="I199" s="98"/>
      <c r="J199" s="98"/>
      <c r="K199" s="98"/>
      <c r="L199" s="98"/>
      <c r="M199" s="98"/>
      <c r="N199" s="98"/>
      <c r="O199" s="98"/>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row>
    <row r="200" spans="1:44" x14ac:dyDescent="0.25">
      <c r="A200" s="40"/>
      <c r="B200" s="40"/>
      <c r="C200" s="40"/>
      <c r="D200" s="40"/>
      <c r="E200" s="98"/>
      <c r="F200" s="98"/>
      <c r="G200" s="98"/>
      <c r="H200" s="98"/>
      <c r="I200" s="98"/>
      <c r="J200" s="98"/>
      <c r="K200" s="98"/>
      <c r="L200" s="98"/>
      <c r="M200" s="98"/>
      <c r="N200" s="98"/>
      <c r="O200" s="98"/>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row>
    <row r="201" spans="1:44" x14ac:dyDescent="0.25">
      <c r="A201" s="40"/>
      <c r="B201" s="40"/>
      <c r="C201" s="40"/>
      <c r="D201" s="40"/>
      <c r="E201" s="98"/>
      <c r="F201" s="98"/>
      <c r="G201" s="98"/>
      <c r="H201" s="98"/>
      <c r="I201" s="98"/>
      <c r="J201" s="98"/>
      <c r="K201" s="98"/>
      <c r="L201" s="98"/>
      <c r="M201" s="98"/>
      <c r="N201" s="98"/>
      <c r="O201" s="98"/>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row>
    <row r="202" spans="1:44" x14ac:dyDescent="0.25">
      <c r="A202" s="40"/>
      <c r="B202" s="40"/>
      <c r="C202" s="40"/>
      <c r="D202" s="40"/>
      <c r="E202" s="98"/>
      <c r="F202" s="98"/>
      <c r="G202" s="98"/>
      <c r="H202" s="98"/>
      <c r="I202" s="98"/>
      <c r="J202" s="98"/>
      <c r="K202" s="98"/>
      <c r="L202" s="98"/>
      <c r="M202" s="98"/>
      <c r="N202" s="98"/>
      <c r="O202" s="98"/>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row>
    <row r="203" spans="1:44" x14ac:dyDescent="0.25">
      <c r="A203" s="40"/>
      <c r="B203" s="40"/>
      <c r="C203" s="40"/>
      <c r="D203" s="40"/>
      <c r="E203" s="98"/>
      <c r="F203" s="98"/>
      <c r="G203" s="98"/>
      <c r="H203" s="98"/>
      <c r="I203" s="98"/>
      <c r="J203" s="98"/>
      <c r="K203" s="98"/>
      <c r="L203" s="98"/>
      <c r="M203" s="98"/>
      <c r="N203" s="98"/>
      <c r="O203" s="98"/>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row>
    <row r="204" spans="1:44" x14ac:dyDescent="0.25">
      <c r="A204" s="40"/>
      <c r="B204" s="40"/>
      <c r="C204" s="40"/>
      <c r="D204" s="40"/>
      <c r="E204" s="98"/>
      <c r="F204" s="98"/>
      <c r="G204" s="98"/>
      <c r="H204" s="98"/>
      <c r="I204" s="98"/>
      <c r="J204" s="98"/>
      <c r="K204" s="98"/>
      <c r="L204" s="98"/>
      <c r="M204" s="98"/>
      <c r="N204" s="98"/>
      <c r="O204" s="98"/>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row>
    <row r="205" spans="1:44" x14ac:dyDescent="0.25">
      <c r="A205" s="40"/>
      <c r="B205" s="40"/>
      <c r="C205" s="40"/>
      <c r="D205" s="40"/>
      <c r="E205" s="98"/>
      <c r="F205" s="98"/>
      <c r="G205" s="98"/>
      <c r="H205" s="98"/>
      <c r="I205" s="98"/>
      <c r="J205" s="98"/>
      <c r="K205" s="98"/>
      <c r="L205" s="98"/>
      <c r="M205" s="98"/>
      <c r="N205" s="98"/>
      <c r="O205" s="98"/>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row>
    <row r="206" spans="1:44" x14ac:dyDescent="0.25">
      <c r="A206" s="40"/>
      <c r="B206" s="40"/>
      <c r="C206" s="40"/>
      <c r="D206" s="40"/>
      <c r="E206" s="98"/>
      <c r="F206" s="98"/>
      <c r="G206" s="98"/>
      <c r="H206" s="98"/>
      <c r="I206" s="98"/>
      <c r="J206" s="98"/>
      <c r="K206" s="98"/>
      <c r="L206" s="98"/>
      <c r="M206" s="98"/>
      <c r="N206" s="98"/>
      <c r="O206" s="98"/>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row>
    <row r="207" spans="1:44" x14ac:dyDescent="0.25">
      <c r="A207" s="40"/>
      <c r="B207" s="40"/>
      <c r="C207" s="40"/>
      <c r="D207" s="40"/>
      <c r="E207" s="98"/>
      <c r="F207" s="98"/>
      <c r="G207" s="98"/>
      <c r="H207" s="98"/>
      <c r="I207" s="98"/>
      <c r="J207" s="98"/>
      <c r="K207" s="98"/>
      <c r="L207" s="98"/>
      <c r="M207" s="98"/>
      <c r="N207" s="98"/>
      <c r="O207" s="98"/>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row>
    <row r="208" spans="1:44" x14ac:dyDescent="0.25">
      <c r="A208" s="40"/>
      <c r="B208" s="40"/>
      <c r="C208" s="40"/>
      <c r="D208" s="40"/>
      <c r="E208" s="98"/>
      <c r="F208" s="98"/>
      <c r="G208" s="98"/>
      <c r="H208" s="98"/>
      <c r="I208" s="98"/>
      <c r="J208" s="98"/>
      <c r="K208" s="98"/>
      <c r="L208" s="98"/>
      <c r="M208" s="98"/>
      <c r="N208" s="98"/>
      <c r="O208" s="98"/>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row>
    <row r="209" spans="1:44" x14ac:dyDescent="0.25">
      <c r="A209" s="40"/>
      <c r="B209" s="40"/>
      <c r="C209" s="40"/>
      <c r="D209" s="40"/>
      <c r="E209" s="98"/>
      <c r="F209" s="98"/>
      <c r="G209" s="98"/>
      <c r="H209" s="98"/>
      <c r="I209" s="98"/>
      <c r="J209" s="98"/>
      <c r="K209" s="98"/>
      <c r="L209" s="98"/>
      <c r="M209" s="98"/>
      <c r="N209" s="98"/>
      <c r="O209" s="98"/>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row>
    <row r="210" spans="1:44" x14ac:dyDescent="0.25">
      <c r="A210" s="40"/>
      <c r="B210" s="40"/>
      <c r="C210" s="40"/>
      <c r="D210" s="40"/>
      <c r="E210" s="98"/>
      <c r="F210" s="98"/>
      <c r="G210" s="98"/>
      <c r="H210" s="98"/>
      <c r="I210" s="98"/>
      <c r="J210" s="98"/>
      <c r="K210" s="98"/>
      <c r="L210" s="98"/>
      <c r="M210" s="98"/>
      <c r="N210" s="98"/>
      <c r="O210" s="98"/>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row>
    <row r="211" spans="1:44" x14ac:dyDescent="0.25">
      <c r="A211" s="40"/>
      <c r="B211" s="40"/>
      <c r="C211" s="40"/>
      <c r="D211" s="40"/>
      <c r="E211" s="98"/>
      <c r="F211" s="98"/>
      <c r="G211" s="98"/>
      <c r="H211" s="98"/>
      <c r="I211" s="98"/>
      <c r="J211" s="98"/>
      <c r="K211" s="98"/>
      <c r="L211" s="98"/>
      <c r="M211" s="98"/>
      <c r="N211" s="98"/>
      <c r="O211" s="98"/>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row>
    <row r="212" spans="1:44" x14ac:dyDescent="0.25">
      <c r="A212" s="40"/>
      <c r="B212" s="40"/>
      <c r="C212" s="40"/>
      <c r="D212" s="40"/>
      <c r="E212" s="98"/>
      <c r="F212" s="98"/>
      <c r="G212" s="98"/>
      <c r="H212" s="98"/>
      <c r="I212" s="98"/>
      <c r="J212" s="98"/>
      <c r="K212" s="98"/>
      <c r="L212" s="98"/>
      <c r="M212" s="98"/>
      <c r="N212" s="98"/>
      <c r="O212" s="98"/>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row>
    <row r="213" spans="1:44" x14ac:dyDescent="0.25">
      <c r="A213" s="40"/>
      <c r="B213" s="40"/>
      <c r="C213" s="40"/>
      <c r="D213" s="40"/>
      <c r="E213" s="98"/>
      <c r="F213" s="98"/>
      <c r="G213" s="98"/>
      <c r="H213" s="98"/>
      <c r="I213" s="98"/>
      <c r="J213" s="98"/>
      <c r="K213" s="98"/>
      <c r="L213" s="98"/>
      <c r="M213" s="98"/>
      <c r="N213" s="98"/>
      <c r="O213" s="98"/>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row>
    <row r="214" spans="1:44" x14ac:dyDescent="0.25">
      <c r="A214" s="40"/>
      <c r="B214" s="40"/>
      <c r="C214" s="40"/>
      <c r="D214" s="40"/>
      <c r="E214" s="98"/>
      <c r="F214" s="98"/>
      <c r="G214" s="98"/>
      <c r="H214" s="98"/>
      <c r="I214" s="98"/>
      <c r="J214" s="98"/>
      <c r="K214" s="98"/>
      <c r="L214" s="98"/>
      <c r="M214" s="98"/>
      <c r="N214" s="98"/>
      <c r="O214" s="98"/>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row>
    <row r="215" spans="1:44" x14ac:dyDescent="0.25">
      <c r="A215" s="40"/>
      <c r="B215" s="40"/>
      <c r="C215" s="40"/>
      <c r="D215" s="40"/>
      <c r="E215" s="98"/>
      <c r="F215" s="98"/>
      <c r="G215" s="98"/>
      <c r="H215" s="98"/>
      <c r="I215" s="98"/>
      <c r="J215" s="98"/>
      <c r="K215" s="98"/>
      <c r="L215" s="98"/>
      <c r="M215" s="98"/>
      <c r="N215" s="98"/>
      <c r="O215" s="98"/>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row>
    <row r="216" spans="1:44" x14ac:dyDescent="0.25">
      <c r="A216" s="40"/>
      <c r="B216" s="40"/>
      <c r="C216" s="40"/>
      <c r="D216" s="40"/>
      <c r="E216" s="98"/>
      <c r="F216" s="98"/>
      <c r="G216" s="98"/>
      <c r="H216" s="98"/>
      <c r="I216" s="98"/>
      <c r="J216" s="98"/>
      <c r="K216" s="98"/>
      <c r="L216" s="98"/>
      <c r="M216" s="98"/>
      <c r="N216" s="98"/>
      <c r="O216" s="98"/>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row>
    <row r="217" spans="1:44" x14ac:dyDescent="0.25">
      <c r="A217" s="40"/>
      <c r="B217" s="40"/>
      <c r="C217" s="40"/>
      <c r="D217" s="40"/>
      <c r="E217" s="98"/>
      <c r="F217" s="98"/>
      <c r="G217" s="98"/>
      <c r="H217" s="98"/>
      <c r="I217" s="98"/>
      <c r="J217" s="98"/>
      <c r="K217" s="98"/>
      <c r="L217" s="98"/>
      <c r="M217" s="98"/>
      <c r="N217" s="98"/>
      <c r="O217" s="98"/>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row>
    <row r="218" spans="1:44" x14ac:dyDescent="0.25">
      <c r="A218" s="40"/>
      <c r="B218" s="40"/>
      <c r="C218" s="40"/>
      <c r="D218" s="40"/>
      <c r="E218" s="98"/>
      <c r="F218" s="98"/>
      <c r="G218" s="98"/>
      <c r="H218" s="98"/>
      <c r="I218" s="98"/>
      <c r="J218" s="98"/>
      <c r="K218" s="98"/>
      <c r="L218" s="98"/>
      <c r="M218" s="98"/>
      <c r="N218" s="98"/>
      <c r="O218" s="98"/>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row>
    <row r="219" spans="1:44" x14ac:dyDescent="0.25">
      <c r="A219" s="40"/>
      <c r="B219" s="40"/>
      <c r="C219" s="40"/>
      <c r="D219" s="40"/>
      <c r="E219" s="98"/>
      <c r="F219" s="98"/>
      <c r="G219" s="98"/>
      <c r="H219" s="98"/>
      <c r="I219" s="98"/>
      <c r="J219" s="98"/>
      <c r="K219" s="98"/>
      <c r="L219" s="98"/>
      <c r="M219" s="98"/>
      <c r="N219" s="98"/>
      <c r="O219" s="98"/>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row>
    <row r="220" spans="1:44" x14ac:dyDescent="0.25">
      <c r="A220" s="40"/>
      <c r="B220" s="40"/>
      <c r="C220" s="40"/>
      <c r="D220" s="40"/>
      <c r="E220" s="98"/>
      <c r="F220" s="98"/>
      <c r="G220" s="98"/>
      <c r="H220" s="98"/>
      <c r="I220" s="98"/>
      <c r="J220" s="98"/>
      <c r="K220" s="98"/>
      <c r="L220" s="98"/>
      <c r="M220" s="98"/>
      <c r="N220" s="98"/>
      <c r="O220" s="98"/>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row>
    <row r="221" spans="1:44" x14ac:dyDescent="0.25">
      <c r="A221" s="40"/>
      <c r="B221" s="40"/>
      <c r="C221" s="40"/>
      <c r="D221" s="40"/>
      <c r="E221" s="98"/>
      <c r="F221" s="98"/>
      <c r="G221" s="98"/>
      <c r="H221" s="98"/>
      <c r="I221" s="98"/>
      <c r="J221" s="98"/>
      <c r="K221" s="98"/>
      <c r="L221" s="98"/>
      <c r="M221" s="98"/>
      <c r="N221" s="98"/>
      <c r="O221" s="98"/>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row>
    <row r="222" spans="1:44" x14ac:dyDescent="0.25">
      <c r="A222" s="40"/>
      <c r="B222" s="40"/>
      <c r="C222" s="40"/>
      <c r="D222" s="40"/>
      <c r="E222" s="98"/>
      <c r="F222" s="98"/>
      <c r="G222" s="98"/>
      <c r="H222" s="98"/>
      <c r="I222" s="98"/>
      <c r="J222" s="98"/>
      <c r="K222" s="98"/>
      <c r="L222" s="98"/>
      <c r="M222" s="98"/>
      <c r="N222" s="98"/>
      <c r="O222" s="98"/>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row>
    <row r="223" spans="1:44" x14ac:dyDescent="0.25">
      <c r="A223" s="40"/>
      <c r="B223" s="40"/>
      <c r="C223" s="40"/>
      <c r="D223" s="40"/>
      <c r="E223" s="98"/>
      <c r="F223" s="98"/>
      <c r="G223" s="98"/>
      <c r="H223" s="98"/>
      <c r="I223" s="98"/>
      <c r="J223" s="98"/>
      <c r="K223" s="98"/>
      <c r="L223" s="98"/>
      <c r="M223" s="98"/>
      <c r="N223" s="98"/>
      <c r="O223" s="98"/>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row>
    <row r="224" spans="1:44" x14ac:dyDescent="0.25">
      <c r="A224" s="40"/>
      <c r="B224" s="40"/>
      <c r="C224" s="40"/>
      <c r="D224" s="40"/>
      <c r="E224" s="98"/>
      <c r="F224" s="98"/>
      <c r="G224" s="98"/>
      <c r="H224" s="98"/>
      <c r="I224" s="98"/>
      <c r="J224" s="98"/>
      <c r="K224" s="98"/>
      <c r="L224" s="98"/>
      <c r="M224" s="98"/>
      <c r="N224" s="98"/>
      <c r="O224" s="98"/>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row>
    <row r="225" spans="1:44" x14ac:dyDescent="0.25">
      <c r="A225" s="40"/>
      <c r="B225" s="40"/>
      <c r="C225" s="40"/>
      <c r="D225" s="40"/>
      <c r="E225" s="98"/>
      <c r="F225" s="98"/>
      <c r="G225" s="98"/>
      <c r="H225" s="98"/>
      <c r="I225" s="98"/>
      <c r="J225" s="98"/>
      <c r="K225" s="98"/>
      <c r="L225" s="98"/>
      <c r="M225" s="98"/>
      <c r="N225" s="98"/>
      <c r="O225" s="98"/>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row>
    <row r="226" spans="1:44" x14ac:dyDescent="0.25">
      <c r="A226" s="40"/>
      <c r="B226" s="40"/>
      <c r="C226" s="40"/>
      <c r="D226" s="40"/>
      <c r="E226" s="98"/>
      <c r="F226" s="98"/>
      <c r="G226" s="98"/>
      <c r="H226" s="98"/>
      <c r="I226" s="98"/>
      <c r="J226" s="98"/>
      <c r="K226" s="98"/>
      <c r="L226" s="98"/>
      <c r="M226" s="98"/>
      <c r="N226" s="98"/>
      <c r="O226" s="98"/>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row>
    <row r="227" spans="1:44" x14ac:dyDescent="0.25">
      <c r="A227" s="40"/>
      <c r="B227" s="40"/>
      <c r="C227" s="40"/>
      <c r="D227" s="40"/>
      <c r="E227" s="98"/>
      <c r="F227" s="98"/>
      <c r="G227" s="98"/>
      <c r="H227" s="98"/>
      <c r="I227" s="98"/>
      <c r="J227" s="98"/>
      <c r="K227" s="98"/>
      <c r="L227" s="98"/>
      <c r="M227" s="98"/>
      <c r="N227" s="98"/>
      <c r="O227" s="98"/>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row>
    <row r="228" spans="1:44" x14ac:dyDescent="0.25">
      <c r="A228" s="40"/>
      <c r="B228" s="40"/>
      <c r="C228" s="40"/>
      <c r="D228" s="40"/>
      <c r="E228" s="98"/>
      <c r="F228" s="98"/>
      <c r="G228" s="98"/>
      <c r="H228" s="98"/>
      <c r="I228" s="98"/>
      <c r="J228" s="98"/>
      <c r="K228" s="98"/>
      <c r="L228" s="98"/>
      <c r="M228" s="98"/>
      <c r="N228" s="98"/>
      <c r="O228" s="98"/>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row>
    <row r="229" spans="1:44" x14ac:dyDescent="0.25">
      <c r="A229" s="40"/>
      <c r="B229" s="40"/>
      <c r="C229" s="40"/>
      <c r="D229" s="40"/>
      <c r="E229" s="98"/>
      <c r="F229" s="98"/>
      <c r="G229" s="98"/>
      <c r="H229" s="98"/>
      <c r="I229" s="98"/>
      <c r="J229" s="98"/>
      <c r="K229" s="98"/>
      <c r="L229" s="98"/>
      <c r="M229" s="98"/>
      <c r="N229" s="98"/>
      <c r="O229" s="98"/>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row>
    <row r="230" spans="1:44" x14ac:dyDescent="0.25">
      <c r="A230" s="40"/>
      <c r="B230" s="40"/>
      <c r="C230" s="40"/>
      <c r="D230" s="40"/>
      <c r="E230" s="98"/>
      <c r="F230" s="98"/>
      <c r="G230" s="98"/>
      <c r="H230" s="98"/>
      <c r="I230" s="98"/>
      <c r="J230" s="98"/>
      <c r="K230" s="98"/>
      <c r="L230" s="98"/>
      <c r="M230" s="98"/>
      <c r="N230" s="98"/>
      <c r="O230" s="98"/>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row>
    <row r="231" spans="1:44" x14ac:dyDescent="0.25">
      <c r="A231" s="40"/>
      <c r="B231" s="40"/>
      <c r="C231" s="40"/>
      <c r="D231" s="40"/>
      <c r="E231" s="98"/>
      <c r="F231" s="98"/>
      <c r="G231" s="98"/>
      <c r="H231" s="98"/>
      <c r="I231" s="98"/>
      <c r="J231" s="98"/>
      <c r="K231" s="98"/>
      <c r="L231" s="98"/>
      <c r="M231" s="98"/>
      <c r="N231" s="98"/>
      <c r="O231" s="98"/>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row>
    <row r="232" spans="1:44" x14ac:dyDescent="0.25">
      <c r="A232" s="40"/>
      <c r="B232" s="40"/>
      <c r="C232" s="40"/>
      <c r="D232" s="40"/>
      <c r="E232" s="98"/>
      <c r="F232" s="98"/>
      <c r="G232" s="98"/>
      <c r="H232" s="98"/>
      <c r="I232" s="98"/>
      <c r="J232" s="98"/>
      <c r="K232" s="98"/>
      <c r="L232" s="98"/>
      <c r="M232" s="98"/>
      <c r="N232" s="98"/>
      <c r="O232" s="98"/>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row>
    <row r="233" spans="1:44" x14ac:dyDescent="0.25">
      <c r="A233" s="40"/>
      <c r="B233" s="40"/>
      <c r="C233" s="40"/>
      <c r="D233" s="40"/>
      <c r="E233" s="98"/>
      <c r="F233" s="98"/>
      <c r="G233" s="98"/>
      <c r="H233" s="98"/>
      <c r="I233" s="98"/>
      <c r="J233" s="98"/>
      <c r="K233" s="98"/>
      <c r="L233" s="98"/>
      <c r="M233" s="98"/>
      <c r="N233" s="98"/>
      <c r="O233" s="98"/>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row>
    <row r="234" spans="1:44" x14ac:dyDescent="0.25">
      <c r="A234" s="40"/>
      <c r="B234" s="40"/>
      <c r="C234" s="40"/>
      <c r="D234" s="40"/>
      <c r="E234" s="98"/>
      <c r="F234" s="98"/>
      <c r="G234" s="98"/>
      <c r="H234" s="98"/>
      <c r="I234" s="98"/>
      <c r="J234" s="98"/>
      <c r="K234" s="98"/>
      <c r="L234" s="98"/>
      <c r="M234" s="98"/>
      <c r="N234" s="98"/>
      <c r="O234" s="98"/>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row>
    <row r="235" spans="1:44" x14ac:dyDescent="0.25">
      <c r="A235" s="40"/>
      <c r="B235" s="40"/>
      <c r="C235" s="40"/>
      <c r="D235" s="40"/>
      <c r="E235" s="98"/>
      <c r="F235" s="98"/>
      <c r="G235" s="98"/>
      <c r="H235" s="98"/>
      <c r="I235" s="98"/>
      <c r="J235" s="98"/>
      <c r="K235" s="98"/>
      <c r="L235" s="98"/>
      <c r="M235" s="98"/>
      <c r="N235" s="98"/>
      <c r="O235" s="98"/>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row>
    <row r="236" spans="1:44" x14ac:dyDescent="0.25">
      <c r="A236" s="40"/>
      <c r="B236" s="40"/>
      <c r="C236" s="40"/>
      <c r="D236" s="40"/>
      <c r="E236" s="98"/>
      <c r="F236" s="98"/>
      <c r="G236" s="98"/>
      <c r="H236" s="98"/>
      <c r="I236" s="98"/>
      <c r="J236" s="98"/>
      <c r="K236" s="98"/>
      <c r="L236" s="98"/>
      <c r="M236" s="98"/>
      <c r="N236" s="98"/>
      <c r="O236" s="98"/>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row>
    <row r="237" spans="1:44" x14ac:dyDescent="0.25">
      <c r="A237" s="40"/>
      <c r="B237" s="40"/>
      <c r="C237" s="40"/>
      <c r="D237" s="40"/>
      <c r="E237" s="98"/>
      <c r="F237" s="98"/>
      <c r="G237" s="98"/>
      <c r="H237" s="98"/>
      <c r="I237" s="98"/>
      <c r="J237" s="98"/>
      <c r="K237" s="98"/>
      <c r="L237" s="98"/>
      <c r="M237" s="98"/>
      <c r="N237" s="98"/>
      <c r="O237" s="98"/>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row>
    <row r="238" spans="1:44" x14ac:dyDescent="0.25">
      <c r="A238" s="40"/>
      <c r="B238" s="40"/>
      <c r="C238" s="40"/>
      <c r="D238" s="40"/>
      <c r="E238" s="98"/>
      <c r="F238" s="98"/>
      <c r="G238" s="98"/>
      <c r="H238" s="98"/>
      <c r="I238" s="98"/>
      <c r="J238" s="98"/>
      <c r="K238" s="98"/>
      <c r="L238" s="98"/>
      <c r="M238" s="98"/>
      <c r="N238" s="98"/>
      <c r="O238" s="98"/>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row>
    <row r="239" spans="1:44" x14ac:dyDescent="0.25">
      <c r="A239" s="40"/>
      <c r="B239" s="40"/>
      <c r="C239" s="40"/>
      <c r="D239" s="40"/>
      <c r="E239" s="98"/>
      <c r="F239" s="98"/>
      <c r="G239" s="98"/>
      <c r="H239" s="98"/>
      <c r="I239" s="98"/>
      <c r="J239" s="98"/>
      <c r="K239" s="98"/>
      <c r="L239" s="98"/>
      <c r="M239" s="98"/>
      <c r="N239" s="98"/>
      <c r="O239" s="98"/>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row>
    <row r="240" spans="1:44" x14ac:dyDescent="0.25">
      <c r="A240" s="40"/>
      <c r="B240" s="40"/>
      <c r="C240" s="40"/>
      <c r="D240" s="40"/>
      <c r="E240" s="98"/>
      <c r="F240" s="98"/>
      <c r="G240" s="98"/>
      <c r="H240" s="98"/>
      <c r="I240" s="98"/>
      <c r="J240" s="98"/>
      <c r="K240" s="98"/>
      <c r="L240" s="98"/>
      <c r="M240" s="98"/>
      <c r="N240" s="98"/>
      <c r="O240" s="98"/>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row>
    <row r="241" spans="1:44" x14ac:dyDescent="0.25">
      <c r="A241" s="40"/>
      <c r="B241" s="40"/>
      <c r="C241" s="40"/>
      <c r="D241" s="40"/>
      <c r="E241" s="98"/>
      <c r="F241" s="98"/>
      <c r="G241" s="98"/>
      <c r="H241" s="98"/>
      <c r="I241" s="98"/>
      <c r="J241" s="98"/>
      <c r="K241" s="98"/>
      <c r="L241" s="98"/>
      <c r="M241" s="98"/>
      <c r="N241" s="98"/>
      <c r="O241" s="98"/>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row>
    <row r="242" spans="1:44" x14ac:dyDescent="0.25">
      <c r="A242" s="40"/>
      <c r="B242" s="40"/>
      <c r="C242" s="40"/>
      <c r="D242" s="40"/>
      <c r="E242" s="98"/>
      <c r="F242" s="98"/>
      <c r="G242" s="98"/>
      <c r="H242" s="98"/>
      <c r="I242" s="98"/>
      <c r="J242" s="98"/>
      <c r="K242" s="98"/>
      <c r="L242" s="98"/>
      <c r="M242" s="98"/>
      <c r="N242" s="98"/>
      <c r="O242" s="98"/>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row>
    <row r="243" spans="1:44" x14ac:dyDescent="0.25">
      <c r="A243" s="40"/>
      <c r="B243" s="40"/>
      <c r="C243" s="40"/>
      <c r="D243" s="40"/>
      <c r="E243" s="98"/>
      <c r="F243" s="98"/>
      <c r="G243" s="98"/>
      <c r="H243" s="98"/>
      <c r="I243" s="98"/>
      <c r="J243" s="98"/>
      <c r="K243" s="98"/>
      <c r="L243" s="98"/>
      <c r="M243" s="98"/>
      <c r="N243" s="98"/>
      <c r="O243" s="98"/>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row>
    <row r="244" spans="1:44" x14ac:dyDescent="0.25">
      <c r="A244" s="40"/>
      <c r="B244" s="40"/>
      <c r="C244" s="40"/>
      <c r="D244" s="40"/>
      <c r="E244" s="98"/>
      <c r="F244" s="98"/>
      <c r="G244" s="98"/>
      <c r="H244" s="98"/>
      <c r="I244" s="98"/>
      <c r="J244" s="98"/>
      <c r="K244" s="98"/>
      <c r="L244" s="98"/>
      <c r="M244" s="98"/>
      <c r="N244" s="98"/>
      <c r="O244" s="98"/>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row>
    <row r="245" spans="1:44" x14ac:dyDescent="0.25">
      <c r="A245" s="40"/>
      <c r="B245" s="40"/>
      <c r="C245" s="40"/>
      <c r="D245" s="40"/>
      <c r="E245" s="98"/>
      <c r="F245" s="98"/>
      <c r="G245" s="98"/>
      <c r="H245" s="98"/>
      <c r="I245" s="98"/>
      <c r="J245" s="98"/>
      <c r="K245" s="98"/>
      <c r="L245" s="98"/>
      <c r="M245" s="98"/>
      <c r="N245" s="98"/>
      <c r="O245" s="98"/>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row>
    <row r="246" spans="1:44" x14ac:dyDescent="0.25">
      <c r="A246" s="40"/>
      <c r="B246" s="40"/>
      <c r="C246" s="40"/>
      <c r="D246" s="40"/>
      <c r="E246" s="98"/>
      <c r="F246" s="98"/>
      <c r="G246" s="98"/>
      <c r="H246" s="98"/>
      <c r="I246" s="98"/>
      <c r="J246" s="98"/>
      <c r="K246" s="98"/>
      <c r="L246" s="98"/>
      <c r="M246" s="98"/>
      <c r="N246" s="98"/>
      <c r="O246" s="98"/>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row>
    <row r="247" spans="1:44" x14ac:dyDescent="0.25">
      <c r="A247" s="40"/>
      <c r="B247" s="40"/>
      <c r="C247" s="40"/>
      <c r="D247" s="40"/>
      <c r="E247" s="98"/>
      <c r="F247" s="98"/>
      <c r="G247" s="98"/>
      <c r="H247" s="98"/>
      <c r="I247" s="98"/>
      <c r="J247" s="98"/>
      <c r="K247" s="98"/>
      <c r="L247" s="98"/>
      <c r="M247" s="98"/>
      <c r="N247" s="98"/>
      <c r="O247" s="98"/>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row>
    <row r="248" spans="1:44" x14ac:dyDescent="0.25">
      <c r="A248" s="40"/>
      <c r="B248" s="40"/>
      <c r="C248" s="40"/>
      <c r="D248" s="40"/>
      <c r="E248" s="98"/>
      <c r="F248" s="98"/>
      <c r="G248" s="98"/>
      <c r="H248" s="98"/>
      <c r="I248" s="98"/>
      <c r="J248" s="98"/>
      <c r="K248" s="98"/>
      <c r="L248" s="98"/>
      <c r="M248" s="98"/>
      <c r="N248" s="98"/>
      <c r="O248" s="98"/>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row>
    <row r="249" spans="1:44" x14ac:dyDescent="0.25">
      <c r="A249" s="40"/>
      <c r="B249" s="40"/>
      <c r="C249" s="40"/>
      <c r="D249" s="40"/>
      <c r="E249" s="98"/>
      <c r="F249" s="98"/>
      <c r="G249" s="98"/>
      <c r="H249" s="98"/>
      <c r="I249" s="98"/>
      <c r="J249" s="98"/>
      <c r="K249" s="98"/>
      <c r="L249" s="98"/>
      <c r="M249" s="98"/>
      <c r="N249" s="98"/>
      <c r="O249" s="98"/>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row>
    <row r="250" spans="1:44" x14ac:dyDescent="0.25">
      <c r="A250" s="40"/>
      <c r="B250" s="40"/>
      <c r="C250" s="40"/>
      <c r="D250" s="40"/>
      <c r="E250" s="98"/>
      <c r="F250" s="98"/>
      <c r="G250" s="98"/>
      <c r="H250" s="98"/>
      <c r="I250" s="98"/>
      <c r="J250" s="98"/>
      <c r="K250" s="98"/>
      <c r="L250" s="98"/>
      <c r="M250" s="98"/>
      <c r="N250" s="98"/>
      <c r="O250" s="98"/>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row>
    <row r="251" spans="1:44" x14ac:dyDescent="0.25">
      <c r="A251" s="40"/>
      <c r="B251" s="40"/>
      <c r="C251" s="40"/>
      <c r="D251" s="40"/>
      <c r="E251" s="98"/>
      <c r="F251" s="98"/>
      <c r="G251" s="98"/>
      <c r="H251" s="98"/>
      <c r="I251" s="98"/>
      <c r="J251" s="98"/>
      <c r="K251" s="98"/>
      <c r="L251" s="98"/>
      <c r="M251" s="98"/>
      <c r="N251" s="98"/>
      <c r="O251" s="98"/>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row>
    <row r="252" spans="1:44" x14ac:dyDescent="0.25">
      <c r="A252" s="40"/>
      <c r="B252" s="40"/>
      <c r="C252" s="40"/>
      <c r="D252" s="40"/>
      <c r="E252" s="98"/>
      <c r="F252" s="98"/>
      <c r="G252" s="98"/>
      <c r="H252" s="98"/>
      <c r="I252" s="98"/>
      <c r="J252" s="98"/>
      <c r="K252" s="98"/>
      <c r="L252" s="98"/>
      <c r="M252" s="98"/>
      <c r="N252" s="98"/>
      <c r="O252" s="98"/>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row>
    <row r="253" spans="1:44" x14ac:dyDescent="0.25">
      <c r="A253" s="40"/>
      <c r="B253" s="40"/>
      <c r="C253" s="40"/>
      <c r="D253" s="40"/>
      <c r="E253" s="98"/>
      <c r="F253" s="98"/>
      <c r="G253" s="98"/>
      <c r="H253" s="98"/>
      <c r="I253" s="98"/>
      <c r="J253" s="98"/>
      <c r="K253" s="98"/>
      <c r="L253" s="98"/>
      <c r="M253" s="98"/>
      <c r="N253" s="98"/>
      <c r="O253" s="98"/>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row>
    <row r="254" spans="1:44" x14ac:dyDescent="0.25">
      <c r="A254" s="40"/>
      <c r="B254" s="40"/>
      <c r="C254" s="40"/>
      <c r="D254" s="40"/>
      <c r="E254" s="98"/>
      <c r="F254" s="98"/>
      <c r="G254" s="98"/>
      <c r="H254" s="98"/>
      <c r="I254" s="98"/>
      <c r="J254" s="98"/>
      <c r="K254" s="98"/>
      <c r="L254" s="98"/>
      <c r="M254" s="98"/>
      <c r="N254" s="98"/>
      <c r="O254" s="98"/>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row>
    <row r="255" spans="1:44" x14ac:dyDescent="0.25">
      <c r="A255" s="40"/>
      <c r="B255" s="40"/>
      <c r="C255" s="40"/>
      <c r="D255" s="40"/>
      <c r="E255" s="98"/>
      <c r="F255" s="98"/>
      <c r="G255" s="98"/>
      <c r="H255" s="98"/>
      <c r="I255" s="98"/>
      <c r="J255" s="98"/>
      <c r="K255" s="98"/>
      <c r="L255" s="98"/>
      <c r="M255" s="98"/>
      <c r="N255" s="98"/>
      <c r="O255" s="98"/>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row>
    <row r="256" spans="1:44" x14ac:dyDescent="0.25">
      <c r="A256" s="40"/>
      <c r="B256" s="40"/>
      <c r="C256" s="40"/>
      <c r="D256" s="40"/>
      <c r="E256" s="98"/>
      <c r="F256" s="98"/>
      <c r="G256" s="98"/>
      <c r="H256" s="98"/>
      <c r="I256" s="98"/>
      <c r="J256" s="98"/>
      <c r="K256" s="98"/>
      <c r="L256" s="98"/>
      <c r="M256" s="98"/>
      <c r="N256" s="98"/>
      <c r="O256" s="98"/>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row>
    <row r="257" spans="1:44" x14ac:dyDescent="0.25">
      <c r="A257" s="40"/>
      <c r="B257" s="40"/>
      <c r="C257" s="40"/>
      <c r="D257" s="40"/>
      <c r="E257" s="98"/>
      <c r="F257" s="98"/>
      <c r="G257" s="98"/>
      <c r="H257" s="98"/>
      <c r="I257" s="98"/>
      <c r="J257" s="98"/>
      <c r="K257" s="98"/>
      <c r="L257" s="98"/>
      <c r="M257" s="98"/>
      <c r="N257" s="98"/>
      <c r="O257" s="98"/>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row>
    <row r="258" spans="1:44" x14ac:dyDescent="0.25">
      <c r="A258" s="40"/>
      <c r="B258" s="40"/>
      <c r="C258" s="40"/>
      <c r="D258" s="40"/>
      <c r="E258" s="98"/>
      <c r="F258" s="98"/>
      <c r="G258" s="98"/>
      <c r="H258" s="98"/>
      <c r="I258" s="98"/>
      <c r="J258" s="98"/>
      <c r="K258" s="98"/>
      <c r="L258" s="98"/>
      <c r="M258" s="98"/>
      <c r="N258" s="98"/>
      <c r="O258" s="98"/>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row>
    <row r="259" spans="1:44" x14ac:dyDescent="0.25">
      <c r="A259" s="40"/>
      <c r="B259" s="40"/>
      <c r="C259" s="40"/>
      <c r="D259" s="40"/>
      <c r="E259" s="98"/>
      <c r="F259" s="98"/>
      <c r="G259" s="98"/>
      <c r="H259" s="98"/>
      <c r="I259" s="98"/>
      <c r="J259" s="98"/>
      <c r="K259" s="98"/>
      <c r="L259" s="98"/>
      <c r="M259" s="98"/>
      <c r="N259" s="98"/>
      <c r="O259" s="98"/>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row>
    <row r="260" spans="1:44" x14ac:dyDescent="0.25">
      <c r="A260" s="40"/>
      <c r="B260" s="40"/>
      <c r="C260" s="40"/>
      <c r="D260" s="40"/>
      <c r="E260" s="98"/>
      <c r="F260" s="98"/>
      <c r="G260" s="98"/>
      <c r="H260" s="98"/>
      <c r="I260" s="98"/>
      <c r="J260" s="98"/>
      <c r="K260" s="98"/>
      <c r="L260" s="98"/>
      <c r="M260" s="98"/>
      <c r="N260" s="98"/>
      <c r="O260" s="98"/>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row>
    <row r="261" spans="1:44" x14ac:dyDescent="0.25">
      <c r="A261" s="40"/>
      <c r="B261" s="40"/>
      <c r="C261" s="40"/>
      <c r="D261" s="40"/>
      <c r="E261" s="98"/>
      <c r="F261" s="98"/>
      <c r="G261" s="98"/>
      <c r="H261" s="98"/>
      <c r="I261" s="98"/>
      <c r="J261" s="98"/>
      <c r="K261" s="98"/>
      <c r="L261" s="98"/>
      <c r="M261" s="98"/>
      <c r="N261" s="98"/>
      <c r="O261" s="98"/>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row>
    <row r="262" spans="1:44" x14ac:dyDescent="0.25">
      <c r="A262" s="40"/>
      <c r="B262" s="40"/>
      <c r="C262" s="40"/>
      <c r="D262" s="40"/>
      <c r="E262" s="98"/>
      <c r="F262" s="98"/>
      <c r="G262" s="98"/>
      <c r="H262" s="98"/>
      <c r="I262" s="98"/>
      <c r="J262" s="98"/>
      <c r="K262" s="98"/>
      <c r="L262" s="98"/>
      <c r="M262" s="98"/>
      <c r="N262" s="98"/>
      <c r="O262" s="98"/>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row>
    <row r="263" spans="1:44" x14ac:dyDescent="0.25">
      <c r="A263" s="40"/>
      <c r="B263" s="40"/>
      <c r="C263" s="40"/>
      <c r="D263" s="40"/>
      <c r="E263" s="98"/>
      <c r="F263" s="98"/>
      <c r="G263" s="98"/>
      <c r="H263" s="98"/>
      <c r="I263" s="98"/>
      <c r="J263" s="98"/>
      <c r="K263" s="98"/>
      <c r="L263" s="98"/>
      <c r="M263" s="98"/>
      <c r="N263" s="98"/>
      <c r="O263" s="98"/>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row>
    <row r="264" spans="1:44" x14ac:dyDescent="0.25">
      <c r="A264" s="40"/>
      <c r="B264" s="40"/>
      <c r="C264" s="40"/>
      <c r="D264" s="40"/>
      <c r="E264" s="98"/>
      <c r="F264" s="98"/>
      <c r="G264" s="98"/>
      <c r="H264" s="98"/>
      <c r="I264" s="98"/>
      <c r="J264" s="98"/>
      <c r="K264" s="98"/>
      <c r="L264" s="98"/>
      <c r="M264" s="98"/>
      <c r="N264" s="98"/>
      <c r="O264" s="98"/>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row>
    <row r="265" spans="1:44" x14ac:dyDescent="0.25">
      <c r="A265" s="40"/>
      <c r="B265" s="40"/>
      <c r="C265" s="40"/>
      <c r="D265" s="40"/>
      <c r="E265" s="98"/>
      <c r="F265" s="98"/>
      <c r="G265" s="98"/>
      <c r="H265" s="98"/>
      <c r="I265" s="98"/>
      <c r="J265" s="98"/>
      <c r="K265" s="98"/>
      <c r="L265" s="98"/>
      <c r="M265" s="98"/>
      <c r="N265" s="98"/>
      <c r="O265" s="98"/>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row>
    <row r="266" spans="1:44" x14ac:dyDescent="0.25">
      <c r="A266" s="40"/>
      <c r="B266" s="40"/>
      <c r="C266" s="40"/>
      <c r="D266" s="40"/>
      <c r="E266" s="98"/>
      <c r="F266" s="98"/>
      <c r="G266" s="98"/>
      <c r="H266" s="98"/>
      <c r="I266" s="98"/>
      <c r="J266" s="98"/>
      <c r="K266" s="98"/>
      <c r="L266" s="98"/>
      <c r="M266" s="98"/>
      <c r="N266" s="98"/>
      <c r="O266" s="98"/>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row>
    <row r="267" spans="1:44" x14ac:dyDescent="0.25">
      <c r="A267" s="40"/>
      <c r="B267" s="40"/>
      <c r="C267" s="40"/>
      <c r="D267" s="40"/>
      <c r="E267" s="98"/>
      <c r="F267" s="98"/>
      <c r="G267" s="98"/>
      <c r="H267" s="98"/>
      <c r="I267" s="98"/>
      <c r="J267" s="98"/>
      <c r="K267" s="98"/>
      <c r="L267" s="98"/>
      <c r="M267" s="98"/>
      <c r="N267" s="98"/>
      <c r="O267" s="98"/>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row>
    <row r="268" spans="1:44" x14ac:dyDescent="0.25">
      <c r="A268" s="40"/>
      <c r="B268" s="40"/>
      <c r="C268" s="40"/>
      <c r="D268" s="40"/>
      <c r="E268" s="98"/>
      <c r="F268" s="98"/>
      <c r="G268" s="98"/>
      <c r="H268" s="98"/>
      <c r="I268" s="98"/>
      <c r="J268" s="98"/>
      <c r="K268" s="98"/>
      <c r="L268" s="98"/>
      <c r="M268" s="98"/>
      <c r="N268" s="98"/>
      <c r="O268" s="98"/>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row>
    <row r="269" spans="1:44" x14ac:dyDescent="0.25">
      <c r="A269" s="40"/>
      <c r="B269" s="40"/>
      <c r="C269" s="40"/>
      <c r="D269" s="40"/>
      <c r="E269" s="98"/>
      <c r="F269" s="98"/>
      <c r="G269" s="98"/>
      <c r="H269" s="98"/>
      <c r="I269" s="98"/>
      <c r="J269" s="98"/>
      <c r="K269" s="98"/>
      <c r="L269" s="98"/>
      <c r="M269" s="98"/>
      <c r="N269" s="98"/>
      <c r="O269" s="98"/>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row>
    <row r="270" spans="1:44" x14ac:dyDescent="0.25">
      <c r="A270" s="40"/>
      <c r="B270" s="40"/>
      <c r="C270" s="40"/>
      <c r="D270" s="40"/>
      <c r="E270" s="98"/>
      <c r="F270" s="98"/>
      <c r="G270" s="98"/>
      <c r="H270" s="98"/>
      <c r="I270" s="98"/>
      <c r="J270" s="98"/>
      <c r="K270" s="98"/>
      <c r="L270" s="98"/>
      <c r="M270" s="98"/>
      <c r="N270" s="98"/>
      <c r="O270" s="98"/>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row>
    <row r="271" spans="1:44" x14ac:dyDescent="0.25">
      <c r="A271" s="40"/>
      <c r="B271" s="40"/>
      <c r="C271" s="40"/>
      <c r="D271" s="40"/>
      <c r="E271" s="98"/>
      <c r="F271" s="98"/>
      <c r="G271" s="98"/>
      <c r="H271" s="98"/>
      <c r="I271" s="98"/>
      <c r="J271" s="98"/>
      <c r="K271" s="98"/>
      <c r="L271" s="98"/>
      <c r="M271" s="98"/>
      <c r="N271" s="98"/>
      <c r="O271" s="98"/>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row>
    <row r="272" spans="1:44" x14ac:dyDescent="0.25">
      <c r="A272" s="40"/>
      <c r="B272" s="40"/>
      <c r="C272" s="40"/>
      <c r="D272" s="40"/>
      <c r="E272" s="98"/>
      <c r="F272" s="98"/>
      <c r="G272" s="98"/>
      <c r="H272" s="98"/>
      <c r="I272" s="98"/>
      <c r="J272" s="98"/>
      <c r="K272" s="98"/>
      <c r="L272" s="98"/>
      <c r="M272" s="98"/>
      <c r="N272" s="98"/>
      <c r="O272" s="98"/>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row>
    <row r="273" spans="1:44" x14ac:dyDescent="0.25">
      <c r="A273" s="40"/>
      <c r="B273" s="40"/>
      <c r="C273" s="40"/>
      <c r="D273" s="40"/>
      <c r="E273" s="98"/>
      <c r="F273" s="98"/>
      <c r="G273" s="98"/>
      <c r="H273" s="98"/>
      <c r="I273" s="98"/>
      <c r="J273" s="98"/>
      <c r="K273" s="98"/>
      <c r="L273" s="98"/>
      <c r="M273" s="98"/>
      <c r="N273" s="98"/>
      <c r="O273" s="98"/>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row>
    <row r="274" spans="1:44" x14ac:dyDescent="0.25">
      <c r="A274" s="40"/>
      <c r="B274" s="40"/>
      <c r="C274" s="40"/>
      <c r="D274" s="40"/>
      <c r="E274" s="98"/>
      <c r="F274" s="98"/>
      <c r="G274" s="98"/>
      <c r="H274" s="98"/>
      <c r="I274" s="98"/>
      <c r="J274" s="98"/>
      <c r="K274" s="98"/>
      <c r="L274" s="98"/>
      <c r="M274" s="98"/>
      <c r="N274" s="98"/>
      <c r="O274" s="98"/>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row>
    <row r="275" spans="1:44" x14ac:dyDescent="0.25">
      <c r="A275" s="40"/>
      <c r="B275" s="40"/>
      <c r="C275" s="40"/>
      <c r="D275" s="40"/>
      <c r="E275" s="98"/>
      <c r="F275" s="98"/>
      <c r="G275" s="98"/>
      <c r="H275" s="98"/>
      <c r="I275" s="98"/>
      <c r="J275" s="98"/>
      <c r="K275" s="98"/>
      <c r="L275" s="98"/>
      <c r="M275" s="98"/>
      <c r="N275" s="98"/>
      <c r="O275" s="98"/>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row>
    <row r="276" spans="1:44" x14ac:dyDescent="0.25">
      <c r="A276" s="40"/>
      <c r="B276" s="40"/>
      <c r="C276" s="40"/>
      <c r="D276" s="40"/>
      <c r="E276" s="98"/>
      <c r="F276" s="98"/>
      <c r="G276" s="98"/>
      <c r="H276" s="98"/>
      <c r="I276" s="98"/>
      <c r="J276" s="98"/>
      <c r="K276" s="98"/>
      <c r="L276" s="98"/>
      <c r="M276" s="98"/>
      <c r="N276" s="98"/>
      <c r="O276" s="98"/>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row>
    <row r="277" spans="1:44" x14ac:dyDescent="0.25">
      <c r="A277" s="40"/>
      <c r="B277" s="40"/>
      <c r="C277" s="40"/>
      <c r="D277" s="40"/>
      <c r="E277" s="98"/>
      <c r="F277" s="98"/>
      <c r="G277" s="98"/>
      <c r="H277" s="98"/>
      <c r="I277" s="98"/>
      <c r="J277" s="98"/>
      <c r="K277" s="98"/>
      <c r="L277" s="98"/>
      <c r="M277" s="98"/>
      <c r="N277" s="98"/>
      <c r="O277" s="98"/>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row>
    <row r="278" spans="1:44" x14ac:dyDescent="0.25">
      <c r="A278" s="40"/>
      <c r="B278" s="40"/>
      <c r="C278" s="40"/>
      <c r="D278" s="40"/>
      <c r="E278" s="98"/>
      <c r="F278" s="98"/>
      <c r="G278" s="98"/>
      <c r="H278" s="98"/>
      <c r="I278" s="98"/>
      <c r="J278" s="98"/>
      <c r="K278" s="98"/>
      <c r="L278" s="98"/>
      <c r="M278" s="98"/>
      <c r="N278" s="98"/>
      <c r="O278" s="98"/>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row>
    <row r="279" spans="1:44" x14ac:dyDescent="0.25">
      <c r="A279" s="40"/>
      <c r="B279" s="40"/>
      <c r="C279" s="40"/>
      <c r="D279" s="40"/>
      <c r="E279" s="98"/>
      <c r="F279" s="98"/>
      <c r="G279" s="98"/>
      <c r="H279" s="98"/>
      <c r="I279" s="98"/>
      <c r="J279" s="98"/>
      <c r="K279" s="98"/>
      <c r="L279" s="98"/>
      <c r="M279" s="98"/>
      <c r="N279" s="98"/>
      <c r="O279" s="98"/>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row>
    <row r="280" spans="1:44" x14ac:dyDescent="0.25">
      <c r="A280" s="40"/>
      <c r="B280" s="40"/>
      <c r="C280" s="40"/>
      <c r="D280" s="40"/>
      <c r="E280" s="98"/>
      <c r="F280" s="98"/>
      <c r="G280" s="98"/>
      <c r="H280" s="98"/>
      <c r="I280" s="98"/>
      <c r="J280" s="98"/>
      <c r="K280" s="98"/>
      <c r="L280" s="98"/>
      <c r="M280" s="98"/>
      <c r="N280" s="98"/>
      <c r="O280" s="98"/>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row>
    <row r="281" spans="1:44" x14ac:dyDescent="0.25">
      <c r="A281" s="40"/>
      <c r="B281" s="40"/>
      <c r="C281" s="40"/>
      <c r="D281" s="40"/>
      <c r="E281" s="98"/>
      <c r="F281" s="98"/>
      <c r="G281" s="98"/>
      <c r="H281" s="98"/>
      <c r="I281" s="98"/>
      <c r="J281" s="98"/>
      <c r="K281" s="98"/>
      <c r="L281" s="98"/>
      <c r="M281" s="98"/>
      <c r="N281" s="98"/>
      <c r="O281" s="98"/>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row>
    <row r="282" spans="1:44" x14ac:dyDescent="0.25">
      <c r="A282" s="40"/>
      <c r="B282" s="40"/>
      <c r="C282" s="40"/>
      <c r="D282" s="40"/>
      <c r="E282" s="98"/>
      <c r="F282" s="98"/>
      <c r="G282" s="98"/>
      <c r="H282" s="98"/>
      <c r="I282" s="98"/>
      <c r="J282" s="98"/>
      <c r="K282" s="98"/>
      <c r="L282" s="98"/>
      <c r="M282" s="98"/>
      <c r="N282" s="98"/>
      <c r="O282" s="98"/>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row>
    <row r="283" spans="1:44" x14ac:dyDescent="0.25">
      <c r="A283" s="40"/>
      <c r="B283" s="40"/>
      <c r="C283" s="40"/>
      <c r="D283" s="40"/>
      <c r="E283" s="98"/>
      <c r="F283" s="98"/>
      <c r="G283" s="98"/>
      <c r="H283" s="98"/>
      <c r="I283" s="98"/>
      <c r="J283" s="98"/>
      <c r="K283" s="98"/>
      <c r="L283" s="98"/>
      <c r="M283" s="98"/>
      <c r="N283" s="98"/>
      <c r="O283" s="98"/>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row>
    <row r="284" spans="1:44" x14ac:dyDescent="0.25">
      <c r="A284" s="40"/>
      <c r="B284" s="40"/>
      <c r="C284" s="40"/>
      <c r="D284" s="40"/>
      <c r="E284" s="98"/>
      <c r="F284" s="98"/>
      <c r="G284" s="98"/>
      <c r="H284" s="98"/>
      <c r="I284" s="98"/>
      <c r="J284" s="98"/>
      <c r="K284" s="98"/>
      <c r="L284" s="98"/>
      <c r="M284" s="98"/>
      <c r="N284" s="98"/>
      <c r="O284" s="98"/>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row>
    <row r="285" spans="1:44" x14ac:dyDescent="0.25">
      <c r="A285" s="40"/>
      <c r="B285" s="40"/>
      <c r="C285" s="40"/>
      <c r="D285" s="40"/>
      <c r="E285" s="98"/>
      <c r="F285" s="98"/>
      <c r="G285" s="98"/>
      <c r="H285" s="98"/>
      <c r="I285" s="98"/>
      <c r="J285" s="98"/>
      <c r="K285" s="98"/>
      <c r="L285" s="98"/>
      <c r="M285" s="98"/>
      <c r="N285" s="98"/>
      <c r="O285" s="98"/>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row>
    <row r="286" spans="1:44" x14ac:dyDescent="0.25">
      <c r="A286" s="40"/>
      <c r="B286" s="40"/>
      <c r="C286" s="40"/>
      <c r="D286" s="40"/>
      <c r="E286" s="98"/>
      <c r="F286" s="98"/>
      <c r="G286" s="98"/>
      <c r="H286" s="98"/>
      <c r="I286" s="98"/>
      <c r="J286" s="98"/>
      <c r="K286" s="98"/>
      <c r="L286" s="98"/>
      <c r="M286" s="98"/>
      <c r="N286" s="98"/>
      <c r="O286" s="98"/>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row>
    <row r="287" spans="1:44" x14ac:dyDescent="0.25">
      <c r="A287" s="40"/>
      <c r="B287" s="40"/>
      <c r="C287" s="40"/>
      <c r="D287" s="40"/>
      <c r="E287" s="98"/>
      <c r="F287" s="98"/>
      <c r="G287" s="98"/>
      <c r="H287" s="98"/>
      <c r="I287" s="98"/>
      <c r="J287" s="98"/>
      <c r="K287" s="98"/>
      <c r="L287" s="98"/>
      <c r="M287" s="98"/>
      <c r="N287" s="98"/>
      <c r="O287" s="98"/>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row>
    <row r="288" spans="1:44" x14ac:dyDescent="0.25">
      <c r="A288" s="40"/>
      <c r="B288" s="40"/>
      <c r="C288" s="40"/>
      <c r="D288" s="40"/>
      <c r="E288" s="98"/>
      <c r="F288" s="98"/>
      <c r="G288" s="98"/>
      <c r="H288" s="98"/>
      <c r="I288" s="98"/>
      <c r="J288" s="98"/>
      <c r="K288" s="98"/>
      <c r="L288" s="98"/>
      <c r="M288" s="98"/>
      <c r="N288" s="98"/>
      <c r="O288" s="98"/>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row>
    <row r="289" spans="1:44" x14ac:dyDescent="0.25">
      <c r="A289" s="40"/>
      <c r="B289" s="40"/>
      <c r="C289" s="40"/>
      <c r="D289" s="40"/>
      <c r="E289" s="98"/>
      <c r="F289" s="98"/>
      <c r="G289" s="98"/>
      <c r="H289" s="98"/>
      <c r="I289" s="98"/>
      <c r="J289" s="98"/>
      <c r="K289" s="98"/>
      <c r="L289" s="98"/>
      <c r="M289" s="98"/>
      <c r="N289" s="98"/>
      <c r="O289" s="98"/>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row>
    <row r="290" spans="1:44" x14ac:dyDescent="0.25">
      <c r="A290" s="40"/>
      <c r="B290" s="40"/>
      <c r="C290" s="40"/>
      <c r="D290" s="40"/>
      <c r="E290" s="98"/>
      <c r="F290" s="98"/>
      <c r="G290" s="98"/>
      <c r="H290" s="98"/>
      <c r="I290" s="98"/>
      <c r="J290" s="98"/>
      <c r="K290" s="98"/>
      <c r="L290" s="98"/>
      <c r="M290" s="98"/>
      <c r="N290" s="98"/>
      <c r="O290" s="98"/>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row>
    <row r="291" spans="1:44" x14ac:dyDescent="0.25">
      <c r="A291" s="40"/>
      <c r="B291" s="40"/>
      <c r="C291" s="40"/>
      <c r="D291" s="40"/>
      <c r="E291" s="98"/>
      <c r="F291" s="98"/>
      <c r="G291" s="98"/>
      <c r="H291" s="98"/>
      <c r="I291" s="98"/>
      <c r="J291" s="98"/>
      <c r="K291" s="98"/>
      <c r="L291" s="98"/>
      <c r="M291" s="98"/>
      <c r="N291" s="98"/>
      <c r="O291" s="98"/>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row>
    <row r="292" spans="1:44" x14ac:dyDescent="0.25">
      <c r="A292" s="40"/>
      <c r="B292" s="40"/>
      <c r="C292" s="40"/>
      <c r="D292" s="40"/>
      <c r="E292" s="98"/>
      <c r="F292" s="98"/>
      <c r="G292" s="98"/>
      <c r="H292" s="98"/>
      <c r="I292" s="98"/>
      <c r="J292" s="98"/>
      <c r="K292" s="98"/>
      <c r="L292" s="98"/>
      <c r="M292" s="98"/>
      <c r="N292" s="98"/>
      <c r="O292" s="98"/>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row>
    <row r="293" spans="1:44" x14ac:dyDescent="0.25">
      <c r="A293" s="40"/>
      <c r="B293" s="40"/>
      <c r="C293" s="40"/>
      <c r="D293" s="40"/>
      <c r="E293" s="98"/>
      <c r="F293" s="98"/>
      <c r="G293" s="98"/>
      <c r="H293" s="98"/>
      <c r="I293" s="98"/>
      <c r="J293" s="98"/>
      <c r="K293" s="98"/>
      <c r="L293" s="98"/>
      <c r="M293" s="98"/>
      <c r="N293" s="98"/>
      <c r="O293" s="98"/>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row>
    <row r="294" spans="1:44" x14ac:dyDescent="0.25">
      <c r="A294" s="40"/>
      <c r="B294" s="40"/>
      <c r="C294" s="40"/>
      <c r="D294" s="40"/>
      <c r="E294" s="98"/>
      <c r="F294" s="98"/>
      <c r="G294" s="98"/>
      <c r="H294" s="98"/>
      <c r="I294" s="98"/>
      <c r="J294" s="98"/>
      <c r="K294" s="98"/>
      <c r="L294" s="98"/>
      <c r="M294" s="98"/>
      <c r="N294" s="98"/>
      <c r="O294" s="98"/>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row>
    <row r="295" spans="1:44" x14ac:dyDescent="0.25">
      <c r="A295" s="40"/>
      <c r="B295" s="40"/>
      <c r="C295" s="40"/>
      <c r="D295" s="40"/>
      <c r="E295" s="98"/>
      <c r="F295" s="98"/>
      <c r="G295" s="98"/>
      <c r="H295" s="98"/>
      <c r="I295" s="98"/>
      <c r="J295" s="98"/>
      <c r="K295" s="98"/>
      <c r="L295" s="98"/>
      <c r="M295" s="98"/>
      <c r="N295" s="98"/>
      <c r="O295" s="98"/>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row>
    <row r="296" spans="1:44" x14ac:dyDescent="0.25">
      <c r="A296" s="40"/>
      <c r="B296" s="40"/>
      <c r="C296" s="40"/>
      <c r="D296" s="40"/>
      <c r="E296" s="98"/>
      <c r="F296" s="98"/>
      <c r="G296" s="98"/>
      <c r="H296" s="98"/>
      <c r="I296" s="98"/>
      <c r="J296" s="98"/>
      <c r="K296" s="98"/>
      <c r="L296" s="98"/>
      <c r="M296" s="98"/>
      <c r="N296" s="98"/>
      <c r="O296" s="98"/>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row>
    <row r="297" spans="1:44" x14ac:dyDescent="0.25">
      <c r="A297" s="40"/>
      <c r="B297" s="40"/>
      <c r="C297" s="40"/>
      <c r="D297" s="40"/>
      <c r="E297" s="98"/>
      <c r="F297" s="98"/>
      <c r="G297" s="98"/>
      <c r="H297" s="98"/>
      <c r="I297" s="98"/>
      <c r="J297" s="98"/>
      <c r="K297" s="98"/>
      <c r="L297" s="98"/>
      <c r="M297" s="98"/>
      <c r="N297" s="98"/>
      <c r="O297" s="98"/>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row>
    <row r="298" spans="1:44" x14ac:dyDescent="0.25">
      <c r="A298" s="40"/>
      <c r="B298" s="40"/>
      <c r="C298" s="40"/>
      <c r="D298" s="40"/>
      <c r="E298" s="98"/>
      <c r="F298" s="98"/>
      <c r="G298" s="98"/>
      <c r="H298" s="98"/>
      <c r="I298" s="98"/>
      <c r="J298" s="98"/>
      <c r="K298" s="98"/>
      <c r="L298" s="98"/>
      <c r="M298" s="98"/>
      <c r="N298" s="98"/>
      <c r="O298" s="98"/>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row>
    <row r="299" spans="1:44" x14ac:dyDescent="0.25">
      <c r="A299" s="40"/>
      <c r="B299" s="40"/>
      <c r="C299" s="40"/>
      <c r="D299" s="40"/>
      <c r="E299" s="98"/>
      <c r="F299" s="98"/>
      <c r="G299" s="98"/>
      <c r="H299" s="98"/>
      <c r="I299" s="98"/>
      <c r="J299" s="98"/>
      <c r="K299" s="98"/>
      <c r="L299" s="98"/>
      <c r="M299" s="98"/>
      <c r="N299" s="98"/>
      <c r="O299" s="98"/>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row>
    <row r="300" spans="1:44" x14ac:dyDescent="0.25">
      <c r="A300" s="40"/>
      <c r="B300" s="40"/>
      <c r="C300" s="40"/>
      <c r="D300" s="40"/>
      <c r="E300" s="98"/>
      <c r="F300" s="98"/>
      <c r="G300" s="98"/>
      <c r="H300" s="98"/>
      <c r="I300" s="98"/>
      <c r="J300" s="98"/>
      <c r="K300" s="98"/>
      <c r="L300" s="98"/>
      <c r="M300" s="98"/>
      <c r="N300" s="98"/>
      <c r="O300" s="98"/>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row>
    <row r="301" spans="1:44" x14ac:dyDescent="0.25">
      <c r="A301" s="40"/>
      <c r="B301" s="40"/>
      <c r="C301" s="40"/>
      <c r="D301" s="40"/>
      <c r="E301" s="98"/>
      <c r="F301" s="98"/>
      <c r="G301" s="98"/>
      <c r="H301" s="98"/>
      <c r="I301" s="98"/>
      <c r="J301" s="98"/>
      <c r="K301" s="98"/>
      <c r="L301" s="98"/>
      <c r="M301" s="98"/>
      <c r="N301" s="98"/>
      <c r="O301" s="98"/>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row>
    <row r="302" spans="1:44" x14ac:dyDescent="0.25">
      <c r="A302" s="40"/>
      <c r="B302" s="40"/>
      <c r="C302" s="40"/>
      <c r="D302" s="40"/>
      <c r="E302" s="98"/>
      <c r="F302" s="98"/>
      <c r="G302" s="98"/>
      <c r="H302" s="98"/>
      <c r="I302" s="98"/>
      <c r="J302" s="98"/>
      <c r="K302" s="98"/>
      <c r="L302" s="98"/>
      <c r="M302" s="98"/>
      <c r="N302" s="98"/>
      <c r="O302" s="98"/>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row>
    <row r="303" spans="1:44" x14ac:dyDescent="0.25">
      <c r="A303" s="40"/>
      <c r="B303" s="40"/>
      <c r="C303" s="40"/>
      <c r="D303" s="40"/>
      <c r="E303" s="98"/>
      <c r="F303" s="98"/>
      <c r="G303" s="98"/>
      <c r="H303" s="98"/>
      <c r="I303" s="98"/>
      <c r="J303" s="98"/>
      <c r="K303" s="98"/>
      <c r="L303" s="98"/>
      <c r="M303" s="98"/>
      <c r="N303" s="98"/>
      <c r="O303" s="98"/>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row>
    <row r="304" spans="1:44" x14ac:dyDescent="0.25">
      <c r="A304" s="40"/>
      <c r="B304" s="40"/>
      <c r="C304" s="40"/>
      <c r="D304" s="40"/>
      <c r="E304" s="98"/>
      <c r="F304" s="98"/>
      <c r="G304" s="98"/>
      <c r="H304" s="98"/>
      <c r="I304" s="98"/>
      <c r="J304" s="98"/>
      <c r="K304" s="98"/>
      <c r="L304" s="98"/>
      <c r="M304" s="98"/>
      <c r="N304" s="98"/>
      <c r="O304" s="98"/>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row>
    <row r="305" spans="1:44" x14ac:dyDescent="0.25">
      <c r="A305" s="40"/>
      <c r="B305" s="40"/>
      <c r="C305" s="40"/>
      <c r="D305" s="40"/>
      <c r="E305" s="98"/>
      <c r="F305" s="98"/>
      <c r="G305" s="98"/>
      <c r="H305" s="98"/>
      <c r="I305" s="98"/>
      <c r="J305" s="98"/>
      <c r="K305" s="98"/>
      <c r="L305" s="98"/>
      <c r="M305" s="98"/>
      <c r="N305" s="98"/>
      <c r="O305" s="98"/>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row>
    <row r="306" spans="1:44" x14ac:dyDescent="0.25">
      <c r="A306" s="40"/>
      <c r="B306" s="40"/>
      <c r="C306" s="40"/>
      <c r="D306" s="40"/>
      <c r="E306" s="98"/>
      <c r="F306" s="98"/>
      <c r="G306" s="98"/>
      <c r="H306" s="98"/>
      <c r="I306" s="98"/>
      <c r="J306" s="98"/>
      <c r="K306" s="98"/>
      <c r="L306" s="98"/>
      <c r="M306" s="98"/>
      <c r="N306" s="98"/>
      <c r="O306" s="98"/>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row>
    <row r="307" spans="1:44" x14ac:dyDescent="0.25">
      <c r="A307" s="40"/>
      <c r="B307" s="40"/>
      <c r="C307" s="40"/>
      <c r="D307" s="40"/>
      <c r="E307" s="98"/>
      <c r="F307" s="98"/>
      <c r="G307" s="98"/>
      <c r="H307" s="98"/>
      <c r="I307" s="98"/>
      <c r="J307" s="98"/>
      <c r="K307" s="98"/>
      <c r="L307" s="98"/>
      <c r="M307" s="98"/>
      <c r="N307" s="98"/>
      <c r="O307" s="98"/>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row>
    <row r="308" spans="1:44" x14ac:dyDescent="0.25">
      <c r="A308" s="40"/>
      <c r="B308" s="40"/>
      <c r="C308" s="40"/>
      <c r="D308" s="40"/>
      <c r="E308" s="98"/>
      <c r="F308" s="98"/>
      <c r="G308" s="98"/>
      <c r="H308" s="98"/>
      <c r="I308" s="98"/>
      <c r="J308" s="98"/>
      <c r="K308" s="98"/>
      <c r="L308" s="98"/>
      <c r="M308" s="98"/>
      <c r="N308" s="98"/>
      <c r="O308" s="98"/>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row>
    <row r="309" spans="1:44" x14ac:dyDescent="0.25">
      <c r="A309" s="40"/>
      <c r="B309" s="40"/>
      <c r="C309" s="40"/>
      <c r="D309" s="40"/>
      <c r="E309" s="98"/>
      <c r="F309" s="98"/>
      <c r="G309" s="98"/>
      <c r="H309" s="98"/>
      <c r="I309" s="98"/>
      <c r="J309" s="98"/>
      <c r="K309" s="98"/>
      <c r="L309" s="98"/>
      <c r="M309" s="98"/>
      <c r="N309" s="98"/>
      <c r="O309" s="98"/>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row>
    <row r="310" spans="1:44" x14ac:dyDescent="0.25">
      <c r="A310" s="40"/>
      <c r="B310" s="40"/>
      <c r="C310" s="40"/>
      <c r="D310" s="40"/>
      <c r="E310" s="98"/>
      <c r="F310" s="98"/>
      <c r="G310" s="98"/>
      <c r="H310" s="98"/>
      <c r="I310" s="98"/>
      <c r="J310" s="98"/>
      <c r="K310" s="98"/>
      <c r="L310" s="98"/>
      <c r="M310" s="98"/>
      <c r="N310" s="98"/>
      <c r="O310" s="98"/>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row>
    <row r="311" spans="1:44" x14ac:dyDescent="0.25">
      <c r="A311" s="40"/>
      <c r="B311" s="40"/>
      <c r="C311" s="40"/>
      <c r="D311" s="40"/>
      <c r="E311" s="98"/>
      <c r="F311" s="98"/>
      <c r="G311" s="98"/>
      <c r="H311" s="98"/>
      <c r="I311" s="98"/>
      <c r="J311" s="98"/>
      <c r="K311" s="98"/>
      <c r="L311" s="98"/>
      <c r="M311" s="98"/>
      <c r="N311" s="98"/>
      <c r="O311" s="98"/>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row>
    <row r="312" spans="1:44" x14ac:dyDescent="0.25">
      <c r="A312" s="40"/>
      <c r="B312" s="40"/>
      <c r="C312" s="40"/>
      <c r="D312" s="40"/>
      <c r="E312" s="98"/>
      <c r="F312" s="98"/>
      <c r="G312" s="98"/>
      <c r="H312" s="98"/>
      <c r="I312" s="98"/>
      <c r="J312" s="98"/>
      <c r="K312" s="98"/>
      <c r="L312" s="98"/>
      <c r="M312" s="98"/>
      <c r="N312" s="98"/>
      <c r="O312" s="98"/>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row>
    <row r="313" spans="1:44" x14ac:dyDescent="0.25">
      <c r="A313" s="40"/>
      <c r="B313" s="40"/>
      <c r="C313" s="40"/>
      <c r="D313" s="40"/>
      <c r="E313" s="98"/>
      <c r="F313" s="98"/>
      <c r="G313" s="98"/>
      <c r="H313" s="98"/>
      <c r="I313" s="98"/>
      <c r="J313" s="98"/>
      <c r="K313" s="98"/>
      <c r="L313" s="98"/>
      <c r="M313" s="98"/>
      <c r="N313" s="98"/>
      <c r="O313" s="98"/>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row>
    <row r="314" spans="1:44" x14ac:dyDescent="0.25">
      <c r="A314" s="40"/>
      <c r="B314" s="40"/>
      <c r="C314" s="40"/>
      <c r="D314" s="40"/>
      <c r="E314" s="98"/>
      <c r="F314" s="98"/>
      <c r="G314" s="98"/>
      <c r="H314" s="98"/>
      <c r="I314" s="98"/>
      <c r="J314" s="98"/>
      <c r="K314" s="98"/>
      <c r="L314" s="98"/>
      <c r="M314" s="98"/>
      <c r="N314" s="98"/>
      <c r="O314" s="98"/>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row>
    <row r="315" spans="1:44" x14ac:dyDescent="0.25">
      <c r="A315" s="40"/>
      <c r="B315" s="40"/>
      <c r="C315" s="40"/>
      <c r="D315" s="40"/>
      <c r="E315" s="98"/>
      <c r="F315" s="98"/>
      <c r="G315" s="98"/>
      <c r="H315" s="98"/>
      <c r="I315" s="98"/>
      <c r="J315" s="98"/>
      <c r="K315" s="98"/>
      <c r="L315" s="98"/>
      <c r="M315" s="98"/>
      <c r="N315" s="98"/>
      <c r="O315" s="98"/>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row>
    <row r="316" spans="1:44" x14ac:dyDescent="0.25">
      <c r="A316" s="40"/>
      <c r="B316" s="40"/>
      <c r="C316" s="40"/>
      <c r="D316" s="40"/>
      <c r="E316" s="98"/>
      <c r="F316" s="98"/>
      <c r="G316" s="98"/>
      <c r="H316" s="98"/>
      <c r="I316" s="98"/>
      <c r="J316" s="98"/>
      <c r="K316" s="98"/>
      <c r="L316" s="98"/>
      <c r="M316" s="98"/>
      <c r="N316" s="98"/>
      <c r="O316" s="98"/>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row>
    <row r="317" spans="1:44" x14ac:dyDescent="0.25">
      <c r="A317" s="40"/>
      <c r="B317" s="40"/>
      <c r="C317" s="40"/>
      <c r="D317" s="40"/>
      <c r="E317" s="98"/>
      <c r="F317" s="98"/>
      <c r="G317" s="98"/>
      <c r="H317" s="98"/>
      <c r="I317" s="98"/>
      <c r="J317" s="98"/>
      <c r="K317" s="98"/>
      <c r="L317" s="98"/>
      <c r="M317" s="98"/>
      <c r="N317" s="98"/>
      <c r="O317" s="98"/>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row>
    <row r="318" spans="1:44" x14ac:dyDescent="0.25">
      <c r="A318" s="40"/>
      <c r="B318" s="40"/>
      <c r="C318" s="40"/>
      <c r="D318" s="40"/>
      <c r="E318" s="98"/>
      <c r="F318" s="98"/>
      <c r="G318" s="98"/>
      <c r="H318" s="98"/>
      <c r="I318" s="98"/>
      <c r="J318" s="98"/>
      <c r="K318" s="98"/>
      <c r="L318" s="98"/>
      <c r="M318" s="98"/>
      <c r="N318" s="98"/>
      <c r="O318" s="98"/>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row>
    <row r="319" spans="1:44" x14ac:dyDescent="0.25">
      <c r="A319" s="40"/>
      <c r="B319" s="40"/>
      <c r="C319" s="40"/>
      <c r="D319" s="40"/>
      <c r="E319" s="98"/>
      <c r="F319" s="98"/>
      <c r="G319" s="98"/>
      <c r="H319" s="98"/>
      <c r="I319" s="98"/>
      <c r="J319" s="98"/>
      <c r="K319" s="98"/>
      <c r="L319" s="98"/>
      <c r="M319" s="98"/>
      <c r="N319" s="98"/>
      <c r="O319" s="98"/>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row>
    <row r="320" spans="1:44" x14ac:dyDescent="0.25">
      <c r="A320" s="40"/>
      <c r="B320" s="40"/>
      <c r="C320" s="40"/>
      <c r="D320" s="40"/>
      <c r="E320" s="98"/>
      <c r="F320" s="98"/>
      <c r="G320" s="98"/>
      <c r="H320" s="98"/>
      <c r="I320" s="98"/>
      <c r="J320" s="98"/>
      <c r="K320" s="98"/>
      <c r="L320" s="98"/>
      <c r="M320" s="98"/>
      <c r="N320" s="98"/>
      <c r="O320" s="98"/>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row>
    <row r="321" spans="1:44" x14ac:dyDescent="0.25">
      <c r="A321" s="40"/>
      <c r="B321" s="40"/>
      <c r="C321" s="40"/>
      <c r="D321" s="40"/>
      <c r="E321" s="98"/>
      <c r="F321" s="98"/>
      <c r="G321" s="98"/>
      <c r="H321" s="98"/>
      <c r="I321" s="98"/>
      <c r="J321" s="98"/>
      <c r="K321" s="98"/>
      <c r="L321" s="98"/>
      <c r="M321" s="98"/>
      <c r="N321" s="98"/>
      <c r="O321" s="98"/>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row>
    <row r="322" spans="1:44" x14ac:dyDescent="0.25">
      <c r="A322" s="40"/>
      <c r="B322" s="40"/>
      <c r="C322" s="40"/>
      <c r="D322" s="40"/>
      <c r="E322" s="98"/>
      <c r="F322" s="98"/>
      <c r="G322" s="98"/>
      <c r="H322" s="98"/>
      <c r="I322" s="98"/>
      <c r="J322" s="98"/>
      <c r="K322" s="98"/>
      <c r="L322" s="98"/>
      <c r="M322" s="98"/>
      <c r="N322" s="98"/>
      <c r="O322" s="98"/>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row>
    <row r="323" spans="1:44" x14ac:dyDescent="0.25">
      <c r="A323" s="40"/>
      <c r="B323" s="40"/>
      <c r="C323" s="40"/>
      <c r="D323" s="40"/>
      <c r="E323" s="98"/>
      <c r="F323" s="98"/>
      <c r="G323" s="98"/>
      <c r="H323" s="98"/>
      <c r="I323" s="98"/>
      <c r="J323" s="98"/>
      <c r="K323" s="98"/>
      <c r="L323" s="98"/>
      <c r="M323" s="98"/>
      <c r="N323" s="98"/>
      <c r="O323" s="98"/>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row>
    <row r="324" spans="1:44" x14ac:dyDescent="0.25">
      <c r="A324" s="40"/>
      <c r="B324" s="40"/>
      <c r="C324" s="40"/>
      <c r="D324" s="40"/>
      <c r="E324" s="98"/>
      <c r="F324" s="98"/>
      <c r="G324" s="98"/>
      <c r="H324" s="98"/>
      <c r="I324" s="98"/>
      <c r="J324" s="98"/>
      <c r="K324" s="98"/>
      <c r="L324" s="98"/>
      <c r="M324" s="98"/>
      <c r="N324" s="98"/>
      <c r="O324" s="98"/>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row>
    <row r="325" spans="1:44" x14ac:dyDescent="0.25">
      <c r="A325" s="40"/>
      <c r="B325" s="40"/>
      <c r="C325" s="40"/>
      <c r="D325" s="40"/>
      <c r="E325" s="98"/>
      <c r="F325" s="98"/>
      <c r="G325" s="98"/>
      <c r="H325" s="98"/>
      <c r="I325" s="98"/>
      <c r="J325" s="98"/>
      <c r="K325" s="98"/>
      <c r="L325" s="98"/>
      <c r="M325" s="98"/>
      <c r="N325" s="98"/>
      <c r="O325" s="98"/>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row>
    <row r="326" spans="1:44" x14ac:dyDescent="0.25">
      <c r="A326" s="40"/>
      <c r="B326" s="40"/>
      <c r="C326" s="40"/>
      <c r="D326" s="40"/>
      <c r="E326" s="98"/>
      <c r="F326" s="98"/>
      <c r="G326" s="98"/>
      <c r="H326" s="98"/>
      <c r="I326" s="98"/>
      <c r="J326" s="98"/>
      <c r="K326" s="98"/>
      <c r="L326" s="98"/>
      <c r="M326" s="98"/>
      <c r="N326" s="98"/>
      <c r="O326" s="98"/>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row>
    <row r="327" spans="1:44" x14ac:dyDescent="0.25">
      <c r="A327" s="40"/>
      <c r="B327" s="40"/>
      <c r="C327" s="40"/>
      <c r="D327" s="40"/>
      <c r="E327" s="98"/>
      <c r="F327" s="98"/>
      <c r="G327" s="98"/>
      <c r="H327" s="98"/>
      <c r="I327" s="98"/>
      <c r="J327" s="98"/>
      <c r="K327" s="98"/>
      <c r="L327" s="98"/>
      <c r="M327" s="98"/>
      <c r="N327" s="98"/>
      <c r="O327" s="98"/>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row>
    <row r="328" spans="1:44" x14ac:dyDescent="0.25">
      <c r="A328" s="40"/>
      <c r="B328" s="40"/>
      <c r="C328" s="40"/>
      <c r="D328" s="40"/>
      <c r="E328" s="98"/>
      <c r="F328" s="98"/>
      <c r="G328" s="98"/>
      <c r="H328" s="98"/>
      <c r="I328" s="98"/>
      <c r="J328" s="98"/>
      <c r="K328" s="98"/>
      <c r="L328" s="98"/>
      <c r="M328" s="98"/>
      <c r="N328" s="98"/>
      <c r="O328" s="98"/>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row>
    <row r="329" spans="1:44" x14ac:dyDescent="0.25">
      <c r="A329" s="40"/>
      <c r="B329" s="40"/>
      <c r="C329" s="40"/>
      <c r="D329" s="40"/>
      <c r="E329" s="98"/>
      <c r="F329" s="98"/>
      <c r="G329" s="98"/>
      <c r="H329" s="98"/>
      <c r="I329" s="98"/>
      <c r="J329" s="98"/>
      <c r="K329" s="98"/>
      <c r="L329" s="98"/>
      <c r="M329" s="98"/>
      <c r="N329" s="98"/>
      <c r="O329" s="98"/>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row>
    <row r="330" spans="1:44" x14ac:dyDescent="0.25">
      <c r="A330" s="40"/>
      <c r="B330" s="40"/>
      <c r="C330" s="40"/>
      <c r="D330" s="40"/>
      <c r="E330" s="98"/>
      <c r="F330" s="98"/>
      <c r="G330" s="98"/>
      <c r="H330" s="98"/>
      <c r="I330" s="98"/>
      <c r="J330" s="98"/>
      <c r="K330" s="98"/>
      <c r="L330" s="98"/>
      <c r="M330" s="98"/>
      <c r="N330" s="98"/>
      <c r="O330" s="98"/>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row>
    <row r="331" spans="1:44" x14ac:dyDescent="0.25">
      <c r="A331" s="40"/>
      <c r="B331" s="40"/>
      <c r="C331" s="40"/>
      <c r="D331" s="40"/>
      <c r="E331" s="98"/>
      <c r="F331" s="98"/>
      <c r="G331" s="98"/>
      <c r="H331" s="98"/>
      <c r="I331" s="98"/>
      <c r="J331" s="98"/>
      <c r="K331" s="98"/>
      <c r="L331" s="98"/>
      <c r="M331" s="98"/>
      <c r="N331" s="98"/>
      <c r="O331" s="98"/>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row>
    <row r="332" spans="1:44" x14ac:dyDescent="0.25">
      <c r="A332" s="40"/>
      <c r="B332" s="40"/>
      <c r="C332" s="40"/>
      <c r="D332" s="40"/>
      <c r="E332" s="98"/>
      <c r="F332" s="98"/>
      <c r="G332" s="98"/>
      <c r="H332" s="98"/>
      <c r="I332" s="98"/>
      <c r="J332" s="98"/>
      <c r="K332" s="98"/>
      <c r="L332" s="98"/>
      <c r="M332" s="98"/>
      <c r="N332" s="98"/>
      <c r="O332" s="98"/>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row>
    <row r="333" spans="1:44" x14ac:dyDescent="0.25">
      <c r="A333" s="40"/>
      <c r="B333" s="40"/>
      <c r="C333" s="40"/>
      <c r="D333" s="40"/>
      <c r="E333" s="98"/>
      <c r="F333" s="98"/>
      <c r="G333" s="98"/>
      <c r="H333" s="98"/>
      <c r="I333" s="98"/>
      <c r="J333" s="98"/>
      <c r="K333" s="98"/>
      <c r="L333" s="98"/>
      <c r="M333" s="98"/>
      <c r="N333" s="98"/>
      <c r="O333" s="98"/>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row>
    <row r="334" spans="1:44" x14ac:dyDescent="0.25">
      <c r="A334" s="40"/>
      <c r="B334" s="40"/>
      <c r="C334" s="40"/>
      <c r="D334" s="40"/>
      <c r="E334" s="98"/>
      <c r="F334" s="98"/>
      <c r="G334" s="98"/>
      <c r="H334" s="98"/>
      <c r="I334" s="98"/>
      <c r="J334" s="98"/>
      <c r="K334" s="98"/>
      <c r="L334" s="98"/>
      <c r="M334" s="98"/>
      <c r="N334" s="98"/>
      <c r="O334" s="98"/>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row>
    <row r="335" spans="1:44" x14ac:dyDescent="0.25">
      <c r="A335" s="40"/>
      <c r="B335" s="40"/>
      <c r="C335" s="40"/>
      <c r="D335" s="40"/>
      <c r="E335" s="98"/>
      <c r="F335" s="98"/>
      <c r="G335" s="98"/>
      <c r="H335" s="98"/>
      <c r="I335" s="98"/>
      <c r="J335" s="98"/>
      <c r="K335" s="98"/>
      <c r="L335" s="98"/>
      <c r="M335" s="98"/>
      <c r="N335" s="98"/>
      <c r="O335" s="98"/>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row>
    <row r="336" spans="1:44" x14ac:dyDescent="0.25">
      <c r="A336" s="40"/>
      <c r="B336" s="40"/>
      <c r="C336" s="40"/>
      <c r="D336" s="40"/>
      <c r="E336" s="98"/>
      <c r="F336" s="98"/>
      <c r="G336" s="98"/>
      <c r="H336" s="98"/>
      <c r="I336" s="98"/>
      <c r="J336" s="98"/>
      <c r="K336" s="98"/>
      <c r="L336" s="98"/>
      <c r="M336" s="98"/>
      <c r="N336" s="98"/>
      <c r="O336" s="98"/>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row>
    <row r="337" spans="1:44" x14ac:dyDescent="0.25">
      <c r="A337" s="40"/>
      <c r="B337" s="40"/>
      <c r="C337" s="40"/>
      <c r="D337" s="40"/>
      <c r="E337" s="98"/>
      <c r="F337" s="98"/>
      <c r="G337" s="98"/>
      <c r="H337" s="98"/>
      <c r="I337" s="98"/>
      <c r="J337" s="98"/>
      <c r="K337" s="98"/>
      <c r="L337" s="98"/>
      <c r="M337" s="98"/>
      <c r="N337" s="98"/>
      <c r="O337" s="98"/>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row>
    <row r="338" spans="1:44" x14ac:dyDescent="0.25">
      <c r="A338" s="40"/>
      <c r="B338" s="40"/>
      <c r="C338" s="40"/>
      <c r="D338" s="40"/>
      <c r="E338" s="98"/>
      <c r="F338" s="98"/>
      <c r="G338" s="98"/>
      <c r="H338" s="98"/>
      <c r="I338" s="98"/>
      <c r="J338" s="98"/>
      <c r="K338" s="98"/>
      <c r="L338" s="98"/>
      <c r="M338" s="98"/>
      <c r="N338" s="98"/>
      <c r="O338" s="98"/>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row>
    <row r="339" spans="1:44" x14ac:dyDescent="0.25">
      <c r="A339" s="40"/>
      <c r="B339" s="40"/>
      <c r="C339" s="40"/>
      <c r="D339" s="40"/>
      <c r="E339" s="98"/>
      <c r="F339" s="98"/>
      <c r="G339" s="98"/>
      <c r="H339" s="98"/>
      <c r="I339" s="98"/>
      <c r="J339" s="98"/>
      <c r="K339" s="98"/>
      <c r="L339" s="98"/>
      <c r="M339" s="98"/>
      <c r="N339" s="98"/>
      <c r="O339" s="98"/>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row>
    <row r="340" spans="1:44" x14ac:dyDescent="0.25">
      <c r="A340" s="40"/>
      <c r="B340" s="40"/>
      <c r="C340" s="40"/>
      <c r="D340" s="40"/>
      <c r="E340" s="98"/>
      <c r="F340" s="98"/>
      <c r="G340" s="98"/>
      <c r="H340" s="98"/>
      <c r="I340" s="98"/>
      <c r="J340" s="98"/>
      <c r="K340" s="98"/>
      <c r="L340" s="98"/>
      <c r="M340" s="98"/>
      <c r="N340" s="98"/>
      <c r="O340" s="98"/>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row>
    <row r="341" spans="1:44" x14ac:dyDescent="0.25">
      <c r="A341" s="40"/>
      <c r="B341" s="40"/>
      <c r="C341" s="40"/>
      <c r="D341" s="40"/>
      <c r="E341" s="98"/>
      <c r="F341" s="98"/>
      <c r="G341" s="98"/>
      <c r="H341" s="98"/>
      <c r="I341" s="98"/>
      <c r="J341" s="98"/>
      <c r="K341" s="98"/>
      <c r="L341" s="98"/>
      <c r="M341" s="98"/>
      <c r="N341" s="98"/>
      <c r="O341" s="98"/>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row>
    <row r="342" spans="1:44" x14ac:dyDescent="0.25">
      <c r="A342" s="40"/>
      <c r="B342" s="40"/>
      <c r="C342" s="40"/>
      <c r="D342" s="40"/>
      <c r="E342" s="98"/>
      <c r="F342" s="98"/>
      <c r="G342" s="98"/>
      <c r="H342" s="98"/>
      <c r="I342" s="98"/>
      <c r="J342" s="98"/>
      <c r="K342" s="98"/>
      <c r="L342" s="98"/>
      <c r="M342" s="98"/>
      <c r="N342" s="98"/>
      <c r="O342" s="98"/>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row>
    <row r="343" spans="1:44" x14ac:dyDescent="0.25">
      <c r="A343" s="40"/>
      <c r="B343" s="40"/>
      <c r="C343" s="40"/>
      <c r="D343" s="40"/>
      <c r="E343" s="98"/>
      <c r="F343" s="98"/>
      <c r="G343" s="98"/>
      <c r="H343" s="98"/>
      <c r="I343" s="98"/>
      <c r="J343" s="98"/>
      <c r="K343" s="98"/>
      <c r="L343" s="98"/>
      <c r="M343" s="98"/>
      <c r="N343" s="98"/>
      <c r="O343" s="98"/>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row>
    <row r="344" spans="1:44" x14ac:dyDescent="0.25">
      <c r="A344" s="40"/>
      <c r="B344" s="40"/>
      <c r="C344" s="40"/>
      <c r="D344" s="40"/>
      <c r="E344" s="98"/>
      <c r="F344" s="98"/>
      <c r="G344" s="98"/>
      <c r="H344" s="98"/>
      <c r="I344" s="98"/>
      <c r="J344" s="98"/>
      <c r="K344" s="98"/>
      <c r="L344" s="98"/>
      <c r="M344" s="98"/>
      <c r="N344" s="98"/>
      <c r="O344" s="98"/>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row>
    <row r="345" spans="1:44" x14ac:dyDescent="0.25">
      <c r="A345" s="40"/>
      <c r="B345" s="40"/>
      <c r="C345" s="40"/>
      <c r="D345" s="40"/>
      <c r="E345" s="98"/>
      <c r="F345" s="98"/>
      <c r="G345" s="98"/>
      <c r="H345" s="98"/>
      <c r="I345" s="98"/>
      <c r="J345" s="98"/>
      <c r="K345" s="98"/>
      <c r="L345" s="98"/>
      <c r="M345" s="98"/>
      <c r="N345" s="98"/>
      <c r="O345" s="98"/>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row>
    <row r="346" spans="1:44" x14ac:dyDescent="0.25">
      <c r="A346" s="40"/>
      <c r="B346" s="40"/>
      <c r="C346" s="40"/>
      <c r="D346" s="40"/>
      <c r="E346" s="98"/>
      <c r="F346" s="98"/>
      <c r="G346" s="98"/>
      <c r="H346" s="98"/>
      <c r="I346" s="98"/>
      <c r="J346" s="98"/>
      <c r="K346" s="98"/>
      <c r="L346" s="98"/>
      <c r="M346" s="98"/>
      <c r="N346" s="98"/>
      <c r="O346" s="98"/>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row>
    <row r="347" spans="1:44" x14ac:dyDescent="0.25">
      <c r="A347" s="40"/>
      <c r="B347" s="40"/>
      <c r="C347" s="40"/>
      <c r="D347" s="40"/>
      <c r="E347" s="98"/>
      <c r="F347" s="98"/>
      <c r="G347" s="98"/>
      <c r="H347" s="98"/>
      <c r="I347" s="98"/>
      <c r="J347" s="98"/>
      <c r="K347" s="98"/>
      <c r="L347" s="98"/>
      <c r="M347" s="98"/>
      <c r="N347" s="98"/>
      <c r="O347" s="98"/>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row>
    <row r="348" spans="1:44" x14ac:dyDescent="0.25">
      <c r="A348" s="40"/>
      <c r="B348" s="40"/>
      <c r="C348" s="40"/>
      <c r="D348" s="40"/>
      <c r="E348" s="98"/>
      <c r="F348" s="98"/>
      <c r="G348" s="98"/>
      <c r="H348" s="98"/>
      <c r="I348" s="98"/>
      <c r="J348" s="98"/>
      <c r="K348" s="98"/>
      <c r="L348" s="98"/>
      <c r="M348" s="98"/>
      <c r="N348" s="98"/>
      <c r="O348" s="98"/>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row>
    <row r="349" spans="1:44" x14ac:dyDescent="0.25">
      <c r="A349" s="40"/>
      <c r="B349" s="40"/>
      <c r="C349" s="40"/>
      <c r="D349" s="40"/>
      <c r="E349" s="98"/>
      <c r="F349" s="98"/>
      <c r="G349" s="98"/>
      <c r="H349" s="98"/>
      <c r="I349" s="98"/>
      <c r="J349" s="98"/>
      <c r="K349" s="98"/>
      <c r="L349" s="98"/>
      <c r="M349" s="98"/>
      <c r="N349" s="98"/>
      <c r="O349" s="98"/>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row>
    <row r="350" spans="1:44" x14ac:dyDescent="0.25">
      <c r="A350" s="40"/>
      <c r="B350" s="40"/>
      <c r="C350" s="40"/>
      <c r="D350" s="40"/>
      <c r="E350" s="98"/>
      <c r="F350" s="98"/>
      <c r="G350" s="98"/>
      <c r="H350" s="98"/>
      <c r="I350" s="98"/>
      <c r="J350" s="98"/>
      <c r="K350" s="98"/>
      <c r="L350" s="98"/>
      <c r="M350" s="98"/>
      <c r="N350" s="98"/>
      <c r="O350" s="98"/>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row>
    <row r="351" spans="1:44" x14ac:dyDescent="0.25">
      <c r="A351" s="40"/>
      <c r="B351" s="40"/>
      <c r="C351" s="40"/>
      <c r="D351" s="40"/>
      <c r="E351" s="98"/>
      <c r="F351" s="98"/>
      <c r="G351" s="98"/>
      <c r="H351" s="98"/>
      <c r="I351" s="98"/>
      <c r="J351" s="98"/>
      <c r="K351" s="98"/>
      <c r="L351" s="98"/>
      <c r="M351" s="98"/>
      <c r="N351" s="98"/>
      <c r="O351" s="98"/>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row>
    <row r="352" spans="1:44" x14ac:dyDescent="0.25">
      <c r="A352" s="40"/>
      <c r="B352" s="40"/>
      <c r="C352" s="40"/>
      <c r="D352" s="40"/>
      <c r="E352" s="98"/>
      <c r="F352" s="98"/>
      <c r="G352" s="98"/>
      <c r="H352" s="98"/>
      <c r="I352" s="98"/>
      <c r="J352" s="98"/>
      <c r="K352" s="98"/>
      <c r="L352" s="98"/>
      <c r="M352" s="98"/>
      <c r="N352" s="98"/>
      <c r="O352" s="98"/>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row>
    <row r="353" spans="1:44" x14ac:dyDescent="0.25">
      <c r="A353" s="40"/>
      <c r="B353" s="40"/>
      <c r="C353" s="40"/>
      <c r="D353" s="40"/>
      <c r="E353" s="98"/>
      <c r="F353" s="98"/>
      <c r="G353" s="98"/>
      <c r="H353" s="98"/>
      <c r="I353" s="98"/>
      <c r="J353" s="98"/>
      <c r="K353" s="98"/>
      <c r="L353" s="98"/>
      <c r="M353" s="98"/>
      <c r="N353" s="98"/>
      <c r="O353" s="98"/>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row>
    <row r="354" spans="1:44" x14ac:dyDescent="0.25">
      <c r="A354" s="40"/>
      <c r="B354" s="40"/>
      <c r="C354" s="40"/>
      <c r="D354" s="40"/>
      <c r="E354" s="98"/>
      <c r="F354" s="98"/>
      <c r="G354" s="98"/>
      <c r="H354" s="98"/>
      <c r="I354" s="98"/>
      <c r="J354" s="98"/>
      <c r="K354" s="98"/>
      <c r="L354" s="98"/>
      <c r="M354" s="98"/>
      <c r="N354" s="98"/>
      <c r="O354" s="98"/>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row>
    <row r="355" spans="1:44" x14ac:dyDescent="0.25">
      <c r="A355" s="40"/>
      <c r="B355" s="40"/>
      <c r="C355" s="40"/>
      <c r="D355" s="40"/>
      <c r="E355" s="98"/>
      <c r="F355" s="98"/>
      <c r="G355" s="98"/>
      <c r="H355" s="98"/>
      <c r="I355" s="98"/>
      <c r="J355" s="98"/>
      <c r="K355" s="98"/>
      <c r="L355" s="98"/>
      <c r="M355" s="98"/>
      <c r="N355" s="98"/>
      <c r="O355" s="98"/>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row>
    <row r="356" spans="1:44" x14ac:dyDescent="0.25">
      <c r="A356" s="40"/>
      <c r="B356" s="40"/>
      <c r="C356" s="40"/>
      <c r="D356" s="40"/>
      <c r="E356" s="98"/>
      <c r="F356" s="98"/>
      <c r="G356" s="98"/>
      <c r="H356" s="98"/>
      <c r="I356" s="98"/>
      <c r="J356" s="98"/>
      <c r="K356" s="98"/>
      <c r="L356" s="98"/>
      <c r="M356" s="98"/>
      <c r="N356" s="98"/>
      <c r="O356" s="98"/>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row>
    <row r="357" spans="1:44" x14ac:dyDescent="0.25">
      <c r="A357" s="40"/>
      <c r="B357" s="40"/>
      <c r="C357" s="40"/>
      <c r="D357" s="40"/>
      <c r="E357" s="98"/>
      <c r="F357" s="98"/>
      <c r="G357" s="98"/>
      <c r="H357" s="98"/>
      <c r="I357" s="98"/>
      <c r="J357" s="98"/>
      <c r="K357" s="98"/>
      <c r="L357" s="98"/>
      <c r="M357" s="98"/>
      <c r="N357" s="98"/>
      <c r="O357" s="98"/>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row>
    <row r="358" spans="1:44" x14ac:dyDescent="0.25">
      <c r="A358" s="40"/>
      <c r="B358" s="40"/>
      <c r="C358" s="40"/>
      <c r="D358" s="40"/>
      <c r="E358" s="98"/>
      <c r="F358" s="98"/>
      <c r="G358" s="98"/>
      <c r="H358" s="98"/>
      <c r="I358" s="98"/>
      <c r="J358" s="98"/>
      <c r="K358" s="98"/>
      <c r="L358" s="98"/>
      <c r="M358" s="98"/>
      <c r="N358" s="98"/>
      <c r="O358" s="98"/>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row>
    <row r="359" spans="1:44" x14ac:dyDescent="0.25">
      <c r="A359" s="40"/>
      <c r="B359" s="40"/>
      <c r="C359" s="40"/>
      <c r="D359" s="40"/>
      <c r="E359" s="98"/>
      <c r="F359" s="98"/>
      <c r="G359" s="98"/>
      <c r="H359" s="98"/>
      <c r="I359" s="98"/>
      <c r="J359" s="98"/>
      <c r="K359" s="98"/>
      <c r="L359" s="98"/>
      <c r="M359" s="98"/>
      <c r="N359" s="98"/>
      <c r="O359" s="98"/>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row>
    <row r="360" spans="1:44" x14ac:dyDescent="0.25">
      <c r="A360" s="40"/>
      <c r="B360" s="40"/>
      <c r="C360" s="40"/>
      <c r="D360" s="40"/>
      <c r="E360" s="98"/>
      <c r="F360" s="98"/>
      <c r="G360" s="98"/>
      <c r="H360" s="98"/>
      <c r="I360" s="98"/>
      <c r="J360" s="98"/>
      <c r="K360" s="98"/>
      <c r="L360" s="98"/>
      <c r="M360" s="98"/>
      <c r="N360" s="98"/>
      <c r="O360" s="98"/>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row>
    <row r="361" spans="1:44" x14ac:dyDescent="0.25">
      <c r="A361" s="40"/>
      <c r="B361" s="40"/>
      <c r="C361" s="40"/>
      <c r="D361" s="40"/>
      <c r="E361" s="98"/>
      <c r="F361" s="98"/>
      <c r="G361" s="98"/>
      <c r="H361" s="98"/>
      <c r="I361" s="98"/>
      <c r="J361" s="98"/>
      <c r="K361" s="98"/>
      <c r="L361" s="98"/>
      <c r="M361" s="98"/>
      <c r="N361" s="98"/>
      <c r="O361" s="98"/>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row>
    <row r="362" spans="1:44" x14ac:dyDescent="0.25">
      <c r="A362" s="40"/>
      <c r="B362" s="40"/>
      <c r="C362" s="40"/>
      <c r="D362" s="40"/>
      <c r="E362" s="98"/>
      <c r="F362" s="98"/>
      <c r="G362" s="98"/>
      <c r="H362" s="98"/>
      <c r="I362" s="98"/>
      <c r="J362" s="98"/>
      <c r="K362" s="98"/>
      <c r="L362" s="98"/>
      <c r="M362" s="98"/>
      <c r="N362" s="98"/>
      <c r="O362" s="98"/>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row>
    <row r="363" spans="1:44" x14ac:dyDescent="0.25">
      <c r="A363" s="40"/>
      <c r="B363" s="40"/>
      <c r="C363" s="40"/>
      <c r="D363" s="40"/>
      <c r="E363" s="98"/>
      <c r="F363" s="98"/>
      <c r="G363" s="98"/>
      <c r="H363" s="98"/>
      <c r="I363" s="98"/>
      <c r="J363" s="98"/>
      <c r="K363" s="98"/>
      <c r="L363" s="98"/>
      <c r="M363" s="98"/>
      <c r="N363" s="98"/>
      <c r="O363" s="98"/>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row>
    <row r="364" spans="1:44" x14ac:dyDescent="0.25">
      <c r="A364" s="40"/>
      <c r="B364" s="40"/>
      <c r="C364" s="40"/>
      <c r="D364" s="40"/>
      <c r="E364" s="98"/>
      <c r="F364" s="98"/>
      <c r="G364" s="98"/>
      <c r="H364" s="98"/>
      <c r="I364" s="98"/>
      <c r="J364" s="98"/>
      <c r="K364" s="98"/>
      <c r="L364" s="98"/>
      <c r="M364" s="98"/>
      <c r="N364" s="98"/>
      <c r="O364" s="98"/>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row>
    <row r="365" spans="1:44" x14ac:dyDescent="0.25">
      <c r="A365" s="40"/>
      <c r="B365" s="40"/>
      <c r="C365" s="40"/>
      <c r="D365" s="40"/>
      <c r="E365" s="98"/>
      <c r="F365" s="98"/>
      <c r="G365" s="98"/>
      <c r="H365" s="98"/>
      <c r="I365" s="98"/>
      <c r="J365" s="98"/>
      <c r="K365" s="98"/>
      <c r="L365" s="98"/>
      <c r="M365" s="98"/>
      <c r="N365" s="98"/>
      <c r="O365" s="98"/>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row>
    <row r="366" spans="1:44" x14ac:dyDescent="0.25">
      <c r="A366" s="40"/>
      <c r="B366" s="40"/>
      <c r="C366" s="40"/>
      <c r="D366" s="40"/>
      <c r="E366" s="98"/>
      <c r="F366" s="98"/>
      <c r="G366" s="98"/>
      <c r="H366" s="98"/>
      <c r="I366" s="98"/>
      <c r="J366" s="98"/>
      <c r="K366" s="98"/>
      <c r="L366" s="98"/>
      <c r="M366" s="98"/>
      <c r="N366" s="98"/>
      <c r="O366" s="98"/>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row>
    <row r="367" spans="1:44" x14ac:dyDescent="0.25">
      <c r="A367" s="40"/>
      <c r="B367" s="40"/>
      <c r="C367" s="40"/>
      <c r="D367" s="40"/>
      <c r="E367" s="98"/>
      <c r="F367" s="98"/>
      <c r="G367" s="98"/>
      <c r="H367" s="98"/>
      <c r="I367" s="98"/>
      <c r="J367" s="98"/>
      <c r="K367" s="98"/>
      <c r="L367" s="98"/>
      <c r="M367" s="98"/>
      <c r="N367" s="98"/>
      <c r="O367" s="98"/>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row>
    <row r="368" spans="1:44" x14ac:dyDescent="0.25">
      <c r="A368" s="40"/>
      <c r="B368" s="40"/>
      <c r="C368" s="40"/>
      <c r="D368" s="40"/>
      <c r="E368" s="98"/>
      <c r="F368" s="98"/>
      <c r="G368" s="98"/>
      <c r="H368" s="98"/>
      <c r="I368" s="98"/>
      <c r="J368" s="98"/>
      <c r="K368" s="98"/>
      <c r="L368" s="98"/>
      <c r="M368" s="98"/>
      <c r="N368" s="98"/>
      <c r="O368" s="98"/>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row>
    <row r="369" spans="1:44" x14ac:dyDescent="0.25">
      <c r="A369" s="40"/>
      <c r="B369" s="40"/>
      <c r="C369" s="40"/>
      <c r="D369" s="40"/>
      <c r="E369" s="98"/>
      <c r="F369" s="98"/>
      <c r="G369" s="98"/>
      <c r="H369" s="98"/>
      <c r="I369" s="98"/>
      <c r="J369" s="98"/>
      <c r="K369" s="98"/>
      <c r="L369" s="98"/>
      <c r="M369" s="98"/>
      <c r="N369" s="98"/>
      <c r="O369" s="98"/>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row>
    <row r="370" spans="1:44" x14ac:dyDescent="0.25">
      <c r="A370" s="40"/>
      <c r="B370" s="40"/>
      <c r="C370" s="40"/>
      <c r="D370" s="40"/>
      <c r="E370" s="98"/>
      <c r="F370" s="98"/>
      <c r="G370" s="98"/>
      <c r="H370" s="98"/>
      <c r="I370" s="98"/>
      <c r="J370" s="98"/>
      <c r="K370" s="98"/>
      <c r="L370" s="98"/>
      <c r="M370" s="98"/>
      <c r="N370" s="98"/>
      <c r="O370" s="98"/>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row>
    <row r="371" spans="1:44" x14ac:dyDescent="0.25">
      <c r="A371" s="40"/>
      <c r="B371" s="40"/>
      <c r="C371" s="40"/>
      <c r="D371" s="40"/>
      <c r="E371" s="98"/>
      <c r="F371" s="98"/>
      <c r="G371" s="98"/>
      <c r="H371" s="98"/>
      <c r="I371" s="98"/>
      <c r="J371" s="98"/>
      <c r="K371" s="98"/>
      <c r="L371" s="98"/>
      <c r="M371" s="98"/>
      <c r="N371" s="98"/>
      <c r="O371" s="98"/>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row>
    <row r="372" spans="1:44" x14ac:dyDescent="0.25">
      <c r="A372" s="40"/>
      <c r="B372" s="40"/>
      <c r="C372" s="40"/>
      <c r="D372" s="40"/>
      <c r="E372" s="98"/>
      <c r="F372" s="98"/>
      <c r="G372" s="98"/>
      <c r="H372" s="98"/>
      <c r="I372" s="98"/>
      <c r="J372" s="98"/>
      <c r="K372" s="98"/>
      <c r="L372" s="98"/>
      <c r="M372" s="98"/>
      <c r="N372" s="98"/>
      <c r="O372" s="98"/>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row>
    <row r="373" spans="1:44" x14ac:dyDescent="0.25">
      <c r="A373" s="40"/>
      <c r="B373" s="40"/>
      <c r="C373" s="40"/>
      <c r="D373" s="40"/>
      <c r="E373" s="98"/>
      <c r="F373" s="98"/>
      <c r="G373" s="98"/>
      <c r="H373" s="98"/>
      <c r="I373" s="98"/>
      <c r="J373" s="98"/>
      <c r="K373" s="98"/>
      <c r="L373" s="98"/>
      <c r="M373" s="98"/>
      <c r="N373" s="98"/>
      <c r="O373" s="98"/>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row>
    <row r="374" spans="1:44" x14ac:dyDescent="0.25">
      <c r="A374" s="40"/>
      <c r="B374" s="40"/>
      <c r="C374" s="40"/>
      <c r="D374" s="40"/>
      <c r="E374" s="98"/>
      <c r="F374" s="98"/>
      <c r="G374" s="98"/>
      <c r="H374" s="98"/>
      <c r="I374" s="98"/>
      <c r="J374" s="98"/>
      <c r="K374" s="98"/>
      <c r="L374" s="98"/>
      <c r="M374" s="98"/>
      <c r="N374" s="98"/>
      <c r="O374" s="98"/>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row>
    <row r="375" spans="1:44" x14ac:dyDescent="0.25">
      <c r="A375" s="40"/>
      <c r="B375" s="40"/>
      <c r="C375" s="40"/>
      <c r="D375" s="40"/>
      <c r="E375" s="98"/>
      <c r="F375" s="98"/>
      <c r="G375" s="98"/>
      <c r="H375" s="98"/>
      <c r="I375" s="98"/>
      <c r="J375" s="98"/>
      <c r="K375" s="98"/>
      <c r="L375" s="98"/>
      <c r="M375" s="98"/>
      <c r="N375" s="98"/>
      <c r="O375" s="98"/>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row>
    <row r="376" spans="1:44" x14ac:dyDescent="0.25">
      <c r="A376" s="40"/>
      <c r="B376" s="40"/>
      <c r="C376" s="40"/>
      <c r="D376" s="40"/>
      <c r="E376" s="98"/>
      <c r="F376" s="98"/>
      <c r="G376" s="98"/>
      <c r="H376" s="98"/>
      <c r="I376" s="98"/>
      <c r="J376" s="98"/>
      <c r="K376" s="98"/>
      <c r="L376" s="98"/>
      <c r="M376" s="98"/>
      <c r="N376" s="98"/>
      <c r="O376" s="98"/>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row>
    <row r="377" spans="1:44" x14ac:dyDescent="0.25">
      <c r="A377" s="40"/>
      <c r="B377" s="40"/>
      <c r="C377" s="40"/>
      <c r="D377" s="40"/>
      <c r="E377" s="98"/>
      <c r="F377" s="98"/>
      <c r="G377" s="98"/>
      <c r="H377" s="98"/>
      <c r="I377" s="98"/>
      <c r="J377" s="98"/>
      <c r="K377" s="98"/>
      <c r="L377" s="98"/>
      <c r="M377" s="98"/>
      <c r="N377" s="98"/>
      <c r="O377" s="98"/>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row>
    <row r="378" spans="1:44" x14ac:dyDescent="0.25">
      <c r="A378" s="40"/>
      <c r="B378" s="40"/>
      <c r="C378" s="40"/>
      <c r="D378" s="40"/>
      <c r="E378" s="98"/>
      <c r="F378" s="98"/>
      <c r="G378" s="98"/>
      <c r="H378" s="98"/>
      <c r="I378" s="98"/>
      <c r="J378" s="98"/>
      <c r="K378" s="98"/>
      <c r="L378" s="98"/>
      <c r="M378" s="98"/>
      <c r="N378" s="98"/>
      <c r="O378" s="98"/>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row>
    <row r="379" spans="1:44" x14ac:dyDescent="0.25">
      <c r="A379" s="40"/>
      <c r="B379" s="40"/>
      <c r="C379" s="40"/>
      <c r="D379" s="40"/>
      <c r="E379" s="98"/>
      <c r="F379" s="98"/>
      <c r="G379" s="98"/>
      <c r="H379" s="98"/>
      <c r="I379" s="98"/>
      <c r="J379" s="98"/>
      <c r="K379" s="98"/>
      <c r="L379" s="98"/>
      <c r="M379" s="98"/>
      <c r="N379" s="98"/>
      <c r="O379" s="98"/>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row>
    <row r="380" spans="1:44" x14ac:dyDescent="0.25">
      <c r="A380" s="40"/>
      <c r="B380" s="40"/>
      <c r="C380" s="40"/>
      <c r="D380" s="40"/>
      <c r="E380" s="98"/>
      <c r="F380" s="98"/>
      <c r="G380" s="98"/>
      <c r="H380" s="98"/>
      <c r="I380" s="98"/>
      <c r="J380" s="98"/>
      <c r="K380" s="98"/>
      <c r="L380" s="98"/>
      <c r="M380" s="98"/>
      <c r="N380" s="98"/>
      <c r="O380" s="98"/>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row>
    <row r="381" spans="1:44" x14ac:dyDescent="0.25">
      <c r="A381" s="40"/>
      <c r="B381" s="40"/>
      <c r="C381" s="40"/>
      <c r="D381" s="40"/>
      <c r="E381" s="98"/>
      <c r="F381" s="98"/>
      <c r="G381" s="98"/>
      <c r="H381" s="98"/>
      <c r="I381" s="98"/>
      <c r="J381" s="98"/>
      <c r="K381" s="98"/>
      <c r="L381" s="98"/>
      <c r="M381" s="98"/>
      <c r="N381" s="98"/>
      <c r="O381" s="98"/>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row>
    <row r="382" spans="1:44" x14ac:dyDescent="0.25">
      <c r="A382" s="40"/>
      <c r="B382" s="40"/>
      <c r="C382" s="40"/>
      <c r="D382" s="40"/>
      <c r="E382" s="98"/>
      <c r="F382" s="98"/>
      <c r="G382" s="98"/>
      <c r="H382" s="98"/>
      <c r="I382" s="98"/>
      <c r="J382" s="98"/>
      <c r="K382" s="98"/>
      <c r="L382" s="98"/>
      <c r="M382" s="98"/>
      <c r="N382" s="98"/>
      <c r="O382" s="98"/>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row>
    <row r="383" spans="1:44" x14ac:dyDescent="0.25">
      <c r="A383" s="40"/>
      <c r="B383" s="40"/>
      <c r="C383" s="40"/>
      <c r="D383" s="40"/>
      <c r="E383" s="98"/>
      <c r="F383" s="98"/>
      <c r="G383" s="98"/>
      <c r="H383" s="98"/>
      <c r="I383" s="98"/>
      <c r="J383" s="98"/>
      <c r="K383" s="98"/>
      <c r="L383" s="98"/>
      <c r="M383" s="98"/>
      <c r="N383" s="98"/>
      <c r="O383" s="98"/>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row>
    <row r="384" spans="1:44" x14ac:dyDescent="0.25">
      <c r="A384" s="40"/>
      <c r="B384" s="40"/>
      <c r="C384" s="40"/>
      <c r="D384" s="40"/>
      <c r="E384" s="98"/>
      <c r="F384" s="98"/>
      <c r="G384" s="98"/>
      <c r="H384" s="98"/>
      <c r="I384" s="98"/>
      <c r="J384" s="98"/>
      <c r="K384" s="98"/>
      <c r="L384" s="98"/>
      <c r="M384" s="98"/>
      <c r="N384" s="98"/>
      <c r="O384" s="98"/>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row>
    <row r="385" spans="1:44" x14ac:dyDescent="0.25">
      <c r="A385" s="40"/>
      <c r="B385" s="40"/>
      <c r="C385" s="40"/>
      <c r="D385" s="40"/>
      <c r="E385" s="98"/>
      <c r="F385" s="98"/>
      <c r="G385" s="98"/>
      <c r="H385" s="98"/>
      <c r="I385" s="98"/>
      <c r="J385" s="98"/>
      <c r="K385" s="98"/>
      <c r="L385" s="98"/>
      <c r="M385" s="98"/>
      <c r="N385" s="98"/>
      <c r="O385" s="98"/>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row>
    <row r="386" spans="1:44" x14ac:dyDescent="0.25">
      <c r="A386" s="40"/>
      <c r="B386" s="40"/>
      <c r="C386" s="40"/>
      <c r="D386" s="40"/>
      <c r="E386" s="98"/>
      <c r="F386" s="98"/>
      <c r="G386" s="98"/>
      <c r="H386" s="98"/>
      <c r="I386" s="98"/>
      <c r="J386" s="98"/>
      <c r="K386" s="98"/>
      <c r="L386" s="98"/>
      <c r="M386" s="98"/>
      <c r="N386" s="98"/>
      <c r="O386" s="98"/>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row>
    <row r="387" spans="1:44" x14ac:dyDescent="0.25">
      <c r="A387" s="40"/>
      <c r="B387" s="40"/>
      <c r="C387" s="40"/>
      <c r="D387" s="40"/>
      <c r="E387" s="98"/>
      <c r="F387" s="98"/>
      <c r="G387" s="98"/>
      <c r="H387" s="98"/>
      <c r="I387" s="98"/>
      <c r="J387" s="98"/>
      <c r="K387" s="98"/>
      <c r="L387" s="98"/>
      <c r="M387" s="98"/>
      <c r="N387" s="98"/>
      <c r="O387" s="98"/>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row>
    <row r="388" spans="1:44" x14ac:dyDescent="0.25">
      <c r="A388" s="40"/>
      <c r="B388" s="40"/>
      <c r="C388" s="40"/>
      <c r="D388" s="40"/>
      <c r="E388" s="98"/>
      <c r="F388" s="98"/>
      <c r="G388" s="98"/>
      <c r="H388" s="98"/>
      <c r="I388" s="98"/>
      <c r="J388" s="98"/>
      <c r="K388" s="98"/>
      <c r="L388" s="98"/>
      <c r="M388" s="98"/>
      <c r="N388" s="98"/>
      <c r="O388" s="98"/>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row>
    <row r="389" spans="1:44" x14ac:dyDescent="0.25">
      <c r="A389" s="40"/>
      <c r="B389" s="40"/>
      <c r="C389" s="40"/>
      <c r="D389" s="40"/>
      <c r="E389" s="98"/>
      <c r="F389" s="98"/>
      <c r="G389" s="98"/>
      <c r="H389" s="98"/>
      <c r="I389" s="98"/>
      <c r="J389" s="98"/>
      <c r="K389" s="98"/>
      <c r="L389" s="98"/>
      <c r="M389" s="98"/>
      <c r="N389" s="98"/>
      <c r="O389" s="98"/>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row>
    <row r="390" spans="1:44" x14ac:dyDescent="0.25">
      <c r="A390" s="40"/>
      <c r="B390" s="40"/>
      <c r="C390" s="40"/>
      <c r="D390" s="40"/>
      <c r="E390" s="98"/>
      <c r="F390" s="98"/>
      <c r="G390" s="98"/>
      <c r="H390" s="98"/>
      <c r="I390" s="98"/>
      <c r="J390" s="98"/>
      <c r="K390" s="98"/>
      <c r="L390" s="98"/>
      <c r="M390" s="98"/>
      <c r="N390" s="98"/>
      <c r="O390" s="98"/>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row>
    <row r="391" spans="1:44" x14ac:dyDescent="0.25">
      <c r="A391" s="40"/>
      <c r="B391" s="40"/>
      <c r="C391" s="40"/>
      <c r="D391" s="40"/>
      <c r="E391" s="98"/>
      <c r="F391" s="98"/>
      <c r="G391" s="98"/>
      <c r="H391" s="98"/>
      <c r="I391" s="98"/>
      <c r="J391" s="98"/>
      <c r="K391" s="98"/>
      <c r="L391" s="98"/>
      <c r="M391" s="98"/>
      <c r="N391" s="98"/>
      <c r="O391" s="98"/>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row>
    <row r="392" spans="1:44" x14ac:dyDescent="0.25">
      <c r="A392" s="40"/>
      <c r="B392" s="40"/>
      <c r="C392" s="40"/>
      <c r="D392" s="40"/>
      <c r="E392" s="98"/>
      <c r="F392" s="98"/>
      <c r="G392" s="98"/>
      <c r="H392" s="98"/>
      <c r="I392" s="98"/>
      <c r="J392" s="98"/>
      <c r="K392" s="98"/>
      <c r="L392" s="98"/>
      <c r="M392" s="98"/>
      <c r="N392" s="98"/>
      <c r="O392" s="98"/>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row>
    <row r="393" spans="1:44" x14ac:dyDescent="0.25">
      <c r="A393" s="40"/>
      <c r="B393" s="40"/>
      <c r="C393" s="40"/>
      <c r="D393" s="40"/>
      <c r="E393" s="98"/>
      <c r="F393" s="98"/>
      <c r="G393" s="98"/>
      <c r="H393" s="98"/>
      <c r="I393" s="98"/>
      <c r="J393" s="98"/>
      <c r="K393" s="98"/>
      <c r="L393" s="98"/>
      <c r="M393" s="98"/>
      <c r="N393" s="98"/>
      <c r="O393" s="98"/>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row>
    <row r="394" spans="1:44" x14ac:dyDescent="0.25">
      <c r="A394" s="40"/>
      <c r="B394" s="40"/>
      <c r="C394" s="40"/>
      <c r="D394" s="40"/>
      <c r="E394" s="98"/>
      <c r="F394" s="98"/>
      <c r="G394" s="98"/>
      <c r="H394" s="98"/>
      <c r="I394" s="98"/>
      <c r="J394" s="98"/>
      <c r="K394" s="98"/>
      <c r="L394" s="98"/>
      <c r="M394" s="98"/>
      <c r="N394" s="98"/>
      <c r="O394" s="98"/>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row>
    <row r="395" spans="1:44" x14ac:dyDescent="0.25">
      <c r="A395" s="40"/>
      <c r="B395" s="40"/>
      <c r="C395" s="40"/>
      <c r="D395" s="40"/>
      <c r="E395" s="98"/>
      <c r="F395" s="98"/>
      <c r="G395" s="98"/>
      <c r="H395" s="98"/>
      <c r="I395" s="98"/>
      <c r="J395" s="98"/>
      <c r="K395" s="98"/>
      <c r="L395" s="98"/>
      <c r="M395" s="98"/>
      <c r="N395" s="98"/>
      <c r="O395" s="98"/>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row>
    <row r="396" spans="1:44" x14ac:dyDescent="0.25">
      <c r="A396" s="40"/>
      <c r="B396" s="40"/>
      <c r="C396" s="40"/>
      <c r="D396" s="40"/>
      <c r="E396" s="98"/>
      <c r="F396" s="98"/>
      <c r="G396" s="98"/>
      <c r="H396" s="98"/>
      <c r="I396" s="98"/>
      <c r="J396" s="98"/>
      <c r="K396" s="98"/>
      <c r="L396" s="98"/>
      <c r="M396" s="98"/>
      <c r="N396" s="98"/>
      <c r="O396" s="98"/>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row>
    <row r="397" spans="1:44" x14ac:dyDescent="0.25">
      <c r="A397" s="40"/>
      <c r="B397" s="40"/>
      <c r="C397" s="40"/>
      <c r="D397" s="40"/>
      <c r="E397" s="98"/>
      <c r="F397" s="98"/>
      <c r="G397" s="98"/>
      <c r="H397" s="98"/>
      <c r="I397" s="98"/>
      <c r="J397" s="98"/>
      <c r="K397" s="98"/>
      <c r="L397" s="98"/>
      <c r="M397" s="98"/>
      <c r="N397" s="98"/>
      <c r="O397" s="98"/>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row>
    <row r="398" spans="1:44" x14ac:dyDescent="0.25">
      <c r="A398" s="40"/>
      <c r="B398" s="40"/>
      <c r="C398" s="40"/>
      <c r="D398" s="40"/>
      <c r="E398" s="98"/>
      <c r="F398" s="98"/>
      <c r="G398" s="98"/>
      <c r="H398" s="98"/>
      <c r="I398" s="98"/>
      <c r="J398" s="98"/>
      <c r="K398" s="98"/>
      <c r="L398" s="98"/>
      <c r="M398" s="98"/>
      <c r="N398" s="98"/>
      <c r="O398" s="98"/>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row>
    <row r="399" spans="1:44" x14ac:dyDescent="0.25">
      <c r="A399" s="40"/>
      <c r="B399" s="40"/>
      <c r="C399" s="40"/>
      <c r="D399" s="40"/>
      <c r="E399" s="98"/>
      <c r="F399" s="98"/>
      <c r="G399" s="98"/>
      <c r="H399" s="98"/>
      <c r="I399" s="98"/>
      <c r="J399" s="98"/>
      <c r="K399" s="98"/>
      <c r="L399" s="98"/>
      <c r="M399" s="98"/>
      <c r="N399" s="98"/>
      <c r="O399" s="98"/>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row>
    <row r="400" spans="1:44" x14ac:dyDescent="0.25">
      <c r="A400" s="40"/>
      <c r="B400" s="40"/>
      <c r="C400" s="40"/>
      <c r="D400" s="40"/>
      <c r="E400" s="98"/>
      <c r="F400" s="98"/>
      <c r="G400" s="98"/>
      <c r="H400" s="98"/>
      <c r="I400" s="98"/>
      <c r="J400" s="98"/>
      <c r="K400" s="98"/>
      <c r="L400" s="98"/>
      <c r="M400" s="98"/>
      <c r="N400" s="98"/>
      <c r="O400" s="98"/>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row>
    <row r="401" spans="1:44" x14ac:dyDescent="0.25">
      <c r="A401" s="40"/>
      <c r="B401" s="40"/>
      <c r="C401" s="40"/>
      <c r="D401" s="40"/>
      <c r="E401" s="98"/>
      <c r="F401" s="98"/>
      <c r="G401" s="98"/>
      <c r="H401" s="98"/>
      <c r="I401" s="98"/>
      <c r="J401" s="98"/>
      <c r="K401" s="98"/>
      <c r="L401" s="98"/>
      <c r="M401" s="98"/>
      <c r="N401" s="98"/>
      <c r="O401" s="98"/>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row>
    <row r="402" spans="1:44" x14ac:dyDescent="0.25">
      <c r="A402" s="40"/>
      <c r="B402" s="40"/>
      <c r="C402" s="40"/>
      <c r="D402" s="40"/>
      <c r="E402" s="98"/>
      <c r="F402" s="98"/>
      <c r="G402" s="98"/>
      <c r="H402" s="98"/>
      <c r="I402" s="98"/>
      <c r="J402" s="98"/>
      <c r="K402" s="98"/>
      <c r="L402" s="98"/>
      <c r="M402" s="98"/>
      <c r="N402" s="98"/>
      <c r="O402" s="98"/>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row>
    <row r="403" spans="1:44" x14ac:dyDescent="0.25">
      <c r="A403" s="40"/>
      <c r="B403" s="40"/>
      <c r="C403" s="40"/>
      <c r="D403" s="40"/>
      <c r="E403" s="98"/>
      <c r="F403" s="98"/>
      <c r="G403" s="98"/>
      <c r="H403" s="98"/>
      <c r="I403" s="98"/>
      <c r="J403" s="98"/>
      <c r="K403" s="98"/>
      <c r="L403" s="98"/>
      <c r="M403" s="98"/>
      <c r="N403" s="98"/>
      <c r="O403" s="98"/>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row>
    <row r="404" spans="1:44" x14ac:dyDescent="0.25">
      <c r="A404" s="40"/>
      <c r="B404" s="40"/>
      <c r="C404" s="40"/>
      <c r="D404" s="40"/>
      <c r="E404" s="98"/>
      <c r="F404" s="98"/>
      <c r="G404" s="98"/>
      <c r="H404" s="98"/>
      <c r="I404" s="98"/>
      <c r="J404" s="98"/>
      <c r="K404" s="98"/>
      <c r="L404" s="98"/>
      <c r="M404" s="98"/>
      <c r="N404" s="98"/>
      <c r="O404" s="98"/>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row>
    <row r="405" spans="1:44" x14ac:dyDescent="0.25">
      <c r="A405" s="40"/>
      <c r="B405" s="40"/>
      <c r="C405" s="40"/>
      <c r="D405" s="40"/>
      <c r="E405" s="98"/>
      <c r="F405" s="98"/>
      <c r="G405" s="98"/>
      <c r="H405" s="98"/>
      <c r="I405" s="98"/>
      <c r="J405" s="98"/>
      <c r="K405" s="98"/>
      <c r="L405" s="98"/>
      <c r="M405" s="98"/>
      <c r="N405" s="98"/>
      <c r="O405" s="98"/>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row>
    <row r="406" spans="1:44" x14ac:dyDescent="0.25">
      <c r="A406" s="40"/>
      <c r="B406" s="40"/>
      <c r="C406" s="40"/>
      <c r="D406" s="40"/>
      <c r="E406" s="98"/>
      <c r="F406" s="98"/>
      <c r="G406" s="98"/>
      <c r="H406" s="98"/>
      <c r="I406" s="98"/>
      <c r="J406" s="98"/>
      <c r="K406" s="98"/>
      <c r="L406" s="98"/>
      <c r="M406" s="98"/>
      <c r="N406" s="98"/>
      <c r="O406" s="98"/>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row>
    <row r="407" spans="1:44" x14ac:dyDescent="0.25">
      <c r="A407" s="40"/>
      <c r="B407" s="40"/>
      <c r="C407" s="40"/>
      <c r="D407" s="40"/>
      <c r="E407" s="98"/>
      <c r="F407" s="98"/>
      <c r="G407" s="98"/>
      <c r="H407" s="98"/>
      <c r="I407" s="98"/>
      <c r="J407" s="98"/>
      <c r="K407" s="98"/>
      <c r="L407" s="98"/>
      <c r="M407" s="98"/>
      <c r="N407" s="98"/>
      <c r="O407" s="98"/>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row>
    <row r="408" spans="1:44" x14ac:dyDescent="0.25">
      <c r="A408" s="40"/>
      <c r="B408" s="40"/>
      <c r="C408" s="40"/>
      <c r="D408" s="40"/>
      <c r="E408" s="98"/>
      <c r="F408" s="98"/>
      <c r="G408" s="98"/>
      <c r="H408" s="98"/>
      <c r="I408" s="98"/>
      <c r="J408" s="98"/>
      <c r="K408" s="98"/>
      <c r="L408" s="98"/>
      <c r="M408" s="98"/>
      <c r="N408" s="98"/>
      <c r="O408" s="98"/>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row>
    <row r="409" spans="1:44" x14ac:dyDescent="0.25">
      <c r="A409" s="40"/>
      <c r="B409" s="40"/>
      <c r="C409" s="40"/>
      <c r="D409" s="40"/>
      <c r="E409" s="98"/>
      <c r="F409" s="98"/>
      <c r="G409" s="98"/>
      <c r="H409" s="98"/>
      <c r="I409" s="98"/>
      <c r="J409" s="98"/>
      <c r="K409" s="98"/>
      <c r="L409" s="98"/>
      <c r="M409" s="98"/>
      <c r="N409" s="98"/>
      <c r="O409" s="98"/>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row>
    <row r="410" spans="1:44" x14ac:dyDescent="0.25">
      <c r="A410" s="40"/>
      <c r="B410" s="40"/>
      <c r="C410" s="40"/>
      <c r="D410" s="40"/>
      <c r="E410" s="98"/>
      <c r="F410" s="98"/>
      <c r="G410" s="98"/>
      <c r="H410" s="98"/>
      <c r="I410" s="98"/>
      <c r="J410" s="98"/>
      <c r="K410" s="98"/>
      <c r="L410" s="98"/>
      <c r="M410" s="98"/>
      <c r="N410" s="98"/>
      <c r="O410" s="98"/>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row>
    <row r="411" spans="1:44" x14ac:dyDescent="0.25">
      <c r="A411" s="40"/>
      <c r="B411" s="40"/>
      <c r="C411" s="40"/>
      <c r="D411" s="40"/>
      <c r="E411" s="98"/>
      <c r="F411" s="98"/>
      <c r="G411" s="98"/>
      <c r="H411" s="98"/>
      <c r="I411" s="98"/>
      <c r="J411" s="98"/>
      <c r="K411" s="98"/>
      <c r="L411" s="98"/>
      <c r="M411" s="98"/>
      <c r="N411" s="98"/>
      <c r="O411" s="98"/>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row>
    <row r="412" spans="1:44" x14ac:dyDescent="0.25">
      <c r="A412" s="40"/>
      <c r="B412" s="40"/>
      <c r="C412" s="40"/>
      <c r="D412" s="40"/>
      <c r="E412" s="98"/>
      <c r="F412" s="98"/>
      <c r="G412" s="98"/>
      <c r="H412" s="98"/>
      <c r="I412" s="98"/>
      <c r="J412" s="98"/>
      <c r="K412" s="98"/>
      <c r="L412" s="98"/>
      <c r="M412" s="98"/>
      <c r="N412" s="98"/>
      <c r="O412" s="98"/>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row>
    <row r="413" spans="1:44" x14ac:dyDescent="0.25">
      <c r="A413" s="40"/>
      <c r="B413" s="40"/>
      <c r="C413" s="40"/>
      <c r="D413" s="40"/>
      <c r="E413" s="98"/>
      <c r="F413" s="98"/>
      <c r="G413" s="98"/>
      <c r="H413" s="98"/>
      <c r="I413" s="98"/>
      <c r="J413" s="98"/>
      <c r="K413" s="98"/>
      <c r="L413" s="98"/>
      <c r="M413" s="98"/>
      <c r="N413" s="98"/>
      <c r="O413" s="98"/>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row>
    <row r="414" spans="1:44" x14ac:dyDescent="0.25">
      <c r="A414" s="40"/>
      <c r="B414" s="40"/>
      <c r="C414" s="40"/>
      <c r="D414" s="40"/>
      <c r="E414" s="98"/>
      <c r="F414" s="98"/>
      <c r="G414" s="98"/>
      <c r="H414" s="98"/>
      <c r="I414" s="98"/>
      <c r="J414" s="98"/>
      <c r="K414" s="98"/>
      <c r="L414" s="98"/>
      <c r="M414" s="98"/>
      <c r="N414" s="98"/>
      <c r="O414" s="98"/>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row>
    <row r="415" spans="1:44" x14ac:dyDescent="0.25">
      <c r="A415" s="40"/>
      <c r="B415" s="40"/>
      <c r="C415" s="40"/>
      <c r="D415" s="40"/>
      <c r="E415" s="98"/>
      <c r="F415" s="98"/>
      <c r="G415" s="98"/>
      <c r="H415" s="98"/>
      <c r="I415" s="98"/>
      <c r="J415" s="98"/>
      <c r="K415" s="98"/>
      <c r="L415" s="98"/>
      <c r="M415" s="98"/>
      <c r="N415" s="98"/>
      <c r="O415" s="98"/>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row>
    <row r="416" spans="1:44" x14ac:dyDescent="0.25">
      <c r="A416" s="40"/>
      <c r="B416" s="40"/>
      <c r="C416" s="40"/>
      <c r="D416" s="40"/>
      <c r="E416" s="98"/>
      <c r="F416" s="98"/>
      <c r="G416" s="98"/>
      <c r="H416" s="98"/>
      <c r="I416" s="98"/>
      <c r="J416" s="98"/>
      <c r="K416" s="98"/>
      <c r="L416" s="98"/>
      <c r="M416" s="98"/>
      <c r="N416" s="98"/>
      <c r="O416" s="98"/>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row>
    <row r="417" spans="1:44" x14ac:dyDescent="0.25">
      <c r="A417" s="40"/>
      <c r="B417" s="40"/>
      <c r="C417" s="40"/>
      <c r="D417" s="40"/>
      <c r="E417" s="98"/>
      <c r="F417" s="98"/>
      <c r="G417" s="98"/>
      <c r="H417" s="98"/>
      <c r="I417" s="98"/>
      <c r="J417" s="98"/>
      <c r="K417" s="98"/>
      <c r="L417" s="98"/>
      <c r="M417" s="98"/>
      <c r="N417" s="98"/>
      <c r="O417" s="98"/>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row>
    <row r="418" spans="1:44" x14ac:dyDescent="0.25">
      <c r="A418" s="40"/>
      <c r="B418" s="40"/>
      <c r="C418" s="40"/>
      <c r="D418" s="40"/>
      <c r="E418" s="98"/>
      <c r="F418" s="98"/>
      <c r="G418" s="98"/>
      <c r="H418" s="98"/>
      <c r="I418" s="98"/>
      <c r="J418" s="98"/>
      <c r="K418" s="98"/>
      <c r="L418" s="98"/>
      <c r="M418" s="98"/>
      <c r="N418" s="98"/>
      <c r="O418" s="98"/>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row>
    <row r="419" spans="1:44" x14ac:dyDescent="0.25">
      <c r="A419" s="40"/>
      <c r="B419" s="40"/>
      <c r="C419" s="40"/>
      <c r="D419" s="40"/>
      <c r="E419" s="98"/>
      <c r="F419" s="98"/>
      <c r="G419" s="98"/>
      <c r="H419" s="98"/>
      <c r="I419" s="98"/>
      <c r="J419" s="98"/>
      <c r="K419" s="98"/>
      <c r="L419" s="98"/>
      <c r="M419" s="98"/>
      <c r="N419" s="98"/>
      <c r="O419" s="98"/>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row>
    <row r="420" spans="1:44" x14ac:dyDescent="0.25">
      <c r="A420" s="40"/>
      <c r="B420" s="40"/>
      <c r="C420" s="40"/>
      <c r="D420" s="40"/>
      <c r="E420" s="98"/>
      <c r="F420" s="98"/>
      <c r="G420" s="98"/>
      <c r="H420" s="98"/>
      <c r="I420" s="98"/>
      <c r="J420" s="98"/>
      <c r="K420" s="98"/>
      <c r="L420" s="98"/>
      <c r="M420" s="98"/>
      <c r="N420" s="98"/>
      <c r="O420" s="98"/>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row>
    <row r="421" spans="1:44" x14ac:dyDescent="0.25">
      <c r="A421" s="40"/>
      <c r="B421" s="40"/>
      <c r="C421" s="40"/>
      <c r="D421" s="40"/>
      <c r="E421" s="98"/>
      <c r="F421" s="98"/>
      <c r="G421" s="98"/>
      <c r="H421" s="98"/>
      <c r="I421" s="98"/>
      <c r="J421" s="98"/>
      <c r="K421" s="98"/>
      <c r="L421" s="98"/>
      <c r="M421" s="98"/>
      <c r="N421" s="98"/>
      <c r="O421" s="98"/>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row>
    <row r="422" spans="1:44" x14ac:dyDescent="0.25">
      <c r="A422" s="40"/>
      <c r="B422" s="40"/>
      <c r="C422" s="40"/>
      <c r="D422" s="40"/>
      <c r="E422" s="98"/>
      <c r="F422" s="98"/>
      <c r="G422" s="98"/>
      <c r="H422" s="98"/>
      <c r="I422" s="98"/>
      <c r="J422" s="98"/>
      <c r="K422" s="98"/>
      <c r="L422" s="98"/>
      <c r="M422" s="98"/>
      <c r="N422" s="98"/>
      <c r="O422" s="98"/>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row>
    <row r="423" spans="1:44" x14ac:dyDescent="0.25">
      <c r="A423" s="40"/>
      <c r="B423" s="40"/>
      <c r="C423" s="40"/>
      <c r="D423" s="40"/>
      <c r="E423" s="98"/>
      <c r="F423" s="98"/>
      <c r="G423" s="98"/>
      <c r="H423" s="98"/>
      <c r="I423" s="98"/>
      <c r="J423" s="98"/>
      <c r="K423" s="98"/>
      <c r="L423" s="98"/>
      <c r="M423" s="98"/>
      <c r="N423" s="98"/>
      <c r="O423" s="98"/>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row>
    <row r="424" spans="1:44" x14ac:dyDescent="0.25">
      <c r="A424" s="40"/>
      <c r="B424" s="40"/>
      <c r="C424" s="40"/>
      <c r="D424" s="40"/>
      <c r="E424" s="98"/>
      <c r="F424" s="98"/>
      <c r="G424" s="98"/>
      <c r="H424" s="98"/>
      <c r="I424" s="98"/>
      <c r="J424" s="98"/>
      <c r="K424" s="98"/>
      <c r="L424" s="98"/>
      <c r="M424" s="98"/>
      <c r="N424" s="98"/>
      <c r="O424" s="98"/>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row>
    <row r="425" spans="1:44" x14ac:dyDescent="0.25">
      <c r="A425" s="40"/>
      <c r="B425" s="40"/>
      <c r="C425" s="40"/>
      <c r="D425" s="40"/>
      <c r="E425" s="98"/>
      <c r="F425" s="98"/>
      <c r="G425" s="98"/>
      <c r="H425" s="98"/>
      <c r="I425" s="98"/>
      <c r="J425" s="98"/>
      <c r="K425" s="98"/>
      <c r="L425" s="98"/>
      <c r="M425" s="98"/>
      <c r="N425" s="98"/>
      <c r="O425" s="98"/>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row>
    <row r="426" spans="1:44" x14ac:dyDescent="0.25">
      <c r="A426" s="40"/>
      <c r="B426" s="40"/>
      <c r="C426" s="40"/>
      <c r="D426" s="40"/>
      <c r="E426" s="98"/>
      <c r="F426" s="98"/>
      <c r="G426" s="98"/>
      <c r="H426" s="98"/>
      <c r="I426" s="98"/>
      <c r="J426" s="98"/>
      <c r="K426" s="98"/>
      <c r="L426" s="98"/>
      <c r="M426" s="98"/>
      <c r="N426" s="98"/>
      <c r="O426" s="98"/>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row>
    <row r="427" spans="1:44" x14ac:dyDescent="0.25">
      <c r="A427" s="40"/>
      <c r="B427" s="40"/>
      <c r="C427" s="40"/>
      <c r="D427" s="40"/>
      <c r="E427" s="98"/>
      <c r="F427" s="98"/>
      <c r="G427" s="98"/>
      <c r="H427" s="98"/>
      <c r="I427" s="98"/>
      <c r="J427" s="98"/>
      <c r="K427" s="98"/>
      <c r="L427" s="98"/>
      <c r="M427" s="98"/>
      <c r="N427" s="98"/>
      <c r="O427" s="98"/>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row>
    <row r="428" spans="1:44" x14ac:dyDescent="0.25">
      <c r="A428" s="40"/>
      <c r="B428" s="40"/>
      <c r="C428" s="40"/>
      <c r="D428" s="40"/>
      <c r="E428" s="98"/>
      <c r="F428" s="98"/>
      <c r="G428" s="98"/>
      <c r="H428" s="98"/>
      <c r="I428" s="98"/>
      <c r="J428" s="98"/>
      <c r="K428" s="98"/>
      <c r="L428" s="98"/>
      <c r="M428" s="98"/>
      <c r="N428" s="98"/>
      <c r="O428" s="98"/>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row>
    <row r="429" spans="1:44" x14ac:dyDescent="0.25">
      <c r="A429" s="40"/>
      <c r="B429" s="40"/>
      <c r="C429" s="40"/>
      <c r="D429" s="40"/>
      <c r="E429" s="98"/>
      <c r="F429" s="98"/>
      <c r="G429" s="98"/>
      <c r="H429" s="98"/>
      <c r="I429" s="98"/>
      <c r="J429" s="98"/>
      <c r="K429" s="98"/>
      <c r="L429" s="98"/>
      <c r="M429" s="98"/>
      <c r="N429" s="98"/>
      <c r="O429" s="98"/>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row>
    <row r="430" spans="1:44" x14ac:dyDescent="0.25">
      <c r="A430" s="40"/>
      <c r="B430" s="40"/>
      <c r="C430" s="40"/>
      <c r="D430" s="40"/>
      <c r="E430" s="98"/>
      <c r="F430" s="98"/>
      <c r="G430" s="98"/>
      <c r="H430" s="98"/>
      <c r="I430" s="98"/>
      <c r="J430" s="98"/>
      <c r="K430" s="98"/>
      <c r="L430" s="98"/>
      <c r="M430" s="98"/>
      <c r="N430" s="98"/>
      <c r="O430" s="98"/>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row>
    <row r="431" spans="1:44" x14ac:dyDescent="0.25">
      <c r="A431" s="40"/>
      <c r="B431" s="40"/>
      <c r="C431" s="40"/>
      <c r="D431" s="40"/>
      <c r="E431" s="98"/>
      <c r="F431" s="98"/>
      <c r="G431" s="98"/>
      <c r="H431" s="98"/>
      <c r="I431" s="98"/>
      <c r="J431" s="98"/>
      <c r="K431" s="98"/>
      <c r="L431" s="98"/>
      <c r="M431" s="98"/>
      <c r="N431" s="98"/>
      <c r="O431" s="98"/>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row>
    <row r="432" spans="1:44" x14ac:dyDescent="0.25">
      <c r="A432" s="40"/>
      <c r="B432" s="40"/>
      <c r="C432" s="40"/>
      <c r="D432" s="40"/>
      <c r="E432" s="98"/>
      <c r="F432" s="98"/>
      <c r="G432" s="98"/>
      <c r="H432" s="98"/>
      <c r="I432" s="98"/>
      <c r="J432" s="98"/>
      <c r="K432" s="98"/>
      <c r="L432" s="98"/>
      <c r="M432" s="98"/>
      <c r="N432" s="98"/>
      <c r="O432" s="98"/>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row>
    <row r="433" spans="1:44" x14ac:dyDescent="0.25">
      <c r="A433" s="40"/>
      <c r="B433" s="40"/>
      <c r="C433" s="40"/>
      <c r="D433" s="40"/>
      <c r="E433" s="98"/>
      <c r="F433" s="98"/>
      <c r="G433" s="98"/>
      <c r="H433" s="98"/>
      <c r="I433" s="98"/>
      <c r="J433" s="98"/>
      <c r="K433" s="98"/>
      <c r="L433" s="98"/>
      <c r="M433" s="98"/>
      <c r="N433" s="98"/>
      <c r="O433" s="98"/>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row>
    <row r="434" spans="1:44" x14ac:dyDescent="0.25">
      <c r="A434" s="40"/>
      <c r="B434" s="40"/>
      <c r="C434" s="40"/>
      <c r="D434" s="40"/>
      <c r="E434" s="98"/>
      <c r="F434" s="98"/>
      <c r="G434" s="98"/>
      <c r="H434" s="98"/>
      <c r="I434" s="98"/>
      <c r="J434" s="98"/>
      <c r="K434" s="98"/>
      <c r="L434" s="98"/>
      <c r="M434" s="98"/>
      <c r="N434" s="98"/>
      <c r="O434" s="98"/>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row>
    <row r="435" spans="1:44" x14ac:dyDescent="0.25">
      <c r="A435" s="40"/>
      <c r="B435" s="40"/>
      <c r="C435" s="40"/>
      <c r="D435" s="40"/>
      <c r="E435" s="98"/>
      <c r="F435" s="98"/>
      <c r="G435" s="98"/>
      <c r="H435" s="98"/>
      <c r="I435" s="98"/>
      <c r="J435" s="98"/>
      <c r="K435" s="98"/>
      <c r="L435" s="98"/>
      <c r="M435" s="98"/>
      <c r="N435" s="98"/>
      <c r="O435" s="98"/>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row>
    <row r="436" spans="1:44" x14ac:dyDescent="0.25">
      <c r="A436" s="40"/>
      <c r="B436" s="40"/>
      <c r="C436" s="40"/>
      <c r="D436" s="40"/>
      <c r="E436" s="98"/>
      <c r="F436" s="98"/>
      <c r="G436" s="98"/>
      <c r="H436" s="98"/>
      <c r="I436" s="98"/>
      <c r="J436" s="98"/>
      <c r="K436" s="98"/>
      <c r="L436" s="98"/>
      <c r="M436" s="98"/>
      <c r="N436" s="98"/>
      <c r="O436" s="98"/>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row>
    <row r="437" spans="1:44" x14ac:dyDescent="0.25">
      <c r="A437" s="40"/>
      <c r="B437" s="40"/>
      <c r="C437" s="40"/>
      <c r="D437" s="40"/>
      <c r="E437" s="98"/>
      <c r="F437" s="98"/>
      <c r="G437" s="98"/>
      <c r="H437" s="98"/>
      <c r="I437" s="98"/>
      <c r="J437" s="98"/>
      <c r="K437" s="98"/>
      <c r="L437" s="98"/>
      <c r="M437" s="98"/>
      <c r="N437" s="98"/>
      <c r="O437" s="98"/>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row>
    <row r="438" spans="1:44" x14ac:dyDescent="0.25">
      <c r="A438" s="40"/>
      <c r="B438" s="40"/>
      <c r="C438" s="40"/>
      <c r="D438" s="40"/>
      <c r="E438" s="98"/>
      <c r="F438" s="98"/>
      <c r="G438" s="98"/>
      <c r="H438" s="98"/>
      <c r="I438" s="98"/>
      <c r="J438" s="98"/>
      <c r="K438" s="98"/>
      <c r="L438" s="98"/>
      <c r="M438" s="98"/>
      <c r="N438" s="98"/>
      <c r="O438" s="98"/>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row>
    <row r="439" spans="1:44" x14ac:dyDescent="0.25">
      <c r="A439" s="40"/>
      <c r="B439" s="40"/>
      <c r="C439" s="40"/>
      <c r="D439" s="40"/>
      <c r="E439" s="98"/>
      <c r="F439" s="98"/>
      <c r="G439" s="98"/>
      <c r="H439" s="98"/>
      <c r="I439" s="98"/>
      <c r="J439" s="98"/>
      <c r="K439" s="98"/>
      <c r="L439" s="98"/>
      <c r="M439" s="98"/>
      <c r="N439" s="98"/>
      <c r="O439" s="98"/>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row>
    <row r="440" spans="1:44" x14ac:dyDescent="0.25">
      <c r="A440" s="40"/>
      <c r="B440" s="40"/>
      <c r="C440" s="40"/>
      <c r="D440" s="40"/>
      <c r="E440" s="98"/>
      <c r="F440" s="98"/>
      <c r="G440" s="98"/>
      <c r="H440" s="98"/>
      <c r="I440" s="98"/>
      <c r="J440" s="98"/>
      <c r="K440" s="98"/>
      <c r="L440" s="98"/>
      <c r="M440" s="98"/>
      <c r="N440" s="98"/>
      <c r="O440" s="98"/>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row>
    <row r="441" spans="1:44" x14ac:dyDescent="0.25">
      <c r="A441" s="40"/>
      <c r="B441" s="40"/>
      <c r="C441" s="40"/>
      <c r="D441" s="40"/>
      <c r="E441" s="98"/>
      <c r="F441" s="98"/>
      <c r="G441" s="98"/>
      <c r="H441" s="98"/>
      <c r="I441" s="98"/>
      <c r="J441" s="98"/>
      <c r="K441" s="98"/>
      <c r="L441" s="98"/>
      <c r="M441" s="98"/>
      <c r="N441" s="98"/>
      <c r="O441" s="98"/>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row>
    <row r="442" spans="1:44" x14ac:dyDescent="0.25">
      <c r="A442" s="40"/>
      <c r="B442" s="40"/>
      <c r="C442" s="40"/>
      <c r="D442" s="40"/>
      <c r="E442" s="98"/>
      <c r="F442" s="98"/>
      <c r="G442" s="98"/>
      <c r="H442" s="98"/>
      <c r="I442" s="98"/>
      <c r="J442" s="98"/>
      <c r="K442" s="98"/>
      <c r="L442" s="98"/>
      <c r="M442" s="98"/>
      <c r="N442" s="98"/>
      <c r="O442" s="98"/>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row>
    <row r="443" spans="1:44" x14ac:dyDescent="0.25">
      <c r="A443" s="40"/>
      <c r="B443" s="40"/>
      <c r="C443" s="40"/>
      <c r="D443" s="40"/>
      <c r="E443" s="98"/>
      <c r="F443" s="98"/>
      <c r="G443" s="98"/>
      <c r="H443" s="98"/>
      <c r="I443" s="98"/>
      <c r="J443" s="98"/>
      <c r="K443" s="98"/>
      <c r="L443" s="98"/>
      <c r="M443" s="98"/>
      <c r="N443" s="98"/>
      <c r="O443" s="98"/>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row>
    <row r="444" spans="1:44" x14ac:dyDescent="0.25">
      <c r="A444" s="40"/>
      <c r="B444" s="40"/>
      <c r="C444" s="40"/>
      <c r="D444" s="40"/>
      <c r="E444" s="98"/>
      <c r="F444" s="98"/>
      <c r="G444" s="98"/>
      <c r="H444" s="98"/>
      <c r="I444" s="98"/>
      <c r="J444" s="98"/>
      <c r="K444" s="98"/>
      <c r="L444" s="98"/>
      <c r="M444" s="98"/>
      <c r="N444" s="98"/>
      <c r="O444" s="98"/>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row>
    <row r="445" spans="1:44" x14ac:dyDescent="0.25">
      <c r="A445" s="40"/>
      <c r="B445" s="40"/>
      <c r="C445" s="40"/>
      <c r="D445" s="40"/>
      <c r="E445" s="98"/>
      <c r="F445" s="98"/>
      <c r="G445" s="98"/>
      <c r="H445" s="98"/>
      <c r="I445" s="98"/>
      <c r="J445" s="98"/>
      <c r="K445" s="98"/>
      <c r="L445" s="98"/>
      <c r="M445" s="98"/>
      <c r="N445" s="98"/>
      <c r="O445" s="98"/>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row>
    <row r="446" spans="1:44" x14ac:dyDescent="0.25">
      <c r="A446" s="40"/>
      <c r="B446" s="40"/>
      <c r="C446" s="40"/>
      <c r="D446" s="40"/>
      <c r="E446" s="98"/>
      <c r="F446" s="98"/>
      <c r="G446" s="98"/>
      <c r="H446" s="98"/>
      <c r="I446" s="98"/>
      <c r="J446" s="98"/>
      <c r="K446" s="98"/>
      <c r="L446" s="98"/>
      <c r="M446" s="98"/>
      <c r="N446" s="98"/>
      <c r="O446" s="98"/>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row>
    <row r="447" spans="1:44" x14ac:dyDescent="0.25">
      <c r="A447" s="40"/>
      <c r="B447" s="40"/>
      <c r="C447" s="40"/>
      <c r="D447" s="40"/>
      <c r="E447" s="98"/>
      <c r="F447" s="98"/>
      <c r="G447" s="98"/>
      <c r="H447" s="98"/>
      <c r="I447" s="98"/>
      <c r="J447" s="98"/>
      <c r="K447" s="98"/>
      <c r="L447" s="98"/>
      <c r="M447" s="98"/>
      <c r="N447" s="98"/>
      <c r="O447" s="98"/>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row>
    <row r="448" spans="1:44" x14ac:dyDescent="0.25">
      <c r="A448" s="40"/>
      <c r="B448" s="40"/>
      <c r="C448" s="40"/>
      <c r="D448" s="40"/>
      <c r="E448" s="98"/>
      <c r="F448" s="98"/>
      <c r="G448" s="98"/>
      <c r="H448" s="98"/>
      <c r="I448" s="98"/>
      <c r="J448" s="98"/>
      <c r="K448" s="98"/>
      <c r="L448" s="98"/>
      <c r="M448" s="98"/>
      <c r="N448" s="98"/>
      <c r="O448" s="98"/>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row>
    <row r="449" spans="1:44" x14ac:dyDescent="0.25">
      <c r="A449" s="40"/>
      <c r="B449" s="40"/>
      <c r="C449" s="40"/>
      <c r="D449" s="40"/>
      <c r="E449" s="98"/>
      <c r="F449" s="98"/>
      <c r="G449" s="98"/>
      <c r="H449" s="98"/>
      <c r="I449" s="98"/>
      <c r="J449" s="98"/>
      <c r="K449" s="98"/>
      <c r="L449" s="98"/>
      <c r="M449" s="98"/>
      <c r="N449" s="98"/>
      <c r="O449" s="98"/>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row>
    <row r="450" spans="1:44" x14ac:dyDescent="0.25">
      <c r="A450" s="40"/>
      <c r="B450" s="40"/>
      <c r="C450" s="40"/>
      <c r="D450" s="40"/>
      <c r="E450" s="98"/>
      <c r="F450" s="98"/>
      <c r="G450" s="98"/>
      <c r="H450" s="98"/>
      <c r="I450" s="98"/>
      <c r="J450" s="98"/>
      <c r="K450" s="98"/>
      <c r="L450" s="98"/>
      <c r="M450" s="98"/>
      <c r="N450" s="98"/>
      <c r="O450" s="98"/>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row>
    <row r="451" spans="1:44" x14ac:dyDescent="0.25">
      <c r="A451" s="40"/>
      <c r="B451" s="40"/>
      <c r="C451" s="40"/>
      <c r="D451" s="40"/>
      <c r="E451" s="98"/>
      <c r="F451" s="98"/>
      <c r="G451" s="98"/>
      <c r="H451" s="98"/>
      <c r="I451" s="98"/>
      <c r="J451" s="98"/>
      <c r="K451" s="98"/>
      <c r="L451" s="98"/>
      <c r="M451" s="98"/>
      <c r="N451" s="98"/>
      <c r="O451" s="98"/>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row>
    <row r="452" spans="1:44" x14ac:dyDescent="0.25">
      <c r="A452" s="40"/>
      <c r="B452" s="40"/>
      <c r="C452" s="40"/>
      <c r="D452" s="40"/>
      <c r="E452" s="98"/>
      <c r="F452" s="98"/>
      <c r="G452" s="98"/>
      <c r="H452" s="98"/>
      <c r="I452" s="98"/>
      <c r="J452" s="98"/>
      <c r="K452" s="98"/>
      <c r="L452" s="98"/>
      <c r="M452" s="98"/>
      <c r="N452" s="98"/>
      <c r="O452" s="98"/>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row>
    <row r="453" spans="1:44" x14ac:dyDescent="0.25">
      <c r="A453" s="40"/>
      <c r="B453" s="40"/>
      <c r="C453" s="40"/>
      <c r="D453" s="40"/>
      <c r="E453" s="98"/>
      <c r="F453" s="98"/>
      <c r="G453" s="98"/>
      <c r="H453" s="98"/>
      <c r="I453" s="98"/>
      <c r="J453" s="98"/>
      <c r="K453" s="98"/>
      <c r="L453" s="98"/>
      <c r="M453" s="98"/>
      <c r="N453" s="98"/>
      <c r="O453" s="98"/>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row>
    <row r="454" spans="1:44" x14ac:dyDescent="0.25">
      <c r="A454" s="40"/>
      <c r="B454" s="40"/>
      <c r="C454" s="40"/>
      <c r="D454" s="40"/>
      <c r="E454" s="98"/>
      <c r="F454" s="98"/>
      <c r="G454" s="98"/>
      <c r="H454" s="98"/>
      <c r="I454" s="98"/>
      <c r="J454" s="98"/>
      <c r="K454" s="98"/>
      <c r="L454" s="98"/>
      <c r="M454" s="98"/>
      <c r="N454" s="98"/>
      <c r="O454" s="98"/>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row>
    <row r="455" spans="1:44" x14ac:dyDescent="0.25">
      <c r="A455" s="40"/>
      <c r="B455" s="40"/>
      <c r="C455" s="40"/>
      <c r="D455" s="40"/>
      <c r="E455" s="98"/>
      <c r="F455" s="98"/>
      <c r="G455" s="98"/>
      <c r="H455" s="98"/>
      <c r="I455" s="98"/>
      <c r="J455" s="98"/>
      <c r="K455" s="98"/>
      <c r="L455" s="98"/>
      <c r="M455" s="98"/>
      <c r="N455" s="98"/>
      <c r="O455" s="98"/>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row>
    <row r="456" spans="1:44" x14ac:dyDescent="0.25">
      <c r="A456" s="40"/>
      <c r="B456" s="40"/>
      <c r="C456" s="40"/>
      <c r="D456" s="40"/>
      <c r="E456" s="98"/>
      <c r="F456" s="98"/>
      <c r="G456" s="98"/>
      <c r="H456" s="98"/>
      <c r="I456" s="98"/>
      <c r="J456" s="98"/>
      <c r="K456" s="98"/>
      <c r="L456" s="98"/>
      <c r="M456" s="98"/>
      <c r="N456" s="98"/>
      <c r="O456" s="98"/>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row>
    <row r="457" spans="1:44" x14ac:dyDescent="0.25">
      <c r="A457" s="40"/>
      <c r="B457" s="40"/>
      <c r="C457" s="40"/>
      <c r="D457" s="40"/>
      <c r="E457" s="98"/>
      <c r="F457" s="98"/>
      <c r="G457" s="98"/>
      <c r="H457" s="98"/>
      <c r="I457" s="98"/>
      <c r="J457" s="98"/>
      <c r="K457" s="98"/>
      <c r="L457" s="98"/>
      <c r="M457" s="98"/>
      <c r="N457" s="98"/>
      <c r="O457" s="98"/>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row>
    <row r="458" spans="1:44" x14ac:dyDescent="0.25">
      <c r="A458" s="40"/>
      <c r="B458" s="40"/>
      <c r="C458" s="40"/>
      <c r="D458" s="40"/>
      <c r="E458" s="98"/>
      <c r="F458" s="98"/>
      <c r="G458" s="98"/>
      <c r="H458" s="98"/>
      <c r="I458" s="98"/>
      <c r="J458" s="98"/>
      <c r="K458" s="98"/>
      <c r="L458" s="98"/>
      <c r="M458" s="98"/>
      <c r="N458" s="98"/>
      <c r="O458" s="98"/>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row>
    <row r="459" spans="1:44" x14ac:dyDescent="0.25">
      <c r="A459" s="40"/>
      <c r="B459" s="40"/>
      <c r="C459" s="40"/>
      <c r="D459" s="40"/>
      <c r="E459" s="98"/>
      <c r="F459" s="98"/>
      <c r="G459" s="98"/>
      <c r="H459" s="98"/>
      <c r="I459" s="98"/>
      <c r="J459" s="98"/>
      <c r="K459" s="98"/>
      <c r="L459" s="98"/>
      <c r="M459" s="98"/>
      <c r="N459" s="98"/>
      <c r="O459" s="98"/>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row>
    <row r="460" spans="1:44" x14ac:dyDescent="0.25">
      <c r="A460" s="40"/>
      <c r="B460" s="40"/>
      <c r="C460" s="40"/>
      <c r="D460" s="40"/>
      <c r="E460" s="98"/>
      <c r="F460" s="98"/>
      <c r="G460" s="98"/>
      <c r="H460" s="98"/>
      <c r="I460" s="98"/>
      <c r="J460" s="98"/>
      <c r="K460" s="98"/>
      <c r="L460" s="98"/>
      <c r="M460" s="98"/>
      <c r="N460" s="98"/>
      <c r="O460" s="98"/>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row>
    <row r="461" spans="1:44" x14ac:dyDescent="0.25">
      <c r="A461" s="40"/>
      <c r="B461" s="40"/>
      <c r="C461" s="40"/>
      <c r="D461" s="40"/>
      <c r="E461" s="98"/>
      <c r="F461" s="98"/>
      <c r="G461" s="98"/>
      <c r="H461" s="98"/>
      <c r="I461" s="98"/>
      <c r="J461" s="98"/>
      <c r="K461" s="98"/>
      <c r="L461" s="98"/>
      <c r="M461" s="98"/>
      <c r="N461" s="98"/>
      <c r="O461" s="98"/>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row>
    <row r="462" spans="1:44" x14ac:dyDescent="0.25">
      <c r="A462" s="40"/>
      <c r="B462" s="40"/>
      <c r="C462" s="40"/>
      <c r="D462" s="40"/>
      <c r="E462" s="98"/>
      <c r="F462" s="98"/>
      <c r="G462" s="98"/>
      <c r="H462" s="98"/>
      <c r="I462" s="98"/>
      <c r="J462" s="98"/>
      <c r="K462" s="98"/>
      <c r="L462" s="98"/>
      <c r="M462" s="98"/>
      <c r="N462" s="98"/>
      <c r="O462" s="98"/>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row>
    <row r="463" spans="1:44" x14ac:dyDescent="0.25">
      <c r="A463" s="40"/>
      <c r="B463" s="40"/>
      <c r="C463" s="40"/>
      <c r="D463" s="40"/>
      <c r="E463" s="98"/>
      <c r="F463" s="98"/>
      <c r="G463" s="98"/>
      <c r="H463" s="98"/>
      <c r="I463" s="98"/>
      <c r="J463" s="98"/>
      <c r="K463" s="98"/>
      <c r="L463" s="98"/>
      <c r="M463" s="98"/>
      <c r="N463" s="98"/>
      <c r="O463" s="98"/>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row>
    <row r="464" spans="1:44" x14ac:dyDescent="0.25">
      <c r="A464" s="40"/>
      <c r="B464" s="40"/>
      <c r="C464" s="40"/>
      <c r="D464" s="40"/>
      <c r="E464" s="98"/>
      <c r="F464" s="98"/>
      <c r="G464" s="98"/>
      <c r="H464" s="98"/>
      <c r="I464" s="98"/>
      <c r="J464" s="98"/>
      <c r="K464" s="98"/>
      <c r="L464" s="98"/>
      <c r="M464" s="98"/>
      <c r="N464" s="98"/>
      <c r="O464" s="98"/>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row>
    <row r="465" spans="1:44" x14ac:dyDescent="0.25">
      <c r="A465" s="40"/>
      <c r="B465" s="40"/>
      <c r="C465" s="40"/>
      <c r="D465" s="40"/>
      <c r="E465" s="98"/>
      <c r="F465" s="98"/>
      <c r="G465" s="98"/>
      <c r="H465" s="98"/>
      <c r="I465" s="98"/>
      <c r="J465" s="98"/>
      <c r="K465" s="98"/>
      <c r="L465" s="98"/>
      <c r="M465" s="98"/>
      <c r="N465" s="98"/>
      <c r="O465" s="98"/>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row>
    <row r="466" spans="1:44" x14ac:dyDescent="0.25">
      <c r="A466" s="40"/>
      <c r="B466" s="40"/>
      <c r="C466" s="40"/>
      <c r="D466" s="40"/>
      <c r="E466" s="98"/>
      <c r="F466" s="98"/>
      <c r="G466" s="98"/>
      <c r="H466" s="98"/>
      <c r="I466" s="98"/>
      <c r="J466" s="98"/>
      <c r="K466" s="98"/>
      <c r="L466" s="98"/>
      <c r="M466" s="98"/>
      <c r="N466" s="98"/>
      <c r="O466" s="98"/>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row>
    <row r="467" spans="1:44" x14ac:dyDescent="0.25">
      <c r="A467" s="40"/>
      <c r="B467" s="40"/>
      <c r="C467" s="40"/>
      <c r="D467" s="40"/>
      <c r="E467" s="98"/>
      <c r="F467" s="98"/>
      <c r="G467" s="98"/>
      <c r="H467" s="98"/>
      <c r="I467" s="98"/>
      <c r="J467" s="98"/>
      <c r="K467" s="98"/>
      <c r="L467" s="98"/>
      <c r="M467" s="98"/>
      <c r="N467" s="98"/>
      <c r="O467" s="98"/>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row>
    <row r="468" spans="1:44" x14ac:dyDescent="0.25">
      <c r="A468" s="40"/>
      <c r="B468" s="40"/>
      <c r="C468" s="40"/>
      <c r="D468" s="40"/>
      <c r="E468" s="98"/>
      <c r="F468" s="98"/>
      <c r="G468" s="98"/>
      <c r="H468" s="98"/>
      <c r="I468" s="98"/>
      <c r="J468" s="98"/>
      <c r="K468" s="98"/>
      <c r="L468" s="98"/>
      <c r="M468" s="98"/>
      <c r="N468" s="98"/>
      <c r="O468" s="98"/>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row>
    <row r="469" spans="1:44" x14ac:dyDescent="0.25">
      <c r="A469" s="40"/>
      <c r="B469" s="40"/>
      <c r="C469" s="40"/>
      <c r="D469" s="40"/>
      <c r="E469" s="98"/>
      <c r="F469" s="98"/>
      <c r="G469" s="98"/>
      <c r="H469" s="98"/>
      <c r="I469" s="98"/>
      <c r="J469" s="98"/>
      <c r="K469" s="98"/>
      <c r="L469" s="98"/>
      <c r="M469" s="98"/>
      <c r="N469" s="98"/>
      <c r="O469" s="98"/>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row>
    <row r="470" spans="1:44" x14ac:dyDescent="0.25">
      <c r="A470" s="40"/>
      <c r="B470" s="40"/>
      <c r="C470" s="40"/>
      <c r="D470" s="40"/>
      <c r="E470" s="98"/>
      <c r="F470" s="98"/>
      <c r="G470" s="98"/>
      <c r="H470" s="98"/>
      <c r="I470" s="98"/>
      <c r="J470" s="98"/>
      <c r="K470" s="98"/>
      <c r="L470" s="98"/>
      <c r="M470" s="98"/>
      <c r="N470" s="98"/>
      <c r="O470" s="98"/>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row>
    <row r="471" spans="1:44" x14ac:dyDescent="0.25">
      <c r="A471" s="40"/>
      <c r="B471" s="40"/>
      <c r="C471" s="40"/>
      <c r="D471" s="40"/>
      <c r="E471" s="98"/>
      <c r="F471" s="98"/>
      <c r="G471" s="98"/>
      <c r="H471" s="98"/>
      <c r="I471" s="98"/>
      <c r="J471" s="98"/>
      <c r="K471" s="98"/>
      <c r="L471" s="98"/>
      <c r="M471" s="98"/>
      <c r="N471" s="98"/>
      <c r="O471" s="98"/>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row>
    <row r="472" spans="1:44" x14ac:dyDescent="0.25">
      <c r="A472" s="40"/>
      <c r="B472" s="40"/>
      <c r="C472" s="40"/>
      <c r="D472" s="40"/>
      <c r="E472" s="98"/>
      <c r="F472" s="98"/>
      <c r="G472" s="98"/>
      <c r="H472" s="98"/>
      <c r="I472" s="98"/>
      <c r="J472" s="98"/>
      <c r="K472" s="98"/>
      <c r="L472" s="98"/>
      <c r="M472" s="98"/>
      <c r="N472" s="98"/>
      <c r="O472" s="98"/>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row>
    <row r="473" spans="1:44" x14ac:dyDescent="0.25">
      <c r="A473" s="40"/>
      <c r="B473" s="40"/>
      <c r="C473" s="40"/>
      <c r="D473" s="40"/>
      <c r="E473" s="98"/>
      <c r="F473" s="98"/>
      <c r="G473" s="98"/>
      <c r="H473" s="98"/>
      <c r="I473" s="98"/>
      <c r="J473" s="98"/>
      <c r="K473" s="98"/>
      <c r="L473" s="98"/>
      <c r="M473" s="98"/>
      <c r="N473" s="98"/>
      <c r="O473" s="98"/>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row>
    <row r="474" spans="1:44" x14ac:dyDescent="0.25">
      <c r="A474" s="40"/>
      <c r="B474" s="40"/>
      <c r="C474" s="40"/>
      <c r="D474" s="40"/>
      <c r="E474" s="98"/>
      <c r="F474" s="98"/>
      <c r="G474" s="98"/>
      <c r="H474" s="98"/>
      <c r="I474" s="98"/>
      <c r="J474" s="98"/>
      <c r="K474" s="98"/>
      <c r="L474" s="98"/>
      <c r="M474" s="98"/>
      <c r="N474" s="98"/>
      <c r="O474" s="98"/>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row>
    <row r="475" spans="1:44" x14ac:dyDescent="0.25">
      <c r="A475" s="40"/>
      <c r="B475" s="40"/>
      <c r="C475" s="40"/>
      <c r="D475" s="40"/>
      <c r="E475" s="98"/>
      <c r="F475" s="98"/>
      <c r="G475" s="98"/>
      <c r="H475" s="98"/>
      <c r="I475" s="98"/>
      <c r="J475" s="98"/>
      <c r="K475" s="98"/>
      <c r="L475" s="98"/>
      <c r="M475" s="98"/>
      <c r="N475" s="98"/>
      <c r="O475" s="98"/>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row>
    <row r="476" spans="1:44" x14ac:dyDescent="0.25">
      <c r="A476" s="40"/>
      <c r="B476" s="40"/>
      <c r="C476" s="40"/>
      <c r="D476" s="40"/>
      <c r="E476" s="98"/>
      <c r="F476" s="98"/>
      <c r="G476" s="98"/>
      <c r="H476" s="98"/>
      <c r="I476" s="98"/>
      <c r="J476" s="98"/>
      <c r="K476" s="98"/>
      <c r="L476" s="98"/>
      <c r="M476" s="98"/>
      <c r="N476" s="98"/>
      <c r="O476" s="98"/>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row>
    <row r="477" spans="1:44" x14ac:dyDescent="0.25">
      <c r="A477" s="40"/>
      <c r="B477" s="40"/>
      <c r="C477" s="40"/>
      <c r="D477" s="40"/>
      <c r="E477" s="98"/>
      <c r="F477" s="98"/>
      <c r="G477" s="98"/>
      <c r="H477" s="98"/>
      <c r="I477" s="98"/>
      <c r="J477" s="98"/>
      <c r="K477" s="98"/>
      <c r="L477" s="98"/>
      <c r="M477" s="98"/>
      <c r="N477" s="98"/>
      <c r="O477" s="98"/>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row>
    <row r="478" spans="1:44" x14ac:dyDescent="0.25">
      <c r="A478" s="40"/>
      <c r="B478" s="40"/>
      <c r="C478" s="40"/>
      <c r="D478" s="40"/>
      <c r="E478" s="98"/>
      <c r="F478" s="98"/>
      <c r="G478" s="98"/>
      <c r="H478" s="98"/>
      <c r="I478" s="98"/>
      <c r="J478" s="98"/>
      <c r="K478" s="98"/>
      <c r="L478" s="98"/>
      <c r="M478" s="98"/>
      <c r="N478" s="98"/>
      <c r="O478" s="98"/>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row>
    <row r="479" spans="1:44" x14ac:dyDescent="0.25">
      <c r="A479" s="40"/>
      <c r="B479" s="40"/>
      <c r="C479" s="40"/>
      <c r="D479" s="40"/>
      <c r="E479" s="98"/>
      <c r="F479" s="98"/>
      <c r="G479" s="98"/>
      <c r="H479" s="98"/>
      <c r="I479" s="98"/>
      <c r="J479" s="98"/>
      <c r="K479" s="98"/>
      <c r="L479" s="98"/>
      <c r="M479" s="98"/>
      <c r="N479" s="98"/>
      <c r="O479" s="98"/>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row>
    <row r="480" spans="1:44" x14ac:dyDescent="0.25">
      <c r="A480" s="40"/>
      <c r="B480" s="40"/>
      <c r="C480" s="40"/>
      <c r="D480" s="40"/>
      <c r="E480" s="98"/>
      <c r="F480" s="98"/>
      <c r="G480" s="98"/>
      <c r="H480" s="98"/>
      <c r="I480" s="98"/>
      <c r="J480" s="98"/>
      <c r="K480" s="98"/>
      <c r="L480" s="98"/>
      <c r="M480" s="98"/>
      <c r="N480" s="98"/>
      <c r="O480" s="98"/>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row>
    <row r="481" spans="1:44" x14ac:dyDescent="0.25">
      <c r="A481" s="40"/>
      <c r="B481" s="40"/>
      <c r="C481" s="40"/>
      <c r="D481" s="40"/>
      <c r="E481" s="98"/>
      <c r="F481" s="98"/>
      <c r="G481" s="98"/>
      <c r="H481" s="98"/>
      <c r="I481" s="98"/>
      <c r="J481" s="98"/>
      <c r="K481" s="98"/>
      <c r="L481" s="98"/>
      <c r="M481" s="98"/>
      <c r="N481" s="98"/>
      <c r="O481" s="98"/>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row>
    <row r="482" spans="1:44" x14ac:dyDescent="0.25">
      <c r="A482" s="40"/>
      <c r="B482" s="40"/>
      <c r="C482" s="40"/>
      <c r="D482" s="40"/>
      <c r="E482" s="98"/>
      <c r="F482" s="98"/>
      <c r="G482" s="98"/>
      <c r="H482" s="98"/>
      <c r="I482" s="98"/>
      <c r="J482" s="98"/>
      <c r="K482" s="98"/>
      <c r="L482" s="98"/>
      <c r="M482" s="98"/>
      <c r="N482" s="98"/>
      <c r="O482" s="98"/>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row>
    <row r="483" spans="1:44" x14ac:dyDescent="0.25">
      <c r="A483" s="40"/>
      <c r="B483" s="40"/>
      <c r="C483" s="40"/>
      <c r="D483" s="40"/>
      <c r="E483" s="98"/>
      <c r="F483" s="98"/>
      <c r="G483" s="98"/>
      <c r="H483" s="98"/>
      <c r="I483" s="98"/>
      <c r="J483" s="98"/>
      <c r="K483" s="98"/>
      <c r="L483" s="98"/>
      <c r="M483" s="98"/>
      <c r="N483" s="98"/>
      <c r="O483" s="98"/>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row>
    <row r="484" spans="1:44" x14ac:dyDescent="0.25">
      <c r="A484" s="40"/>
      <c r="B484" s="40"/>
      <c r="C484" s="40"/>
      <c r="D484" s="40"/>
      <c r="E484" s="98"/>
      <c r="F484" s="98"/>
      <c r="G484" s="98"/>
      <c r="H484" s="98"/>
      <c r="I484" s="98"/>
      <c r="J484" s="98"/>
      <c r="K484" s="98"/>
      <c r="L484" s="98"/>
      <c r="M484" s="98"/>
      <c r="N484" s="98"/>
      <c r="O484" s="98"/>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row>
    <row r="485" spans="1:44" x14ac:dyDescent="0.25">
      <c r="A485" s="40"/>
      <c r="B485" s="40"/>
      <c r="C485" s="40"/>
      <c r="D485" s="40"/>
      <c r="E485" s="98"/>
      <c r="F485" s="98"/>
      <c r="G485" s="98"/>
      <c r="H485" s="98"/>
      <c r="I485" s="98"/>
      <c r="J485" s="98"/>
      <c r="K485" s="98"/>
      <c r="L485" s="98"/>
      <c r="M485" s="98"/>
      <c r="N485" s="98"/>
      <c r="O485" s="98"/>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row>
    <row r="486" spans="1:44" x14ac:dyDescent="0.25">
      <c r="A486" s="40"/>
      <c r="B486" s="40"/>
      <c r="C486" s="40"/>
      <c r="D486" s="40"/>
      <c r="E486" s="98"/>
      <c r="F486" s="98"/>
      <c r="G486" s="98"/>
      <c r="H486" s="98"/>
      <c r="I486" s="98"/>
      <c r="J486" s="98"/>
      <c r="K486" s="98"/>
      <c r="L486" s="98"/>
      <c r="M486" s="98"/>
      <c r="N486" s="98"/>
      <c r="O486" s="98"/>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row>
    <row r="487" spans="1:44" x14ac:dyDescent="0.25">
      <c r="A487" s="40"/>
      <c r="B487" s="40"/>
      <c r="C487" s="40"/>
      <c r="D487" s="40"/>
      <c r="E487" s="98"/>
      <c r="F487" s="98"/>
      <c r="G487" s="98"/>
      <c r="H487" s="98"/>
      <c r="I487" s="98"/>
      <c r="J487" s="98"/>
      <c r="K487" s="98"/>
      <c r="L487" s="98"/>
      <c r="M487" s="98"/>
      <c r="N487" s="98"/>
      <c r="O487" s="98"/>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row>
    <row r="488" spans="1:44" x14ac:dyDescent="0.25">
      <c r="A488" s="40"/>
      <c r="B488" s="40"/>
      <c r="C488" s="40"/>
      <c r="D488" s="40"/>
      <c r="E488" s="98"/>
      <c r="F488" s="98"/>
      <c r="G488" s="98"/>
      <c r="H488" s="98"/>
      <c r="I488" s="98"/>
      <c r="J488" s="98"/>
      <c r="K488" s="98"/>
      <c r="L488" s="98"/>
      <c r="M488" s="98"/>
      <c r="N488" s="98"/>
      <c r="O488" s="98"/>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row>
    <row r="489" spans="1:44" x14ac:dyDescent="0.25">
      <c r="A489" s="40"/>
      <c r="B489" s="40"/>
      <c r="C489" s="40"/>
      <c r="D489" s="40"/>
      <c r="E489" s="98"/>
      <c r="F489" s="98"/>
      <c r="G489" s="98"/>
      <c r="H489" s="98"/>
      <c r="I489" s="98"/>
      <c r="J489" s="98"/>
      <c r="K489" s="98"/>
      <c r="L489" s="98"/>
      <c r="M489" s="98"/>
      <c r="N489" s="98"/>
      <c r="O489" s="98"/>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row>
    <row r="490" spans="1:44" x14ac:dyDescent="0.25">
      <c r="A490" s="40"/>
      <c r="B490" s="40"/>
      <c r="C490" s="40"/>
      <c r="D490" s="40"/>
      <c r="E490" s="98"/>
      <c r="F490" s="98"/>
      <c r="G490" s="98"/>
      <c r="H490" s="98"/>
      <c r="I490" s="98"/>
      <c r="J490" s="98"/>
      <c r="K490" s="98"/>
      <c r="L490" s="98"/>
      <c r="M490" s="98"/>
      <c r="N490" s="98"/>
      <c r="O490" s="98"/>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row>
    <row r="491" spans="1:44" x14ac:dyDescent="0.25">
      <c r="A491" s="40"/>
      <c r="B491" s="40"/>
      <c r="C491" s="40"/>
      <c r="D491" s="40"/>
      <c r="E491" s="98"/>
      <c r="F491" s="98"/>
      <c r="G491" s="98"/>
      <c r="H491" s="98"/>
      <c r="I491" s="98"/>
      <c r="J491" s="98"/>
      <c r="K491" s="98"/>
      <c r="L491" s="98"/>
      <c r="M491" s="98"/>
      <c r="N491" s="98"/>
      <c r="O491" s="98"/>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row>
    <row r="492" spans="1:44" x14ac:dyDescent="0.25">
      <c r="A492" s="40"/>
      <c r="B492" s="40"/>
      <c r="C492" s="40"/>
      <c r="D492" s="40"/>
      <c r="E492" s="98"/>
      <c r="F492" s="98"/>
      <c r="G492" s="98"/>
      <c r="H492" s="98"/>
      <c r="I492" s="98"/>
      <c r="J492" s="98"/>
      <c r="K492" s="98"/>
      <c r="L492" s="98"/>
      <c r="M492" s="98"/>
      <c r="N492" s="98"/>
      <c r="O492" s="98"/>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row>
    <row r="493" spans="1:44" x14ac:dyDescent="0.25">
      <c r="A493" s="40"/>
      <c r="B493" s="40"/>
      <c r="C493" s="40"/>
      <c r="D493" s="40"/>
      <c r="E493" s="98"/>
      <c r="F493" s="98"/>
      <c r="G493" s="98"/>
      <c r="H493" s="98"/>
      <c r="I493" s="98"/>
      <c r="J493" s="98"/>
      <c r="K493" s="98"/>
      <c r="L493" s="98"/>
      <c r="M493" s="98"/>
      <c r="N493" s="98"/>
      <c r="O493" s="98"/>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row>
    <row r="494" spans="1:44" x14ac:dyDescent="0.25">
      <c r="A494" s="40"/>
      <c r="B494" s="40"/>
      <c r="C494" s="40"/>
      <c r="D494" s="40"/>
      <c r="E494" s="98"/>
      <c r="F494" s="98"/>
      <c r="G494" s="98"/>
      <c r="H494" s="98"/>
      <c r="I494" s="98"/>
      <c r="J494" s="98"/>
      <c r="K494" s="98"/>
      <c r="L494" s="98"/>
      <c r="M494" s="98"/>
      <c r="N494" s="98"/>
      <c r="O494" s="98"/>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row>
    <row r="495" spans="1:44" x14ac:dyDescent="0.25">
      <c r="A495" s="40"/>
      <c r="B495" s="40"/>
      <c r="C495" s="40"/>
      <c r="D495" s="40"/>
      <c r="E495" s="98"/>
      <c r="F495" s="98"/>
      <c r="G495" s="98"/>
      <c r="H495" s="98"/>
      <c r="I495" s="98"/>
      <c r="J495" s="98"/>
      <c r="K495" s="98"/>
      <c r="L495" s="98"/>
      <c r="M495" s="98"/>
      <c r="N495" s="98"/>
      <c r="O495" s="98"/>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row>
    <row r="496" spans="1:44" x14ac:dyDescent="0.25">
      <c r="A496" s="40"/>
      <c r="B496" s="40"/>
      <c r="C496" s="40"/>
      <c r="D496" s="40"/>
      <c r="E496" s="98"/>
      <c r="F496" s="98"/>
      <c r="G496" s="98"/>
      <c r="H496" s="98"/>
      <c r="I496" s="98"/>
      <c r="J496" s="98"/>
      <c r="K496" s="98"/>
      <c r="L496" s="98"/>
      <c r="M496" s="98"/>
      <c r="N496" s="98"/>
      <c r="O496" s="98"/>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row>
    <row r="497" spans="1:44" x14ac:dyDescent="0.25">
      <c r="A497" s="40"/>
      <c r="B497" s="40"/>
      <c r="C497" s="40"/>
      <c r="D497" s="40"/>
      <c r="E497" s="98"/>
      <c r="F497" s="98"/>
      <c r="G497" s="98"/>
      <c r="H497" s="98"/>
      <c r="I497" s="98"/>
      <c r="J497" s="98"/>
      <c r="K497" s="98"/>
      <c r="L497" s="98"/>
      <c r="M497" s="98"/>
      <c r="N497" s="98"/>
      <c r="O497" s="98"/>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row>
    <row r="498" spans="1:44" x14ac:dyDescent="0.25">
      <c r="A498" s="40"/>
      <c r="B498" s="40"/>
      <c r="C498" s="40"/>
      <c r="D498" s="40"/>
      <c r="E498" s="98"/>
      <c r="F498" s="98"/>
      <c r="G498" s="98"/>
      <c r="H498" s="98"/>
      <c r="I498" s="98"/>
      <c r="J498" s="98"/>
      <c r="K498" s="98"/>
      <c r="L498" s="98"/>
      <c r="M498" s="98"/>
      <c r="N498" s="98"/>
      <c r="O498" s="98"/>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row>
    <row r="499" spans="1:44" x14ac:dyDescent="0.25">
      <c r="A499" s="40"/>
      <c r="B499" s="40"/>
      <c r="C499" s="40"/>
      <c r="D499" s="40"/>
      <c r="E499" s="98"/>
      <c r="F499" s="98"/>
      <c r="G499" s="98"/>
      <c r="H499" s="98"/>
      <c r="I499" s="98"/>
      <c r="J499" s="98"/>
      <c r="K499" s="98"/>
      <c r="L499" s="98"/>
      <c r="M499" s="98"/>
      <c r="N499" s="98"/>
      <c r="O499" s="98"/>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row>
    <row r="500" spans="1:44" x14ac:dyDescent="0.25">
      <c r="A500" s="40"/>
      <c r="B500" s="40"/>
      <c r="C500" s="40"/>
      <c r="D500" s="40"/>
      <c r="E500" s="98"/>
      <c r="F500" s="98"/>
      <c r="G500" s="98"/>
      <c r="H500" s="98"/>
      <c r="I500" s="98"/>
      <c r="J500" s="98"/>
      <c r="K500" s="98"/>
      <c r="L500" s="98"/>
      <c r="M500" s="98"/>
      <c r="N500" s="98"/>
      <c r="O500" s="98"/>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row>
    <row r="501" spans="1:44" x14ac:dyDescent="0.25">
      <c r="A501" s="40"/>
      <c r="B501" s="40"/>
      <c r="C501" s="40"/>
      <c r="D501" s="40"/>
      <c r="E501" s="98"/>
      <c r="F501" s="98"/>
      <c r="G501" s="98"/>
      <c r="H501" s="98"/>
      <c r="I501" s="98"/>
      <c r="J501" s="98"/>
      <c r="K501" s="98"/>
      <c r="L501" s="98"/>
      <c r="M501" s="98"/>
      <c r="N501" s="98"/>
      <c r="O501" s="98"/>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row>
    <row r="502" spans="1:44" x14ac:dyDescent="0.25">
      <c r="A502" s="40"/>
      <c r="B502" s="40"/>
      <c r="C502" s="40"/>
      <c r="D502" s="40"/>
      <c r="E502" s="98"/>
      <c r="F502" s="98"/>
      <c r="G502" s="98"/>
      <c r="H502" s="98"/>
      <c r="I502" s="98"/>
      <c r="J502" s="98"/>
      <c r="K502" s="98"/>
      <c r="L502" s="98"/>
      <c r="M502" s="98"/>
      <c r="N502" s="98"/>
      <c r="O502" s="98"/>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row>
    <row r="503" spans="1:44" x14ac:dyDescent="0.25">
      <c r="A503" s="40"/>
      <c r="B503" s="40"/>
      <c r="C503" s="40"/>
      <c r="D503" s="40"/>
      <c r="E503" s="98"/>
      <c r="F503" s="98"/>
      <c r="G503" s="98"/>
      <c r="H503" s="98"/>
      <c r="I503" s="98"/>
      <c r="J503" s="98"/>
      <c r="K503" s="98"/>
      <c r="L503" s="98"/>
      <c r="M503" s="98"/>
      <c r="N503" s="98"/>
      <c r="O503" s="98"/>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row>
    <row r="504" spans="1:44" x14ac:dyDescent="0.25">
      <c r="A504" s="40"/>
      <c r="B504" s="40"/>
      <c r="C504" s="40"/>
      <c r="D504" s="40"/>
      <c r="E504" s="98"/>
      <c r="F504" s="98"/>
      <c r="G504" s="98"/>
      <c r="H504" s="98"/>
      <c r="I504" s="98"/>
      <c r="J504" s="98"/>
      <c r="K504" s="98"/>
      <c r="L504" s="98"/>
      <c r="M504" s="98"/>
      <c r="N504" s="98"/>
      <c r="O504" s="98"/>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row>
    <row r="505" spans="1:44" x14ac:dyDescent="0.25">
      <c r="A505" s="40"/>
      <c r="B505" s="40"/>
      <c r="C505" s="40"/>
      <c r="D505" s="40"/>
      <c r="E505" s="98"/>
      <c r="F505" s="98"/>
      <c r="G505" s="98"/>
      <c r="H505" s="98"/>
      <c r="I505" s="98"/>
      <c r="J505" s="98"/>
      <c r="K505" s="98"/>
      <c r="L505" s="98"/>
      <c r="M505" s="98"/>
      <c r="N505" s="98"/>
      <c r="O505" s="98"/>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row>
    <row r="506" spans="1:44" x14ac:dyDescent="0.25">
      <c r="A506" s="40"/>
      <c r="B506" s="40"/>
      <c r="C506" s="40"/>
      <c r="D506" s="40"/>
      <c r="E506" s="98"/>
      <c r="F506" s="98"/>
      <c r="G506" s="98"/>
      <c r="H506" s="98"/>
      <c r="I506" s="98"/>
      <c r="J506" s="98"/>
      <c r="K506" s="98"/>
      <c r="L506" s="98"/>
      <c r="M506" s="98"/>
      <c r="N506" s="98"/>
      <c r="O506" s="98"/>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row>
    <row r="507" spans="1:44" x14ac:dyDescent="0.25">
      <c r="A507" s="40"/>
      <c r="B507" s="40"/>
      <c r="C507" s="40"/>
      <c r="D507" s="40"/>
      <c r="E507" s="98"/>
      <c r="F507" s="98"/>
      <c r="G507" s="98"/>
      <c r="H507" s="98"/>
      <c r="I507" s="98"/>
      <c r="J507" s="98"/>
      <c r="K507" s="98"/>
      <c r="L507" s="98"/>
      <c r="M507" s="98"/>
      <c r="N507" s="98"/>
      <c r="O507" s="98"/>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row>
    <row r="508" spans="1:44" x14ac:dyDescent="0.25">
      <c r="A508" s="40"/>
      <c r="B508" s="40"/>
      <c r="C508" s="40"/>
      <c r="D508" s="40"/>
      <c r="E508" s="98"/>
      <c r="F508" s="98"/>
      <c r="G508" s="98"/>
      <c r="H508" s="98"/>
      <c r="I508" s="98"/>
      <c r="J508" s="98"/>
      <c r="K508" s="98"/>
      <c r="L508" s="98"/>
      <c r="M508" s="98"/>
      <c r="N508" s="98"/>
      <c r="O508" s="98"/>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row>
    <row r="509" spans="1:44" x14ac:dyDescent="0.25">
      <c r="A509" s="40"/>
      <c r="B509" s="40"/>
      <c r="C509" s="40"/>
      <c r="D509" s="40"/>
      <c r="E509" s="98"/>
      <c r="F509" s="98"/>
      <c r="G509" s="98"/>
      <c r="H509" s="98"/>
      <c r="I509" s="98"/>
      <c r="J509" s="98"/>
      <c r="K509" s="98"/>
      <c r="L509" s="98"/>
      <c r="M509" s="98"/>
      <c r="N509" s="98"/>
      <c r="O509" s="98"/>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row>
    <row r="510" spans="1:44" x14ac:dyDescent="0.25">
      <c r="A510" s="40"/>
      <c r="B510" s="40"/>
      <c r="C510" s="40"/>
      <c r="D510" s="40"/>
      <c r="E510" s="98"/>
      <c r="F510" s="98"/>
      <c r="G510" s="98"/>
      <c r="H510" s="98"/>
      <c r="I510" s="98"/>
      <c r="J510" s="98"/>
      <c r="K510" s="98"/>
      <c r="L510" s="98"/>
      <c r="M510" s="98"/>
      <c r="N510" s="98"/>
      <c r="O510" s="98"/>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row>
    <row r="511" spans="1:44" x14ac:dyDescent="0.25">
      <c r="A511" s="40"/>
      <c r="B511" s="40"/>
      <c r="C511" s="40"/>
      <c r="D511" s="40"/>
      <c r="E511" s="98"/>
      <c r="F511" s="98"/>
      <c r="G511" s="98"/>
      <c r="H511" s="98"/>
      <c r="I511" s="98"/>
      <c r="J511" s="98"/>
      <c r="K511" s="98"/>
      <c r="L511" s="98"/>
      <c r="M511" s="98"/>
      <c r="N511" s="98"/>
      <c r="O511" s="98"/>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row>
    <row r="512" spans="1:44" x14ac:dyDescent="0.25">
      <c r="A512" s="40"/>
      <c r="B512" s="40"/>
      <c r="C512" s="40"/>
      <c r="D512" s="40"/>
      <c r="E512" s="98"/>
      <c r="F512" s="98"/>
      <c r="G512" s="98"/>
      <c r="H512" s="98"/>
      <c r="I512" s="98"/>
      <c r="J512" s="98"/>
      <c r="K512" s="98"/>
      <c r="L512" s="98"/>
      <c r="M512" s="98"/>
      <c r="N512" s="98"/>
      <c r="O512" s="98"/>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row>
    <row r="513" spans="1:44" x14ac:dyDescent="0.25">
      <c r="A513" s="40"/>
      <c r="B513" s="40"/>
      <c r="C513" s="40"/>
      <c r="D513" s="40"/>
      <c r="E513" s="98"/>
      <c r="F513" s="98"/>
      <c r="G513" s="98"/>
      <c r="H513" s="98"/>
      <c r="I513" s="98"/>
      <c r="J513" s="98"/>
      <c r="K513" s="98"/>
      <c r="L513" s="98"/>
      <c r="M513" s="98"/>
      <c r="N513" s="98"/>
      <c r="O513" s="98"/>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row>
    <row r="514" spans="1:44" x14ac:dyDescent="0.25">
      <c r="A514" s="40"/>
      <c r="B514" s="40"/>
      <c r="C514" s="40"/>
      <c r="D514" s="40"/>
      <c r="E514" s="98"/>
      <c r="F514" s="98"/>
      <c r="G514" s="98"/>
      <c r="H514" s="98"/>
      <c r="I514" s="98"/>
      <c r="J514" s="98"/>
      <c r="K514" s="98"/>
      <c r="L514" s="98"/>
      <c r="M514" s="98"/>
      <c r="N514" s="98"/>
      <c r="O514" s="98"/>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row>
    <row r="515" spans="1:44" x14ac:dyDescent="0.25">
      <c r="A515" s="40"/>
      <c r="B515" s="40"/>
      <c r="C515" s="40"/>
      <c r="D515" s="40"/>
      <c r="E515" s="98"/>
      <c r="F515" s="98"/>
      <c r="G515" s="98"/>
      <c r="H515" s="98"/>
      <c r="I515" s="98"/>
      <c r="J515" s="98"/>
      <c r="K515" s="98"/>
      <c r="L515" s="98"/>
      <c r="M515" s="98"/>
      <c r="N515" s="98"/>
      <c r="O515" s="98"/>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row>
    <row r="516" spans="1:44" x14ac:dyDescent="0.25">
      <c r="A516" s="40"/>
      <c r="B516" s="40"/>
      <c r="C516" s="40"/>
      <c r="D516" s="40"/>
      <c r="E516" s="98"/>
      <c r="F516" s="98"/>
      <c r="G516" s="98"/>
      <c r="H516" s="98"/>
      <c r="I516" s="98"/>
      <c r="J516" s="98"/>
      <c r="K516" s="98"/>
      <c r="L516" s="98"/>
      <c r="M516" s="98"/>
      <c r="N516" s="98"/>
      <c r="O516" s="98"/>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row>
    <row r="517" spans="1:44" x14ac:dyDescent="0.25">
      <c r="A517" s="40"/>
      <c r="B517" s="40"/>
      <c r="C517" s="40"/>
      <c r="D517" s="40"/>
      <c r="E517" s="98"/>
      <c r="F517" s="98"/>
      <c r="G517" s="98"/>
      <c r="H517" s="98"/>
      <c r="I517" s="98"/>
      <c r="J517" s="98"/>
      <c r="K517" s="98"/>
      <c r="L517" s="98"/>
      <c r="M517" s="98"/>
      <c r="N517" s="98"/>
      <c r="O517" s="98"/>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row>
    <row r="518" spans="1:44" x14ac:dyDescent="0.25">
      <c r="A518" s="40"/>
      <c r="B518" s="40"/>
      <c r="C518" s="40"/>
      <c r="D518" s="40"/>
      <c r="E518" s="98"/>
      <c r="F518" s="98"/>
      <c r="G518" s="98"/>
      <c r="H518" s="98"/>
      <c r="I518" s="98"/>
      <c r="J518" s="98"/>
      <c r="K518" s="98"/>
      <c r="L518" s="98"/>
      <c r="M518" s="98"/>
      <c r="N518" s="98"/>
      <c r="O518" s="98"/>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row>
    <row r="519" spans="1:44" x14ac:dyDescent="0.25">
      <c r="A519" s="40"/>
      <c r="B519" s="40"/>
      <c r="C519" s="40"/>
      <c r="D519" s="40"/>
      <c r="E519" s="98"/>
      <c r="F519" s="98"/>
      <c r="G519" s="98"/>
      <c r="H519" s="98"/>
      <c r="I519" s="98"/>
      <c r="J519" s="98"/>
      <c r="K519" s="98"/>
      <c r="L519" s="98"/>
      <c r="M519" s="98"/>
      <c r="N519" s="98"/>
      <c r="O519" s="98"/>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row>
    <row r="520" spans="1:44" x14ac:dyDescent="0.25">
      <c r="A520" s="40"/>
      <c r="B520" s="40"/>
      <c r="C520" s="40"/>
      <c r="D520" s="40"/>
      <c r="E520" s="98"/>
      <c r="F520" s="98"/>
      <c r="G520" s="98"/>
      <c r="H520" s="98"/>
      <c r="I520" s="98"/>
      <c r="J520" s="98"/>
      <c r="K520" s="98"/>
      <c r="L520" s="98"/>
      <c r="M520" s="98"/>
      <c r="N520" s="98"/>
      <c r="O520" s="98"/>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row>
    <row r="521" spans="1:44" x14ac:dyDescent="0.25">
      <c r="A521" s="40"/>
      <c r="B521" s="40"/>
      <c r="C521" s="40"/>
      <c r="D521" s="40"/>
      <c r="E521" s="98"/>
      <c r="F521" s="98"/>
      <c r="G521" s="98"/>
      <c r="H521" s="98"/>
      <c r="I521" s="98"/>
      <c r="J521" s="98"/>
      <c r="K521" s="98"/>
      <c r="L521" s="98"/>
      <c r="M521" s="98"/>
      <c r="N521" s="98"/>
      <c r="O521" s="98"/>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row>
    <row r="522" spans="1:44" x14ac:dyDescent="0.25">
      <c r="A522" s="40"/>
      <c r="B522" s="40"/>
      <c r="C522" s="40"/>
      <c r="D522" s="40"/>
      <c r="E522" s="98"/>
      <c r="F522" s="98"/>
      <c r="G522" s="98"/>
      <c r="H522" s="98"/>
      <c r="I522" s="98"/>
      <c r="J522" s="98"/>
      <c r="K522" s="98"/>
      <c r="L522" s="98"/>
      <c r="M522" s="98"/>
      <c r="N522" s="98"/>
      <c r="O522" s="98"/>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row>
    <row r="523" spans="1:44" x14ac:dyDescent="0.25">
      <c r="A523" s="40"/>
      <c r="B523" s="40"/>
      <c r="C523" s="40"/>
      <c r="D523" s="40"/>
      <c r="E523" s="98"/>
      <c r="F523" s="98"/>
      <c r="G523" s="98"/>
      <c r="H523" s="98"/>
      <c r="I523" s="98"/>
      <c r="J523" s="98"/>
      <c r="K523" s="98"/>
      <c r="L523" s="98"/>
      <c r="M523" s="98"/>
      <c r="N523" s="98"/>
      <c r="O523" s="98"/>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row>
    <row r="524" spans="1:44" x14ac:dyDescent="0.25">
      <c r="A524" s="40"/>
      <c r="B524" s="40"/>
      <c r="C524" s="40"/>
      <c r="D524" s="40"/>
      <c r="E524" s="98"/>
      <c r="F524" s="98"/>
      <c r="G524" s="98"/>
      <c r="H524" s="98"/>
      <c r="I524" s="98"/>
      <c r="J524" s="98"/>
      <c r="K524" s="98"/>
      <c r="L524" s="98"/>
      <c r="M524" s="98"/>
      <c r="N524" s="98"/>
      <c r="O524" s="98"/>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row>
    <row r="525" spans="1:44" x14ac:dyDescent="0.25">
      <c r="A525" s="40"/>
      <c r="B525" s="40"/>
      <c r="C525" s="40"/>
      <c r="D525" s="40"/>
      <c r="E525" s="98"/>
      <c r="F525" s="98"/>
      <c r="G525" s="98"/>
      <c r="H525" s="98"/>
      <c r="I525" s="98"/>
      <c r="J525" s="98"/>
      <c r="K525" s="98"/>
      <c r="L525" s="98"/>
      <c r="M525" s="98"/>
      <c r="N525" s="98"/>
      <c r="O525" s="98"/>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row>
    <row r="526" spans="1:44" x14ac:dyDescent="0.25">
      <c r="A526" s="40"/>
      <c r="B526" s="40"/>
      <c r="C526" s="40"/>
      <c r="D526" s="40"/>
      <c r="E526" s="98"/>
      <c r="F526" s="98"/>
      <c r="G526" s="98"/>
      <c r="H526" s="98"/>
      <c r="I526" s="98"/>
      <c r="J526" s="98"/>
      <c r="K526" s="98"/>
      <c r="L526" s="98"/>
      <c r="M526" s="98"/>
      <c r="N526" s="98"/>
      <c r="O526" s="98"/>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row>
    <row r="527" spans="1:44" x14ac:dyDescent="0.25">
      <c r="A527" s="40"/>
      <c r="B527" s="40"/>
      <c r="C527" s="40"/>
      <c r="D527" s="40"/>
      <c r="E527" s="98"/>
      <c r="F527" s="98"/>
      <c r="G527" s="98"/>
      <c r="H527" s="98"/>
      <c r="I527" s="98"/>
      <c r="J527" s="98"/>
      <c r="K527" s="98"/>
      <c r="L527" s="98"/>
      <c r="M527" s="98"/>
      <c r="N527" s="98"/>
      <c r="O527" s="98"/>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row>
    <row r="528" spans="1:44" x14ac:dyDescent="0.25">
      <c r="A528" s="40"/>
      <c r="B528" s="40"/>
      <c r="C528" s="40"/>
      <c r="D528" s="40"/>
      <c r="E528" s="98"/>
      <c r="F528" s="98"/>
      <c r="G528" s="98"/>
      <c r="H528" s="98"/>
      <c r="I528" s="98"/>
      <c r="J528" s="98"/>
      <c r="K528" s="98"/>
      <c r="L528" s="98"/>
      <c r="M528" s="98"/>
      <c r="N528" s="98"/>
      <c r="O528" s="98"/>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row>
    <row r="529" spans="1:44" x14ac:dyDescent="0.25">
      <c r="A529" s="40"/>
      <c r="B529" s="40"/>
      <c r="C529" s="40"/>
      <c r="D529" s="40"/>
      <c r="E529" s="98"/>
      <c r="F529" s="98"/>
      <c r="G529" s="98"/>
      <c r="H529" s="98"/>
      <c r="I529" s="98"/>
      <c r="J529" s="98"/>
      <c r="K529" s="98"/>
      <c r="L529" s="98"/>
      <c r="M529" s="98"/>
      <c r="N529" s="98"/>
      <c r="O529" s="98"/>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row>
    <row r="530" spans="1:44" x14ac:dyDescent="0.25">
      <c r="A530" s="40"/>
      <c r="B530" s="40"/>
      <c r="C530" s="40"/>
      <c r="D530" s="40"/>
      <c r="E530" s="98"/>
      <c r="F530" s="98"/>
      <c r="G530" s="98"/>
      <c r="H530" s="98"/>
      <c r="I530" s="98"/>
      <c r="J530" s="98"/>
      <c r="K530" s="98"/>
      <c r="L530" s="98"/>
      <c r="M530" s="98"/>
      <c r="N530" s="98"/>
      <c r="O530" s="98"/>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row>
    <row r="531" spans="1:44" x14ac:dyDescent="0.25">
      <c r="A531" s="40"/>
      <c r="B531" s="40"/>
      <c r="C531" s="40"/>
      <c r="D531" s="40"/>
      <c r="E531" s="98"/>
      <c r="F531" s="98"/>
      <c r="G531" s="98"/>
      <c r="H531" s="98"/>
      <c r="I531" s="98"/>
      <c r="J531" s="98"/>
      <c r="K531" s="98"/>
      <c r="L531" s="98"/>
      <c r="M531" s="98"/>
      <c r="N531" s="98"/>
      <c r="O531" s="98"/>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row>
    <row r="532" spans="1:44" x14ac:dyDescent="0.25">
      <c r="A532" s="40"/>
      <c r="B532" s="40"/>
      <c r="C532" s="40"/>
      <c r="D532" s="40"/>
      <c r="E532" s="98"/>
      <c r="F532" s="98"/>
      <c r="G532" s="98"/>
      <c r="H532" s="98"/>
      <c r="I532" s="98"/>
      <c r="J532" s="98"/>
      <c r="K532" s="98"/>
      <c r="L532" s="98"/>
      <c r="M532" s="98"/>
      <c r="N532" s="98"/>
      <c r="O532" s="98"/>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row>
    <row r="533" spans="1:44" x14ac:dyDescent="0.25">
      <c r="A533" s="40"/>
      <c r="B533" s="40"/>
      <c r="C533" s="40"/>
      <c r="D533" s="40"/>
      <c r="E533" s="98"/>
      <c r="F533" s="98"/>
      <c r="G533" s="98"/>
      <c r="H533" s="98"/>
      <c r="I533" s="98"/>
      <c r="J533" s="98"/>
      <c r="K533" s="98"/>
      <c r="L533" s="98"/>
      <c r="M533" s="98"/>
      <c r="N533" s="98"/>
      <c r="O533" s="98"/>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row>
    <row r="534" spans="1:44" x14ac:dyDescent="0.25">
      <c r="A534" s="40"/>
      <c r="B534" s="40"/>
      <c r="C534" s="40"/>
      <c r="D534" s="40"/>
      <c r="E534" s="98"/>
      <c r="F534" s="98"/>
      <c r="G534" s="98"/>
      <c r="H534" s="98"/>
      <c r="I534" s="98"/>
      <c r="J534" s="98"/>
      <c r="K534" s="98"/>
      <c r="L534" s="98"/>
      <c r="M534" s="98"/>
      <c r="N534" s="98"/>
      <c r="O534" s="98"/>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row>
    <row r="535" spans="1:44" x14ac:dyDescent="0.25">
      <c r="A535" s="40"/>
      <c r="B535" s="40"/>
      <c r="C535" s="40"/>
      <c r="D535" s="40"/>
      <c r="E535" s="98"/>
      <c r="F535" s="98"/>
      <c r="G535" s="98"/>
      <c r="H535" s="98"/>
      <c r="I535" s="98"/>
      <c r="J535" s="98"/>
      <c r="K535" s="98"/>
      <c r="L535" s="98"/>
      <c r="M535" s="98"/>
      <c r="N535" s="98"/>
      <c r="O535" s="98"/>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row>
    <row r="536" spans="1:44" x14ac:dyDescent="0.25">
      <c r="A536" s="40"/>
      <c r="B536" s="40"/>
      <c r="C536" s="40"/>
      <c r="D536" s="40"/>
      <c r="E536" s="98"/>
      <c r="F536" s="98"/>
      <c r="G536" s="98"/>
      <c r="H536" s="98"/>
      <c r="I536" s="98"/>
      <c r="J536" s="98"/>
      <c r="K536" s="98"/>
      <c r="L536" s="98"/>
      <c r="M536" s="98"/>
      <c r="N536" s="98"/>
      <c r="O536" s="98"/>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row>
    <row r="537" spans="1:44" x14ac:dyDescent="0.25">
      <c r="A537" s="40"/>
      <c r="B537" s="40"/>
      <c r="C537" s="40"/>
      <c r="D537" s="40"/>
      <c r="E537" s="98"/>
      <c r="F537" s="98"/>
      <c r="G537" s="98"/>
      <c r="H537" s="98"/>
      <c r="I537" s="98"/>
      <c r="J537" s="98"/>
      <c r="K537" s="98"/>
      <c r="L537" s="98"/>
      <c r="M537" s="98"/>
      <c r="N537" s="98"/>
      <c r="O537" s="98"/>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row>
    <row r="538" spans="1:44" x14ac:dyDescent="0.25">
      <c r="A538" s="40"/>
      <c r="B538" s="40"/>
      <c r="C538" s="40"/>
      <c r="D538" s="40"/>
      <c r="E538" s="98"/>
      <c r="F538" s="98"/>
      <c r="G538" s="98"/>
      <c r="H538" s="98"/>
      <c r="I538" s="98"/>
      <c r="J538" s="98"/>
      <c r="K538" s="98"/>
      <c r="L538" s="98"/>
      <c r="M538" s="98"/>
      <c r="N538" s="98"/>
      <c r="O538" s="98"/>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row>
    <row r="539" spans="1:44" x14ac:dyDescent="0.25">
      <c r="A539" s="40"/>
      <c r="B539" s="40"/>
      <c r="C539" s="40"/>
      <c r="D539" s="40"/>
      <c r="E539" s="98"/>
      <c r="F539" s="98"/>
      <c r="G539" s="98"/>
      <c r="H539" s="98"/>
      <c r="I539" s="98"/>
      <c r="J539" s="98"/>
      <c r="K539" s="98"/>
      <c r="L539" s="98"/>
      <c r="M539" s="98"/>
      <c r="N539" s="98"/>
      <c r="O539" s="98"/>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row>
    <row r="540" spans="1:44" x14ac:dyDescent="0.25">
      <c r="A540" s="40"/>
      <c r="B540" s="40"/>
      <c r="C540" s="40"/>
      <c r="D540" s="40"/>
      <c r="E540" s="98"/>
      <c r="F540" s="98"/>
      <c r="G540" s="98"/>
      <c r="H540" s="98"/>
      <c r="I540" s="98"/>
      <c r="J540" s="98"/>
      <c r="K540" s="98"/>
      <c r="L540" s="98"/>
      <c r="M540" s="98"/>
      <c r="N540" s="98"/>
      <c r="O540" s="98"/>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row>
    <row r="541" spans="1:44" x14ac:dyDescent="0.25">
      <c r="A541" s="40"/>
      <c r="B541" s="40"/>
      <c r="C541" s="40"/>
      <c r="D541" s="40"/>
      <c r="E541" s="98"/>
      <c r="F541" s="98"/>
      <c r="G541" s="98"/>
      <c r="H541" s="98"/>
      <c r="I541" s="98"/>
      <c r="J541" s="98"/>
      <c r="K541" s="98"/>
      <c r="L541" s="98"/>
      <c r="M541" s="98"/>
      <c r="N541" s="98"/>
      <c r="O541" s="98"/>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row>
    <row r="542" spans="1:44" x14ac:dyDescent="0.25">
      <c r="A542" s="40"/>
      <c r="B542" s="40"/>
      <c r="C542" s="40"/>
      <c r="D542" s="40"/>
      <c r="E542" s="98"/>
      <c r="F542" s="98"/>
      <c r="G542" s="98"/>
      <c r="H542" s="98"/>
      <c r="I542" s="98"/>
      <c r="J542" s="98"/>
      <c r="K542" s="98"/>
      <c r="L542" s="98"/>
      <c r="M542" s="98"/>
      <c r="N542" s="98"/>
      <c r="O542" s="98"/>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row>
    <row r="543" spans="1:44" x14ac:dyDescent="0.25">
      <c r="A543" s="40"/>
      <c r="B543" s="40"/>
      <c r="C543" s="40"/>
      <c r="D543" s="40"/>
      <c r="E543" s="98"/>
      <c r="F543" s="98"/>
      <c r="G543" s="98"/>
      <c r="H543" s="98"/>
      <c r="I543" s="98"/>
      <c r="J543" s="98"/>
      <c r="K543" s="98"/>
      <c r="L543" s="98"/>
      <c r="M543" s="98"/>
      <c r="N543" s="98"/>
      <c r="O543" s="98"/>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row>
    <row r="544" spans="1:44" x14ac:dyDescent="0.25">
      <c r="A544" s="40"/>
      <c r="B544" s="40"/>
      <c r="C544" s="40"/>
      <c r="D544" s="40"/>
      <c r="E544" s="98"/>
      <c r="F544" s="98"/>
      <c r="G544" s="98"/>
      <c r="H544" s="98"/>
      <c r="I544" s="98"/>
      <c r="J544" s="98"/>
      <c r="K544" s="98"/>
      <c r="L544" s="98"/>
      <c r="M544" s="98"/>
      <c r="N544" s="98"/>
      <c r="O544" s="98"/>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row>
    <row r="545" spans="1:44" x14ac:dyDescent="0.25">
      <c r="A545" s="40"/>
      <c r="B545" s="40"/>
      <c r="C545" s="40"/>
      <c r="D545" s="40"/>
      <c r="E545" s="98"/>
      <c r="F545" s="98"/>
      <c r="G545" s="98"/>
      <c r="H545" s="98"/>
      <c r="I545" s="98"/>
      <c r="J545" s="98"/>
      <c r="K545" s="98"/>
      <c r="L545" s="98"/>
      <c r="M545" s="98"/>
      <c r="N545" s="98"/>
      <c r="O545" s="98"/>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row>
    <row r="546" spans="1:44" x14ac:dyDescent="0.25">
      <c r="A546" s="40"/>
      <c r="B546" s="40"/>
      <c r="C546" s="40"/>
      <c r="D546" s="40"/>
      <c r="E546" s="98"/>
      <c r="F546" s="98"/>
      <c r="G546" s="98"/>
      <c r="H546" s="98"/>
      <c r="I546" s="98"/>
      <c r="J546" s="98"/>
      <c r="K546" s="98"/>
      <c r="L546" s="98"/>
      <c r="M546" s="98"/>
      <c r="N546" s="98"/>
      <c r="O546" s="98"/>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row>
    <row r="547" spans="1:44" x14ac:dyDescent="0.25">
      <c r="A547" s="40"/>
      <c r="B547" s="40"/>
      <c r="C547" s="40"/>
      <c r="D547" s="40"/>
      <c r="E547" s="98"/>
      <c r="F547" s="98"/>
      <c r="G547" s="98"/>
      <c r="H547" s="98"/>
      <c r="I547" s="98"/>
      <c r="J547" s="98"/>
      <c r="K547" s="98"/>
      <c r="L547" s="98"/>
      <c r="M547" s="98"/>
      <c r="N547" s="98"/>
      <c r="O547" s="98"/>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row>
    <row r="548" spans="1:44" x14ac:dyDescent="0.25">
      <c r="A548" s="40"/>
      <c r="B548" s="40"/>
      <c r="C548" s="40"/>
      <c r="D548" s="40"/>
      <c r="E548" s="98"/>
      <c r="F548" s="98"/>
      <c r="G548" s="98"/>
      <c r="H548" s="98"/>
      <c r="I548" s="98"/>
      <c r="J548" s="98"/>
      <c r="K548" s="98"/>
      <c r="L548" s="98"/>
      <c r="M548" s="98"/>
      <c r="N548" s="98"/>
      <c r="O548" s="98"/>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row>
    <row r="549" spans="1:44" x14ac:dyDescent="0.25">
      <c r="A549" s="40"/>
      <c r="B549" s="40"/>
      <c r="C549" s="40"/>
      <c r="D549" s="40"/>
      <c r="E549" s="98"/>
      <c r="F549" s="98"/>
      <c r="G549" s="98"/>
      <c r="H549" s="98"/>
      <c r="I549" s="98"/>
      <c r="J549" s="98"/>
      <c r="K549" s="98"/>
      <c r="L549" s="98"/>
      <c r="M549" s="98"/>
      <c r="N549" s="98"/>
      <c r="O549" s="98"/>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row>
    <row r="550" spans="1:44" x14ac:dyDescent="0.25">
      <c r="A550" s="40"/>
      <c r="B550" s="40"/>
      <c r="C550" s="40"/>
      <c r="D550" s="40"/>
      <c r="E550" s="98"/>
      <c r="F550" s="98"/>
      <c r="G550" s="98"/>
      <c r="H550" s="98"/>
      <c r="I550" s="98"/>
      <c r="J550" s="98"/>
      <c r="K550" s="98"/>
      <c r="L550" s="98"/>
      <c r="M550" s="98"/>
      <c r="N550" s="98"/>
      <c r="O550" s="98"/>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row>
    <row r="551" spans="1:44" x14ac:dyDescent="0.25">
      <c r="A551" s="40"/>
      <c r="B551" s="40"/>
      <c r="C551" s="40"/>
      <c r="D551" s="40"/>
      <c r="E551" s="98"/>
      <c r="F551" s="98"/>
      <c r="G551" s="98"/>
      <c r="H551" s="98"/>
      <c r="I551" s="98"/>
      <c r="J551" s="98"/>
      <c r="K551" s="98"/>
      <c r="L551" s="98"/>
      <c r="M551" s="98"/>
      <c r="N551" s="98"/>
      <c r="O551" s="98"/>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row>
    <row r="552" spans="1:44" x14ac:dyDescent="0.25">
      <c r="A552" s="40"/>
      <c r="B552" s="40"/>
      <c r="C552" s="40"/>
      <c r="D552" s="40"/>
      <c r="E552" s="98"/>
      <c r="F552" s="98"/>
      <c r="G552" s="98"/>
      <c r="H552" s="98"/>
      <c r="I552" s="98"/>
      <c r="J552" s="98"/>
      <c r="K552" s="98"/>
      <c r="L552" s="98"/>
      <c r="M552" s="98"/>
      <c r="N552" s="98"/>
      <c r="O552" s="98"/>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row>
    <row r="553" spans="1:44" x14ac:dyDescent="0.25">
      <c r="A553" s="40"/>
      <c r="B553" s="40"/>
      <c r="C553" s="40"/>
      <c r="D553" s="40"/>
      <c r="E553" s="98"/>
      <c r="F553" s="98"/>
      <c r="G553" s="98"/>
      <c r="H553" s="98"/>
      <c r="I553" s="98"/>
      <c r="J553" s="98"/>
      <c r="K553" s="98"/>
      <c r="L553" s="98"/>
      <c r="M553" s="98"/>
      <c r="N553" s="98"/>
      <c r="O553" s="98"/>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row>
    <row r="554" spans="1:44" x14ac:dyDescent="0.25">
      <c r="A554" s="40"/>
      <c r="B554" s="40"/>
      <c r="C554" s="40"/>
      <c r="D554" s="40"/>
      <c r="E554" s="98"/>
      <c r="F554" s="98"/>
      <c r="G554" s="98"/>
      <c r="H554" s="98"/>
      <c r="I554" s="98"/>
      <c r="J554" s="98"/>
      <c r="K554" s="98"/>
      <c r="L554" s="98"/>
      <c r="M554" s="98"/>
      <c r="N554" s="98"/>
      <c r="O554" s="98"/>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row>
    <row r="555" spans="1:44" x14ac:dyDescent="0.25">
      <c r="A555" s="40"/>
      <c r="B555" s="40"/>
      <c r="C555" s="40"/>
      <c r="D555" s="40"/>
      <c r="E555" s="98"/>
      <c r="F555" s="98"/>
      <c r="G555" s="98"/>
      <c r="H555" s="98"/>
      <c r="I555" s="98"/>
      <c r="J555" s="98"/>
      <c r="K555" s="98"/>
      <c r="L555" s="98"/>
      <c r="M555" s="98"/>
      <c r="N555" s="98"/>
      <c r="O555" s="98"/>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row>
    <row r="556" spans="1:44" x14ac:dyDescent="0.25">
      <c r="A556" s="40"/>
      <c r="B556" s="40"/>
      <c r="C556" s="40"/>
      <c r="D556" s="40"/>
      <c r="E556" s="98"/>
      <c r="F556" s="98"/>
      <c r="G556" s="98"/>
      <c r="H556" s="98"/>
      <c r="I556" s="98"/>
      <c r="J556" s="98"/>
      <c r="K556" s="98"/>
      <c r="L556" s="98"/>
      <c r="M556" s="98"/>
      <c r="N556" s="98"/>
      <c r="O556" s="98"/>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row>
    <row r="557" spans="1:44" x14ac:dyDescent="0.25">
      <c r="A557" s="40"/>
      <c r="B557" s="40"/>
      <c r="C557" s="40"/>
      <c r="D557" s="40"/>
      <c r="E557" s="98"/>
      <c r="F557" s="98"/>
      <c r="G557" s="98"/>
      <c r="H557" s="98"/>
      <c r="I557" s="98"/>
      <c r="J557" s="98"/>
      <c r="K557" s="98"/>
      <c r="L557" s="98"/>
      <c r="M557" s="98"/>
      <c r="N557" s="98"/>
      <c r="O557" s="98"/>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row>
    <row r="558" spans="1:44" x14ac:dyDescent="0.25">
      <c r="A558" s="40"/>
      <c r="B558" s="40"/>
      <c r="C558" s="40"/>
      <c r="D558" s="40"/>
      <c r="E558" s="98"/>
      <c r="F558" s="98"/>
      <c r="G558" s="98"/>
      <c r="H558" s="98"/>
      <c r="I558" s="98"/>
      <c r="J558" s="98"/>
      <c r="K558" s="98"/>
      <c r="L558" s="98"/>
      <c r="M558" s="98"/>
      <c r="N558" s="98"/>
      <c r="O558" s="98"/>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row>
    <row r="559" spans="1:44" x14ac:dyDescent="0.25">
      <c r="A559" s="40"/>
      <c r="B559" s="40"/>
      <c r="C559" s="40"/>
      <c r="D559" s="40"/>
      <c r="E559" s="98"/>
      <c r="F559" s="98"/>
      <c r="G559" s="98"/>
      <c r="H559" s="98"/>
      <c r="I559" s="98"/>
      <c r="J559" s="98"/>
      <c r="K559" s="98"/>
      <c r="L559" s="98"/>
      <c r="M559" s="98"/>
      <c r="N559" s="98"/>
      <c r="O559" s="98"/>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row>
    <row r="560" spans="1:44" x14ac:dyDescent="0.25">
      <c r="A560" s="40"/>
      <c r="B560" s="40"/>
      <c r="C560" s="40"/>
      <c r="D560" s="40"/>
      <c r="E560" s="98"/>
      <c r="F560" s="98"/>
      <c r="G560" s="98"/>
      <c r="H560" s="98"/>
      <c r="I560" s="98"/>
      <c r="J560" s="98"/>
      <c r="K560" s="98"/>
      <c r="L560" s="98"/>
      <c r="M560" s="98"/>
      <c r="N560" s="98"/>
      <c r="O560" s="98"/>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row>
    <row r="561" spans="1:44" x14ac:dyDescent="0.25">
      <c r="A561" s="40"/>
      <c r="B561" s="40"/>
      <c r="C561" s="40"/>
      <c r="D561" s="40"/>
      <c r="E561" s="98"/>
      <c r="F561" s="98"/>
      <c r="G561" s="98"/>
      <c r="H561" s="98"/>
      <c r="I561" s="98"/>
      <c r="J561" s="98"/>
      <c r="K561" s="98"/>
      <c r="L561" s="98"/>
      <c r="M561" s="98"/>
      <c r="N561" s="98"/>
      <c r="O561" s="98"/>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row>
    <row r="562" spans="1:44" x14ac:dyDescent="0.25">
      <c r="A562" s="40"/>
      <c r="B562" s="40"/>
      <c r="C562" s="40"/>
      <c r="D562" s="40"/>
      <c r="E562" s="98"/>
      <c r="F562" s="98"/>
      <c r="G562" s="98"/>
      <c r="H562" s="98"/>
      <c r="I562" s="98"/>
      <c r="J562" s="98"/>
      <c r="K562" s="98"/>
      <c r="L562" s="98"/>
      <c r="M562" s="98"/>
      <c r="N562" s="98"/>
      <c r="O562" s="98"/>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row>
    <row r="563" spans="1:44" x14ac:dyDescent="0.25">
      <c r="A563" s="40"/>
      <c r="B563" s="40"/>
      <c r="C563" s="40"/>
      <c r="D563" s="40"/>
      <c r="E563" s="98"/>
      <c r="F563" s="98"/>
      <c r="G563" s="98"/>
      <c r="H563" s="98"/>
      <c r="I563" s="98"/>
      <c r="J563" s="98"/>
      <c r="K563" s="98"/>
      <c r="L563" s="98"/>
      <c r="M563" s="98"/>
      <c r="N563" s="98"/>
      <c r="O563" s="98"/>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row>
    <row r="564" spans="1:44" x14ac:dyDescent="0.25">
      <c r="A564" s="40"/>
      <c r="B564" s="40"/>
      <c r="C564" s="40"/>
      <c r="D564" s="40"/>
      <c r="E564" s="98"/>
      <c r="F564" s="98"/>
      <c r="G564" s="98"/>
      <c r="H564" s="98"/>
      <c r="I564" s="98"/>
      <c r="J564" s="98"/>
      <c r="K564" s="98"/>
      <c r="L564" s="98"/>
      <c r="M564" s="98"/>
      <c r="N564" s="98"/>
      <c r="O564" s="98"/>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row>
    <row r="565" spans="1:44" x14ac:dyDescent="0.25">
      <c r="A565" s="40"/>
      <c r="B565" s="40"/>
      <c r="C565" s="40"/>
      <c r="D565" s="40"/>
      <c r="E565" s="98"/>
      <c r="F565" s="98"/>
      <c r="G565" s="98"/>
      <c r="H565" s="98"/>
      <c r="I565" s="98"/>
      <c r="J565" s="98"/>
      <c r="K565" s="98"/>
      <c r="L565" s="98"/>
      <c r="M565" s="98"/>
      <c r="N565" s="98"/>
      <c r="O565" s="98"/>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row>
    <row r="566" spans="1:44" x14ac:dyDescent="0.25">
      <c r="A566" s="40"/>
      <c r="B566" s="40"/>
      <c r="C566" s="40"/>
      <c r="D566" s="40"/>
      <c r="E566" s="98"/>
      <c r="F566" s="98"/>
      <c r="G566" s="98"/>
      <c r="H566" s="98"/>
      <c r="I566" s="98"/>
      <c r="J566" s="98"/>
      <c r="K566" s="98"/>
      <c r="L566" s="98"/>
      <c r="M566" s="98"/>
      <c r="N566" s="98"/>
      <c r="O566" s="98"/>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row>
    <row r="567" spans="1:44" x14ac:dyDescent="0.25">
      <c r="A567" s="40"/>
      <c r="B567" s="40"/>
      <c r="C567" s="40"/>
      <c r="D567" s="40"/>
      <c r="E567" s="98"/>
      <c r="F567" s="98"/>
      <c r="G567" s="98"/>
      <c r="H567" s="98"/>
      <c r="I567" s="98"/>
      <c r="J567" s="98"/>
      <c r="K567" s="98"/>
      <c r="L567" s="98"/>
      <c r="M567" s="98"/>
      <c r="N567" s="98"/>
      <c r="O567" s="98"/>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row>
    <row r="568" spans="1:44" x14ac:dyDescent="0.25">
      <c r="A568" s="40"/>
      <c r="B568" s="40"/>
      <c r="C568" s="40"/>
      <c r="D568" s="40"/>
      <c r="E568" s="98"/>
      <c r="F568" s="98"/>
      <c r="G568" s="98"/>
      <c r="H568" s="98"/>
      <c r="I568" s="98"/>
      <c r="J568" s="98"/>
      <c r="K568" s="98"/>
      <c r="L568" s="98"/>
      <c r="M568" s="98"/>
      <c r="N568" s="98"/>
      <c r="O568" s="98"/>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row>
    <row r="569" spans="1:44" x14ac:dyDescent="0.25">
      <c r="A569" s="40"/>
      <c r="B569" s="40"/>
      <c r="C569" s="40"/>
      <c r="D569" s="40"/>
      <c r="E569" s="98"/>
      <c r="F569" s="98"/>
      <c r="G569" s="98"/>
      <c r="H569" s="98"/>
      <c r="I569" s="98"/>
      <c r="J569" s="98"/>
      <c r="K569" s="98"/>
      <c r="L569" s="98"/>
      <c r="M569" s="98"/>
      <c r="N569" s="98"/>
      <c r="O569" s="98"/>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row>
    <row r="570" spans="1:44" x14ac:dyDescent="0.25">
      <c r="A570" s="40"/>
      <c r="B570" s="40"/>
      <c r="C570" s="40"/>
      <c r="D570" s="40"/>
      <c r="E570" s="98"/>
      <c r="F570" s="98"/>
      <c r="G570" s="98"/>
      <c r="H570" s="98"/>
      <c r="I570" s="98"/>
      <c r="J570" s="98"/>
      <c r="K570" s="98"/>
      <c r="L570" s="98"/>
      <c r="M570" s="98"/>
      <c r="N570" s="98"/>
      <c r="O570" s="98"/>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row>
    <row r="571" spans="1:44" x14ac:dyDescent="0.25">
      <c r="A571" s="40"/>
      <c r="B571" s="40"/>
      <c r="C571" s="40"/>
      <c r="D571" s="40"/>
      <c r="E571" s="98"/>
      <c r="F571" s="98"/>
      <c r="G571" s="98"/>
      <c r="H571" s="98"/>
      <c r="I571" s="98"/>
      <c r="J571" s="98"/>
      <c r="K571" s="98"/>
      <c r="L571" s="98"/>
      <c r="M571" s="98"/>
      <c r="N571" s="98"/>
      <c r="O571" s="98"/>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row>
    <row r="572" spans="1:44" x14ac:dyDescent="0.25">
      <c r="A572" s="40"/>
      <c r="B572" s="40"/>
      <c r="C572" s="40"/>
      <c r="D572" s="40"/>
      <c r="E572" s="98"/>
      <c r="F572" s="98"/>
      <c r="G572" s="98"/>
      <c r="H572" s="98"/>
      <c r="I572" s="98"/>
      <c r="J572" s="98"/>
      <c r="K572" s="98"/>
      <c r="L572" s="98"/>
      <c r="M572" s="98"/>
      <c r="N572" s="98"/>
      <c r="O572" s="98"/>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row>
    <row r="573" spans="1:44" x14ac:dyDescent="0.25">
      <c r="A573" s="40"/>
      <c r="B573" s="40"/>
      <c r="C573" s="40"/>
      <c r="D573" s="40"/>
      <c r="E573" s="98"/>
      <c r="F573" s="98"/>
      <c r="G573" s="98"/>
      <c r="H573" s="98"/>
      <c r="I573" s="98"/>
      <c r="J573" s="98"/>
      <c r="K573" s="98"/>
      <c r="L573" s="98"/>
      <c r="M573" s="98"/>
      <c r="N573" s="98"/>
      <c r="O573" s="98"/>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row>
    <row r="574" spans="1:44" x14ac:dyDescent="0.25">
      <c r="A574" s="40"/>
      <c r="B574" s="40"/>
      <c r="C574" s="40"/>
      <c r="D574" s="40"/>
      <c r="E574" s="98"/>
      <c r="F574" s="98"/>
      <c r="G574" s="98"/>
      <c r="H574" s="98"/>
      <c r="I574" s="98"/>
      <c r="J574" s="98"/>
      <c r="K574" s="98"/>
      <c r="L574" s="98"/>
      <c r="M574" s="98"/>
      <c r="N574" s="98"/>
      <c r="O574" s="98"/>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row>
    <row r="575" spans="1:44" x14ac:dyDescent="0.25">
      <c r="A575" s="40"/>
      <c r="B575" s="40"/>
      <c r="C575" s="40"/>
      <c r="D575" s="40"/>
      <c r="E575" s="98"/>
      <c r="F575" s="98"/>
      <c r="G575" s="98"/>
      <c r="H575" s="98"/>
      <c r="I575" s="98"/>
      <c r="J575" s="98"/>
      <c r="K575" s="98"/>
      <c r="L575" s="98"/>
      <c r="M575" s="98"/>
      <c r="N575" s="98"/>
      <c r="O575" s="98"/>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row>
    <row r="576" spans="1:44" x14ac:dyDescent="0.25">
      <c r="A576" s="40"/>
      <c r="B576" s="40"/>
      <c r="C576" s="40"/>
      <c r="D576" s="40"/>
      <c r="E576" s="98"/>
      <c r="F576" s="98"/>
      <c r="G576" s="98"/>
      <c r="H576" s="98"/>
      <c r="I576" s="98"/>
      <c r="J576" s="98"/>
      <c r="K576" s="98"/>
      <c r="L576" s="98"/>
      <c r="M576" s="98"/>
      <c r="N576" s="98"/>
      <c r="O576" s="98"/>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row>
    <row r="577" spans="1:44" x14ac:dyDescent="0.25">
      <c r="A577" s="40"/>
      <c r="B577" s="40"/>
      <c r="C577" s="40"/>
      <c r="D577" s="40"/>
      <c r="E577" s="98"/>
      <c r="F577" s="98"/>
      <c r="G577" s="98"/>
      <c r="H577" s="98"/>
      <c r="I577" s="98"/>
      <c r="J577" s="98"/>
      <c r="K577" s="98"/>
      <c r="L577" s="98"/>
      <c r="M577" s="98"/>
      <c r="N577" s="98"/>
      <c r="O577" s="98"/>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row>
    <row r="578" spans="1:44" x14ac:dyDescent="0.25">
      <c r="A578" s="40"/>
      <c r="B578" s="40"/>
      <c r="C578" s="40"/>
      <c r="D578" s="40"/>
      <c r="E578" s="98"/>
      <c r="F578" s="98"/>
      <c r="G578" s="98"/>
      <c r="H578" s="98"/>
      <c r="I578" s="98"/>
      <c r="J578" s="98"/>
      <c r="K578" s="98"/>
      <c r="L578" s="98"/>
      <c r="M578" s="98"/>
      <c r="N578" s="98"/>
      <c r="O578" s="98"/>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row>
    <row r="579" spans="1:44" x14ac:dyDescent="0.25">
      <c r="A579" s="40"/>
      <c r="B579" s="40"/>
      <c r="C579" s="40"/>
      <c r="D579" s="40"/>
      <c r="E579" s="98"/>
      <c r="F579" s="98"/>
      <c r="G579" s="98"/>
      <c r="H579" s="98"/>
      <c r="I579" s="98"/>
      <c r="J579" s="98"/>
      <c r="K579" s="98"/>
      <c r="L579" s="98"/>
      <c r="M579" s="98"/>
      <c r="N579" s="98"/>
      <c r="O579" s="98"/>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row>
    <row r="580" spans="1:44" x14ac:dyDescent="0.25">
      <c r="A580" s="40"/>
      <c r="B580" s="40"/>
      <c r="C580" s="40"/>
      <c r="D580" s="40"/>
      <c r="E580" s="98"/>
      <c r="F580" s="98"/>
      <c r="G580" s="98"/>
      <c r="H580" s="98"/>
      <c r="I580" s="98"/>
      <c r="J580" s="98"/>
      <c r="K580" s="98"/>
      <c r="L580" s="98"/>
      <c r="M580" s="98"/>
      <c r="N580" s="98"/>
      <c r="O580" s="98"/>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row>
    <row r="581" spans="1:44" x14ac:dyDescent="0.25">
      <c r="A581" s="40"/>
      <c r="B581" s="40"/>
      <c r="C581" s="40"/>
      <c r="D581" s="40"/>
      <c r="E581" s="98"/>
      <c r="F581" s="98"/>
      <c r="G581" s="98"/>
      <c r="H581" s="98"/>
      <c r="I581" s="98"/>
      <c r="J581" s="98"/>
      <c r="K581" s="98"/>
      <c r="L581" s="98"/>
      <c r="M581" s="98"/>
      <c r="N581" s="98"/>
      <c r="O581" s="98"/>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row>
    <row r="582" spans="1:44" x14ac:dyDescent="0.25">
      <c r="A582" s="40"/>
      <c r="B582" s="40"/>
      <c r="C582" s="40"/>
      <c r="D582" s="40"/>
      <c r="E582" s="98"/>
      <c r="F582" s="98"/>
      <c r="G582" s="98"/>
      <c r="H582" s="98"/>
      <c r="I582" s="98"/>
      <c r="J582" s="98"/>
      <c r="K582" s="98"/>
      <c r="L582" s="98"/>
      <c r="M582" s="98"/>
      <c r="N582" s="98"/>
      <c r="O582" s="98"/>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row>
    <row r="583" spans="1:44" x14ac:dyDescent="0.25">
      <c r="A583" s="40"/>
      <c r="B583" s="40"/>
      <c r="C583" s="40"/>
      <c r="D583" s="40"/>
      <c r="E583" s="98"/>
      <c r="F583" s="98"/>
      <c r="G583" s="98"/>
      <c r="H583" s="98"/>
      <c r="I583" s="98"/>
      <c r="J583" s="98"/>
      <c r="K583" s="98"/>
      <c r="L583" s="98"/>
      <c r="M583" s="98"/>
      <c r="N583" s="98"/>
      <c r="O583" s="98"/>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row>
    <row r="584" spans="1:44" x14ac:dyDescent="0.25">
      <c r="A584" s="40"/>
      <c r="B584" s="40"/>
      <c r="C584" s="40"/>
      <c r="D584" s="40"/>
      <c r="E584" s="98"/>
      <c r="F584" s="98"/>
      <c r="G584" s="98"/>
      <c r="H584" s="98"/>
      <c r="I584" s="98"/>
      <c r="J584" s="98"/>
      <c r="K584" s="98"/>
      <c r="L584" s="98"/>
      <c r="M584" s="98"/>
      <c r="N584" s="98"/>
      <c r="O584" s="98"/>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row>
    <row r="585" spans="1:44" x14ac:dyDescent="0.25">
      <c r="A585" s="40"/>
      <c r="B585" s="40"/>
      <c r="C585" s="40"/>
      <c r="D585" s="40"/>
      <c r="E585" s="98"/>
      <c r="F585" s="98"/>
      <c r="G585" s="98"/>
      <c r="H585" s="98"/>
      <c r="I585" s="98"/>
      <c r="J585" s="98"/>
      <c r="K585" s="98"/>
      <c r="L585" s="98"/>
      <c r="M585" s="98"/>
      <c r="N585" s="98"/>
      <c r="O585" s="98"/>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row>
    <row r="586" spans="1:44" x14ac:dyDescent="0.25">
      <c r="A586" s="40"/>
      <c r="B586" s="40"/>
      <c r="C586" s="40"/>
      <c r="D586" s="40"/>
      <c r="E586" s="98"/>
      <c r="F586" s="98"/>
      <c r="G586" s="98"/>
      <c r="H586" s="98"/>
      <c r="I586" s="98"/>
      <c r="J586" s="98"/>
      <c r="K586" s="98"/>
      <c r="L586" s="98"/>
      <c r="M586" s="98"/>
      <c r="N586" s="98"/>
      <c r="O586" s="98"/>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row>
    <row r="587" spans="1:44" x14ac:dyDescent="0.25">
      <c r="A587" s="40"/>
      <c r="B587" s="40"/>
      <c r="C587" s="40"/>
      <c r="D587" s="40"/>
      <c r="E587" s="98"/>
      <c r="F587" s="98"/>
      <c r="G587" s="98"/>
      <c r="H587" s="98"/>
      <c r="I587" s="98"/>
      <c r="J587" s="98"/>
      <c r="K587" s="98"/>
      <c r="L587" s="98"/>
      <c r="M587" s="98"/>
      <c r="N587" s="98"/>
      <c r="O587" s="98"/>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row>
    <row r="588" spans="1:44" x14ac:dyDescent="0.25">
      <c r="A588" s="40"/>
      <c r="B588" s="40"/>
      <c r="C588" s="40"/>
      <c r="D588" s="40"/>
      <c r="E588" s="98"/>
      <c r="F588" s="98"/>
      <c r="G588" s="98"/>
      <c r="H588" s="98"/>
      <c r="I588" s="98"/>
      <c r="J588" s="98"/>
      <c r="K588" s="98"/>
      <c r="L588" s="98"/>
      <c r="M588" s="98"/>
      <c r="N588" s="98"/>
      <c r="O588" s="98"/>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row>
    <row r="589" spans="1:44" x14ac:dyDescent="0.25">
      <c r="A589" s="40"/>
      <c r="B589" s="40"/>
      <c r="C589" s="40"/>
      <c r="D589" s="40"/>
      <c r="E589" s="98"/>
      <c r="F589" s="98"/>
      <c r="G589" s="98"/>
      <c r="H589" s="98"/>
      <c r="I589" s="98"/>
      <c r="J589" s="98"/>
      <c r="K589" s="98"/>
      <c r="L589" s="98"/>
      <c r="M589" s="98"/>
      <c r="N589" s="98"/>
      <c r="O589" s="98"/>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row>
    <row r="590" spans="1:44" x14ac:dyDescent="0.25">
      <c r="A590" s="40"/>
      <c r="B590" s="40"/>
      <c r="C590" s="40"/>
      <c r="D590" s="40"/>
      <c r="E590" s="98"/>
      <c r="F590" s="98"/>
      <c r="G590" s="98"/>
      <c r="H590" s="98"/>
      <c r="I590" s="98"/>
      <c r="J590" s="98"/>
      <c r="K590" s="98"/>
      <c r="L590" s="98"/>
      <c r="M590" s="98"/>
      <c r="N590" s="98"/>
      <c r="O590" s="98"/>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row>
    <row r="591" spans="1:44" x14ac:dyDescent="0.25">
      <c r="A591" s="40"/>
      <c r="B591" s="40"/>
      <c r="C591" s="40"/>
      <c r="D591" s="40"/>
      <c r="E591" s="98"/>
      <c r="F591" s="98"/>
      <c r="G591" s="98"/>
      <c r="H591" s="98"/>
      <c r="I591" s="98"/>
      <c r="J591" s="98"/>
      <c r="K591" s="98"/>
      <c r="L591" s="98"/>
      <c r="M591" s="98"/>
      <c r="N591" s="98"/>
      <c r="O591" s="98"/>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row>
    <row r="592" spans="1:44" x14ac:dyDescent="0.25">
      <c r="A592" s="40"/>
      <c r="B592" s="40"/>
      <c r="C592" s="40"/>
      <c r="D592" s="40"/>
      <c r="E592" s="98"/>
      <c r="F592" s="98"/>
      <c r="G592" s="98"/>
      <c r="H592" s="98"/>
      <c r="I592" s="98"/>
      <c r="J592" s="98"/>
      <c r="K592" s="98"/>
      <c r="L592" s="98"/>
      <c r="M592" s="98"/>
      <c r="N592" s="98"/>
      <c r="O592" s="98"/>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row>
    <row r="593" spans="1:44" x14ac:dyDescent="0.25">
      <c r="A593" s="40"/>
      <c r="B593" s="40"/>
      <c r="C593" s="40"/>
      <c r="D593" s="40"/>
      <c r="E593" s="98"/>
      <c r="F593" s="98"/>
      <c r="G593" s="98"/>
      <c r="H593" s="98"/>
      <c r="I593" s="98"/>
      <c r="J593" s="98"/>
      <c r="K593" s="98"/>
      <c r="L593" s="98"/>
      <c r="M593" s="98"/>
      <c r="N593" s="98"/>
      <c r="O593" s="98"/>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row>
    <row r="594" spans="1:44" x14ac:dyDescent="0.25">
      <c r="A594" s="40"/>
      <c r="B594" s="40"/>
      <c r="C594" s="40"/>
      <c r="D594" s="40"/>
      <c r="E594" s="98"/>
      <c r="F594" s="98"/>
      <c r="G594" s="98"/>
      <c r="H594" s="98"/>
      <c r="I594" s="98"/>
      <c r="J594" s="98"/>
      <c r="K594" s="98"/>
      <c r="L594" s="98"/>
      <c r="M594" s="98"/>
      <c r="N594" s="98"/>
      <c r="O594" s="98"/>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row>
    <row r="595" spans="1:44" x14ac:dyDescent="0.25">
      <c r="A595" s="40"/>
      <c r="B595" s="40"/>
      <c r="C595" s="40"/>
      <c r="D595" s="40"/>
      <c r="E595" s="98"/>
      <c r="F595" s="98"/>
      <c r="G595" s="98"/>
      <c r="H595" s="98"/>
      <c r="I595" s="98"/>
      <c r="J595" s="98"/>
      <c r="K595" s="98"/>
      <c r="L595" s="98"/>
      <c r="M595" s="98"/>
      <c r="N595" s="98"/>
      <c r="O595" s="98"/>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row>
    <row r="596" spans="1:44" x14ac:dyDescent="0.25">
      <c r="A596" s="40"/>
      <c r="B596" s="40"/>
      <c r="C596" s="40"/>
      <c r="D596" s="40"/>
      <c r="E596" s="98"/>
      <c r="F596" s="98"/>
      <c r="G596" s="98"/>
      <c r="H596" s="98"/>
      <c r="I596" s="98"/>
      <c r="J596" s="98"/>
      <c r="K596" s="98"/>
      <c r="L596" s="98"/>
      <c r="M596" s="98"/>
      <c r="N596" s="98"/>
      <c r="O596" s="98"/>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row>
    <row r="597" spans="1:44" x14ac:dyDescent="0.25">
      <c r="A597" s="40"/>
      <c r="B597" s="40"/>
      <c r="C597" s="40"/>
      <c r="D597" s="40"/>
      <c r="E597" s="98"/>
      <c r="F597" s="98"/>
      <c r="G597" s="98"/>
      <c r="H597" s="98"/>
      <c r="I597" s="98"/>
      <c r="J597" s="98"/>
      <c r="K597" s="98"/>
      <c r="L597" s="98"/>
      <c r="M597" s="98"/>
      <c r="N597" s="98"/>
      <c r="O597" s="98"/>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row>
    <row r="598" spans="1:44" x14ac:dyDescent="0.25">
      <c r="A598" s="40"/>
      <c r="B598" s="40"/>
      <c r="C598" s="40"/>
      <c r="D598" s="40"/>
      <c r="E598" s="98"/>
      <c r="F598" s="98"/>
      <c r="G598" s="98"/>
      <c r="H598" s="98"/>
      <c r="I598" s="98"/>
      <c r="J598" s="98"/>
      <c r="K598" s="98"/>
      <c r="L598" s="98"/>
      <c r="M598" s="98"/>
      <c r="N598" s="98"/>
      <c r="O598" s="98"/>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row>
    <row r="599" spans="1:44" x14ac:dyDescent="0.25">
      <c r="A599" s="40"/>
      <c r="B599" s="40"/>
      <c r="C599" s="40"/>
      <c r="D599" s="40"/>
      <c r="E599" s="98"/>
      <c r="F599" s="98"/>
      <c r="G599" s="98"/>
      <c r="H599" s="98"/>
      <c r="I599" s="98"/>
      <c r="J599" s="98"/>
      <c r="K599" s="98"/>
      <c r="L599" s="98"/>
      <c r="M599" s="98"/>
      <c r="N599" s="98"/>
      <c r="O599" s="98"/>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row>
    <row r="600" spans="1:44" x14ac:dyDescent="0.25">
      <c r="A600" s="40"/>
      <c r="B600" s="40"/>
      <c r="C600" s="40"/>
      <c r="D600" s="40"/>
      <c r="E600" s="98"/>
      <c r="F600" s="98"/>
      <c r="G600" s="98"/>
      <c r="H600" s="98"/>
      <c r="I600" s="98"/>
      <c r="J600" s="98"/>
      <c r="K600" s="98"/>
      <c r="L600" s="98"/>
      <c r="M600" s="98"/>
      <c r="N600" s="98"/>
      <c r="O600" s="98"/>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row>
    <row r="601" spans="1:44" x14ac:dyDescent="0.25">
      <c r="A601" s="40"/>
      <c r="B601" s="40"/>
      <c r="C601" s="40"/>
      <c r="D601" s="40"/>
      <c r="E601" s="98"/>
      <c r="F601" s="98"/>
      <c r="G601" s="98"/>
      <c r="H601" s="98"/>
      <c r="I601" s="98"/>
      <c r="J601" s="98"/>
      <c r="K601" s="98"/>
      <c r="L601" s="98"/>
      <c r="M601" s="98"/>
      <c r="N601" s="98"/>
      <c r="O601" s="98"/>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row>
    <row r="602" spans="1:44" x14ac:dyDescent="0.25">
      <c r="A602" s="40"/>
      <c r="B602" s="40"/>
      <c r="C602" s="40"/>
      <c r="D602" s="40"/>
      <c r="E602" s="98"/>
      <c r="F602" s="98"/>
      <c r="G602" s="98"/>
      <c r="H602" s="98"/>
      <c r="I602" s="98"/>
      <c r="J602" s="98"/>
      <c r="K602" s="98"/>
      <c r="L602" s="98"/>
      <c r="M602" s="98"/>
      <c r="N602" s="98"/>
      <c r="O602" s="98"/>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row>
    <row r="603" spans="1:44" x14ac:dyDescent="0.25">
      <c r="A603" s="40"/>
      <c r="B603" s="40"/>
      <c r="C603" s="40"/>
      <c r="D603" s="40"/>
      <c r="E603" s="98"/>
      <c r="F603" s="98"/>
      <c r="G603" s="98"/>
      <c r="H603" s="98"/>
      <c r="I603" s="98"/>
      <c r="J603" s="98"/>
      <c r="K603" s="98"/>
      <c r="L603" s="98"/>
      <c r="M603" s="98"/>
      <c r="N603" s="98"/>
      <c r="O603" s="98"/>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row>
    <row r="604" spans="1:44" x14ac:dyDescent="0.25">
      <c r="A604" s="40"/>
      <c r="B604" s="40"/>
      <c r="C604" s="40"/>
      <c r="D604" s="40"/>
      <c r="E604" s="98"/>
      <c r="F604" s="98"/>
      <c r="G604" s="98"/>
      <c r="H604" s="98"/>
      <c r="I604" s="98"/>
      <c r="J604" s="98"/>
      <c r="K604" s="98"/>
      <c r="L604" s="98"/>
      <c r="M604" s="98"/>
      <c r="N604" s="98"/>
      <c r="O604" s="98"/>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row>
    <row r="605" spans="1:44" x14ac:dyDescent="0.25">
      <c r="A605" s="40"/>
      <c r="B605" s="40"/>
      <c r="C605" s="40"/>
      <c r="D605" s="40"/>
      <c r="E605" s="98"/>
      <c r="F605" s="98"/>
      <c r="G605" s="98"/>
      <c r="H605" s="98"/>
      <c r="I605" s="98"/>
      <c r="J605" s="98"/>
      <c r="K605" s="98"/>
      <c r="L605" s="98"/>
      <c r="M605" s="98"/>
      <c r="N605" s="98"/>
      <c r="O605" s="98"/>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row>
    <row r="606" spans="1:44" x14ac:dyDescent="0.25">
      <c r="A606" s="40"/>
      <c r="B606" s="40"/>
      <c r="C606" s="40"/>
      <c r="D606" s="40"/>
      <c r="E606" s="98"/>
      <c r="F606" s="98"/>
      <c r="G606" s="98"/>
      <c r="H606" s="98"/>
      <c r="I606" s="98"/>
      <c r="J606" s="98"/>
      <c r="K606" s="98"/>
      <c r="L606" s="98"/>
      <c r="M606" s="98"/>
      <c r="N606" s="98"/>
      <c r="O606" s="98"/>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row>
    <row r="607" spans="1:44" x14ac:dyDescent="0.25">
      <c r="A607" s="40"/>
      <c r="B607" s="40"/>
      <c r="C607" s="40"/>
      <c r="D607" s="40"/>
      <c r="E607" s="98"/>
      <c r="F607" s="98"/>
      <c r="G607" s="98"/>
      <c r="H607" s="98"/>
      <c r="I607" s="98"/>
      <c r="J607" s="98"/>
      <c r="K607" s="98"/>
      <c r="L607" s="98"/>
      <c r="M607" s="98"/>
      <c r="N607" s="98"/>
      <c r="O607" s="98"/>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row>
    <row r="608" spans="1:44" x14ac:dyDescent="0.25">
      <c r="A608" s="40"/>
      <c r="B608" s="40"/>
      <c r="C608" s="40"/>
      <c r="D608" s="40"/>
      <c r="E608" s="98"/>
      <c r="F608" s="98"/>
      <c r="G608" s="98"/>
      <c r="H608" s="98"/>
      <c r="I608" s="98"/>
      <c r="J608" s="98"/>
      <c r="K608" s="98"/>
      <c r="L608" s="98"/>
      <c r="M608" s="98"/>
      <c r="N608" s="98"/>
      <c r="O608" s="98"/>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row>
    <row r="609" spans="1:44" x14ac:dyDescent="0.25">
      <c r="A609" s="40"/>
      <c r="B609" s="40"/>
      <c r="C609" s="40"/>
      <c r="D609" s="40"/>
      <c r="E609" s="98"/>
      <c r="F609" s="98"/>
      <c r="G609" s="98"/>
      <c r="H609" s="98"/>
      <c r="I609" s="98"/>
      <c r="J609" s="98"/>
      <c r="K609" s="98"/>
      <c r="L609" s="98"/>
      <c r="M609" s="98"/>
      <c r="N609" s="98"/>
      <c r="O609" s="98"/>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row>
    <row r="610" spans="1:44" x14ac:dyDescent="0.25">
      <c r="A610" s="40"/>
      <c r="B610" s="40"/>
      <c r="C610" s="40"/>
      <c r="D610" s="40"/>
      <c r="E610" s="98"/>
      <c r="F610" s="98"/>
      <c r="G610" s="98"/>
      <c r="H610" s="98"/>
      <c r="I610" s="98"/>
      <c r="J610" s="98"/>
      <c r="K610" s="98"/>
      <c r="L610" s="98"/>
      <c r="M610" s="98"/>
      <c r="N610" s="98"/>
      <c r="O610" s="98"/>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row>
    <row r="611" spans="1:44" x14ac:dyDescent="0.25">
      <c r="A611" s="40"/>
      <c r="B611" s="40"/>
      <c r="C611" s="40"/>
      <c r="D611" s="40"/>
      <c r="E611" s="98"/>
      <c r="F611" s="98"/>
      <c r="G611" s="98"/>
      <c r="H611" s="98"/>
      <c r="I611" s="98"/>
      <c r="J611" s="98"/>
      <c r="K611" s="98"/>
      <c r="L611" s="98"/>
      <c r="M611" s="98"/>
      <c r="N611" s="98"/>
      <c r="O611" s="98"/>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row>
    <row r="612" spans="1:44" x14ac:dyDescent="0.25">
      <c r="A612" s="40"/>
      <c r="B612" s="40"/>
      <c r="C612" s="40"/>
      <c r="D612" s="40"/>
      <c r="E612" s="98"/>
      <c r="F612" s="98"/>
      <c r="G612" s="98"/>
      <c r="H612" s="98"/>
      <c r="I612" s="98"/>
      <c r="J612" s="98"/>
      <c r="K612" s="98"/>
      <c r="L612" s="98"/>
      <c r="M612" s="98"/>
      <c r="N612" s="98"/>
      <c r="O612" s="98"/>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row>
    <row r="613" spans="1:44" x14ac:dyDescent="0.25">
      <c r="A613" s="40"/>
      <c r="B613" s="40"/>
      <c r="C613" s="40"/>
      <c r="D613" s="40"/>
      <c r="E613" s="98"/>
      <c r="F613" s="98"/>
      <c r="G613" s="98"/>
      <c r="H613" s="98"/>
      <c r="I613" s="98"/>
      <c r="J613" s="98"/>
      <c r="K613" s="98"/>
      <c r="L613" s="98"/>
      <c r="M613" s="98"/>
      <c r="N613" s="98"/>
      <c r="O613" s="98"/>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row>
    <row r="614" spans="1:44" x14ac:dyDescent="0.25">
      <c r="A614" s="40"/>
      <c r="B614" s="40"/>
      <c r="C614" s="40"/>
      <c r="D614" s="40"/>
      <c r="E614" s="98"/>
      <c r="F614" s="98"/>
      <c r="G614" s="98"/>
      <c r="H614" s="98"/>
      <c r="I614" s="98"/>
      <c r="J614" s="98"/>
      <c r="K614" s="98"/>
      <c r="L614" s="98"/>
      <c r="M614" s="98"/>
      <c r="N614" s="98"/>
      <c r="O614" s="98"/>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row>
    <row r="615" spans="1:44" x14ac:dyDescent="0.25">
      <c r="A615" s="40"/>
      <c r="B615" s="40"/>
      <c r="C615" s="40"/>
      <c r="D615" s="40"/>
      <c r="E615" s="98"/>
      <c r="F615" s="98"/>
      <c r="G615" s="98"/>
      <c r="H615" s="98"/>
      <c r="I615" s="98"/>
      <c r="J615" s="98"/>
      <c r="K615" s="98"/>
      <c r="L615" s="98"/>
      <c r="M615" s="98"/>
      <c r="N615" s="98"/>
      <c r="O615" s="98"/>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row>
    <row r="616" spans="1:44" x14ac:dyDescent="0.25">
      <c r="A616" s="40"/>
      <c r="B616" s="40"/>
      <c r="C616" s="40"/>
      <c r="D616" s="40"/>
      <c r="E616" s="98"/>
      <c r="F616" s="98"/>
      <c r="G616" s="98"/>
      <c r="H616" s="98"/>
      <c r="I616" s="98"/>
      <c r="J616" s="98"/>
      <c r="K616" s="98"/>
      <c r="L616" s="98"/>
      <c r="M616" s="98"/>
      <c r="N616" s="98"/>
      <c r="O616" s="98"/>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row>
    <row r="617" spans="1:44" x14ac:dyDescent="0.25">
      <c r="A617" s="40"/>
      <c r="B617" s="40"/>
      <c r="C617" s="40"/>
      <c r="D617" s="40"/>
      <c r="E617" s="98"/>
      <c r="F617" s="98"/>
      <c r="G617" s="98"/>
      <c r="H617" s="98"/>
      <c r="I617" s="98"/>
      <c r="J617" s="98"/>
      <c r="K617" s="98"/>
      <c r="L617" s="98"/>
      <c r="M617" s="98"/>
      <c r="N617" s="98"/>
      <c r="O617" s="98"/>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row>
    <row r="618" spans="1:44" x14ac:dyDescent="0.25">
      <c r="A618" s="40"/>
      <c r="B618" s="40"/>
      <c r="C618" s="40"/>
      <c r="D618" s="40"/>
      <c r="E618" s="98"/>
      <c r="F618" s="98"/>
      <c r="G618" s="98"/>
      <c r="H618" s="98"/>
      <c r="I618" s="98"/>
      <c r="J618" s="98"/>
      <c r="K618" s="98"/>
      <c r="L618" s="98"/>
      <c r="M618" s="98"/>
      <c r="N618" s="98"/>
      <c r="O618" s="98"/>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row>
    <row r="619" spans="1:44" x14ac:dyDescent="0.25">
      <c r="A619" s="40"/>
    </row>
    <row r="620" spans="1:44" x14ac:dyDescent="0.25">
      <c r="A620" s="40"/>
    </row>
  </sheetData>
  <mergeCells count="27">
    <mergeCell ref="N3:O3"/>
    <mergeCell ref="S3:V3"/>
    <mergeCell ref="W3:Y3"/>
    <mergeCell ref="N1:N2"/>
    <mergeCell ref="A1:A3"/>
    <mergeCell ref="B1:B3"/>
    <mergeCell ref="C1:C2"/>
    <mergeCell ref="D1:D2"/>
    <mergeCell ref="E1:E2"/>
    <mergeCell ref="C3:D3"/>
    <mergeCell ref="E3:F3"/>
    <mergeCell ref="AC1:AC2"/>
    <mergeCell ref="G3:H3"/>
    <mergeCell ref="I3:J3"/>
    <mergeCell ref="K3:M3"/>
    <mergeCell ref="F1:F2"/>
    <mergeCell ref="G1:G2"/>
    <mergeCell ref="H1:H2"/>
    <mergeCell ref="I1:I2"/>
    <mergeCell ref="J1:J2"/>
    <mergeCell ref="K1:K2"/>
    <mergeCell ref="L1:L2"/>
    <mergeCell ref="M1:M2"/>
    <mergeCell ref="O1:O2"/>
    <mergeCell ref="P1:R2"/>
    <mergeCell ref="S1:Y1"/>
    <mergeCell ref="Z1:AB2"/>
  </mergeCells>
  <printOptions horizontalCentered="1"/>
  <pageMargins left="0.70866141732283472" right="0.70866141732283472" top="0.94488188976377963" bottom="0.74803149606299213" header="0.31496062992125984" footer="0.31496062992125984"/>
  <pageSetup paperSize="8" scale="65" fitToWidth="0" fitToHeight="0" orientation="landscape" r:id="rId1"/>
  <headerFooter>
    <oddHeader xml:space="preserve">&amp;C&amp;"Times New Roman,Félkövér"&amp;12Józsefvárosi Önkormányzat
költségvetési szervek
2020.évi 
engedélyezett álláshelyek&amp;R&amp;"Times New Roman,Félkövér dőlt"13. melléklet a /2020. ()
önkormányzati rendelethez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N381"/>
  <sheetViews>
    <sheetView zoomScaleNormal="100" workbookViewId="0">
      <pane xSplit="1" ySplit="2" topLeftCell="D3" activePane="bottomRight" state="frozen"/>
      <selection pane="topRight" activeCell="B1" sqref="B1"/>
      <selection pane="bottomLeft" activeCell="A3" sqref="A3"/>
      <selection pane="bottomRight" activeCell="R9" sqref="R9"/>
    </sheetView>
  </sheetViews>
  <sheetFormatPr defaultColWidth="19.88671875" defaultRowHeight="13.2" x14ac:dyDescent="0.25"/>
  <cols>
    <col min="1" max="1" width="39.88671875" style="189" customWidth="1"/>
    <col min="2" max="16" width="15.6640625" style="29" customWidth="1"/>
    <col min="17" max="17" width="15.6640625" style="190" customWidth="1"/>
    <col min="18" max="18" width="15.6640625" style="29" customWidth="1"/>
    <col min="19" max="19" width="15.6640625" style="17" customWidth="1"/>
    <col min="20" max="25" width="9.6640625" style="9" customWidth="1"/>
    <col min="26" max="214" width="19.88671875" style="9"/>
    <col min="215" max="215" width="39.88671875" style="9" customWidth="1"/>
    <col min="216" max="272" width="9.6640625" style="9" customWidth="1"/>
    <col min="273" max="275" width="10.6640625" style="9" customWidth="1"/>
    <col min="276" max="281" width="9.6640625" style="9" customWidth="1"/>
    <col min="282" max="470" width="19.88671875" style="9"/>
    <col min="471" max="471" width="39.88671875" style="9" customWidth="1"/>
    <col min="472" max="528" width="9.6640625" style="9" customWidth="1"/>
    <col min="529" max="531" width="10.6640625" style="9" customWidth="1"/>
    <col min="532" max="537" width="9.6640625" style="9" customWidth="1"/>
    <col min="538" max="726" width="19.88671875" style="9"/>
    <col min="727" max="727" width="39.88671875" style="9" customWidth="1"/>
    <col min="728" max="784" width="9.6640625" style="9" customWidth="1"/>
    <col min="785" max="787" width="10.6640625" style="9" customWidth="1"/>
    <col min="788" max="793" width="9.6640625" style="9" customWidth="1"/>
    <col min="794" max="982" width="19.88671875" style="9"/>
    <col min="983" max="983" width="39.88671875" style="9" customWidth="1"/>
    <col min="984" max="1040" width="9.6640625" style="9" customWidth="1"/>
    <col min="1041" max="1043" width="10.6640625" style="9" customWidth="1"/>
    <col min="1044" max="1049" width="9.6640625" style="9" customWidth="1"/>
    <col min="1050" max="1238" width="19.88671875" style="9"/>
    <col min="1239" max="1239" width="39.88671875" style="9" customWidth="1"/>
    <col min="1240" max="1296" width="9.6640625" style="9" customWidth="1"/>
    <col min="1297" max="1299" width="10.6640625" style="9" customWidth="1"/>
    <col min="1300" max="1305" width="9.6640625" style="9" customWidth="1"/>
    <col min="1306" max="1494" width="19.88671875" style="9"/>
    <col min="1495" max="1495" width="39.88671875" style="9" customWidth="1"/>
    <col min="1496" max="1552" width="9.6640625" style="9" customWidth="1"/>
    <col min="1553" max="1555" width="10.6640625" style="9" customWidth="1"/>
    <col min="1556" max="1561" width="9.6640625" style="9" customWidth="1"/>
    <col min="1562" max="1750" width="19.88671875" style="9"/>
    <col min="1751" max="1751" width="39.88671875" style="9" customWidth="1"/>
    <col min="1752" max="1808" width="9.6640625" style="9" customWidth="1"/>
    <col min="1809" max="1811" width="10.6640625" style="9" customWidth="1"/>
    <col min="1812" max="1817" width="9.6640625" style="9" customWidth="1"/>
    <col min="1818" max="2006" width="19.88671875" style="9"/>
    <col min="2007" max="2007" width="39.88671875" style="9" customWidth="1"/>
    <col min="2008" max="2064" width="9.6640625" style="9" customWidth="1"/>
    <col min="2065" max="2067" width="10.6640625" style="9" customWidth="1"/>
    <col min="2068" max="2073" width="9.6640625" style="9" customWidth="1"/>
    <col min="2074" max="2262" width="19.88671875" style="9"/>
    <col min="2263" max="2263" width="39.88671875" style="9" customWidth="1"/>
    <col min="2264" max="2320" width="9.6640625" style="9" customWidth="1"/>
    <col min="2321" max="2323" width="10.6640625" style="9" customWidth="1"/>
    <col min="2324" max="2329" width="9.6640625" style="9" customWidth="1"/>
    <col min="2330" max="2518" width="19.88671875" style="9"/>
    <col min="2519" max="2519" width="39.88671875" style="9" customWidth="1"/>
    <col min="2520" max="2576" width="9.6640625" style="9" customWidth="1"/>
    <col min="2577" max="2579" width="10.6640625" style="9" customWidth="1"/>
    <col min="2580" max="2585" width="9.6640625" style="9" customWidth="1"/>
    <col min="2586" max="2774" width="19.88671875" style="9"/>
    <col min="2775" max="2775" width="39.88671875" style="9" customWidth="1"/>
    <col min="2776" max="2832" width="9.6640625" style="9" customWidth="1"/>
    <col min="2833" max="2835" width="10.6640625" style="9" customWidth="1"/>
    <col min="2836" max="2841" width="9.6640625" style="9" customWidth="1"/>
    <col min="2842" max="3030" width="19.88671875" style="9"/>
    <col min="3031" max="3031" width="39.88671875" style="9" customWidth="1"/>
    <col min="3032" max="3088" width="9.6640625" style="9" customWidth="1"/>
    <col min="3089" max="3091" width="10.6640625" style="9" customWidth="1"/>
    <col min="3092" max="3097" width="9.6640625" style="9" customWidth="1"/>
    <col min="3098" max="3286" width="19.88671875" style="9"/>
    <col min="3287" max="3287" width="39.88671875" style="9" customWidth="1"/>
    <col min="3288" max="3344" width="9.6640625" style="9" customWidth="1"/>
    <col min="3345" max="3347" width="10.6640625" style="9" customWidth="1"/>
    <col min="3348" max="3353" width="9.6640625" style="9" customWidth="1"/>
    <col min="3354" max="3542" width="19.88671875" style="9"/>
    <col min="3543" max="3543" width="39.88671875" style="9" customWidth="1"/>
    <col min="3544" max="3600" width="9.6640625" style="9" customWidth="1"/>
    <col min="3601" max="3603" width="10.6640625" style="9" customWidth="1"/>
    <col min="3604" max="3609" width="9.6640625" style="9" customWidth="1"/>
    <col min="3610" max="3798" width="19.88671875" style="9"/>
    <col min="3799" max="3799" width="39.88671875" style="9" customWidth="1"/>
    <col min="3800" max="3856" width="9.6640625" style="9" customWidth="1"/>
    <col min="3857" max="3859" width="10.6640625" style="9" customWidth="1"/>
    <col min="3860" max="3865" width="9.6640625" style="9" customWidth="1"/>
    <col min="3866" max="4054" width="19.88671875" style="9"/>
    <col min="4055" max="4055" width="39.88671875" style="9" customWidth="1"/>
    <col min="4056" max="4112" width="9.6640625" style="9" customWidth="1"/>
    <col min="4113" max="4115" width="10.6640625" style="9" customWidth="1"/>
    <col min="4116" max="4121" width="9.6640625" style="9" customWidth="1"/>
    <col min="4122" max="4310" width="19.88671875" style="9"/>
    <col min="4311" max="4311" width="39.88671875" style="9" customWidth="1"/>
    <col min="4312" max="4368" width="9.6640625" style="9" customWidth="1"/>
    <col min="4369" max="4371" width="10.6640625" style="9" customWidth="1"/>
    <col min="4372" max="4377" width="9.6640625" style="9" customWidth="1"/>
    <col min="4378" max="4566" width="19.88671875" style="9"/>
    <col min="4567" max="4567" width="39.88671875" style="9" customWidth="1"/>
    <col min="4568" max="4624" width="9.6640625" style="9" customWidth="1"/>
    <col min="4625" max="4627" width="10.6640625" style="9" customWidth="1"/>
    <col min="4628" max="4633" width="9.6640625" style="9" customWidth="1"/>
    <col min="4634" max="4822" width="19.88671875" style="9"/>
    <col min="4823" max="4823" width="39.88671875" style="9" customWidth="1"/>
    <col min="4824" max="4880" width="9.6640625" style="9" customWidth="1"/>
    <col min="4881" max="4883" width="10.6640625" style="9" customWidth="1"/>
    <col min="4884" max="4889" width="9.6640625" style="9" customWidth="1"/>
    <col min="4890" max="5078" width="19.88671875" style="9"/>
    <col min="5079" max="5079" width="39.88671875" style="9" customWidth="1"/>
    <col min="5080" max="5136" width="9.6640625" style="9" customWidth="1"/>
    <col min="5137" max="5139" width="10.6640625" style="9" customWidth="1"/>
    <col min="5140" max="5145" width="9.6640625" style="9" customWidth="1"/>
    <col min="5146" max="5334" width="19.88671875" style="9"/>
    <col min="5335" max="5335" width="39.88671875" style="9" customWidth="1"/>
    <col min="5336" max="5392" width="9.6640625" style="9" customWidth="1"/>
    <col min="5393" max="5395" width="10.6640625" style="9" customWidth="1"/>
    <col min="5396" max="5401" width="9.6640625" style="9" customWidth="1"/>
    <col min="5402" max="5590" width="19.88671875" style="9"/>
    <col min="5591" max="5591" width="39.88671875" style="9" customWidth="1"/>
    <col min="5592" max="5648" width="9.6640625" style="9" customWidth="1"/>
    <col min="5649" max="5651" width="10.6640625" style="9" customWidth="1"/>
    <col min="5652" max="5657" width="9.6640625" style="9" customWidth="1"/>
    <col min="5658" max="5846" width="19.88671875" style="9"/>
    <col min="5847" max="5847" width="39.88671875" style="9" customWidth="1"/>
    <col min="5848" max="5904" width="9.6640625" style="9" customWidth="1"/>
    <col min="5905" max="5907" width="10.6640625" style="9" customWidth="1"/>
    <col min="5908" max="5913" width="9.6640625" style="9" customWidth="1"/>
    <col min="5914" max="6102" width="19.88671875" style="9"/>
    <col min="6103" max="6103" width="39.88671875" style="9" customWidth="1"/>
    <col min="6104" max="6160" width="9.6640625" style="9" customWidth="1"/>
    <col min="6161" max="6163" width="10.6640625" style="9" customWidth="1"/>
    <col min="6164" max="6169" width="9.6640625" style="9" customWidth="1"/>
    <col min="6170" max="6358" width="19.88671875" style="9"/>
    <col min="6359" max="6359" width="39.88671875" style="9" customWidth="1"/>
    <col min="6360" max="6416" width="9.6640625" style="9" customWidth="1"/>
    <col min="6417" max="6419" width="10.6640625" style="9" customWidth="1"/>
    <col min="6420" max="6425" width="9.6640625" style="9" customWidth="1"/>
    <col min="6426" max="6614" width="19.88671875" style="9"/>
    <col min="6615" max="6615" width="39.88671875" style="9" customWidth="1"/>
    <col min="6616" max="6672" width="9.6640625" style="9" customWidth="1"/>
    <col min="6673" max="6675" width="10.6640625" style="9" customWidth="1"/>
    <col min="6676" max="6681" width="9.6640625" style="9" customWidth="1"/>
    <col min="6682" max="6870" width="19.88671875" style="9"/>
    <col min="6871" max="6871" width="39.88671875" style="9" customWidth="1"/>
    <col min="6872" max="6928" width="9.6640625" style="9" customWidth="1"/>
    <col min="6929" max="6931" width="10.6640625" style="9" customWidth="1"/>
    <col min="6932" max="6937" width="9.6640625" style="9" customWidth="1"/>
    <col min="6938" max="7126" width="19.88671875" style="9"/>
    <col min="7127" max="7127" width="39.88671875" style="9" customWidth="1"/>
    <col min="7128" max="7184" width="9.6640625" style="9" customWidth="1"/>
    <col min="7185" max="7187" width="10.6640625" style="9" customWidth="1"/>
    <col min="7188" max="7193" width="9.6640625" style="9" customWidth="1"/>
    <col min="7194" max="7382" width="19.88671875" style="9"/>
    <col min="7383" max="7383" width="39.88671875" style="9" customWidth="1"/>
    <col min="7384" max="7440" width="9.6640625" style="9" customWidth="1"/>
    <col min="7441" max="7443" width="10.6640625" style="9" customWidth="1"/>
    <col min="7444" max="7449" width="9.6640625" style="9" customWidth="1"/>
    <col min="7450" max="7638" width="19.88671875" style="9"/>
    <col min="7639" max="7639" width="39.88671875" style="9" customWidth="1"/>
    <col min="7640" max="7696" width="9.6640625" style="9" customWidth="1"/>
    <col min="7697" max="7699" width="10.6640625" style="9" customWidth="1"/>
    <col min="7700" max="7705" width="9.6640625" style="9" customWidth="1"/>
    <col min="7706" max="7894" width="19.88671875" style="9"/>
    <col min="7895" max="7895" width="39.88671875" style="9" customWidth="1"/>
    <col min="7896" max="7952" width="9.6640625" style="9" customWidth="1"/>
    <col min="7953" max="7955" width="10.6640625" style="9" customWidth="1"/>
    <col min="7956" max="7961" width="9.6640625" style="9" customWidth="1"/>
    <col min="7962" max="8150" width="19.88671875" style="9"/>
    <col min="8151" max="8151" width="39.88671875" style="9" customWidth="1"/>
    <col min="8152" max="8208" width="9.6640625" style="9" customWidth="1"/>
    <col min="8209" max="8211" width="10.6640625" style="9" customWidth="1"/>
    <col min="8212" max="8217" width="9.6640625" style="9" customWidth="1"/>
    <col min="8218" max="8406" width="19.88671875" style="9"/>
    <col min="8407" max="8407" width="39.88671875" style="9" customWidth="1"/>
    <col min="8408" max="8464" width="9.6640625" style="9" customWidth="1"/>
    <col min="8465" max="8467" width="10.6640625" style="9" customWidth="1"/>
    <col min="8468" max="8473" width="9.6640625" style="9" customWidth="1"/>
    <col min="8474" max="8662" width="19.88671875" style="9"/>
    <col min="8663" max="8663" width="39.88671875" style="9" customWidth="1"/>
    <col min="8664" max="8720" width="9.6640625" style="9" customWidth="1"/>
    <col min="8721" max="8723" width="10.6640625" style="9" customWidth="1"/>
    <col min="8724" max="8729" width="9.6640625" style="9" customWidth="1"/>
    <col min="8730" max="8918" width="19.88671875" style="9"/>
    <col min="8919" max="8919" width="39.88671875" style="9" customWidth="1"/>
    <col min="8920" max="8976" width="9.6640625" style="9" customWidth="1"/>
    <col min="8977" max="8979" width="10.6640625" style="9" customWidth="1"/>
    <col min="8980" max="8985" width="9.6640625" style="9" customWidth="1"/>
    <col min="8986" max="9174" width="19.88671875" style="9"/>
    <col min="9175" max="9175" width="39.88671875" style="9" customWidth="1"/>
    <col min="9176" max="9232" width="9.6640625" style="9" customWidth="1"/>
    <col min="9233" max="9235" width="10.6640625" style="9" customWidth="1"/>
    <col min="9236" max="9241" width="9.6640625" style="9" customWidth="1"/>
    <col min="9242" max="9430" width="19.88671875" style="9"/>
    <col min="9431" max="9431" width="39.88671875" style="9" customWidth="1"/>
    <col min="9432" max="9488" width="9.6640625" style="9" customWidth="1"/>
    <col min="9489" max="9491" width="10.6640625" style="9" customWidth="1"/>
    <col min="9492" max="9497" width="9.6640625" style="9" customWidth="1"/>
    <col min="9498" max="9686" width="19.88671875" style="9"/>
    <col min="9687" max="9687" width="39.88671875" style="9" customWidth="1"/>
    <col min="9688" max="9744" width="9.6640625" style="9" customWidth="1"/>
    <col min="9745" max="9747" width="10.6640625" style="9" customWidth="1"/>
    <col min="9748" max="9753" width="9.6640625" style="9" customWidth="1"/>
    <col min="9754" max="9942" width="19.88671875" style="9"/>
    <col min="9943" max="9943" width="39.88671875" style="9" customWidth="1"/>
    <col min="9944" max="10000" width="9.6640625" style="9" customWidth="1"/>
    <col min="10001" max="10003" width="10.6640625" style="9" customWidth="1"/>
    <col min="10004" max="10009" width="9.6640625" style="9" customWidth="1"/>
    <col min="10010" max="10198" width="19.88671875" style="9"/>
    <col min="10199" max="10199" width="39.88671875" style="9" customWidth="1"/>
    <col min="10200" max="10256" width="9.6640625" style="9" customWidth="1"/>
    <col min="10257" max="10259" width="10.6640625" style="9" customWidth="1"/>
    <col min="10260" max="10265" width="9.6640625" style="9" customWidth="1"/>
    <col min="10266" max="10454" width="19.88671875" style="9"/>
    <col min="10455" max="10455" width="39.88671875" style="9" customWidth="1"/>
    <col min="10456" max="10512" width="9.6640625" style="9" customWidth="1"/>
    <col min="10513" max="10515" width="10.6640625" style="9" customWidth="1"/>
    <col min="10516" max="10521" width="9.6640625" style="9" customWidth="1"/>
    <col min="10522" max="10710" width="19.88671875" style="9"/>
    <col min="10711" max="10711" width="39.88671875" style="9" customWidth="1"/>
    <col min="10712" max="10768" width="9.6640625" style="9" customWidth="1"/>
    <col min="10769" max="10771" width="10.6640625" style="9" customWidth="1"/>
    <col min="10772" max="10777" width="9.6640625" style="9" customWidth="1"/>
    <col min="10778" max="10966" width="19.88671875" style="9"/>
    <col min="10967" max="10967" width="39.88671875" style="9" customWidth="1"/>
    <col min="10968" max="11024" width="9.6640625" style="9" customWidth="1"/>
    <col min="11025" max="11027" width="10.6640625" style="9" customWidth="1"/>
    <col min="11028" max="11033" width="9.6640625" style="9" customWidth="1"/>
    <col min="11034" max="11222" width="19.88671875" style="9"/>
    <col min="11223" max="11223" width="39.88671875" style="9" customWidth="1"/>
    <col min="11224" max="11280" width="9.6640625" style="9" customWidth="1"/>
    <col min="11281" max="11283" width="10.6640625" style="9" customWidth="1"/>
    <col min="11284" max="11289" width="9.6640625" style="9" customWidth="1"/>
    <col min="11290" max="11478" width="19.88671875" style="9"/>
    <col min="11479" max="11479" width="39.88671875" style="9" customWidth="1"/>
    <col min="11480" max="11536" width="9.6640625" style="9" customWidth="1"/>
    <col min="11537" max="11539" width="10.6640625" style="9" customWidth="1"/>
    <col min="11540" max="11545" width="9.6640625" style="9" customWidth="1"/>
    <col min="11546" max="11734" width="19.88671875" style="9"/>
    <col min="11735" max="11735" width="39.88671875" style="9" customWidth="1"/>
    <col min="11736" max="11792" width="9.6640625" style="9" customWidth="1"/>
    <col min="11793" max="11795" width="10.6640625" style="9" customWidth="1"/>
    <col min="11796" max="11801" width="9.6640625" style="9" customWidth="1"/>
    <col min="11802" max="11990" width="19.88671875" style="9"/>
    <col min="11991" max="11991" width="39.88671875" style="9" customWidth="1"/>
    <col min="11992" max="12048" width="9.6640625" style="9" customWidth="1"/>
    <col min="12049" max="12051" width="10.6640625" style="9" customWidth="1"/>
    <col min="12052" max="12057" width="9.6640625" style="9" customWidth="1"/>
    <col min="12058" max="12246" width="19.88671875" style="9"/>
    <col min="12247" max="12247" width="39.88671875" style="9" customWidth="1"/>
    <col min="12248" max="12304" width="9.6640625" style="9" customWidth="1"/>
    <col min="12305" max="12307" width="10.6640625" style="9" customWidth="1"/>
    <col min="12308" max="12313" width="9.6640625" style="9" customWidth="1"/>
    <col min="12314" max="12502" width="19.88671875" style="9"/>
    <col min="12503" max="12503" width="39.88671875" style="9" customWidth="1"/>
    <col min="12504" max="12560" width="9.6640625" style="9" customWidth="1"/>
    <col min="12561" max="12563" width="10.6640625" style="9" customWidth="1"/>
    <col min="12564" max="12569" width="9.6640625" style="9" customWidth="1"/>
    <col min="12570" max="12758" width="19.88671875" style="9"/>
    <col min="12759" max="12759" width="39.88671875" style="9" customWidth="1"/>
    <col min="12760" max="12816" width="9.6640625" style="9" customWidth="1"/>
    <col min="12817" max="12819" width="10.6640625" style="9" customWidth="1"/>
    <col min="12820" max="12825" width="9.6640625" style="9" customWidth="1"/>
    <col min="12826" max="13014" width="19.88671875" style="9"/>
    <col min="13015" max="13015" width="39.88671875" style="9" customWidth="1"/>
    <col min="13016" max="13072" width="9.6640625" style="9" customWidth="1"/>
    <col min="13073" max="13075" width="10.6640625" style="9" customWidth="1"/>
    <col min="13076" max="13081" width="9.6640625" style="9" customWidth="1"/>
    <col min="13082" max="13270" width="19.88671875" style="9"/>
    <col min="13271" max="13271" width="39.88671875" style="9" customWidth="1"/>
    <col min="13272" max="13328" width="9.6640625" style="9" customWidth="1"/>
    <col min="13329" max="13331" width="10.6640625" style="9" customWidth="1"/>
    <col min="13332" max="13337" width="9.6640625" style="9" customWidth="1"/>
    <col min="13338" max="13526" width="19.88671875" style="9"/>
    <col min="13527" max="13527" width="39.88671875" style="9" customWidth="1"/>
    <col min="13528" max="13584" width="9.6640625" style="9" customWidth="1"/>
    <col min="13585" max="13587" width="10.6640625" style="9" customWidth="1"/>
    <col min="13588" max="13593" width="9.6640625" style="9" customWidth="1"/>
    <col min="13594" max="13782" width="19.88671875" style="9"/>
    <col min="13783" max="13783" width="39.88671875" style="9" customWidth="1"/>
    <col min="13784" max="13840" width="9.6640625" style="9" customWidth="1"/>
    <col min="13841" max="13843" width="10.6640625" style="9" customWidth="1"/>
    <col min="13844" max="13849" width="9.6640625" style="9" customWidth="1"/>
    <col min="13850" max="14038" width="19.88671875" style="9"/>
    <col min="14039" max="14039" width="39.88671875" style="9" customWidth="1"/>
    <col min="14040" max="14096" width="9.6640625" style="9" customWidth="1"/>
    <col min="14097" max="14099" width="10.6640625" style="9" customWidth="1"/>
    <col min="14100" max="14105" width="9.6640625" style="9" customWidth="1"/>
    <col min="14106" max="14294" width="19.88671875" style="9"/>
    <col min="14295" max="14295" width="39.88671875" style="9" customWidth="1"/>
    <col min="14296" max="14352" width="9.6640625" style="9" customWidth="1"/>
    <col min="14353" max="14355" width="10.6640625" style="9" customWidth="1"/>
    <col min="14356" max="14361" width="9.6640625" style="9" customWidth="1"/>
    <col min="14362" max="14550" width="19.88671875" style="9"/>
    <col min="14551" max="14551" width="39.88671875" style="9" customWidth="1"/>
    <col min="14552" max="14608" width="9.6640625" style="9" customWidth="1"/>
    <col min="14609" max="14611" width="10.6640625" style="9" customWidth="1"/>
    <col min="14612" max="14617" width="9.6640625" style="9" customWidth="1"/>
    <col min="14618" max="14806" width="19.88671875" style="9"/>
    <col min="14807" max="14807" width="39.88671875" style="9" customWidth="1"/>
    <col min="14808" max="14864" width="9.6640625" style="9" customWidth="1"/>
    <col min="14865" max="14867" width="10.6640625" style="9" customWidth="1"/>
    <col min="14868" max="14873" width="9.6640625" style="9" customWidth="1"/>
    <col min="14874" max="15062" width="19.88671875" style="9"/>
    <col min="15063" max="15063" width="39.88671875" style="9" customWidth="1"/>
    <col min="15064" max="15120" width="9.6640625" style="9" customWidth="1"/>
    <col min="15121" max="15123" width="10.6640625" style="9" customWidth="1"/>
    <col min="15124" max="15129" width="9.6640625" style="9" customWidth="1"/>
    <col min="15130" max="15318" width="19.88671875" style="9"/>
    <col min="15319" max="15319" width="39.88671875" style="9" customWidth="1"/>
    <col min="15320" max="15376" width="9.6640625" style="9" customWidth="1"/>
    <col min="15377" max="15379" width="10.6640625" style="9" customWidth="1"/>
    <col min="15380" max="15385" width="9.6640625" style="9" customWidth="1"/>
    <col min="15386" max="15574" width="19.88671875" style="9"/>
    <col min="15575" max="15575" width="39.88671875" style="9" customWidth="1"/>
    <col min="15576" max="15632" width="9.6640625" style="9" customWidth="1"/>
    <col min="15633" max="15635" width="10.6640625" style="9" customWidth="1"/>
    <col min="15636" max="15641" width="9.6640625" style="9" customWidth="1"/>
    <col min="15642" max="15830" width="19.88671875" style="9"/>
    <col min="15831" max="15831" width="39.88671875" style="9" customWidth="1"/>
    <col min="15832" max="15888" width="9.6640625" style="9" customWidth="1"/>
    <col min="15889" max="15891" width="10.6640625" style="9" customWidth="1"/>
    <col min="15892" max="15897" width="9.6640625" style="9" customWidth="1"/>
    <col min="15898" max="16086" width="19.88671875" style="9"/>
    <col min="16087" max="16087" width="39.88671875" style="9" customWidth="1"/>
    <col min="16088" max="16144" width="9.6640625" style="9" customWidth="1"/>
    <col min="16145" max="16147" width="10.6640625" style="9" customWidth="1"/>
    <col min="16148" max="16153" width="9.6640625" style="9" customWidth="1"/>
    <col min="16154" max="16384" width="19.88671875" style="9"/>
  </cols>
  <sheetData>
    <row r="1" spans="1:19" ht="70.2" customHeight="1" x14ac:dyDescent="0.25">
      <c r="A1" s="679" t="s">
        <v>563</v>
      </c>
      <c r="B1" s="618" t="s">
        <v>2276</v>
      </c>
      <c r="C1" s="618" t="s">
        <v>565</v>
      </c>
      <c r="D1" s="618" t="s">
        <v>566</v>
      </c>
      <c r="E1" s="618" t="s">
        <v>567</v>
      </c>
      <c r="F1" s="618" t="s">
        <v>2277</v>
      </c>
      <c r="G1" s="2441" t="s">
        <v>2278</v>
      </c>
      <c r="H1" s="618" t="s">
        <v>568</v>
      </c>
      <c r="I1" s="618" t="s">
        <v>569</v>
      </c>
      <c r="J1" s="618" t="s">
        <v>570</v>
      </c>
      <c r="K1" s="618" t="s">
        <v>571</v>
      </c>
      <c r="L1" s="618" t="s">
        <v>572</v>
      </c>
      <c r="M1" s="618" t="s">
        <v>573</v>
      </c>
      <c r="N1" s="618" t="s">
        <v>2279</v>
      </c>
      <c r="O1" s="618" t="s">
        <v>2280</v>
      </c>
      <c r="P1" s="2441" t="s">
        <v>574</v>
      </c>
      <c r="Q1" s="677" t="s">
        <v>564</v>
      </c>
      <c r="R1" s="670" t="s">
        <v>2281</v>
      </c>
      <c r="S1" s="666" t="s">
        <v>581</v>
      </c>
    </row>
    <row r="2" spans="1:19" ht="30" customHeight="1" thickBot="1" x14ac:dyDescent="0.3">
      <c r="A2" s="680"/>
      <c r="B2" s="619" t="s">
        <v>806</v>
      </c>
      <c r="C2" s="619" t="s">
        <v>806</v>
      </c>
      <c r="D2" s="619" t="s">
        <v>806</v>
      </c>
      <c r="E2" s="619" t="s">
        <v>806</v>
      </c>
      <c r="F2" s="619" t="s">
        <v>806</v>
      </c>
      <c r="G2" s="2442" t="s">
        <v>806</v>
      </c>
      <c r="H2" s="619" t="s">
        <v>806</v>
      </c>
      <c r="I2" s="619" t="s">
        <v>806</v>
      </c>
      <c r="J2" s="619" t="s">
        <v>806</v>
      </c>
      <c r="K2" s="619" t="s">
        <v>806</v>
      </c>
      <c r="L2" s="619" t="s">
        <v>806</v>
      </c>
      <c r="M2" s="619" t="s">
        <v>806</v>
      </c>
      <c r="N2" s="619" t="s">
        <v>806</v>
      </c>
      <c r="O2" s="619" t="s">
        <v>806</v>
      </c>
      <c r="P2" s="619" t="s">
        <v>806</v>
      </c>
      <c r="Q2" s="678" t="s">
        <v>806</v>
      </c>
      <c r="R2" s="544" t="s">
        <v>806</v>
      </c>
      <c r="S2" s="671" t="s">
        <v>806</v>
      </c>
    </row>
    <row r="3" spans="1:19" ht="19.95" customHeight="1" x14ac:dyDescent="0.25">
      <c r="A3" s="674" t="s">
        <v>858</v>
      </c>
      <c r="B3" s="545">
        <v>34475</v>
      </c>
      <c r="C3" s="545">
        <v>1663</v>
      </c>
      <c r="D3" s="545">
        <v>4026</v>
      </c>
      <c r="E3" s="545">
        <v>2625</v>
      </c>
      <c r="F3" s="545">
        <v>4375</v>
      </c>
      <c r="G3" s="545">
        <v>1925</v>
      </c>
      <c r="H3" s="545">
        <v>5075</v>
      </c>
      <c r="I3" s="545">
        <v>875</v>
      </c>
      <c r="J3" s="545">
        <v>5075</v>
      </c>
      <c r="K3" s="545">
        <v>5600</v>
      </c>
      <c r="L3" s="545">
        <v>3062</v>
      </c>
      <c r="M3" s="545">
        <v>787</v>
      </c>
      <c r="N3" s="545">
        <v>1575</v>
      </c>
      <c r="O3" s="545">
        <v>1750</v>
      </c>
      <c r="P3" s="545">
        <v>4375</v>
      </c>
      <c r="Q3" s="672">
        <v>36570</v>
      </c>
      <c r="R3" s="668">
        <v>47686</v>
      </c>
      <c r="S3" s="669">
        <f>Q3+B3+C3+D3+E3+F3+G3+H3+I3+J3+K3+L3+M3+N3+O3+R3+P3</f>
        <v>161519</v>
      </c>
    </row>
    <row r="4" spans="1:19" ht="19.95" customHeight="1" x14ac:dyDescent="0.25">
      <c r="A4" s="675" t="s">
        <v>2268</v>
      </c>
      <c r="B4" s="546">
        <v>78</v>
      </c>
      <c r="C4" s="546"/>
      <c r="D4" s="546">
        <v>78</v>
      </c>
      <c r="E4" s="546">
        <v>78</v>
      </c>
      <c r="F4" s="546"/>
      <c r="G4" s="546"/>
      <c r="H4" s="546"/>
      <c r="I4" s="546"/>
      <c r="J4" s="546">
        <v>78</v>
      </c>
      <c r="K4" s="546">
        <v>148</v>
      </c>
      <c r="L4" s="546"/>
      <c r="M4" s="546"/>
      <c r="N4" s="546"/>
      <c r="O4" s="546"/>
      <c r="P4" s="546"/>
      <c r="Q4" s="673"/>
      <c r="R4" s="665">
        <v>1185</v>
      </c>
      <c r="S4" s="669">
        <f t="shared" ref="S4:S23" si="0">Q4+B4+C4+D4+E4+F4+G4+H4+I4+J4+K4+L4+M4+N4+O4+R4+P4</f>
        <v>1645</v>
      </c>
    </row>
    <row r="5" spans="1:19" ht="19.95" customHeight="1" x14ac:dyDescent="0.25">
      <c r="A5" s="675" t="s">
        <v>859</v>
      </c>
      <c r="B5" s="546">
        <v>8516</v>
      </c>
      <c r="C5" s="546"/>
      <c r="D5" s="546">
        <v>697</v>
      </c>
      <c r="E5" s="546"/>
      <c r="F5" s="546">
        <v>502</v>
      </c>
      <c r="G5" s="546"/>
      <c r="H5" s="546"/>
      <c r="I5" s="546"/>
      <c r="J5" s="546">
        <v>1237</v>
      </c>
      <c r="K5" s="546">
        <v>3766</v>
      </c>
      <c r="L5" s="546">
        <v>1237</v>
      </c>
      <c r="M5" s="546"/>
      <c r="N5" s="546"/>
      <c r="O5" s="546"/>
      <c r="P5" s="546"/>
      <c r="Q5" s="673">
        <v>23209</v>
      </c>
      <c r="R5" s="665">
        <v>13343</v>
      </c>
      <c r="S5" s="669">
        <f t="shared" si="0"/>
        <v>52507</v>
      </c>
    </row>
    <row r="6" spans="1:19" ht="19.95" customHeight="1" x14ac:dyDescent="0.25">
      <c r="A6" s="675" t="s">
        <v>860</v>
      </c>
      <c r="B6" s="546">
        <v>6910</v>
      </c>
      <c r="C6" s="546">
        <v>170</v>
      </c>
      <c r="D6" s="546">
        <v>1872</v>
      </c>
      <c r="E6" s="546">
        <v>749</v>
      </c>
      <c r="F6" s="546">
        <v>721</v>
      </c>
      <c r="G6" s="546">
        <v>185</v>
      </c>
      <c r="H6" s="546">
        <v>3485</v>
      </c>
      <c r="I6" s="546">
        <v>485</v>
      </c>
      <c r="J6" s="546">
        <v>586</v>
      </c>
      <c r="K6" s="546">
        <v>2282</v>
      </c>
      <c r="L6" s="546">
        <v>1867</v>
      </c>
      <c r="M6" s="546">
        <v>1011</v>
      </c>
      <c r="N6" s="546"/>
      <c r="O6" s="546">
        <v>618</v>
      </c>
      <c r="P6" s="546"/>
      <c r="Q6" s="673">
        <v>6430</v>
      </c>
      <c r="R6" s="665">
        <v>9030</v>
      </c>
      <c r="S6" s="669">
        <f t="shared" si="0"/>
        <v>36401</v>
      </c>
    </row>
    <row r="7" spans="1:19" ht="19.95" customHeight="1" x14ac:dyDescent="0.25">
      <c r="A7" s="675" t="s">
        <v>861</v>
      </c>
      <c r="B7" s="546">
        <v>14001</v>
      </c>
      <c r="C7" s="546"/>
      <c r="D7" s="546">
        <v>17413</v>
      </c>
      <c r="E7" s="546"/>
      <c r="F7" s="546"/>
      <c r="G7" s="546"/>
      <c r="H7" s="546"/>
      <c r="I7" s="546"/>
      <c r="J7" s="546"/>
      <c r="K7" s="546"/>
      <c r="L7" s="546"/>
      <c r="M7" s="546"/>
      <c r="N7" s="546"/>
      <c r="O7" s="546"/>
      <c r="P7" s="546"/>
      <c r="Q7" s="673">
        <v>9077</v>
      </c>
      <c r="R7" s="665">
        <v>19375</v>
      </c>
      <c r="S7" s="669">
        <f t="shared" si="0"/>
        <v>59866</v>
      </c>
    </row>
    <row r="8" spans="1:19" ht="19.95" customHeight="1" x14ac:dyDescent="0.25">
      <c r="A8" s="675" t="s">
        <v>913</v>
      </c>
      <c r="B8" s="546">
        <v>32599</v>
      </c>
      <c r="C8" s="546">
        <v>12870</v>
      </c>
      <c r="D8" s="546">
        <v>1240</v>
      </c>
      <c r="E8" s="546">
        <v>1240</v>
      </c>
      <c r="F8" s="546">
        <f>3685+766</f>
        <v>4451</v>
      </c>
      <c r="G8" s="546">
        <v>766</v>
      </c>
      <c r="H8" s="546">
        <v>2743</v>
      </c>
      <c r="I8" s="546">
        <v>1179</v>
      </c>
      <c r="J8" s="546">
        <v>1024</v>
      </c>
      <c r="K8" s="546">
        <v>8478</v>
      </c>
      <c r="L8" s="546">
        <v>2974</v>
      </c>
      <c r="M8" s="546"/>
      <c r="N8" s="546">
        <v>1709</v>
      </c>
      <c r="O8" s="546">
        <v>6065</v>
      </c>
      <c r="P8" s="546">
        <v>5277</v>
      </c>
      <c r="Q8" s="673">
        <v>49673</v>
      </c>
      <c r="R8" s="665">
        <v>42089</v>
      </c>
      <c r="S8" s="669">
        <f t="shared" si="0"/>
        <v>174377</v>
      </c>
    </row>
    <row r="9" spans="1:19" ht="19.95" customHeight="1" x14ac:dyDescent="0.25">
      <c r="A9" s="187" t="s">
        <v>862</v>
      </c>
      <c r="B9" s="546"/>
      <c r="C9" s="546"/>
      <c r="D9" s="546"/>
      <c r="E9" s="546"/>
      <c r="F9" s="546"/>
      <c r="G9" s="546"/>
      <c r="H9" s="546"/>
      <c r="I9" s="546"/>
      <c r="J9" s="546"/>
      <c r="K9" s="546"/>
      <c r="L9" s="546"/>
      <c r="M9" s="546"/>
      <c r="N9" s="546"/>
      <c r="O9" s="546"/>
      <c r="P9" s="546">
        <f>331895+366717</f>
        <v>698612</v>
      </c>
      <c r="Q9" s="673"/>
      <c r="R9" s="665"/>
      <c r="S9" s="669">
        <f t="shared" si="0"/>
        <v>698612</v>
      </c>
    </row>
    <row r="10" spans="1:19" ht="19.95" customHeight="1" x14ac:dyDescent="0.25">
      <c r="A10" s="675" t="s">
        <v>863</v>
      </c>
      <c r="B10" s="546">
        <v>41792</v>
      </c>
      <c r="C10" s="546"/>
      <c r="D10" s="546"/>
      <c r="E10" s="546"/>
      <c r="F10" s="546"/>
      <c r="G10" s="546"/>
      <c r="H10" s="546"/>
      <c r="I10" s="546"/>
      <c r="J10" s="546"/>
      <c r="K10" s="546"/>
      <c r="L10" s="546"/>
      <c r="M10" s="546"/>
      <c r="N10" s="546"/>
      <c r="O10" s="546"/>
      <c r="P10" s="546"/>
      <c r="Q10" s="673"/>
      <c r="R10" s="665"/>
      <c r="S10" s="669">
        <f t="shared" si="0"/>
        <v>41792</v>
      </c>
    </row>
    <row r="11" spans="1:19" ht="19.95" customHeight="1" x14ac:dyDescent="0.25">
      <c r="A11" s="675" t="s">
        <v>864</v>
      </c>
      <c r="B11" s="546">
        <v>10843</v>
      </c>
      <c r="C11" s="546"/>
      <c r="D11" s="546"/>
      <c r="E11" s="546"/>
      <c r="F11" s="546"/>
      <c r="G11" s="546"/>
      <c r="H11" s="546"/>
      <c r="I11" s="546"/>
      <c r="J11" s="546"/>
      <c r="K11" s="546"/>
      <c r="L11" s="546"/>
      <c r="M11" s="546"/>
      <c r="N11" s="546"/>
      <c r="O11" s="546"/>
      <c r="P11" s="546"/>
      <c r="Q11" s="673"/>
      <c r="R11" s="665"/>
      <c r="S11" s="669">
        <f t="shared" si="0"/>
        <v>10843</v>
      </c>
    </row>
    <row r="12" spans="1:19" ht="19.95" customHeight="1" x14ac:dyDescent="0.25">
      <c r="A12" s="675" t="s">
        <v>914</v>
      </c>
      <c r="B12" s="546"/>
      <c r="C12" s="546"/>
      <c r="D12" s="546"/>
      <c r="E12" s="546"/>
      <c r="F12" s="546"/>
      <c r="G12" s="546"/>
      <c r="H12" s="546"/>
      <c r="I12" s="546"/>
      <c r="J12" s="546"/>
      <c r="K12" s="546">
        <v>758</v>
      </c>
      <c r="L12" s="546"/>
      <c r="M12" s="546"/>
      <c r="N12" s="546"/>
      <c r="O12" s="546"/>
      <c r="P12" s="546"/>
      <c r="Q12" s="673"/>
      <c r="R12" s="665"/>
      <c r="S12" s="669">
        <f t="shared" si="0"/>
        <v>758</v>
      </c>
    </row>
    <row r="13" spans="1:19" ht="19.95" customHeight="1" x14ac:dyDescent="0.25">
      <c r="A13" s="675" t="s">
        <v>865</v>
      </c>
      <c r="B13" s="546">
        <v>9223</v>
      </c>
      <c r="C13" s="546"/>
      <c r="D13" s="546"/>
      <c r="E13" s="546"/>
      <c r="F13" s="546"/>
      <c r="G13" s="546"/>
      <c r="H13" s="546"/>
      <c r="I13" s="546"/>
      <c r="J13" s="546"/>
      <c r="K13" s="546"/>
      <c r="L13" s="546"/>
      <c r="M13" s="546"/>
      <c r="N13" s="546">
        <v>762</v>
      </c>
      <c r="O13" s="546"/>
      <c r="P13" s="546"/>
      <c r="Q13" s="673"/>
      <c r="R13" s="665"/>
      <c r="S13" s="669">
        <f t="shared" si="0"/>
        <v>9985</v>
      </c>
    </row>
    <row r="14" spans="1:19" ht="19.95" customHeight="1" x14ac:dyDescent="0.25">
      <c r="A14" s="675" t="s">
        <v>866</v>
      </c>
      <c r="B14" s="546">
        <v>194</v>
      </c>
      <c r="C14" s="546"/>
      <c r="D14" s="546"/>
      <c r="E14" s="546"/>
      <c r="F14" s="546"/>
      <c r="G14" s="546"/>
      <c r="H14" s="546"/>
      <c r="I14" s="546"/>
      <c r="J14" s="546"/>
      <c r="K14" s="546"/>
      <c r="L14" s="546"/>
      <c r="M14" s="546"/>
      <c r="N14" s="546"/>
      <c r="O14" s="546"/>
      <c r="P14" s="546"/>
      <c r="Q14" s="673"/>
      <c r="R14" s="665"/>
      <c r="S14" s="669">
        <f t="shared" si="0"/>
        <v>194</v>
      </c>
    </row>
    <row r="15" spans="1:19" ht="19.95" customHeight="1" x14ac:dyDescent="0.25">
      <c r="A15" s="675" t="s">
        <v>71</v>
      </c>
      <c r="B15" s="546"/>
      <c r="C15" s="546"/>
      <c r="D15" s="546"/>
      <c r="E15" s="546"/>
      <c r="F15" s="546"/>
      <c r="G15" s="546"/>
      <c r="H15" s="546"/>
      <c r="I15" s="546">
        <f>28093+176206</f>
        <v>204299</v>
      </c>
      <c r="J15" s="546"/>
      <c r="K15" s="546">
        <f>1330+8931</f>
        <v>10261</v>
      </c>
      <c r="L15" s="546">
        <v>9223</v>
      </c>
      <c r="M15" s="546"/>
      <c r="N15" s="546">
        <v>5981</v>
      </c>
      <c r="O15" s="546"/>
      <c r="P15" s="546"/>
      <c r="Q15" s="673"/>
      <c r="R15" s="665"/>
      <c r="S15" s="669">
        <f t="shared" si="0"/>
        <v>229764</v>
      </c>
    </row>
    <row r="16" spans="1:19" ht="30" customHeight="1" x14ac:dyDescent="0.25">
      <c r="A16" s="675" t="s">
        <v>867</v>
      </c>
      <c r="B16" s="546">
        <v>7411</v>
      </c>
      <c r="C16" s="546"/>
      <c r="D16" s="546"/>
      <c r="E16" s="546"/>
      <c r="F16" s="546"/>
      <c r="G16" s="546"/>
      <c r="H16" s="546"/>
      <c r="I16" s="546"/>
      <c r="J16" s="546"/>
      <c r="K16" s="546"/>
      <c r="L16" s="546"/>
      <c r="M16" s="546"/>
      <c r="N16" s="546"/>
      <c r="O16" s="546"/>
      <c r="P16" s="546"/>
      <c r="Q16" s="673"/>
      <c r="R16" s="665"/>
      <c r="S16" s="669">
        <f t="shared" si="0"/>
        <v>7411</v>
      </c>
    </row>
    <row r="17" spans="1:144" ht="30" customHeight="1" x14ac:dyDescent="0.25">
      <c r="A17" s="187" t="s">
        <v>2269</v>
      </c>
      <c r="B17" s="546"/>
      <c r="C17" s="546"/>
      <c r="D17" s="546"/>
      <c r="E17" s="546"/>
      <c r="F17" s="546"/>
      <c r="G17" s="546"/>
      <c r="H17" s="546"/>
      <c r="I17" s="546"/>
      <c r="J17" s="546"/>
      <c r="K17" s="546"/>
      <c r="L17" s="546"/>
      <c r="M17" s="546"/>
      <c r="N17" s="546"/>
      <c r="O17" s="546"/>
      <c r="P17" s="546"/>
      <c r="Q17" s="673">
        <v>6500</v>
      </c>
      <c r="R17" s="665"/>
      <c r="S17" s="669">
        <f t="shared" si="0"/>
        <v>6500</v>
      </c>
    </row>
    <row r="18" spans="1:144" ht="19.95" customHeight="1" x14ac:dyDescent="0.25">
      <c r="A18" s="675" t="s">
        <v>868</v>
      </c>
      <c r="B18" s="546"/>
      <c r="C18" s="546"/>
      <c r="D18" s="546"/>
      <c r="E18" s="546"/>
      <c r="F18" s="546"/>
      <c r="G18" s="546"/>
      <c r="H18" s="546"/>
      <c r="I18" s="546"/>
      <c r="J18" s="546"/>
      <c r="K18" s="546"/>
      <c r="L18" s="546"/>
      <c r="M18" s="546"/>
      <c r="N18" s="546"/>
      <c r="O18" s="546"/>
      <c r="P18" s="546">
        <v>2400</v>
      </c>
      <c r="Q18" s="673"/>
      <c r="R18" s="665"/>
      <c r="S18" s="669">
        <f t="shared" si="0"/>
        <v>2400</v>
      </c>
    </row>
    <row r="19" spans="1:144" ht="19.95" customHeight="1" x14ac:dyDescent="0.25">
      <c r="A19" s="675" t="s">
        <v>869</v>
      </c>
      <c r="B19" s="546">
        <f>756+756</f>
        <v>1512</v>
      </c>
      <c r="C19" s="546">
        <v>126</v>
      </c>
      <c r="D19" s="546">
        <v>504</v>
      </c>
      <c r="E19" s="546">
        <v>1890</v>
      </c>
      <c r="F19" s="546">
        <f>1260+630</f>
        <v>1890</v>
      </c>
      <c r="G19" s="546">
        <v>1386</v>
      </c>
      <c r="H19" s="546">
        <v>3654</v>
      </c>
      <c r="I19" s="546"/>
      <c r="J19" s="546">
        <f>252+3276</f>
        <v>3528</v>
      </c>
      <c r="K19" s="546">
        <f>126+210</f>
        <v>336</v>
      </c>
      <c r="L19" s="546">
        <v>15</v>
      </c>
      <c r="M19" s="546"/>
      <c r="N19" s="546">
        <v>1134</v>
      </c>
      <c r="O19" s="546"/>
      <c r="P19" s="546">
        <v>378</v>
      </c>
      <c r="Q19" s="673"/>
      <c r="R19" s="665">
        <v>504</v>
      </c>
      <c r="S19" s="669">
        <f t="shared" si="0"/>
        <v>16857</v>
      </c>
    </row>
    <row r="20" spans="1:144" ht="19.95" customHeight="1" x14ac:dyDescent="0.25">
      <c r="A20" s="675" t="s">
        <v>2273</v>
      </c>
      <c r="B20" s="546"/>
      <c r="C20" s="546"/>
      <c r="D20" s="546"/>
      <c r="E20" s="546"/>
      <c r="F20" s="546"/>
      <c r="G20" s="546"/>
      <c r="H20" s="546"/>
      <c r="I20" s="546"/>
      <c r="J20" s="546"/>
      <c r="K20" s="546"/>
      <c r="L20" s="546"/>
      <c r="M20" s="546"/>
      <c r="N20" s="546"/>
      <c r="O20" s="546"/>
      <c r="P20" s="546"/>
      <c r="Q20" s="673">
        <v>3000</v>
      </c>
      <c r="R20" s="665"/>
      <c r="S20" s="669">
        <f t="shared" si="0"/>
        <v>3000</v>
      </c>
    </row>
    <row r="21" spans="1:144" ht="19.95" customHeight="1" x14ac:dyDescent="0.25">
      <c r="A21" s="675" t="s">
        <v>2275</v>
      </c>
      <c r="B21" s="546"/>
      <c r="C21" s="546"/>
      <c r="D21" s="546"/>
      <c r="E21" s="546"/>
      <c r="F21" s="546"/>
      <c r="G21" s="546"/>
      <c r="H21" s="546"/>
      <c r="I21" s="546"/>
      <c r="J21" s="546"/>
      <c r="K21" s="546"/>
      <c r="L21" s="546"/>
      <c r="M21" s="546"/>
      <c r="N21" s="546"/>
      <c r="O21" s="546"/>
      <c r="P21" s="546"/>
      <c r="Q21" s="673"/>
      <c r="R21" s="665">
        <v>4000</v>
      </c>
      <c r="S21" s="669">
        <f t="shared" si="0"/>
        <v>4000</v>
      </c>
    </row>
    <row r="22" spans="1:144" ht="19.95" customHeight="1" x14ac:dyDescent="0.25">
      <c r="A22" s="675" t="s">
        <v>2274</v>
      </c>
      <c r="B22" s="546">
        <v>7240</v>
      </c>
      <c r="C22" s="546">
        <v>1678</v>
      </c>
      <c r="D22" s="546">
        <v>1297</v>
      </c>
      <c r="E22" s="546">
        <v>682</v>
      </c>
      <c r="F22" s="546">
        <v>1721</v>
      </c>
      <c r="G22" s="546">
        <v>163</v>
      </c>
      <c r="H22" s="546">
        <v>989</v>
      </c>
      <c r="I22" s="546">
        <v>1241</v>
      </c>
      <c r="J22" s="546">
        <v>817</v>
      </c>
      <c r="K22" s="546">
        <v>1167</v>
      </c>
      <c r="L22" s="546">
        <v>519</v>
      </c>
      <c r="M22" s="546">
        <v>102</v>
      </c>
      <c r="N22" s="546">
        <v>904</v>
      </c>
      <c r="O22" s="546">
        <v>1490</v>
      </c>
      <c r="P22" s="546">
        <v>4450</v>
      </c>
      <c r="Q22" s="673">
        <v>25400</v>
      </c>
      <c r="R22" s="665">
        <v>4300</v>
      </c>
      <c r="S22" s="669">
        <f t="shared" si="0"/>
        <v>54160</v>
      </c>
    </row>
    <row r="23" spans="1:144" s="188" customFormat="1" ht="30" customHeight="1" thickBot="1" x14ac:dyDescent="0.3">
      <c r="A23" s="676" t="s">
        <v>581</v>
      </c>
      <c r="B23" s="681">
        <f t="shared" ref="B23:R23" si="1">SUM(B3:B22)</f>
        <v>174794</v>
      </c>
      <c r="C23" s="681">
        <f t="shared" si="1"/>
        <v>16507</v>
      </c>
      <c r="D23" s="681">
        <f t="shared" si="1"/>
        <v>27127</v>
      </c>
      <c r="E23" s="681">
        <f t="shared" si="1"/>
        <v>7264</v>
      </c>
      <c r="F23" s="681">
        <f t="shared" si="1"/>
        <v>13660</v>
      </c>
      <c r="G23" s="681">
        <f t="shared" si="1"/>
        <v>4425</v>
      </c>
      <c r="H23" s="681">
        <f t="shared" si="1"/>
        <v>15946</v>
      </c>
      <c r="I23" s="681">
        <f t="shared" si="1"/>
        <v>208079</v>
      </c>
      <c r="J23" s="681">
        <f t="shared" si="1"/>
        <v>12345</v>
      </c>
      <c r="K23" s="681">
        <f t="shared" si="1"/>
        <v>32796</v>
      </c>
      <c r="L23" s="681">
        <f t="shared" si="1"/>
        <v>18897</v>
      </c>
      <c r="M23" s="682">
        <f t="shared" si="1"/>
        <v>1900</v>
      </c>
      <c r="N23" s="682">
        <f t="shared" si="1"/>
        <v>12065</v>
      </c>
      <c r="O23" s="682">
        <f t="shared" si="1"/>
        <v>9923</v>
      </c>
      <c r="P23" s="682">
        <f t="shared" si="1"/>
        <v>715492</v>
      </c>
      <c r="Q23" s="681">
        <f t="shared" si="1"/>
        <v>159859</v>
      </c>
      <c r="R23" s="683">
        <f t="shared" si="1"/>
        <v>141512</v>
      </c>
      <c r="S23" s="667">
        <f t="shared" si="0"/>
        <v>1572591</v>
      </c>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row>
    <row r="24" spans="1:144" x14ac:dyDescent="0.25">
      <c r="A24" s="3"/>
      <c r="B24" s="17"/>
      <c r="C24" s="17"/>
      <c r="D24" s="17"/>
      <c r="E24" s="17"/>
      <c r="F24" s="17"/>
      <c r="G24" s="17"/>
      <c r="H24" s="17"/>
      <c r="I24" s="17"/>
      <c r="J24" s="17"/>
      <c r="K24" s="17"/>
      <c r="L24" s="17"/>
      <c r="M24" s="17"/>
      <c r="N24" s="17"/>
      <c r="O24" s="17"/>
      <c r="P24" s="17"/>
      <c r="Q24" s="123"/>
      <c r="R24" s="17"/>
    </row>
    <row r="25" spans="1:144" x14ac:dyDescent="0.25">
      <c r="A25" s="3"/>
      <c r="B25" s="17"/>
      <c r="C25" s="17"/>
      <c r="D25" s="17"/>
      <c r="E25" s="17"/>
      <c r="F25" s="17"/>
      <c r="G25" s="17"/>
      <c r="H25" s="17"/>
      <c r="I25" s="17"/>
      <c r="J25" s="17"/>
      <c r="K25" s="17"/>
      <c r="L25" s="17"/>
      <c r="M25" s="17"/>
      <c r="N25" s="17"/>
      <c r="O25" s="17"/>
      <c r="P25" s="17"/>
      <c r="Q25" s="123"/>
      <c r="R25" s="17"/>
      <c r="S25" s="17">
        <f>SUM(S3:S22)</f>
        <v>1572591</v>
      </c>
    </row>
    <row r="26" spans="1:144" x14ac:dyDescent="0.25">
      <c r="A26" s="3"/>
      <c r="B26" s="17"/>
      <c r="C26" s="17"/>
      <c r="D26" s="17"/>
      <c r="E26" s="17"/>
      <c r="F26" s="17"/>
      <c r="G26" s="17"/>
      <c r="H26" s="17"/>
      <c r="I26" s="17"/>
      <c r="J26" s="17"/>
      <c r="K26" s="17"/>
      <c r="L26" s="17"/>
      <c r="M26" s="17"/>
      <c r="N26" s="17"/>
      <c r="O26" s="17"/>
      <c r="P26" s="17"/>
      <c r="Q26" s="123"/>
      <c r="R26" s="17"/>
    </row>
    <row r="27" spans="1:144" x14ac:dyDescent="0.25">
      <c r="A27" s="3"/>
      <c r="B27" s="17"/>
      <c r="C27" s="17"/>
      <c r="D27" s="17"/>
      <c r="E27" s="17"/>
      <c r="F27" s="17"/>
      <c r="G27" s="17"/>
      <c r="H27" s="17"/>
      <c r="I27" s="17"/>
      <c r="J27" s="17"/>
      <c r="K27" s="17"/>
      <c r="L27" s="17"/>
      <c r="M27" s="17"/>
      <c r="N27" s="17"/>
      <c r="O27" s="17"/>
      <c r="P27" s="17"/>
      <c r="Q27" s="123"/>
      <c r="R27" s="17"/>
    </row>
    <row r="28" spans="1:144" x14ac:dyDescent="0.25">
      <c r="A28" s="3"/>
      <c r="B28" s="17"/>
      <c r="C28" s="17"/>
      <c r="D28" s="17"/>
      <c r="E28" s="17"/>
      <c r="F28" s="17"/>
      <c r="G28" s="17"/>
      <c r="H28" s="17"/>
      <c r="I28" s="17"/>
      <c r="J28" s="17"/>
      <c r="K28" s="17"/>
      <c r="L28" s="17"/>
      <c r="M28" s="17"/>
      <c r="N28" s="17"/>
      <c r="O28" s="17"/>
      <c r="P28" s="17"/>
      <c r="Q28" s="123"/>
      <c r="R28" s="17"/>
    </row>
    <row r="29" spans="1:144" x14ac:dyDescent="0.25">
      <c r="A29" s="3"/>
      <c r="B29" s="17"/>
      <c r="C29" s="17"/>
      <c r="D29" s="17"/>
      <c r="E29" s="17"/>
      <c r="F29" s="17"/>
      <c r="G29" s="17"/>
      <c r="H29" s="17"/>
      <c r="I29" s="17"/>
      <c r="J29" s="17"/>
      <c r="K29" s="17"/>
      <c r="L29" s="17"/>
      <c r="M29" s="17"/>
      <c r="N29" s="17"/>
      <c r="O29" s="17"/>
      <c r="P29" s="17"/>
      <c r="Q29" s="123"/>
      <c r="R29" s="17"/>
    </row>
    <row r="30" spans="1:144" x14ac:dyDescent="0.25">
      <c r="A30" s="3"/>
      <c r="B30" s="17"/>
      <c r="C30" s="17"/>
      <c r="D30" s="17"/>
      <c r="E30" s="17"/>
      <c r="F30" s="17"/>
      <c r="G30" s="17"/>
      <c r="H30" s="17"/>
      <c r="I30" s="17"/>
      <c r="J30" s="17"/>
      <c r="K30" s="17"/>
      <c r="L30" s="17"/>
      <c r="M30" s="17"/>
      <c r="N30" s="17"/>
      <c r="O30" s="17"/>
      <c r="P30" s="17"/>
      <c r="Q30" s="123"/>
      <c r="R30" s="17"/>
    </row>
    <row r="31" spans="1:144" x14ac:dyDescent="0.25">
      <c r="A31" s="3"/>
      <c r="B31" s="17"/>
      <c r="C31" s="17"/>
      <c r="D31" s="17"/>
      <c r="E31" s="17"/>
      <c r="F31" s="17"/>
      <c r="G31" s="17"/>
      <c r="H31" s="17"/>
      <c r="I31" s="17"/>
      <c r="J31" s="17"/>
      <c r="K31" s="17"/>
      <c r="L31" s="17"/>
      <c r="M31" s="17"/>
      <c r="N31" s="17"/>
      <c r="O31" s="17"/>
      <c r="P31" s="17"/>
      <c r="Q31" s="123"/>
      <c r="R31" s="17"/>
    </row>
    <row r="32" spans="1:144" x14ac:dyDescent="0.25">
      <c r="A32" s="3"/>
      <c r="B32" s="17"/>
      <c r="C32" s="17"/>
      <c r="D32" s="17"/>
      <c r="E32" s="17"/>
      <c r="F32" s="17"/>
      <c r="G32" s="17"/>
      <c r="H32" s="17"/>
      <c r="I32" s="17"/>
      <c r="J32" s="17"/>
      <c r="K32" s="17"/>
      <c r="L32" s="17"/>
      <c r="M32" s="17"/>
      <c r="N32" s="17"/>
      <c r="O32" s="17"/>
      <c r="P32" s="17"/>
      <c r="Q32" s="123"/>
      <c r="R32" s="17"/>
    </row>
    <row r="33" spans="1:18" x14ac:dyDescent="0.25">
      <c r="A33" s="3"/>
      <c r="B33" s="17"/>
      <c r="C33" s="17"/>
      <c r="D33" s="17"/>
      <c r="E33" s="17"/>
      <c r="F33" s="17"/>
      <c r="G33" s="17"/>
      <c r="H33" s="17"/>
      <c r="I33" s="17"/>
      <c r="J33" s="17"/>
      <c r="K33" s="17"/>
      <c r="L33" s="17"/>
      <c r="M33" s="17"/>
      <c r="N33" s="17"/>
      <c r="O33" s="17"/>
      <c r="P33" s="17"/>
      <c r="Q33" s="123"/>
      <c r="R33" s="17"/>
    </row>
    <row r="34" spans="1:18" x14ac:dyDescent="0.25">
      <c r="A34" s="3"/>
      <c r="B34" s="17"/>
      <c r="C34" s="17"/>
      <c r="D34" s="17"/>
      <c r="E34" s="17"/>
      <c r="F34" s="17"/>
      <c r="G34" s="17"/>
      <c r="H34" s="17"/>
      <c r="I34" s="17"/>
      <c r="J34" s="17"/>
      <c r="K34" s="17"/>
      <c r="L34" s="17"/>
      <c r="M34" s="17"/>
      <c r="N34" s="17"/>
      <c r="O34" s="17"/>
      <c r="P34" s="17"/>
      <c r="Q34" s="123"/>
      <c r="R34" s="17"/>
    </row>
    <row r="35" spans="1:18" x14ac:dyDescent="0.25">
      <c r="A35" s="3"/>
      <c r="B35" s="17"/>
      <c r="C35" s="17"/>
      <c r="D35" s="17"/>
      <c r="E35" s="17"/>
      <c r="F35" s="17"/>
      <c r="G35" s="17"/>
      <c r="H35" s="17"/>
      <c r="I35" s="17"/>
      <c r="J35" s="17"/>
      <c r="K35" s="17"/>
      <c r="L35" s="17"/>
      <c r="M35" s="17"/>
      <c r="N35" s="17"/>
      <c r="O35" s="17"/>
      <c r="P35" s="17"/>
      <c r="Q35" s="123"/>
      <c r="R35" s="17"/>
    </row>
    <row r="36" spans="1:18" x14ac:dyDescent="0.25">
      <c r="A36" s="3"/>
      <c r="B36" s="17"/>
      <c r="C36" s="17"/>
      <c r="D36" s="17"/>
      <c r="E36" s="17"/>
      <c r="F36" s="17"/>
      <c r="G36" s="17"/>
      <c r="H36" s="17"/>
      <c r="I36" s="17"/>
      <c r="J36" s="17"/>
      <c r="K36" s="17"/>
      <c r="L36" s="17"/>
      <c r="M36" s="17"/>
      <c r="N36" s="17"/>
      <c r="O36" s="17"/>
      <c r="P36" s="17"/>
      <c r="Q36" s="123"/>
      <c r="R36" s="17"/>
    </row>
    <row r="37" spans="1:18" x14ac:dyDescent="0.25">
      <c r="A37" s="3"/>
      <c r="B37" s="17"/>
      <c r="C37" s="17"/>
      <c r="D37" s="17"/>
      <c r="E37" s="17"/>
      <c r="F37" s="17"/>
      <c r="G37" s="17"/>
      <c r="H37" s="17"/>
      <c r="I37" s="17"/>
      <c r="J37" s="17"/>
      <c r="K37" s="17"/>
      <c r="L37" s="17"/>
      <c r="M37" s="17"/>
      <c r="N37" s="17"/>
      <c r="O37" s="17"/>
      <c r="P37" s="17"/>
      <c r="Q37" s="123"/>
      <c r="R37" s="17"/>
    </row>
    <row r="38" spans="1:18" x14ac:dyDescent="0.25">
      <c r="A38" s="3"/>
      <c r="B38" s="17"/>
      <c r="C38" s="17"/>
      <c r="D38" s="17"/>
      <c r="E38" s="17"/>
      <c r="F38" s="17"/>
      <c r="G38" s="17"/>
      <c r="H38" s="17"/>
      <c r="I38" s="17"/>
      <c r="J38" s="17"/>
      <c r="K38" s="17"/>
      <c r="L38" s="17"/>
      <c r="M38" s="17"/>
      <c r="N38" s="17"/>
      <c r="O38" s="17"/>
      <c r="P38" s="17"/>
      <c r="Q38" s="123"/>
      <c r="R38" s="17"/>
    </row>
    <row r="39" spans="1:18" x14ac:dyDescent="0.25">
      <c r="A39" s="3"/>
      <c r="B39" s="17"/>
      <c r="C39" s="17"/>
      <c r="D39" s="17"/>
      <c r="E39" s="17"/>
      <c r="F39" s="17"/>
      <c r="G39" s="17"/>
      <c r="H39" s="17"/>
      <c r="I39" s="17"/>
      <c r="J39" s="17"/>
      <c r="K39" s="17"/>
      <c r="L39" s="17"/>
      <c r="M39" s="17"/>
      <c r="N39" s="17"/>
      <c r="O39" s="17"/>
      <c r="P39" s="17"/>
      <c r="Q39" s="123"/>
      <c r="R39" s="17"/>
    </row>
    <row r="40" spans="1:18" x14ac:dyDescent="0.25">
      <c r="A40" s="3"/>
      <c r="B40" s="17"/>
      <c r="C40" s="17"/>
      <c r="D40" s="17"/>
      <c r="E40" s="17"/>
      <c r="F40" s="17"/>
      <c r="G40" s="17"/>
      <c r="H40" s="17"/>
      <c r="I40" s="17"/>
      <c r="J40" s="17"/>
      <c r="K40" s="17"/>
      <c r="L40" s="17"/>
      <c r="M40" s="17"/>
      <c r="N40" s="17"/>
      <c r="O40" s="17"/>
      <c r="P40" s="17"/>
      <c r="Q40" s="123"/>
      <c r="R40" s="17"/>
    </row>
    <row r="41" spans="1:18" x14ac:dyDescent="0.25">
      <c r="A41" s="3"/>
      <c r="B41" s="17"/>
      <c r="C41" s="17"/>
      <c r="D41" s="17"/>
      <c r="E41" s="17"/>
      <c r="F41" s="17"/>
      <c r="G41" s="17"/>
      <c r="H41" s="17"/>
      <c r="I41" s="17"/>
      <c r="J41" s="17"/>
      <c r="K41" s="17"/>
      <c r="L41" s="17"/>
      <c r="M41" s="17"/>
      <c r="N41" s="17"/>
      <c r="O41" s="17"/>
      <c r="P41" s="17"/>
      <c r="Q41" s="123"/>
      <c r="R41" s="17"/>
    </row>
    <row r="42" spans="1:18" x14ac:dyDescent="0.25">
      <c r="A42" s="3"/>
      <c r="B42" s="17"/>
      <c r="C42" s="17"/>
      <c r="D42" s="17"/>
      <c r="E42" s="17"/>
      <c r="F42" s="17"/>
      <c r="G42" s="17"/>
      <c r="H42" s="17"/>
      <c r="I42" s="17"/>
      <c r="J42" s="17"/>
      <c r="K42" s="17"/>
      <c r="L42" s="17"/>
      <c r="M42" s="17"/>
      <c r="N42" s="17"/>
      <c r="O42" s="17"/>
      <c r="P42" s="17"/>
      <c r="Q42" s="123"/>
      <c r="R42" s="17"/>
    </row>
    <row r="43" spans="1:18" x14ac:dyDescent="0.25">
      <c r="A43" s="3"/>
      <c r="B43" s="17"/>
      <c r="C43" s="17"/>
      <c r="D43" s="17"/>
      <c r="E43" s="17"/>
      <c r="F43" s="17"/>
      <c r="G43" s="17"/>
      <c r="H43" s="17"/>
      <c r="I43" s="17"/>
      <c r="J43" s="17"/>
      <c r="K43" s="17"/>
      <c r="L43" s="17"/>
      <c r="M43" s="17"/>
      <c r="N43" s="17"/>
      <c r="O43" s="17"/>
      <c r="P43" s="17"/>
      <c r="Q43" s="123"/>
      <c r="R43" s="17"/>
    </row>
    <row r="44" spans="1:18" x14ac:dyDescent="0.25">
      <c r="A44" s="3"/>
      <c r="B44" s="17"/>
      <c r="C44" s="17"/>
      <c r="D44" s="17"/>
      <c r="E44" s="17"/>
      <c r="F44" s="17"/>
      <c r="G44" s="17"/>
      <c r="H44" s="17"/>
      <c r="I44" s="17"/>
      <c r="J44" s="17"/>
      <c r="K44" s="17"/>
      <c r="L44" s="17"/>
      <c r="M44" s="17"/>
      <c r="N44" s="17"/>
      <c r="O44" s="17"/>
      <c r="P44" s="17"/>
      <c r="Q44" s="123"/>
      <c r="R44" s="17"/>
    </row>
    <row r="45" spans="1:18" x14ac:dyDescent="0.25">
      <c r="A45" s="3"/>
      <c r="B45" s="17"/>
      <c r="C45" s="17"/>
      <c r="D45" s="17"/>
      <c r="E45" s="17"/>
      <c r="F45" s="17"/>
      <c r="G45" s="17"/>
      <c r="H45" s="17"/>
      <c r="I45" s="17"/>
      <c r="J45" s="17"/>
      <c r="K45" s="17"/>
      <c r="L45" s="17"/>
      <c r="M45" s="17"/>
      <c r="N45" s="17"/>
      <c r="O45" s="17"/>
      <c r="P45" s="17"/>
      <c r="Q45" s="123"/>
      <c r="R45" s="17"/>
    </row>
    <row r="46" spans="1:18" x14ac:dyDescent="0.25">
      <c r="A46" s="3"/>
      <c r="B46" s="17"/>
      <c r="C46" s="17"/>
      <c r="D46" s="17"/>
      <c r="E46" s="17"/>
      <c r="F46" s="17"/>
      <c r="G46" s="17"/>
      <c r="H46" s="17"/>
      <c r="I46" s="17"/>
      <c r="J46" s="17"/>
      <c r="K46" s="17"/>
      <c r="L46" s="17"/>
      <c r="M46" s="17"/>
      <c r="N46" s="17"/>
      <c r="O46" s="17"/>
      <c r="P46" s="17"/>
      <c r="Q46" s="123"/>
      <c r="R46" s="17"/>
    </row>
    <row r="47" spans="1:18" x14ac:dyDescent="0.25">
      <c r="A47" s="3"/>
      <c r="B47" s="17"/>
      <c r="C47" s="17"/>
      <c r="D47" s="17"/>
      <c r="E47" s="17"/>
      <c r="F47" s="17"/>
      <c r="G47" s="17"/>
      <c r="H47" s="17"/>
      <c r="I47" s="17"/>
      <c r="J47" s="17"/>
      <c r="K47" s="17"/>
      <c r="L47" s="17"/>
      <c r="M47" s="17"/>
      <c r="N47" s="17"/>
      <c r="O47" s="17"/>
      <c r="P47" s="17"/>
      <c r="Q47" s="123"/>
      <c r="R47" s="17"/>
    </row>
    <row r="48" spans="1:18" x14ac:dyDescent="0.25">
      <c r="A48" s="3"/>
      <c r="B48" s="17"/>
      <c r="C48" s="17"/>
      <c r="D48" s="17"/>
      <c r="E48" s="17"/>
      <c r="F48" s="17"/>
      <c r="G48" s="17"/>
      <c r="H48" s="17"/>
      <c r="I48" s="17"/>
      <c r="J48" s="17"/>
      <c r="K48" s="17"/>
      <c r="L48" s="17"/>
      <c r="M48" s="17"/>
      <c r="N48" s="17"/>
      <c r="O48" s="17"/>
      <c r="P48" s="17"/>
      <c r="Q48" s="123"/>
      <c r="R48" s="17"/>
    </row>
    <row r="49" spans="1:18" x14ac:dyDescent="0.25">
      <c r="A49" s="3"/>
      <c r="B49" s="17"/>
      <c r="C49" s="17"/>
      <c r="D49" s="17"/>
      <c r="E49" s="17"/>
      <c r="F49" s="17"/>
      <c r="G49" s="17"/>
      <c r="H49" s="17"/>
      <c r="I49" s="17"/>
      <c r="J49" s="17"/>
      <c r="K49" s="17"/>
      <c r="L49" s="17"/>
      <c r="M49" s="17"/>
      <c r="N49" s="17"/>
      <c r="O49" s="17"/>
      <c r="P49" s="17"/>
      <c r="Q49" s="123"/>
      <c r="R49" s="17"/>
    </row>
    <row r="50" spans="1:18" x14ac:dyDescent="0.25">
      <c r="A50" s="3"/>
      <c r="B50" s="17"/>
      <c r="C50" s="17"/>
      <c r="D50" s="17"/>
      <c r="E50" s="17"/>
      <c r="F50" s="17"/>
      <c r="G50" s="17"/>
      <c r="H50" s="17"/>
      <c r="I50" s="17"/>
      <c r="J50" s="17"/>
      <c r="K50" s="17"/>
      <c r="L50" s="17"/>
      <c r="M50" s="17"/>
      <c r="N50" s="17"/>
      <c r="O50" s="17"/>
      <c r="P50" s="17"/>
      <c r="Q50" s="123"/>
      <c r="R50" s="17"/>
    </row>
    <row r="51" spans="1:18" x14ac:dyDescent="0.25">
      <c r="A51" s="3"/>
      <c r="B51" s="17"/>
      <c r="C51" s="17"/>
      <c r="D51" s="17"/>
      <c r="E51" s="17"/>
      <c r="F51" s="17"/>
      <c r="G51" s="17"/>
      <c r="H51" s="17"/>
      <c r="I51" s="17"/>
      <c r="J51" s="17"/>
      <c r="K51" s="17"/>
      <c r="L51" s="17"/>
      <c r="M51" s="17"/>
      <c r="N51" s="17"/>
      <c r="O51" s="17"/>
      <c r="P51" s="17"/>
      <c r="Q51" s="123"/>
      <c r="R51" s="17"/>
    </row>
    <row r="52" spans="1:18" x14ac:dyDescent="0.25">
      <c r="A52" s="3"/>
      <c r="B52" s="17"/>
      <c r="C52" s="17"/>
      <c r="D52" s="17"/>
      <c r="E52" s="17"/>
      <c r="F52" s="17"/>
      <c r="G52" s="17"/>
      <c r="H52" s="17"/>
      <c r="I52" s="17"/>
      <c r="J52" s="17"/>
      <c r="K52" s="17"/>
      <c r="L52" s="17"/>
      <c r="M52" s="17"/>
      <c r="N52" s="17"/>
      <c r="O52" s="17"/>
      <c r="P52" s="17"/>
      <c r="Q52" s="123"/>
      <c r="R52" s="17"/>
    </row>
    <row r="53" spans="1:18" x14ac:dyDescent="0.25">
      <c r="A53" s="3"/>
      <c r="B53" s="17"/>
      <c r="C53" s="17"/>
      <c r="D53" s="17"/>
      <c r="E53" s="17"/>
      <c r="F53" s="17"/>
      <c r="G53" s="17"/>
      <c r="H53" s="17"/>
      <c r="I53" s="17"/>
      <c r="J53" s="17"/>
      <c r="K53" s="17"/>
      <c r="L53" s="17"/>
      <c r="M53" s="17"/>
      <c r="N53" s="17"/>
      <c r="O53" s="17"/>
      <c r="P53" s="17"/>
      <c r="Q53" s="123"/>
      <c r="R53" s="17"/>
    </row>
    <row r="54" spans="1:18" x14ac:dyDescent="0.25">
      <c r="A54" s="3"/>
      <c r="B54" s="17"/>
      <c r="C54" s="17"/>
      <c r="D54" s="17"/>
      <c r="E54" s="17"/>
      <c r="F54" s="17"/>
      <c r="G54" s="17"/>
      <c r="H54" s="17"/>
      <c r="I54" s="17"/>
      <c r="J54" s="17"/>
      <c r="K54" s="17"/>
      <c r="L54" s="17"/>
      <c r="M54" s="17"/>
      <c r="N54" s="17"/>
      <c r="O54" s="17"/>
      <c r="P54" s="17"/>
      <c r="Q54" s="123"/>
      <c r="R54" s="17"/>
    </row>
    <row r="55" spans="1:18" x14ac:dyDescent="0.25">
      <c r="A55" s="3"/>
      <c r="B55" s="17"/>
      <c r="C55" s="17"/>
      <c r="D55" s="17"/>
      <c r="E55" s="17"/>
      <c r="F55" s="17"/>
      <c r="G55" s="17"/>
      <c r="H55" s="17"/>
      <c r="I55" s="17"/>
      <c r="J55" s="17"/>
      <c r="K55" s="17"/>
      <c r="L55" s="17"/>
      <c r="M55" s="17"/>
      <c r="N55" s="17"/>
      <c r="O55" s="17"/>
      <c r="P55" s="17"/>
      <c r="Q55" s="123"/>
      <c r="R55" s="17"/>
    </row>
    <row r="56" spans="1:18" x14ac:dyDescent="0.25">
      <c r="A56" s="3"/>
      <c r="B56" s="17"/>
      <c r="C56" s="17"/>
      <c r="D56" s="17"/>
      <c r="E56" s="17"/>
      <c r="F56" s="17"/>
      <c r="G56" s="17"/>
      <c r="H56" s="17"/>
      <c r="I56" s="17"/>
      <c r="J56" s="17"/>
      <c r="K56" s="17"/>
      <c r="L56" s="17"/>
      <c r="M56" s="17"/>
      <c r="N56" s="17"/>
      <c r="O56" s="17"/>
      <c r="P56" s="17"/>
      <c r="Q56" s="123"/>
      <c r="R56" s="17"/>
    </row>
    <row r="57" spans="1:18" x14ac:dyDescent="0.25">
      <c r="A57" s="3"/>
      <c r="B57" s="17"/>
      <c r="C57" s="17"/>
      <c r="D57" s="17"/>
      <c r="E57" s="17"/>
      <c r="F57" s="17"/>
      <c r="G57" s="17"/>
      <c r="H57" s="17"/>
      <c r="I57" s="17"/>
      <c r="J57" s="17"/>
      <c r="K57" s="17"/>
      <c r="L57" s="17"/>
      <c r="M57" s="17"/>
      <c r="N57" s="17"/>
      <c r="O57" s="17"/>
      <c r="P57" s="17"/>
      <c r="Q57" s="123"/>
      <c r="R57" s="17"/>
    </row>
    <row r="58" spans="1:18" x14ac:dyDescent="0.25">
      <c r="A58" s="3"/>
      <c r="B58" s="17"/>
      <c r="C58" s="17"/>
      <c r="D58" s="17"/>
      <c r="E58" s="17"/>
      <c r="F58" s="17"/>
      <c r="G58" s="17"/>
      <c r="H58" s="17"/>
      <c r="I58" s="17"/>
      <c r="J58" s="17"/>
      <c r="K58" s="17"/>
      <c r="L58" s="17"/>
      <c r="M58" s="17"/>
      <c r="N58" s="17"/>
      <c r="O58" s="17"/>
      <c r="P58" s="17"/>
      <c r="Q58" s="123"/>
      <c r="R58" s="17"/>
    </row>
    <row r="59" spans="1:18" x14ac:dyDescent="0.25">
      <c r="A59" s="3"/>
      <c r="B59" s="17"/>
      <c r="C59" s="17"/>
      <c r="D59" s="17"/>
      <c r="E59" s="17"/>
      <c r="F59" s="17"/>
      <c r="G59" s="17"/>
      <c r="H59" s="17"/>
      <c r="I59" s="17"/>
      <c r="J59" s="17"/>
      <c r="K59" s="17"/>
      <c r="L59" s="17"/>
      <c r="M59" s="17"/>
      <c r="N59" s="17"/>
      <c r="O59" s="17"/>
      <c r="P59" s="17"/>
      <c r="Q59" s="123"/>
      <c r="R59" s="17"/>
    </row>
    <row r="60" spans="1:18" x14ac:dyDescent="0.25">
      <c r="A60" s="3"/>
      <c r="B60" s="17"/>
      <c r="C60" s="17"/>
      <c r="D60" s="17"/>
      <c r="E60" s="17"/>
      <c r="F60" s="17"/>
      <c r="G60" s="17"/>
      <c r="H60" s="17"/>
      <c r="I60" s="17"/>
      <c r="J60" s="17"/>
      <c r="K60" s="17"/>
      <c r="L60" s="17"/>
      <c r="M60" s="17"/>
      <c r="N60" s="17"/>
      <c r="O60" s="17"/>
      <c r="P60" s="17"/>
      <c r="Q60" s="123"/>
      <c r="R60" s="17"/>
    </row>
    <row r="61" spans="1:18" x14ac:dyDescent="0.25">
      <c r="A61" s="3"/>
      <c r="B61" s="17"/>
      <c r="C61" s="17"/>
      <c r="D61" s="17"/>
      <c r="E61" s="17"/>
      <c r="F61" s="17"/>
      <c r="G61" s="17"/>
      <c r="H61" s="17"/>
      <c r="I61" s="17"/>
      <c r="J61" s="17"/>
      <c r="K61" s="17"/>
      <c r="L61" s="17"/>
      <c r="M61" s="17"/>
      <c r="N61" s="17"/>
      <c r="O61" s="17"/>
      <c r="P61" s="17"/>
      <c r="Q61" s="123"/>
      <c r="R61" s="17"/>
    </row>
    <row r="62" spans="1:18" x14ac:dyDescent="0.25">
      <c r="A62" s="3"/>
      <c r="B62" s="17"/>
      <c r="C62" s="17"/>
      <c r="D62" s="17"/>
      <c r="E62" s="17"/>
      <c r="F62" s="17"/>
      <c r="G62" s="17"/>
      <c r="H62" s="17"/>
      <c r="I62" s="17"/>
      <c r="J62" s="17"/>
      <c r="K62" s="17"/>
      <c r="L62" s="17"/>
      <c r="M62" s="17"/>
      <c r="N62" s="17"/>
      <c r="O62" s="17"/>
      <c r="P62" s="17"/>
      <c r="Q62" s="123"/>
      <c r="R62" s="17"/>
    </row>
    <row r="63" spans="1:18" x14ac:dyDescent="0.25">
      <c r="A63" s="3"/>
      <c r="B63" s="17"/>
      <c r="C63" s="17"/>
      <c r="D63" s="17"/>
      <c r="E63" s="17"/>
      <c r="F63" s="17"/>
      <c r="G63" s="17"/>
      <c r="H63" s="17"/>
      <c r="I63" s="17"/>
      <c r="J63" s="17"/>
      <c r="K63" s="17"/>
      <c r="L63" s="17"/>
      <c r="M63" s="17"/>
      <c r="N63" s="17"/>
      <c r="O63" s="17"/>
      <c r="P63" s="17"/>
      <c r="Q63" s="123"/>
      <c r="R63" s="17"/>
    </row>
    <row r="64" spans="1:18" x14ac:dyDescent="0.25">
      <c r="A64" s="3"/>
      <c r="B64" s="17"/>
      <c r="C64" s="17"/>
      <c r="D64" s="17"/>
      <c r="E64" s="17"/>
      <c r="F64" s="17"/>
      <c r="G64" s="17"/>
      <c r="H64" s="17"/>
      <c r="I64" s="17"/>
      <c r="J64" s="17"/>
      <c r="K64" s="17"/>
      <c r="L64" s="17"/>
      <c r="M64" s="17"/>
      <c r="N64" s="17"/>
      <c r="O64" s="17"/>
      <c r="P64" s="17"/>
      <c r="Q64" s="123"/>
      <c r="R64" s="17"/>
    </row>
    <row r="65" spans="1:18" x14ac:dyDescent="0.25">
      <c r="A65" s="3"/>
      <c r="B65" s="17"/>
      <c r="C65" s="17"/>
      <c r="D65" s="17"/>
      <c r="E65" s="17"/>
      <c r="F65" s="17"/>
      <c r="G65" s="17"/>
      <c r="H65" s="17"/>
      <c r="I65" s="17"/>
      <c r="J65" s="17"/>
      <c r="K65" s="17"/>
      <c r="L65" s="17"/>
      <c r="M65" s="17"/>
      <c r="N65" s="17"/>
      <c r="O65" s="17"/>
      <c r="P65" s="17"/>
      <c r="Q65" s="123"/>
      <c r="R65" s="17"/>
    </row>
    <row r="66" spans="1:18" x14ac:dyDescent="0.25">
      <c r="A66" s="3"/>
      <c r="B66" s="17"/>
      <c r="C66" s="17"/>
      <c r="D66" s="17"/>
      <c r="E66" s="17"/>
      <c r="F66" s="17"/>
      <c r="G66" s="17"/>
      <c r="H66" s="17"/>
      <c r="I66" s="17"/>
      <c r="J66" s="17"/>
      <c r="K66" s="17"/>
      <c r="L66" s="17"/>
      <c r="M66" s="17"/>
      <c r="N66" s="17"/>
      <c r="O66" s="17"/>
      <c r="P66" s="17"/>
      <c r="Q66" s="123"/>
      <c r="R66" s="17"/>
    </row>
    <row r="67" spans="1:18" x14ac:dyDescent="0.25">
      <c r="A67" s="3"/>
      <c r="B67" s="17"/>
      <c r="C67" s="17"/>
      <c r="D67" s="17"/>
      <c r="E67" s="17"/>
      <c r="F67" s="17"/>
      <c r="G67" s="17"/>
      <c r="H67" s="17"/>
      <c r="I67" s="17"/>
      <c r="J67" s="17"/>
      <c r="K67" s="17"/>
      <c r="L67" s="17"/>
      <c r="M67" s="17"/>
      <c r="N67" s="17"/>
      <c r="O67" s="17"/>
      <c r="P67" s="17"/>
      <c r="Q67" s="123"/>
      <c r="R67" s="17"/>
    </row>
    <row r="68" spans="1:18" x14ac:dyDescent="0.25">
      <c r="A68" s="3"/>
      <c r="B68" s="17"/>
      <c r="C68" s="17"/>
      <c r="D68" s="17"/>
      <c r="E68" s="17"/>
      <c r="F68" s="17"/>
      <c r="G68" s="17"/>
      <c r="H68" s="17"/>
      <c r="I68" s="17"/>
      <c r="J68" s="17"/>
      <c r="K68" s="17"/>
      <c r="L68" s="17"/>
      <c r="M68" s="17"/>
      <c r="N68" s="17"/>
      <c r="O68" s="17"/>
      <c r="P68" s="17"/>
      <c r="Q68" s="123"/>
      <c r="R68" s="17"/>
    </row>
    <row r="69" spans="1:18" x14ac:dyDescent="0.25">
      <c r="A69" s="3"/>
      <c r="B69" s="17"/>
      <c r="C69" s="17"/>
      <c r="D69" s="17"/>
      <c r="E69" s="17"/>
      <c r="F69" s="17"/>
      <c r="G69" s="17"/>
      <c r="H69" s="17"/>
      <c r="I69" s="17"/>
      <c r="J69" s="17"/>
      <c r="K69" s="17"/>
      <c r="L69" s="17"/>
      <c r="M69" s="17"/>
      <c r="N69" s="17"/>
      <c r="O69" s="17"/>
      <c r="P69" s="17"/>
      <c r="Q69" s="123"/>
      <c r="R69" s="17"/>
    </row>
    <row r="70" spans="1:18" x14ac:dyDescent="0.25">
      <c r="A70" s="3"/>
      <c r="B70" s="17"/>
      <c r="C70" s="17"/>
      <c r="D70" s="17"/>
      <c r="E70" s="17"/>
      <c r="F70" s="17"/>
      <c r="G70" s="17"/>
      <c r="H70" s="17"/>
      <c r="I70" s="17"/>
      <c r="J70" s="17"/>
      <c r="K70" s="17"/>
      <c r="L70" s="17"/>
      <c r="M70" s="17"/>
      <c r="N70" s="17"/>
      <c r="O70" s="17"/>
      <c r="P70" s="17"/>
      <c r="Q70" s="123"/>
      <c r="R70" s="17"/>
    </row>
    <row r="71" spans="1:18" x14ac:dyDescent="0.25">
      <c r="A71" s="3"/>
      <c r="B71" s="17"/>
      <c r="C71" s="17"/>
      <c r="D71" s="17"/>
      <c r="E71" s="17"/>
      <c r="F71" s="17"/>
      <c r="G71" s="17"/>
      <c r="H71" s="17"/>
      <c r="I71" s="17"/>
      <c r="J71" s="17"/>
      <c r="K71" s="17"/>
      <c r="L71" s="17"/>
      <c r="M71" s="17"/>
      <c r="N71" s="17"/>
      <c r="O71" s="17"/>
      <c r="P71" s="17"/>
      <c r="Q71" s="123"/>
      <c r="R71" s="17"/>
    </row>
    <row r="72" spans="1:18" x14ac:dyDescent="0.25">
      <c r="A72" s="3"/>
      <c r="B72" s="17"/>
      <c r="C72" s="17"/>
      <c r="D72" s="17"/>
      <c r="E72" s="17"/>
      <c r="F72" s="17"/>
      <c r="G72" s="17"/>
      <c r="H72" s="17"/>
      <c r="I72" s="17"/>
      <c r="J72" s="17"/>
      <c r="K72" s="17"/>
      <c r="L72" s="17"/>
      <c r="M72" s="17"/>
      <c r="N72" s="17"/>
      <c r="O72" s="17"/>
      <c r="P72" s="17"/>
      <c r="Q72" s="123"/>
      <c r="R72" s="17"/>
    </row>
    <row r="73" spans="1:18" x14ac:dyDescent="0.25">
      <c r="A73" s="3"/>
      <c r="B73" s="17"/>
      <c r="C73" s="17"/>
      <c r="D73" s="17"/>
      <c r="E73" s="17"/>
      <c r="F73" s="17"/>
      <c r="G73" s="17"/>
      <c r="H73" s="17"/>
      <c r="I73" s="17"/>
      <c r="J73" s="17"/>
      <c r="K73" s="17"/>
      <c r="L73" s="17"/>
      <c r="M73" s="17"/>
      <c r="N73" s="17"/>
      <c r="O73" s="17"/>
      <c r="P73" s="17"/>
      <c r="Q73" s="123"/>
      <c r="R73" s="17"/>
    </row>
    <row r="74" spans="1:18" x14ac:dyDescent="0.25">
      <c r="A74" s="3"/>
      <c r="B74" s="17"/>
      <c r="C74" s="17"/>
      <c r="D74" s="17"/>
      <c r="E74" s="17"/>
      <c r="F74" s="17"/>
      <c r="G74" s="17"/>
      <c r="H74" s="17"/>
      <c r="I74" s="17"/>
      <c r="J74" s="17"/>
      <c r="K74" s="17"/>
      <c r="L74" s="17"/>
      <c r="M74" s="17"/>
      <c r="N74" s="17"/>
      <c r="O74" s="17"/>
      <c r="P74" s="17"/>
      <c r="Q74" s="123"/>
      <c r="R74" s="17"/>
    </row>
    <row r="75" spans="1:18" x14ac:dyDescent="0.25">
      <c r="A75" s="3"/>
      <c r="B75" s="17"/>
      <c r="C75" s="17"/>
      <c r="D75" s="17"/>
      <c r="E75" s="17"/>
      <c r="F75" s="17"/>
      <c r="G75" s="17"/>
      <c r="H75" s="17"/>
      <c r="I75" s="17"/>
      <c r="J75" s="17"/>
      <c r="K75" s="17"/>
      <c r="L75" s="17"/>
      <c r="M75" s="17"/>
      <c r="N75" s="17"/>
      <c r="O75" s="17"/>
      <c r="P75" s="17"/>
      <c r="Q75" s="123"/>
      <c r="R75" s="17"/>
    </row>
    <row r="76" spans="1:18" x14ac:dyDescent="0.25">
      <c r="A76" s="3"/>
      <c r="B76" s="17"/>
      <c r="C76" s="17"/>
      <c r="D76" s="17"/>
      <c r="E76" s="17"/>
      <c r="F76" s="17"/>
      <c r="G76" s="17"/>
      <c r="H76" s="17"/>
      <c r="I76" s="17"/>
      <c r="J76" s="17"/>
      <c r="K76" s="17"/>
      <c r="L76" s="17"/>
      <c r="M76" s="17"/>
      <c r="N76" s="17"/>
      <c r="O76" s="17"/>
      <c r="P76" s="17"/>
      <c r="Q76" s="123"/>
      <c r="R76" s="17"/>
    </row>
    <row r="77" spans="1:18" x14ac:dyDescent="0.25">
      <c r="A77" s="3"/>
      <c r="B77" s="17"/>
      <c r="C77" s="17"/>
      <c r="D77" s="17"/>
      <c r="E77" s="17"/>
      <c r="F77" s="17"/>
      <c r="G77" s="17"/>
      <c r="H77" s="17"/>
      <c r="I77" s="17"/>
      <c r="J77" s="17"/>
      <c r="K77" s="17"/>
      <c r="L77" s="17"/>
      <c r="M77" s="17"/>
      <c r="N77" s="17"/>
      <c r="O77" s="17"/>
      <c r="P77" s="17"/>
      <c r="Q77" s="123"/>
      <c r="R77" s="17"/>
    </row>
    <row r="78" spans="1:18" x14ac:dyDescent="0.25">
      <c r="A78" s="3"/>
      <c r="B78" s="17"/>
      <c r="C78" s="17"/>
      <c r="D78" s="17"/>
      <c r="E78" s="17"/>
      <c r="F78" s="17"/>
      <c r="G78" s="17"/>
      <c r="H78" s="17"/>
      <c r="I78" s="17"/>
      <c r="J78" s="17"/>
      <c r="K78" s="17"/>
      <c r="L78" s="17"/>
      <c r="M78" s="17"/>
      <c r="N78" s="17"/>
      <c r="O78" s="17"/>
      <c r="P78" s="17"/>
      <c r="Q78" s="123"/>
      <c r="R78" s="17"/>
    </row>
    <row r="79" spans="1:18" x14ac:dyDescent="0.25">
      <c r="A79" s="3"/>
      <c r="B79" s="17"/>
      <c r="C79" s="17"/>
      <c r="D79" s="17"/>
      <c r="E79" s="17"/>
      <c r="F79" s="17"/>
      <c r="G79" s="17"/>
      <c r="H79" s="17"/>
      <c r="I79" s="17"/>
      <c r="J79" s="17"/>
      <c r="K79" s="17"/>
      <c r="L79" s="17"/>
      <c r="M79" s="17"/>
      <c r="N79" s="17"/>
      <c r="O79" s="17"/>
      <c r="P79" s="17"/>
      <c r="Q79" s="123"/>
      <c r="R79" s="17"/>
    </row>
    <row r="80" spans="1:18" x14ac:dyDescent="0.25">
      <c r="A80" s="3"/>
      <c r="B80" s="17"/>
      <c r="C80" s="17"/>
      <c r="D80" s="17"/>
      <c r="E80" s="17"/>
      <c r="F80" s="17"/>
      <c r="G80" s="17"/>
      <c r="H80" s="17"/>
      <c r="I80" s="17"/>
      <c r="J80" s="17"/>
      <c r="K80" s="17"/>
      <c r="L80" s="17"/>
      <c r="M80" s="17"/>
      <c r="N80" s="17"/>
      <c r="O80" s="17"/>
      <c r="P80" s="17"/>
      <c r="Q80" s="123"/>
      <c r="R80" s="17"/>
    </row>
    <row r="81" spans="1:18" x14ac:dyDescent="0.25">
      <c r="A81" s="3"/>
      <c r="B81" s="17"/>
      <c r="C81" s="17"/>
      <c r="D81" s="17"/>
      <c r="E81" s="17"/>
      <c r="F81" s="17"/>
      <c r="G81" s="17"/>
      <c r="H81" s="17"/>
      <c r="I81" s="17"/>
      <c r="J81" s="17"/>
      <c r="K81" s="17"/>
      <c r="L81" s="17"/>
      <c r="M81" s="17"/>
      <c r="N81" s="17"/>
      <c r="O81" s="17"/>
      <c r="P81" s="17"/>
      <c r="Q81" s="123"/>
      <c r="R81" s="17"/>
    </row>
    <row r="82" spans="1:18" x14ac:dyDescent="0.25">
      <c r="A82" s="3"/>
      <c r="B82" s="17"/>
      <c r="C82" s="17"/>
      <c r="D82" s="17"/>
      <c r="E82" s="17"/>
      <c r="F82" s="17"/>
      <c r="G82" s="17"/>
      <c r="H82" s="17"/>
      <c r="I82" s="17"/>
      <c r="J82" s="17"/>
      <c r="K82" s="17"/>
      <c r="L82" s="17"/>
      <c r="M82" s="17"/>
      <c r="N82" s="17"/>
      <c r="O82" s="17"/>
      <c r="P82" s="17"/>
      <c r="Q82" s="123"/>
      <c r="R82" s="17"/>
    </row>
    <row r="83" spans="1:18" x14ac:dyDescent="0.25">
      <c r="A83" s="3"/>
      <c r="B83" s="17"/>
      <c r="C83" s="17"/>
      <c r="D83" s="17"/>
      <c r="E83" s="17"/>
      <c r="F83" s="17"/>
      <c r="G83" s="17"/>
      <c r="H83" s="17"/>
      <c r="I83" s="17"/>
      <c r="J83" s="17"/>
      <c r="K83" s="17"/>
      <c r="L83" s="17"/>
      <c r="M83" s="17"/>
      <c r="N83" s="17"/>
      <c r="O83" s="17"/>
      <c r="P83" s="17"/>
      <c r="Q83" s="123"/>
      <c r="R83" s="17"/>
    </row>
    <row r="84" spans="1:18" x14ac:dyDescent="0.25">
      <c r="A84" s="3"/>
      <c r="B84" s="17"/>
      <c r="C84" s="17"/>
      <c r="D84" s="17"/>
      <c r="E84" s="17"/>
      <c r="F84" s="17"/>
      <c r="G84" s="17"/>
      <c r="H84" s="17"/>
      <c r="I84" s="17"/>
      <c r="J84" s="17"/>
      <c r="K84" s="17"/>
      <c r="L84" s="17"/>
      <c r="M84" s="17"/>
      <c r="N84" s="17"/>
      <c r="O84" s="17"/>
      <c r="P84" s="17"/>
      <c r="Q84" s="123"/>
      <c r="R84" s="17"/>
    </row>
    <row r="85" spans="1:18" x14ac:dyDescent="0.25">
      <c r="A85" s="3"/>
      <c r="B85" s="17"/>
      <c r="C85" s="17"/>
      <c r="D85" s="17"/>
      <c r="E85" s="17"/>
      <c r="F85" s="17"/>
      <c r="G85" s="17"/>
      <c r="H85" s="17"/>
      <c r="I85" s="17"/>
      <c r="J85" s="17"/>
      <c r="K85" s="17"/>
      <c r="L85" s="17"/>
      <c r="M85" s="17"/>
      <c r="N85" s="17"/>
      <c r="O85" s="17"/>
      <c r="P85" s="17"/>
      <c r="Q85" s="123"/>
      <c r="R85" s="17"/>
    </row>
    <row r="86" spans="1:18" x14ac:dyDescent="0.25">
      <c r="A86" s="3"/>
      <c r="B86" s="17"/>
      <c r="C86" s="17"/>
      <c r="D86" s="17"/>
      <c r="E86" s="17"/>
      <c r="F86" s="17"/>
      <c r="G86" s="17"/>
      <c r="H86" s="17"/>
      <c r="I86" s="17"/>
      <c r="J86" s="17"/>
      <c r="K86" s="17"/>
      <c r="L86" s="17"/>
      <c r="M86" s="17"/>
      <c r="N86" s="17"/>
      <c r="O86" s="17"/>
      <c r="P86" s="17"/>
      <c r="Q86" s="123"/>
      <c r="R86" s="17"/>
    </row>
    <row r="87" spans="1:18" x14ac:dyDescent="0.25">
      <c r="A87" s="3"/>
      <c r="B87" s="17"/>
      <c r="C87" s="17"/>
      <c r="D87" s="17"/>
      <c r="E87" s="17"/>
      <c r="F87" s="17"/>
      <c r="G87" s="17"/>
      <c r="H87" s="17"/>
      <c r="I87" s="17"/>
      <c r="J87" s="17"/>
      <c r="K87" s="17"/>
      <c r="L87" s="17"/>
      <c r="M87" s="17"/>
      <c r="N87" s="17"/>
      <c r="O87" s="17"/>
      <c r="P87" s="17"/>
      <c r="Q87" s="123"/>
      <c r="R87" s="17"/>
    </row>
    <row r="88" spans="1:18" x14ac:dyDescent="0.25">
      <c r="A88" s="3"/>
      <c r="B88" s="17"/>
      <c r="C88" s="17"/>
      <c r="D88" s="17"/>
      <c r="E88" s="17"/>
      <c r="F88" s="17"/>
      <c r="G88" s="17"/>
      <c r="H88" s="17"/>
      <c r="I88" s="17"/>
      <c r="J88" s="17"/>
      <c r="K88" s="17"/>
      <c r="L88" s="17"/>
      <c r="M88" s="17"/>
      <c r="N88" s="17"/>
      <c r="O88" s="17"/>
      <c r="P88" s="17"/>
      <c r="Q88" s="123"/>
      <c r="R88" s="17"/>
    </row>
    <row r="89" spans="1:18" x14ac:dyDescent="0.25">
      <c r="A89" s="3"/>
      <c r="B89" s="17"/>
      <c r="C89" s="17"/>
      <c r="D89" s="17"/>
      <c r="E89" s="17"/>
      <c r="F89" s="17"/>
      <c r="G89" s="17"/>
      <c r="H89" s="17"/>
      <c r="I89" s="17"/>
      <c r="J89" s="17"/>
      <c r="K89" s="17"/>
      <c r="L89" s="17"/>
      <c r="M89" s="17"/>
      <c r="N89" s="17"/>
      <c r="O89" s="17"/>
      <c r="P89" s="17"/>
      <c r="Q89" s="123"/>
      <c r="R89" s="17"/>
    </row>
    <row r="90" spans="1:18" x14ac:dyDescent="0.25">
      <c r="A90" s="3"/>
      <c r="B90" s="17"/>
      <c r="C90" s="17"/>
      <c r="D90" s="17"/>
      <c r="E90" s="17"/>
      <c r="F90" s="17"/>
      <c r="G90" s="17"/>
      <c r="H90" s="17"/>
      <c r="I90" s="17"/>
      <c r="J90" s="17"/>
      <c r="K90" s="17"/>
      <c r="L90" s="17"/>
      <c r="M90" s="17"/>
      <c r="N90" s="17"/>
      <c r="O90" s="17"/>
      <c r="P90" s="17"/>
      <c r="Q90" s="123"/>
      <c r="R90" s="17"/>
    </row>
    <row r="91" spans="1:18" x14ac:dyDescent="0.25">
      <c r="A91" s="3"/>
      <c r="B91" s="17"/>
      <c r="C91" s="17"/>
      <c r="D91" s="17"/>
      <c r="E91" s="17"/>
      <c r="F91" s="17"/>
      <c r="G91" s="17"/>
      <c r="H91" s="17"/>
      <c r="I91" s="17"/>
      <c r="J91" s="17"/>
      <c r="K91" s="17"/>
      <c r="L91" s="17"/>
      <c r="M91" s="17"/>
      <c r="N91" s="17"/>
      <c r="O91" s="17"/>
      <c r="P91" s="17"/>
      <c r="Q91" s="123"/>
      <c r="R91" s="17"/>
    </row>
    <row r="92" spans="1:18" x14ac:dyDescent="0.25">
      <c r="A92" s="3"/>
      <c r="B92" s="17"/>
      <c r="C92" s="17"/>
      <c r="D92" s="17"/>
      <c r="E92" s="17"/>
      <c r="F92" s="17"/>
      <c r="G92" s="17"/>
      <c r="H92" s="17"/>
      <c r="I92" s="17"/>
      <c r="J92" s="17"/>
      <c r="K92" s="17"/>
      <c r="L92" s="17"/>
      <c r="M92" s="17"/>
      <c r="N92" s="17"/>
      <c r="O92" s="17"/>
      <c r="P92" s="17"/>
      <c r="Q92" s="123"/>
      <c r="R92" s="17"/>
    </row>
    <row r="93" spans="1:18" x14ac:dyDescent="0.25">
      <c r="A93" s="3"/>
      <c r="B93" s="17"/>
      <c r="C93" s="17"/>
      <c r="D93" s="17"/>
      <c r="E93" s="17"/>
      <c r="F93" s="17"/>
      <c r="G93" s="17"/>
      <c r="H93" s="17"/>
      <c r="I93" s="17"/>
      <c r="J93" s="17"/>
      <c r="K93" s="17"/>
      <c r="L93" s="17"/>
      <c r="M93" s="17"/>
      <c r="N93" s="17"/>
      <c r="O93" s="17"/>
      <c r="P93" s="17"/>
      <c r="Q93" s="123"/>
      <c r="R93" s="17"/>
    </row>
    <row r="94" spans="1:18" x14ac:dyDescent="0.25">
      <c r="A94" s="3"/>
      <c r="B94" s="17"/>
      <c r="C94" s="17"/>
      <c r="D94" s="17"/>
      <c r="E94" s="17"/>
      <c r="F94" s="17"/>
      <c r="G94" s="17"/>
      <c r="H94" s="17"/>
      <c r="I94" s="17"/>
      <c r="J94" s="17"/>
      <c r="K94" s="17"/>
      <c r="L94" s="17"/>
      <c r="M94" s="17"/>
      <c r="N94" s="17"/>
      <c r="O94" s="17"/>
      <c r="P94" s="17"/>
      <c r="Q94" s="123"/>
      <c r="R94" s="17"/>
    </row>
    <row r="95" spans="1:18" x14ac:dyDescent="0.25">
      <c r="A95" s="3"/>
      <c r="B95" s="17"/>
      <c r="C95" s="17"/>
      <c r="D95" s="17"/>
      <c r="E95" s="17"/>
      <c r="F95" s="17"/>
      <c r="G95" s="17"/>
      <c r="H95" s="17"/>
      <c r="I95" s="17"/>
      <c r="J95" s="17"/>
      <c r="K95" s="17"/>
      <c r="L95" s="17"/>
      <c r="M95" s="17"/>
      <c r="N95" s="17"/>
      <c r="O95" s="17"/>
      <c r="P95" s="17"/>
      <c r="Q95" s="123"/>
      <c r="R95" s="17"/>
    </row>
    <row r="96" spans="1:18" x14ac:dyDescent="0.25">
      <c r="A96" s="3"/>
      <c r="B96" s="17"/>
      <c r="C96" s="17"/>
      <c r="D96" s="17"/>
      <c r="E96" s="17"/>
      <c r="F96" s="17"/>
      <c r="G96" s="17"/>
      <c r="H96" s="17"/>
      <c r="I96" s="17"/>
      <c r="J96" s="17"/>
      <c r="K96" s="17"/>
      <c r="L96" s="17"/>
      <c r="M96" s="17"/>
      <c r="N96" s="17"/>
      <c r="O96" s="17"/>
      <c r="P96" s="17"/>
      <c r="Q96" s="123"/>
      <c r="R96" s="17"/>
    </row>
    <row r="97" spans="1:18" x14ac:dyDescent="0.25">
      <c r="A97" s="3"/>
      <c r="B97" s="17"/>
      <c r="C97" s="17"/>
      <c r="D97" s="17"/>
      <c r="E97" s="17"/>
      <c r="F97" s="17"/>
      <c r="G97" s="17"/>
      <c r="H97" s="17"/>
      <c r="I97" s="17"/>
      <c r="J97" s="17"/>
      <c r="K97" s="17"/>
      <c r="L97" s="17"/>
      <c r="M97" s="17"/>
      <c r="N97" s="17"/>
      <c r="O97" s="17"/>
      <c r="P97" s="17"/>
      <c r="Q97" s="123"/>
      <c r="R97" s="17"/>
    </row>
    <row r="98" spans="1:18" x14ac:dyDescent="0.25">
      <c r="A98" s="3"/>
      <c r="B98" s="17"/>
      <c r="C98" s="17"/>
      <c r="D98" s="17"/>
      <c r="E98" s="17"/>
      <c r="F98" s="17"/>
      <c r="G98" s="17"/>
      <c r="H98" s="17"/>
      <c r="I98" s="17"/>
      <c r="J98" s="17"/>
      <c r="K98" s="17"/>
      <c r="L98" s="17"/>
      <c r="M98" s="17"/>
      <c r="N98" s="17"/>
      <c r="O98" s="17"/>
      <c r="P98" s="17"/>
      <c r="Q98" s="123"/>
      <c r="R98" s="17"/>
    </row>
    <row r="99" spans="1:18" x14ac:dyDescent="0.25">
      <c r="A99" s="3"/>
      <c r="B99" s="17"/>
      <c r="C99" s="17"/>
      <c r="D99" s="17"/>
      <c r="E99" s="17"/>
      <c r="F99" s="17"/>
      <c r="G99" s="17"/>
      <c r="H99" s="17"/>
      <c r="I99" s="17"/>
      <c r="J99" s="17"/>
      <c r="K99" s="17"/>
      <c r="L99" s="17"/>
      <c r="M99" s="17"/>
      <c r="N99" s="17"/>
      <c r="O99" s="17"/>
      <c r="P99" s="17"/>
      <c r="Q99" s="123"/>
      <c r="R99" s="17"/>
    </row>
    <row r="100" spans="1:18" x14ac:dyDescent="0.25">
      <c r="A100" s="3"/>
      <c r="B100" s="17"/>
      <c r="C100" s="17"/>
      <c r="D100" s="17"/>
      <c r="E100" s="17"/>
      <c r="F100" s="17"/>
      <c r="G100" s="17"/>
      <c r="H100" s="17"/>
      <c r="I100" s="17"/>
      <c r="J100" s="17"/>
      <c r="K100" s="17"/>
      <c r="L100" s="17"/>
      <c r="M100" s="17"/>
      <c r="N100" s="17"/>
      <c r="O100" s="17"/>
      <c r="P100" s="17"/>
      <c r="Q100" s="123"/>
      <c r="R100" s="17"/>
    </row>
    <row r="101" spans="1:18" x14ac:dyDescent="0.25">
      <c r="A101" s="3"/>
      <c r="B101" s="17"/>
      <c r="C101" s="17"/>
      <c r="D101" s="17"/>
      <c r="E101" s="17"/>
      <c r="F101" s="17"/>
      <c r="G101" s="17"/>
      <c r="H101" s="17"/>
      <c r="I101" s="17"/>
      <c r="J101" s="17"/>
      <c r="K101" s="17"/>
      <c r="L101" s="17"/>
      <c r="M101" s="17"/>
      <c r="N101" s="17"/>
      <c r="O101" s="17"/>
      <c r="P101" s="17"/>
      <c r="Q101" s="123"/>
      <c r="R101" s="17"/>
    </row>
    <row r="102" spans="1:18" x14ac:dyDescent="0.25">
      <c r="A102" s="3"/>
      <c r="B102" s="17"/>
      <c r="C102" s="17"/>
      <c r="D102" s="17"/>
      <c r="E102" s="17"/>
      <c r="F102" s="17"/>
      <c r="G102" s="17"/>
      <c r="H102" s="17"/>
      <c r="I102" s="17"/>
      <c r="J102" s="17"/>
      <c r="K102" s="17"/>
      <c r="L102" s="17"/>
      <c r="M102" s="17"/>
      <c r="N102" s="17"/>
      <c r="O102" s="17"/>
      <c r="P102" s="17"/>
      <c r="Q102" s="123"/>
      <c r="R102" s="17"/>
    </row>
    <row r="103" spans="1:18" x14ac:dyDescent="0.25">
      <c r="A103" s="3"/>
      <c r="B103" s="17"/>
      <c r="C103" s="17"/>
      <c r="D103" s="17"/>
      <c r="E103" s="17"/>
      <c r="F103" s="17"/>
      <c r="G103" s="17"/>
      <c r="H103" s="17"/>
      <c r="I103" s="17"/>
      <c r="J103" s="17"/>
      <c r="K103" s="17"/>
      <c r="L103" s="17"/>
      <c r="M103" s="17"/>
      <c r="N103" s="17"/>
      <c r="O103" s="17"/>
      <c r="P103" s="17"/>
      <c r="Q103" s="123"/>
      <c r="R103" s="17"/>
    </row>
    <row r="104" spans="1:18" x14ac:dyDescent="0.25">
      <c r="A104" s="3"/>
      <c r="B104" s="17"/>
      <c r="C104" s="17"/>
      <c r="D104" s="17"/>
      <c r="E104" s="17"/>
      <c r="F104" s="17"/>
      <c r="G104" s="17"/>
      <c r="H104" s="17"/>
      <c r="I104" s="17"/>
      <c r="J104" s="17"/>
      <c r="K104" s="17"/>
      <c r="L104" s="17"/>
      <c r="M104" s="17"/>
      <c r="N104" s="17"/>
      <c r="O104" s="17"/>
      <c r="P104" s="17"/>
      <c r="Q104" s="123"/>
      <c r="R104" s="17"/>
    </row>
    <row r="105" spans="1:18" x14ac:dyDescent="0.25">
      <c r="A105" s="3"/>
      <c r="B105" s="17"/>
      <c r="C105" s="17"/>
      <c r="D105" s="17"/>
      <c r="E105" s="17"/>
      <c r="F105" s="17"/>
      <c r="G105" s="17"/>
      <c r="H105" s="17"/>
      <c r="I105" s="17"/>
      <c r="J105" s="17"/>
      <c r="K105" s="17"/>
      <c r="L105" s="17"/>
      <c r="M105" s="17"/>
      <c r="N105" s="17"/>
      <c r="O105" s="17"/>
      <c r="P105" s="17"/>
      <c r="Q105" s="123"/>
      <c r="R105" s="17"/>
    </row>
    <row r="106" spans="1:18" x14ac:dyDescent="0.25">
      <c r="A106" s="3"/>
      <c r="B106" s="17"/>
      <c r="C106" s="17"/>
      <c r="D106" s="17"/>
      <c r="E106" s="17"/>
      <c r="F106" s="17"/>
      <c r="G106" s="17"/>
      <c r="H106" s="17"/>
      <c r="I106" s="17"/>
      <c r="J106" s="17"/>
      <c r="K106" s="17"/>
      <c r="L106" s="17"/>
      <c r="M106" s="17"/>
      <c r="N106" s="17"/>
      <c r="O106" s="17"/>
      <c r="P106" s="17"/>
      <c r="Q106" s="123"/>
      <c r="R106" s="17"/>
    </row>
    <row r="107" spans="1:18" x14ac:dyDescent="0.25">
      <c r="A107" s="3"/>
      <c r="B107" s="17"/>
      <c r="C107" s="17"/>
      <c r="D107" s="17"/>
      <c r="E107" s="17"/>
      <c r="F107" s="17"/>
      <c r="G107" s="17"/>
      <c r="H107" s="17"/>
      <c r="I107" s="17"/>
      <c r="J107" s="17"/>
      <c r="K107" s="17"/>
      <c r="L107" s="17"/>
      <c r="M107" s="17"/>
      <c r="N107" s="17"/>
      <c r="O107" s="17"/>
      <c r="P107" s="17"/>
      <c r="Q107" s="123"/>
      <c r="R107" s="17"/>
    </row>
    <row r="108" spans="1:18" x14ac:dyDescent="0.25">
      <c r="A108" s="3"/>
      <c r="B108" s="17"/>
      <c r="C108" s="17"/>
      <c r="D108" s="17"/>
      <c r="E108" s="17"/>
      <c r="F108" s="17"/>
      <c r="G108" s="17"/>
      <c r="H108" s="17"/>
      <c r="I108" s="17"/>
      <c r="J108" s="17"/>
      <c r="K108" s="17"/>
      <c r="L108" s="17"/>
      <c r="M108" s="17"/>
      <c r="N108" s="17"/>
      <c r="O108" s="17"/>
      <c r="P108" s="17"/>
      <c r="Q108" s="123"/>
      <c r="R108" s="17"/>
    </row>
    <row r="109" spans="1:18" x14ac:dyDescent="0.25">
      <c r="A109" s="3"/>
      <c r="B109" s="17"/>
      <c r="C109" s="17"/>
      <c r="D109" s="17"/>
      <c r="E109" s="17"/>
      <c r="F109" s="17"/>
      <c r="G109" s="17"/>
      <c r="H109" s="17"/>
      <c r="I109" s="17"/>
      <c r="J109" s="17"/>
      <c r="K109" s="17"/>
      <c r="L109" s="17"/>
      <c r="M109" s="17"/>
      <c r="N109" s="17"/>
      <c r="O109" s="17"/>
      <c r="P109" s="17"/>
      <c r="Q109" s="123"/>
      <c r="R109" s="17"/>
    </row>
    <row r="110" spans="1:18" x14ac:dyDescent="0.25">
      <c r="A110" s="3"/>
      <c r="B110" s="17"/>
      <c r="C110" s="17"/>
      <c r="D110" s="17"/>
      <c r="E110" s="17"/>
      <c r="F110" s="17"/>
      <c r="G110" s="17"/>
      <c r="H110" s="17"/>
      <c r="I110" s="17"/>
      <c r="J110" s="17"/>
      <c r="K110" s="17"/>
      <c r="L110" s="17"/>
      <c r="M110" s="17"/>
      <c r="N110" s="17"/>
      <c r="O110" s="17"/>
      <c r="P110" s="17"/>
      <c r="Q110" s="123"/>
      <c r="R110" s="17"/>
    </row>
    <row r="111" spans="1:18" x14ac:dyDescent="0.25">
      <c r="A111" s="3"/>
      <c r="B111" s="17"/>
      <c r="C111" s="17"/>
      <c r="D111" s="17"/>
      <c r="E111" s="17"/>
      <c r="F111" s="17"/>
      <c r="G111" s="17"/>
      <c r="H111" s="17"/>
      <c r="I111" s="17"/>
      <c r="J111" s="17"/>
      <c r="K111" s="17"/>
      <c r="L111" s="17"/>
      <c r="M111" s="17"/>
      <c r="N111" s="17"/>
      <c r="O111" s="17"/>
      <c r="P111" s="17"/>
      <c r="Q111" s="123"/>
      <c r="R111" s="17"/>
    </row>
    <row r="112" spans="1:18" x14ac:dyDescent="0.25">
      <c r="A112" s="3"/>
      <c r="B112" s="17"/>
      <c r="C112" s="17"/>
      <c r="D112" s="17"/>
      <c r="E112" s="17"/>
      <c r="F112" s="17"/>
      <c r="G112" s="17"/>
      <c r="H112" s="17"/>
      <c r="I112" s="17"/>
      <c r="J112" s="17"/>
      <c r="K112" s="17"/>
      <c r="L112" s="17"/>
      <c r="M112" s="17"/>
      <c r="N112" s="17"/>
      <c r="O112" s="17"/>
      <c r="P112" s="17"/>
      <c r="Q112" s="123"/>
      <c r="R112" s="17"/>
    </row>
    <row r="113" spans="1:18" x14ac:dyDescent="0.25">
      <c r="A113" s="3"/>
      <c r="B113" s="17"/>
      <c r="C113" s="17"/>
      <c r="D113" s="17"/>
      <c r="E113" s="17"/>
      <c r="F113" s="17"/>
      <c r="G113" s="17"/>
      <c r="H113" s="17"/>
      <c r="I113" s="17"/>
      <c r="J113" s="17"/>
      <c r="K113" s="17"/>
      <c r="L113" s="17"/>
      <c r="M113" s="17"/>
      <c r="N113" s="17"/>
      <c r="O113" s="17"/>
      <c r="P113" s="17"/>
      <c r="Q113" s="123"/>
      <c r="R113" s="17"/>
    </row>
    <row r="114" spans="1:18" x14ac:dyDescent="0.25">
      <c r="A114" s="3"/>
      <c r="B114" s="17"/>
      <c r="C114" s="17"/>
      <c r="D114" s="17"/>
      <c r="E114" s="17"/>
      <c r="F114" s="17"/>
      <c r="G114" s="17"/>
      <c r="H114" s="17"/>
      <c r="I114" s="17"/>
      <c r="J114" s="17"/>
      <c r="K114" s="17"/>
      <c r="L114" s="17"/>
      <c r="M114" s="17"/>
      <c r="N114" s="17"/>
      <c r="O114" s="17"/>
      <c r="P114" s="17"/>
      <c r="Q114" s="123"/>
      <c r="R114" s="17"/>
    </row>
    <row r="115" spans="1:18" x14ac:dyDescent="0.25">
      <c r="A115" s="3"/>
      <c r="B115" s="17"/>
      <c r="C115" s="17"/>
      <c r="D115" s="17"/>
      <c r="E115" s="17"/>
      <c r="F115" s="17"/>
      <c r="G115" s="17"/>
      <c r="H115" s="17"/>
      <c r="I115" s="17"/>
      <c r="J115" s="17"/>
      <c r="K115" s="17"/>
      <c r="L115" s="17"/>
      <c r="M115" s="17"/>
      <c r="N115" s="17"/>
      <c r="O115" s="17"/>
      <c r="P115" s="17"/>
      <c r="Q115" s="123"/>
      <c r="R115" s="17"/>
    </row>
    <row r="116" spans="1:18" x14ac:dyDescent="0.25">
      <c r="A116" s="3"/>
      <c r="B116" s="17"/>
      <c r="C116" s="17"/>
      <c r="D116" s="17"/>
      <c r="E116" s="17"/>
      <c r="F116" s="17"/>
      <c r="G116" s="17"/>
      <c r="H116" s="17"/>
      <c r="I116" s="17"/>
      <c r="J116" s="17"/>
      <c r="K116" s="17"/>
      <c r="L116" s="17"/>
      <c r="M116" s="17"/>
      <c r="N116" s="17"/>
      <c r="O116" s="17"/>
      <c r="P116" s="17"/>
      <c r="Q116" s="123"/>
      <c r="R116" s="17"/>
    </row>
    <row r="117" spans="1:18" x14ac:dyDescent="0.25">
      <c r="A117" s="3"/>
      <c r="B117" s="17"/>
      <c r="C117" s="17"/>
      <c r="D117" s="17"/>
      <c r="E117" s="17"/>
      <c r="F117" s="17"/>
      <c r="G117" s="17"/>
      <c r="H117" s="17"/>
      <c r="I117" s="17"/>
      <c r="J117" s="17"/>
      <c r="K117" s="17"/>
      <c r="L117" s="17"/>
      <c r="M117" s="17"/>
      <c r="N117" s="17"/>
      <c r="O117" s="17"/>
      <c r="P117" s="17"/>
      <c r="Q117" s="123"/>
      <c r="R117" s="17"/>
    </row>
    <row r="118" spans="1:18" x14ac:dyDescent="0.25">
      <c r="A118" s="3"/>
      <c r="B118" s="17"/>
      <c r="C118" s="17"/>
      <c r="D118" s="17"/>
      <c r="E118" s="17"/>
      <c r="F118" s="17"/>
      <c r="G118" s="17"/>
      <c r="H118" s="17"/>
      <c r="I118" s="17"/>
      <c r="J118" s="17"/>
      <c r="K118" s="17"/>
      <c r="L118" s="17"/>
      <c r="M118" s="17"/>
      <c r="N118" s="17"/>
      <c r="O118" s="17"/>
      <c r="P118" s="17"/>
      <c r="Q118" s="123"/>
      <c r="R118" s="17"/>
    </row>
    <row r="119" spans="1:18" x14ac:dyDescent="0.25">
      <c r="A119" s="3"/>
      <c r="B119" s="17"/>
      <c r="C119" s="17"/>
      <c r="D119" s="17"/>
      <c r="E119" s="17"/>
      <c r="F119" s="17"/>
      <c r="G119" s="17"/>
      <c r="H119" s="17"/>
      <c r="I119" s="17"/>
      <c r="J119" s="17"/>
      <c r="K119" s="17"/>
      <c r="L119" s="17"/>
      <c r="M119" s="17"/>
      <c r="N119" s="17"/>
      <c r="O119" s="17"/>
      <c r="P119" s="17"/>
      <c r="Q119" s="123"/>
      <c r="R119" s="17"/>
    </row>
    <row r="120" spans="1:18" x14ac:dyDescent="0.25">
      <c r="A120" s="3"/>
      <c r="B120" s="17"/>
      <c r="C120" s="17"/>
      <c r="D120" s="17"/>
      <c r="E120" s="17"/>
      <c r="F120" s="17"/>
      <c r="G120" s="17"/>
      <c r="H120" s="17"/>
      <c r="I120" s="17"/>
      <c r="J120" s="17"/>
      <c r="K120" s="17"/>
      <c r="L120" s="17"/>
      <c r="M120" s="17"/>
      <c r="N120" s="17"/>
      <c r="O120" s="17"/>
      <c r="P120" s="17"/>
      <c r="Q120" s="123"/>
      <c r="R120" s="17"/>
    </row>
    <row r="121" spans="1:18" x14ac:dyDescent="0.25">
      <c r="A121" s="3"/>
      <c r="B121" s="17"/>
      <c r="C121" s="17"/>
      <c r="D121" s="17"/>
      <c r="E121" s="17"/>
      <c r="F121" s="17"/>
      <c r="G121" s="17"/>
      <c r="H121" s="17"/>
      <c r="I121" s="17"/>
      <c r="J121" s="17"/>
      <c r="K121" s="17"/>
      <c r="L121" s="17"/>
      <c r="M121" s="17"/>
      <c r="N121" s="17"/>
      <c r="O121" s="17"/>
      <c r="P121" s="17"/>
      <c r="Q121" s="123"/>
      <c r="R121" s="17"/>
    </row>
    <row r="122" spans="1:18" x14ac:dyDescent="0.25">
      <c r="A122" s="3"/>
      <c r="B122" s="17"/>
      <c r="C122" s="17"/>
      <c r="D122" s="17"/>
      <c r="E122" s="17"/>
      <c r="F122" s="17"/>
      <c r="G122" s="17"/>
      <c r="H122" s="17"/>
      <c r="I122" s="17"/>
      <c r="J122" s="17"/>
      <c r="K122" s="17"/>
      <c r="L122" s="17"/>
      <c r="M122" s="17"/>
      <c r="N122" s="17"/>
      <c r="O122" s="17"/>
      <c r="P122" s="17"/>
      <c r="Q122" s="123"/>
      <c r="R122" s="17"/>
    </row>
    <row r="123" spans="1:18" x14ac:dyDescent="0.25">
      <c r="A123" s="3"/>
      <c r="B123" s="17"/>
      <c r="C123" s="17"/>
      <c r="D123" s="17"/>
      <c r="E123" s="17"/>
      <c r="F123" s="17"/>
      <c r="G123" s="17"/>
      <c r="H123" s="17"/>
      <c r="I123" s="17"/>
      <c r="J123" s="17"/>
      <c r="K123" s="17"/>
      <c r="L123" s="17"/>
      <c r="M123" s="17"/>
      <c r="N123" s="17"/>
      <c r="O123" s="17"/>
      <c r="P123" s="17"/>
      <c r="Q123" s="123"/>
      <c r="R123" s="17"/>
    </row>
    <row r="124" spans="1:18" x14ac:dyDescent="0.25">
      <c r="A124" s="3"/>
      <c r="B124" s="17"/>
      <c r="C124" s="17"/>
      <c r="D124" s="17"/>
      <c r="E124" s="17"/>
      <c r="F124" s="17"/>
      <c r="G124" s="17"/>
      <c r="H124" s="17"/>
      <c r="I124" s="17"/>
      <c r="J124" s="17"/>
      <c r="K124" s="17"/>
      <c r="L124" s="17"/>
      <c r="M124" s="17"/>
      <c r="N124" s="17"/>
      <c r="O124" s="17"/>
      <c r="P124" s="17"/>
      <c r="Q124" s="123"/>
      <c r="R124" s="17"/>
    </row>
    <row r="125" spans="1:18" x14ac:dyDescent="0.25">
      <c r="A125" s="3"/>
      <c r="B125" s="17"/>
      <c r="C125" s="17"/>
      <c r="D125" s="17"/>
      <c r="E125" s="17"/>
      <c r="F125" s="17"/>
      <c r="G125" s="17"/>
      <c r="H125" s="17"/>
      <c r="I125" s="17"/>
      <c r="J125" s="17"/>
      <c r="K125" s="17"/>
      <c r="L125" s="17"/>
      <c r="M125" s="17"/>
      <c r="N125" s="17"/>
      <c r="O125" s="17"/>
      <c r="P125" s="17"/>
      <c r="Q125" s="123"/>
      <c r="R125" s="17"/>
    </row>
    <row r="126" spans="1:18" x14ac:dyDescent="0.25">
      <c r="A126" s="3"/>
      <c r="B126" s="17"/>
      <c r="C126" s="17"/>
      <c r="D126" s="17"/>
      <c r="E126" s="17"/>
      <c r="F126" s="17"/>
      <c r="G126" s="17"/>
      <c r="H126" s="17"/>
      <c r="I126" s="17"/>
      <c r="J126" s="17"/>
      <c r="K126" s="17"/>
      <c r="L126" s="17"/>
      <c r="M126" s="17"/>
      <c r="N126" s="17"/>
      <c r="O126" s="17"/>
      <c r="P126" s="17"/>
      <c r="Q126" s="123"/>
      <c r="R126" s="17"/>
    </row>
    <row r="127" spans="1:18" x14ac:dyDescent="0.25">
      <c r="A127" s="3"/>
      <c r="B127" s="17"/>
      <c r="C127" s="17"/>
      <c r="D127" s="17"/>
      <c r="E127" s="17"/>
      <c r="F127" s="17"/>
      <c r="G127" s="17"/>
      <c r="H127" s="17"/>
      <c r="I127" s="17"/>
      <c r="J127" s="17"/>
      <c r="K127" s="17"/>
      <c r="L127" s="17"/>
      <c r="M127" s="17"/>
      <c r="N127" s="17"/>
      <c r="O127" s="17"/>
      <c r="P127" s="17"/>
      <c r="Q127" s="123"/>
      <c r="R127" s="17"/>
    </row>
    <row r="128" spans="1:18" x14ac:dyDescent="0.25">
      <c r="A128" s="3"/>
      <c r="B128" s="17"/>
      <c r="C128" s="17"/>
      <c r="D128" s="17"/>
      <c r="E128" s="17"/>
      <c r="F128" s="17"/>
      <c r="G128" s="17"/>
      <c r="H128" s="17"/>
      <c r="I128" s="17"/>
      <c r="J128" s="17"/>
      <c r="K128" s="17"/>
      <c r="L128" s="17"/>
      <c r="M128" s="17"/>
      <c r="N128" s="17"/>
      <c r="O128" s="17"/>
      <c r="P128" s="17"/>
      <c r="Q128" s="123"/>
      <c r="R128" s="17"/>
    </row>
    <row r="129" spans="1:18" x14ac:dyDescent="0.25">
      <c r="A129" s="3"/>
      <c r="B129" s="17"/>
      <c r="C129" s="17"/>
      <c r="D129" s="17"/>
      <c r="E129" s="17"/>
      <c r="F129" s="17"/>
      <c r="G129" s="17"/>
      <c r="H129" s="17"/>
      <c r="I129" s="17"/>
      <c r="J129" s="17"/>
      <c r="K129" s="17"/>
      <c r="L129" s="17"/>
      <c r="M129" s="17"/>
      <c r="N129" s="17"/>
      <c r="O129" s="17"/>
      <c r="P129" s="17"/>
      <c r="Q129" s="123"/>
      <c r="R129" s="17"/>
    </row>
    <row r="130" spans="1:18" x14ac:dyDescent="0.25">
      <c r="A130" s="3"/>
      <c r="B130" s="17"/>
      <c r="C130" s="17"/>
      <c r="D130" s="17"/>
      <c r="E130" s="17"/>
      <c r="F130" s="17"/>
      <c r="G130" s="17"/>
      <c r="H130" s="17"/>
      <c r="I130" s="17"/>
      <c r="J130" s="17"/>
      <c r="K130" s="17"/>
      <c r="L130" s="17"/>
      <c r="M130" s="17"/>
      <c r="N130" s="17"/>
      <c r="O130" s="17"/>
      <c r="P130" s="17"/>
      <c r="Q130" s="123"/>
      <c r="R130" s="17"/>
    </row>
    <row r="131" spans="1:18" x14ac:dyDescent="0.25">
      <c r="A131" s="3"/>
      <c r="B131" s="17"/>
      <c r="C131" s="17"/>
      <c r="D131" s="17"/>
      <c r="E131" s="17"/>
      <c r="F131" s="17"/>
      <c r="G131" s="17"/>
      <c r="H131" s="17"/>
      <c r="I131" s="17"/>
      <c r="J131" s="17"/>
      <c r="K131" s="17"/>
      <c r="L131" s="17"/>
      <c r="M131" s="17"/>
      <c r="N131" s="17"/>
      <c r="O131" s="17"/>
      <c r="P131" s="17"/>
      <c r="Q131" s="123"/>
      <c r="R131" s="17"/>
    </row>
    <row r="132" spans="1:18" x14ac:dyDescent="0.25">
      <c r="A132" s="3"/>
      <c r="B132" s="17"/>
      <c r="C132" s="17"/>
      <c r="D132" s="17"/>
      <c r="E132" s="17"/>
      <c r="F132" s="17"/>
      <c r="G132" s="17"/>
      <c r="H132" s="17"/>
      <c r="I132" s="17"/>
      <c r="J132" s="17"/>
      <c r="K132" s="17"/>
      <c r="L132" s="17"/>
      <c r="M132" s="17"/>
      <c r="N132" s="17"/>
      <c r="O132" s="17"/>
      <c r="P132" s="17"/>
      <c r="Q132" s="123"/>
      <c r="R132" s="17"/>
    </row>
    <row r="133" spans="1:18" x14ac:dyDescent="0.25">
      <c r="A133" s="3"/>
      <c r="B133" s="17"/>
      <c r="C133" s="17"/>
      <c r="D133" s="17"/>
      <c r="E133" s="17"/>
      <c r="F133" s="17"/>
      <c r="G133" s="17"/>
      <c r="H133" s="17"/>
      <c r="I133" s="17"/>
      <c r="J133" s="17"/>
      <c r="K133" s="17"/>
      <c r="L133" s="17"/>
      <c r="M133" s="17"/>
      <c r="N133" s="17"/>
      <c r="O133" s="17"/>
      <c r="P133" s="17"/>
      <c r="Q133" s="123"/>
      <c r="R133" s="17"/>
    </row>
    <row r="134" spans="1:18" x14ac:dyDescent="0.25">
      <c r="A134" s="3"/>
      <c r="B134" s="17"/>
      <c r="C134" s="17"/>
      <c r="D134" s="17"/>
      <c r="E134" s="17"/>
      <c r="F134" s="17"/>
      <c r="G134" s="17"/>
      <c r="H134" s="17"/>
      <c r="I134" s="17"/>
      <c r="J134" s="17"/>
      <c r="K134" s="17"/>
      <c r="L134" s="17"/>
      <c r="M134" s="17"/>
      <c r="N134" s="17"/>
      <c r="O134" s="17"/>
      <c r="P134" s="17"/>
      <c r="Q134" s="123"/>
      <c r="R134" s="17"/>
    </row>
    <row r="135" spans="1:18" x14ac:dyDescent="0.25">
      <c r="A135" s="3"/>
      <c r="B135" s="17"/>
      <c r="C135" s="17"/>
      <c r="D135" s="17"/>
      <c r="E135" s="17"/>
      <c r="F135" s="17"/>
      <c r="G135" s="17"/>
      <c r="H135" s="17"/>
      <c r="I135" s="17"/>
      <c r="J135" s="17"/>
      <c r="K135" s="17"/>
      <c r="L135" s="17"/>
      <c r="M135" s="17"/>
      <c r="N135" s="17"/>
      <c r="O135" s="17"/>
      <c r="P135" s="17"/>
      <c r="Q135" s="123"/>
      <c r="R135" s="17"/>
    </row>
    <row r="136" spans="1:18" x14ac:dyDescent="0.25">
      <c r="A136" s="3"/>
      <c r="B136" s="17"/>
      <c r="C136" s="17"/>
      <c r="D136" s="17"/>
      <c r="E136" s="17"/>
      <c r="F136" s="17"/>
      <c r="G136" s="17"/>
      <c r="H136" s="17"/>
      <c r="I136" s="17"/>
      <c r="J136" s="17"/>
      <c r="K136" s="17"/>
      <c r="L136" s="17"/>
      <c r="M136" s="17"/>
      <c r="N136" s="17"/>
      <c r="O136" s="17"/>
      <c r="P136" s="17"/>
      <c r="Q136" s="123"/>
      <c r="R136" s="17"/>
    </row>
    <row r="137" spans="1:18" x14ac:dyDescent="0.25">
      <c r="A137" s="3"/>
      <c r="B137" s="17"/>
      <c r="C137" s="17"/>
      <c r="D137" s="17"/>
      <c r="E137" s="17"/>
      <c r="F137" s="17"/>
      <c r="G137" s="17"/>
      <c r="H137" s="17"/>
      <c r="I137" s="17"/>
      <c r="J137" s="17"/>
      <c r="K137" s="17"/>
      <c r="L137" s="17"/>
      <c r="M137" s="17"/>
      <c r="N137" s="17"/>
      <c r="O137" s="17"/>
      <c r="P137" s="17"/>
      <c r="Q137" s="123"/>
      <c r="R137" s="17"/>
    </row>
    <row r="138" spans="1:18" x14ac:dyDescent="0.25">
      <c r="A138" s="3"/>
      <c r="B138" s="17"/>
      <c r="C138" s="17"/>
      <c r="D138" s="17"/>
      <c r="E138" s="17"/>
      <c r="F138" s="17"/>
      <c r="G138" s="17"/>
      <c r="H138" s="17"/>
      <c r="I138" s="17"/>
      <c r="J138" s="17"/>
      <c r="K138" s="17"/>
      <c r="L138" s="17"/>
      <c r="M138" s="17"/>
      <c r="N138" s="17"/>
      <c r="O138" s="17"/>
      <c r="P138" s="17"/>
      <c r="Q138" s="123"/>
      <c r="R138" s="17"/>
    </row>
    <row r="139" spans="1:18" x14ac:dyDescent="0.25">
      <c r="A139" s="3"/>
      <c r="B139" s="17"/>
      <c r="C139" s="17"/>
      <c r="D139" s="17"/>
      <c r="E139" s="17"/>
      <c r="F139" s="17"/>
      <c r="G139" s="17"/>
      <c r="H139" s="17"/>
      <c r="I139" s="17"/>
      <c r="J139" s="17"/>
      <c r="K139" s="17"/>
      <c r="L139" s="17"/>
      <c r="M139" s="17"/>
      <c r="N139" s="17"/>
      <c r="O139" s="17"/>
      <c r="P139" s="17"/>
      <c r="Q139" s="123"/>
      <c r="R139" s="17"/>
    </row>
    <row r="140" spans="1:18" x14ac:dyDescent="0.25">
      <c r="A140" s="3"/>
      <c r="B140" s="17"/>
      <c r="C140" s="17"/>
      <c r="D140" s="17"/>
      <c r="E140" s="17"/>
      <c r="F140" s="17"/>
      <c r="G140" s="17"/>
      <c r="H140" s="17"/>
      <c r="I140" s="17"/>
      <c r="J140" s="17"/>
      <c r="K140" s="17"/>
      <c r="L140" s="17"/>
      <c r="M140" s="17"/>
      <c r="N140" s="17"/>
      <c r="O140" s="17"/>
      <c r="P140" s="17"/>
      <c r="Q140" s="123"/>
      <c r="R140" s="17"/>
    </row>
    <row r="141" spans="1:18" x14ac:dyDescent="0.25">
      <c r="A141" s="3"/>
      <c r="B141" s="17"/>
      <c r="C141" s="17"/>
      <c r="D141" s="17"/>
      <c r="E141" s="17"/>
      <c r="F141" s="17"/>
      <c r="G141" s="17"/>
      <c r="H141" s="17"/>
      <c r="I141" s="17"/>
      <c r="J141" s="17"/>
      <c r="K141" s="17"/>
      <c r="L141" s="17"/>
      <c r="M141" s="17"/>
      <c r="N141" s="17"/>
      <c r="O141" s="17"/>
      <c r="P141" s="17"/>
      <c r="Q141" s="123"/>
      <c r="R141" s="17"/>
    </row>
    <row r="142" spans="1:18" x14ac:dyDescent="0.25">
      <c r="A142" s="3"/>
      <c r="B142" s="17"/>
      <c r="C142" s="17"/>
      <c r="D142" s="17"/>
      <c r="E142" s="17"/>
      <c r="F142" s="17"/>
      <c r="G142" s="17"/>
      <c r="H142" s="17"/>
      <c r="I142" s="17"/>
      <c r="J142" s="17"/>
      <c r="K142" s="17"/>
      <c r="L142" s="17"/>
      <c r="M142" s="17"/>
      <c r="N142" s="17"/>
      <c r="O142" s="17"/>
      <c r="P142" s="17"/>
      <c r="Q142" s="123"/>
      <c r="R142" s="17"/>
    </row>
    <row r="143" spans="1:18" x14ac:dyDescent="0.25">
      <c r="A143" s="3"/>
      <c r="B143" s="17"/>
      <c r="C143" s="17"/>
      <c r="D143" s="17"/>
      <c r="E143" s="17"/>
      <c r="F143" s="17"/>
      <c r="G143" s="17"/>
      <c r="H143" s="17"/>
      <c r="I143" s="17"/>
      <c r="J143" s="17"/>
      <c r="K143" s="17"/>
      <c r="L143" s="17"/>
      <c r="M143" s="17"/>
      <c r="N143" s="17"/>
      <c r="O143" s="17"/>
      <c r="P143" s="17"/>
      <c r="Q143" s="123"/>
      <c r="R143" s="17"/>
    </row>
    <row r="144" spans="1:18" x14ac:dyDescent="0.25">
      <c r="A144" s="3"/>
      <c r="B144" s="17"/>
      <c r="C144" s="17"/>
      <c r="D144" s="17"/>
      <c r="E144" s="17"/>
      <c r="F144" s="17"/>
      <c r="G144" s="17"/>
      <c r="H144" s="17"/>
      <c r="I144" s="17"/>
      <c r="J144" s="17"/>
      <c r="K144" s="17"/>
      <c r="L144" s="17"/>
      <c r="M144" s="17"/>
      <c r="N144" s="17"/>
      <c r="O144" s="17"/>
      <c r="P144" s="17"/>
      <c r="Q144" s="123"/>
      <c r="R144" s="17"/>
    </row>
    <row r="145" spans="1:18" x14ac:dyDescent="0.25">
      <c r="A145" s="3"/>
      <c r="B145" s="17"/>
      <c r="C145" s="17"/>
      <c r="D145" s="17"/>
      <c r="E145" s="17"/>
      <c r="F145" s="17"/>
      <c r="G145" s="17"/>
      <c r="H145" s="17"/>
      <c r="I145" s="17"/>
      <c r="J145" s="17"/>
      <c r="K145" s="17"/>
      <c r="L145" s="17"/>
      <c r="M145" s="17"/>
      <c r="N145" s="17"/>
      <c r="O145" s="17"/>
      <c r="P145" s="17"/>
      <c r="Q145" s="123"/>
      <c r="R145" s="17"/>
    </row>
    <row r="146" spans="1:18" x14ac:dyDescent="0.25">
      <c r="A146" s="3"/>
      <c r="B146" s="17"/>
      <c r="C146" s="17"/>
      <c r="D146" s="17"/>
      <c r="E146" s="17"/>
      <c r="F146" s="17"/>
      <c r="G146" s="17"/>
      <c r="H146" s="17"/>
      <c r="I146" s="17"/>
      <c r="J146" s="17"/>
      <c r="K146" s="17"/>
      <c r="L146" s="17"/>
      <c r="M146" s="17"/>
      <c r="N146" s="17"/>
      <c r="O146" s="17"/>
      <c r="P146" s="17"/>
      <c r="Q146" s="123"/>
      <c r="R146" s="17"/>
    </row>
    <row r="147" spans="1:18" x14ac:dyDescent="0.25">
      <c r="A147" s="3"/>
      <c r="B147" s="17"/>
      <c r="C147" s="17"/>
      <c r="D147" s="17"/>
      <c r="E147" s="17"/>
      <c r="F147" s="17"/>
      <c r="G147" s="17"/>
      <c r="H147" s="17"/>
      <c r="I147" s="17"/>
      <c r="J147" s="17"/>
      <c r="K147" s="17"/>
      <c r="L147" s="17"/>
      <c r="M147" s="17"/>
      <c r="N147" s="17"/>
      <c r="O147" s="17"/>
      <c r="P147" s="17"/>
      <c r="Q147" s="123"/>
      <c r="R147" s="17"/>
    </row>
    <row r="148" spans="1:18" x14ac:dyDescent="0.25">
      <c r="A148" s="3"/>
      <c r="B148" s="17"/>
      <c r="C148" s="17"/>
      <c r="D148" s="17"/>
      <c r="E148" s="17"/>
      <c r="F148" s="17"/>
      <c r="G148" s="17"/>
      <c r="H148" s="17"/>
      <c r="I148" s="17"/>
      <c r="J148" s="17"/>
      <c r="K148" s="17"/>
      <c r="L148" s="17"/>
      <c r="M148" s="17"/>
      <c r="N148" s="17"/>
      <c r="O148" s="17"/>
      <c r="P148" s="17"/>
      <c r="Q148" s="123"/>
      <c r="R148" s="17"/>
    </row>
    <row r="149" spans="1:18" x14ac:dyDescent="0.25">
      <c r="A149" s="3"/>
      <c r="B149" s="17"/>
      <c r="C149" s="17"/>
      <c r="D149" s="17"/>
      <c r="E149" s="17"/>
      <c r="F149" s="17"/>
      <c r="G149" s="17"/>
      <c r="H149" s="17"/>
      <c r="I149" s="17"/>
      <c r="J149" s="17"/>
      <c r="K149" s="17"/>
      <c r="L149" s="17"/>
      <c r="M149" s="17"/>
      <c r="N149" s="17"/>
      <c r="O149" s="17"/>
      <c r="P149" s="17"/>
      <c r="Q149" s="123"/>
      <c r="R149" s="17"/>
    </row>
    <row r="150" spans="1:18" x14ac:dyDescent="0.25">
      <c r="A150" s="3"/>
      <c r="B150" s="17"/>
      <c r="C150" s="17"/>
      <c r="D150" s="17"/>
      <c r="E150" s="17"/>
      <c r="F150" s="17"/>
      <c r="G150" s="17"/>
      <c r="H150" s="17"/>
      <c r="I150" s="17"/>
      <c r="J150" s="17"/>
      <c r="K150" s="17"/>
      <c r="L150" s="17"/>
      <c r="M150" s="17"/>
      <c r="N150" s="17"/>
      <c r="O150" s="17"/>
      <c r="P150" s="17"/>
      <c r="Q150" s="123"/>
      <c r="R150" s="17"/>
    </row>
    <row r="151" spans="1:18" x14ac:dyDescent="0.25">
      <c r="A151" s="3"/>
      <c r="B151" s="17"/>
      <c r="C151" s="17"/>
      <c r="D151" s="17"/>
      <c r="E151" s="17"/>
      <c r="F151" s="17"/>
      <c r="G151" s="17"/>
      <c r="H151" s="17"/>
      <c r="I151" s="17"/>
      <c r="J151" s="17"/>
      <c r="K151" s="17"/>
      <c r="L151" s="17"/>
      <c r="M151" s="17"/>
      <c r="N151" s="17"/>
      <c r="O151" s="17"/>
      <c r="P151" s="17"/>
      <c r="Q151" s="123"/>
      <c r="R151" s="17"/>
    </row>
    <row r="152" spans="1:18" x14ac:dyDescent="0.25">
      <c r="A152" s="3"/>
      <c r="B152" s="17"/>
      <c r="C152" s="17"/>
      <c r="D152" s="17"/>
      <c r="E152" s="17"/>
      <c r="F152" s="17"/>
      <c r="G152" s="17"/>
      <c r="H152" s="17"/>
      <c r="I152" s="17"/>
      <c r="J152" s="17"/>
      <c r="K152" s="17"/>
      <c r="L152" s="17"/>
      <c r="M152" s="17"/>
      <c r="N152" s="17"/>
      <c r="O152" s="17"/>
      <c r="P152" s="17"/>
      <c r="Q152" s="123"/>
      <c r="R152" s="17"/>
    </row>
    <row r="153" spans="1:18" x14ac:dyDescent="0.25">
      <c r="A153" s="3"/>
      <c r="B153" s="17"/>
      <c r="C153" s="17"/>
      <c r="D153" s="17"/>
      <c r="E153" s="17"/>
      <c r="F153" s="17"/>
      <c r="G153" s="17"/>
      <c r="H153" s="17"/>
      <c r="I153" s="17"/>
      <c r="J153" s="17"/>
      <c r="K153" s="17"/>
      <c r="L153" s="17"/>
      <c r="M153" s="17"/>
      <c r="N153" s="17"/>
      <c r="O153" s="17"/>
      <c r="P153" s="17"/>
      <c r="Q153" s="123"/>
      <c r="R153" s="17"/>
    </row>
    <row r="154" spans="1:18" x14ac:dyDescent="0.25">
      <c r="A154" s="3"/>
      <c r="B154" s="17"/>
      <c r="C154" s="17"/>
      <c r="D154" s="17"/>
      <c r="E154" s="17"/>
      <c r="F154" s="17"/>
      <c r="G154" s="17"/>
      <c r="H154" s="17"/>
      <c r="I154" s="17"/>
      <c r="J154" s="17"/>
      <c r="K154" s="17"/>
      <c r="L154" s="17"/>
      <c r="M154" s="17"/>
      <c r="N154" s="17"/>
      <c r="O154" s="17"/>
      <c r="P154" s="17"/>
      <c r="Q154" s="123"/>
      <c r="R154" s="17"/>
    </row>
    <row r="155" spans="1:18" x14ac:dyDescent="0.25">
      <c r="A155" s="3"/>
      <c r="B155" s="17"/>
      <c r="C155" s="17"/>
      <c r="D155" s="17"/>
      <c r="E155" s="17"/>
      <c r="F155" s="17"/>
      <c r="G155" s="17"/>
      <c r="H155" s="17"/>
      <c r="I155" s="17"/>
      <c r="J155" s="17"/>
      <c r="K155" s="17"/>
      <c r="L155" s="17"/>
      <c r="M155" s="17"/>
      <c r="N155" s="17"/>
      <c r="O155" s="17"/>
      <c r="P155" s="17"/>
      <c r="Q155" s="123"/>
      <c r="R155" s="17"/>
    </row>
    <row r="156" spans="1:18" x14ac:dyDescent="0.25">
      <c r="A156" s="3"/>
      <c r="B156" s="17"/>
      <c r="C156" s="17"/>
      <c r="D156" s="17"/>
      <c r="E156" s="17"/>
      <c r="F156" s="17"/>
      <c r="G156" s="17"/>
      <c r="H156" s="17"/>
      <c r="I156" s="17"/>
      <c r="J156" s="17"/>
      <c r="K156" s="17"/>
      <c r="L156" s="17"/>
      <c r="M156" s="17"/>
      <c r="N156" s="17"/>
      <c r="O156" s="17"/>
      <c r="P156" s="17"/>
      <c r="Q156" s="123"/>
      <c r="R156" s="17"/>
    </row>
    <row r="157" spans="1:18" x14ac:dyDescent="0.25">
      <c r="A157" s="3"/>
      <c r="B157" s="17"/>
      <c r="C157" s="17"/>
      <c r="D157" s="17"/>
      <c r="E157" s="17"/>
      <c r="F157" s="17"/>
      <c r="G157" s="17"/>
      <c r="H157" s="17"/>
      <c r="I157" s="17"/>
      <c r="J157" s="17"/>
      <c r="K157" s="17"/>
      <c r="L157" s="17"/>
      <c r="M157" s="17"/>
      <c r="N157" s="17"/>
      <c r="O157" s="17"/>
      <c r="P157" s="17"/>
      <c r="Q157" s="123"/>
      <c r="R157" s="17"/>
    </row>
    <row r="158" spans="1:18" x14ac:dyDescent="0.25">
      <c r="A158" s="3"/>
      <c r="B158" s="17"/>
      <c r="C158" s="17"/>
      <c r="D158" s="17"/>
      <c r="E158" s="17"/>
      <c r="F158" s="17"/>
      <c r="G158" s="17"/>
      <c r="H158" s="17"/>
      <c r="I158" s="17"/>
      <c r="J158" s="17"/>
      <c r="K158" s="17"/>
      <c r="L158" s="17"/>
      <c r="M158" s="17"/>
      <c r="N158" s="17"/>
      <c r="O158" s="17"/>
      <c r="P158" s="17"/>
      <c r="Q158" s="123"/>
      <c r="R158" s="17"/>
    </row>
    <row r="159" spans="1:18" x14ac:dyDescent="0.25">
      <c r="A159" s="3"/>
      <c r="B159" s="17"/>
      <c r="C159" s="17"/>
      <c r="D159" s="17"/>
      <c r="E159" s="17"/>
      <c r="F159" s="17"/>
      <c r="G159" s="17"/>
      <c r="H159" s="17"/>
      <c r="I159" s="17"/>
      <c r="J159" s="17"/>
      <c r="K159" s="17"/>
      <c r="L159" s="17"/>
      <c r="M159" s="17"/>
      <c r="N159" s="17"/>
      <c r="O159" s="17"/>
      <c r="P159" s="17"/>
      <c r="Q159" s="123"/>
      <c r="R159" s="17"/>
    </row>
    <row r="160" spans="1:18" x14ac:dyDescent="0.25">
      <c r="A160" s="3"/>
      <c r="B160" s="17"/>
      <c r="C160" s="17"/>
      <c r="D160" s="17"/>
      <c r="E160" s="17"/>
      <c r="F160" s="17"/>
      <c r="G160" s="17"/>
      <c r="H160" s="17"/>
      <c r="I160" s="17"/>
      <c r="J160" s="17"/>
      <c r="K160" s="17"/>
      <c r="L160" s="17"/>
      <c r="M160" s="17"/>
      <c r="N160" s="17"/>
      <c r="O160" s="17"/>
      <c r="P160" s="17"/>
      <c r="Q160" s="123"/>
      <c r="R160" s="17"/>
    </row>
    <row r="161" spans="1:18" x14ac:dyDescent="0.25">
      <c r="A161" s="3"/>
      <c r="B161" s="17"/>
      <c r="C161" s="17"/>
      <c r="D161" s="17"/>
      <c r="E161" s="17"/>
      <c r="F161" s="17"/>
      <c r="G161" s="17"/>
      <c r="H161" s="17"/>
      <c r="I161" s="17"/>
      <c r="J161" s="17"/>
      <c r="K161" s="17"/>
      <c r="L161" s="17"/>
      <c r="M161" s="17"/>
      <c r="N161" s="17"/>
      <c r="O161" s="17"/>
      <c r="P161" s="17"/>
      <c r="Q161" s="123"/>
      <c r="R161" s="17"/>
    </row>
    <row r="162" spans="1:18" x14ac:dyDescent="0.25">
      <c r="A162" s="3"/>
      <c r="B162" s="17"/>
      <c r="C162" s="17"/>
      <c r="D162" s="17"/>
      <c r="E162" s="17"/>
      <c r="F162" s="17"/>
      <c r="G162" s="17"/>
      <c r="H162" s="17"/>
      <c r="I162" s="17"/>
      <c r="J162" s="17"/>
      <c r="K162" s="17"/>
      <c r="L162" s="17"/>
      <c r="M162" s="17"/>
      <c r="N162" s="17"/>
      <c r="O162" s="17"/>
      <c r="P162" s="17"/>
      <c r="Q162" s="123"/>
      <c r="R162" s="17"/>
    </row>
    <row r="163" spans="1:18" x14ac:dyDescent="0.25">
      <c r="A163" s="3"/>
      <c r="B163" s="17"/>
      <c r="C163" s="17"/>
      <c r="D163" s="17"/>
      <c r="E163" s="17"/>
      <c r="F163" s="17"/>
      <c r="G163" s="17"/>
      <c r="H163" s="17"/>
      <c r="I163" s="17"/>
      <c r="J163" s="17"/>
      <c r="K163" s="17"/>
      <c r="L163" s="17"/>
      <c r="M163" s="17"/>
      <c r="N163" s="17"/>
      <c r="O163" s="17"/>
      <c r="P163" s="17"/>
      <c r="Q163" s="123"/>
      <c r="R163" s="17"/>
    </row>
    <row r="164" spans="1:18" x14ac:dyDescent="0.25">
      <c r="A164" s="3"/>
      <c r="B164" s="17"/>
      <c r="C164" s="17"/>
      <c r="D164" s="17"/>
      <c r="E164" s="17"/>
      <c r="F164" s="17"/>
      <c r="G164" s="17"/>
      <c r="H164" s="17"/>
      <c r="I164" s="17"/>
      <c r="J164" s="17"/>
      <c r="K164" s="17"/>
      <c r="L164" s="17"/>
      <c r="M164" s="17"/>
      <c r="N164" s="17"/>
      <c r="O164" s="17"/>
      <c r="P164" s="17"/>
      <c r="Q164" s="123"/>
      <c r="R164" s="17"/>
    </row>
    <row r="165" spans="1:18" x14ac:dyDescent="0.25">
      <c r="A165" s="3"/>
      <c r="B165" s="17"/>
      <c r="C165" s="17"/>
      <c r="D165" s="17"/>
      <c r="E165" s="17"/>
      <c r="F165" s="17"/>
      <c r="G165" s="17"/>
      <c r="H165" s="17"/>
      <c r="I165" s="17"/>
      <c r="J165" s="17"/>
      <c r="K165" s="17"/>
      <c r="L165" s="17"/>
      <c r="M165" s="17"/>
      <c r="N165" s="17"/>
      <c r="O165" s="17"/>
      <c r="P165" s="17"/>
      <c r="Q165" s="123"/>
      <c r="R165" s="17"/>
    </row>
    <row r="166" spans="1:18" x14ac:dyDescent="0.25">
      <c r="A166" s="3"/>
      <c r="B166" s="17"/>
      <c r="C166" s="17"/>
      <c r="D166" s="17"/>
      <c r="E166" s="17"/>
      <c r="F166" s="17"/>
      <c r="G166" s="17"/>
      <c r="H166" s="17"/>
      <c r="I166" s="17"/>
      <c r="J166" s="17"/>
      <c r="K166" s="17"/>
      <c r="L166" s="17"/>
      <c r="M166" s="17"/>
      <c r="N166" s="17"/>
      <c r="O166" s="17"/>
      <c r="P166" s="17"/>
      <c r="Q166" s="123"/>
      <c r="R166" s="17"/>
    </row>
    <row r="167" spans="1:18" x14ac:dyDescent="0.25">
      <c r="A167" s="3"/>
      <c r="B167" s="17"/>
      <c r="C167" s="17"/>
      <c r="D167" s="17"/>
      <c r="E167" s="17"/>
      <c r="F167" s="17"/>
      <c r="G167" s="17"/>
      <c r="H167" s="17"/>
      <c r="I167" s="17"/>
      <c r="J167" s="17"/>
      <c r="K167" s="17"/>
      <c r="L167" s="17"/>
      <c r="M167" s="17"/>
      <c r="N167" s="17"/>
      <c r="O167" s="17"/>
      <c r="P167" s="17"/>
      <c r="Q167" s="123"/>
      <c r="R167" s="17"/>
    </row>
    <row r="168" spans="1:18" x14ac:dyDescent="0.25">
      <c r="A168" s="3"/>
      <c r="B168" s="17"/>
      <c r="C168" s="17"/>
      <c r="D168" s="17"/>
      <c r="E168" s="17"/>
      <c r="F168" s="17"/>
      <c r="G168" s="17"/>
      <c r="H168" s="17"/>
      <c r="I168" s="17"/>
      <c r="J168" s="17"/>
      <c r="K168" s="17"/>
      <c r="L168" s="17"/>
      <c r="M168" s="17"/>
      <c r="N168" s="17"/>
      <c r="O168" s="17"/>
      <c r="P168" s="17"/>
      <c r="Q168" s="123"/>
      <c r="R168" s="17"/>
    </row>
    <row r="169" spans="1:18" x14ac:dyDescent="0.25">
      <c r="A169" s="3"/>
      <c r="B169" s="17"/>
      <c r="C169" s="17"/>
      <c r="D169" s="17"/>
      <c r="E169" s="17"/>
      <c r="F169" s="17"/>
      <c r="G169" s="17"/>
      <c r="H169" s="17"/>
      <c r="I169" s="17"/>
      <c r="J169" s="17"/>
      <c r="K169" s="17"/>
      <c r="L169" s="17"/>
      <c r="M169" s="17"/>
      <c r="N169" s="17"/>
      <c r="O169" s="17"/>
      <c r="P169" s="17"/>
      <c r="Q169" s="123"/>
      <c r="R169" s="17"/>
    </row>
    <row r="170" spans="1:18" x14ac:dyDescent="0.25">
      <c r="A170" s="3"/>
      <c r="B170" s="17"/>
      <c r="C170" s="17"/>
      <c r="D170" s="17"/>
      <c r="E170" s="17"/>
      <c r="F170" s="17"/>
      <c r="G170" s="17"/>
      <c r="H170" s="17"/>
      <c r="I170" s="17"/>
      <c r="J170" s="17"/>
      <c r="K170" s="17"/>
      <c r="L170" s="17"/>
      <c r="M170" s="17"/>
      <c r="N170" s="17"/>
      <c r="O170" s="17"/>
      <c r="P170" s="17"/>
      <c r="Q170" s="123"/>
      <c r="R170" s="17"/>
    </row>
    <row r="171" spans="1:18" x14ac:dyDescent="0.25">
      <c r="A171" s="3"/>
      <c r="B171" s="17"/>
      <c r="C171" s="17"/>
      <c r="D171" s="17"/>
      <c r="E171" s="17"/>
      <c r="F171" s="17"/>
      <c r="G171" s="17"/>
      <c r="H171" s="17"/>
      <c r="I171" s="17"/>
      <c r="J171" s="17"/>
      <c r="K171" s="17"/>
      <c r="L171" s="17"/>
      <c r="M171" s="17"/>
      <c r="N171" s="17"/>
      <c r="O171" s="17"/>
      <c r="P171" s="17"/>
      <c r="Q171" s="123"/>
      <c r="R171" s="17"/>
    </row>
    <row r="172" spans="1:18" x14ac:dyDescent="0.25">
      <c r="A172" s="3"/>
      <c r="B172" s="17"/>
      <c r="C172" s="17"/>
      <c r="D172" s="17"/>
      <c r="E172" s="17"/>
      <c r="F172" s="17"/>
      <c r="G172" s="17"/>
      <c r="H172" s="17"/>
      <c r="I172" s="17"/>
      <c r="J172" s="17"/>
      <c r="K172" s="17"/>
      <c r="L172" s="17"/>
      <c r="M172" s="17"/>
      <c r="N172" s="17"/>
      <c r="O172" s="17"/>
      <c r="P172" s="17"/>
      <c r="Q172" s="123"/>
      <c r="R172" s="17"/>
    </row>
    <row r="173" spans="1:18" x14ac:dyDescent="0.25">
      <c r="A173" s="3"/>
      <c r="B173" s="17"/>
      <c r="C173" s="17"/>
      <c r="D173" s="17"/>
      <c r="E173" s="17"/>
      <c r="F173" s="17"/>
      <c r="G173" s="17"/>
      <c r="H173" s="17"/>
      <c r="I173" s="17"/>
      <c r="J173" s="17"/>
      <c r="K173" s="17"/>
      <c r="L173" s="17"/>
      <c r="M173" s="17"/>
      <c r="N173" s="17"/>
      <c r="O173" s="17"/>
      <c r="P173" s="17"/>
      <c r="Q173" s="123"/>
      <c r="R173" s="17"/>
    </row>
    <row r="174" spans="1:18" x14ac:dyDescent="0.25">
      <c r="A174" s="3"/>
      <c r="B174" s="17"/>
      <c r="C174" s="17"/>
      <c r="D174" s="17"/>
      <c r="E174" s="17"/>
      <c r="F174" s="17"/>
      <c r="G174" s="17"/>
      <c r="H174" s="17"/>
      <c r="I174" s="17"/>
      <c r="J174" s="17"/>
      <c r="K174" s="17"/>
      <c r="L174" s="17"/>
      <c r="M174" s="17"/>
      <c r="N174" s="17"/>
      <c r="O174" s="17"/>
      <c r="P174" s="17"/>
      <c r="Q174" s="123"/>
      <c r="R174" s="17"/>
    </row>
    <row r="175" spans="1:18" x14ac:dyDescent="0.25">
      <c r="A175" s="3"/>
      <c r="B175" s="17"/>
      <c r="C175" s="17"/>
      <c r="D175" s="17"/>
      <c r="E175" s="17"/>
      <c r="F175" s="17"/>
      <c r="G175" s="17"/>
      <c r="H175" s="17"/>
      <c r="I175" s="17"/>
      <c r="J175" s="17"/>
      <c r="K175" s="17"/>
      <c r="L175" s="17"/>
      <c r="M175" s="17"/>
      <c r="N175" s="17"/>
      <c r="O175" s="17"/>
      <c r="P175" s="17"/>
      <c r="Q175" s="123"/>
      <c r="R175" s="17"/>
    </row>
    <row r="176" spans="1:18" x14ac:dyDescent="0.25">
      <c r="A176" s="3"/>
      <c r="B176" s="17"/>
      <c r="C176" s="17"/>
      <c r="D176" s="17"/>
      <c r="E176" s="17"/>
      <c r="F176" s="17"/>
      <c r="G176" s="17"/>
      <c r="H176" s="17"/>
      <c r="I176" s="17"/>
      <c r="J176" s="17"/>
      <c r="K176" s="17"/>
      <c r="L176" s="17"/>
      <c r="M176" s="17"/>
      <c r="N176" s="17"/>
      <c r="O176" s="17"/>
      <c r="P176" s="17"/>
      <c r="Q176" s="123"/>
      <c r="R176" s="17"/>
    </row>
    <row r="177" spans="1:18" x14ac:dyDescent="0.25">
      <c r="A177" s="3"/>
      <c r="B177" s="17"/>
      <c r="C177" s="17"/>
      <c r="D177" s="17"/>
      <c r="E177" s="17"/>
      <c r="F177" s="17"/>
      <c r="G177" s="17"/>
      <c r="H177" s="17"/>
      <c r="I177" s="17"/>
      <c r="J177" s="17"/>
      <c r="K177" s="17"/>
      <c r="L177" s="17"/>
      <c r="M177" s="17"/>
      <c r="N177" s="17"/>
      <c r="O177" s="17"/>
      <c r="P177" s="17"/>
      <c r="Q177" s="123"/>
      <c r="R177" s="17"/>
    </row>
    <row r="178" spans="1:18" x14ac:dyDescent="0.25">
      <c r="A178" s="3"/>
      <c r="B178" s="17"/>
      <c r="C178" s="17"/>
      <c r="D178" s="17"/>
      <c r="E178" s="17"/>
      <c r="F178" s="17"/>
      <c r="G178" s="17"/>
      <c r="H178" s="17"/>
      <c r="I178" s="17"/>
      <c r="J178" s="17"/>
      <c r="K178" s="17"/>
      <c r="L178" s="17"/>
      <c r="M178" s="17"/>
      <c r="N178" s="17"/>
      <c r="O178" s="17"/>
      <c r="P178" s="17"/>
      <c r="Q178" s="123"/>
      <c r="R178" s="17"/>
    </row>
    <row r="179" spans="1:18" x14ac:dyDescent="0.25">
      <c r="A179" s="3"/>
      <c r="B179" s="17"/>
      <c r="C179" s="17"/>
      <c r="D179" s="17"/>
      <c r="E179" s="17"/>
      <c r="F179" s="17"/>
      <c r="G179" s="17"/>
      <c r="H179" s="17"/>
      <c r="I179" s="17"/>
      <c r="J179" s="17"/>
      <c r="K179" s="17"/>
      <c r="L179" s="17"/>
      <c r="M179" s="17"/>
      <c r="N179" s="17"/>
      <c r="O179" s="17"/>
      <c r="P179" s="17"/>
      <c r="Q179" s="123"/>
      <c r="R179" s="17"/>
    </row>
    <row r="180" spans="1:18" x14ac:dyDescent="0.25">
      <c r="A180" s="3"/>
      <c r="B180" s="17"/>
      <c r="C180" s="17"/>
      <c r="D180" s="17"/>
      <c r="E180" s="17"/>
      <c r="F180" s="17"/>
      <c r="G180" s="17"/>
      <c r="H180" s="17"/>
      <c r="I180" s="17"/>
      <c r="J180" s="17"/>
      <c r="K180" s="17"/>
      <c r="L180" s="17"/>
      <c r="M180" s="17"/>
      <c r="N180" s="17"/>
      <c r="O180" s="17"/>
      <c r="P180" s="17"/>
      <c r="Q180" s="123"/>
      <c r="R180" s="17"/>
    </row>
    <row r="181" spans="1:18" x14ac:dyDescent="0.25">
      <c r="A181" s="3"/>
      <c r="B181" s="17"/>
      <c r="C181" s="17"/>
      <c r="D181" s="17"/>
      <c r="E181" s="17"/>
      <c r="F181" s="17"/>
      <c r="G181" s="17"/>
      <c r="H181" s="17"/>
      <c r="I181" s="17"/>
      <c r="J181" s="17"/>
      <c r="K181" s="17"/>
      <c r="L181" s="17"/>
      <c r="M181" s="17"/>
      <c r="N181" s="17"/>
      <c r="O181" s="17"/>
      <c r="P181" s="17"/>
      <c r="Q181" s="123"/>
      <c r="R181" s="17"/>
    </row>
    <row r="182" spans="1:18" x14ac:dyDescent="0.25">
      <c r="A182" s="3"/>
      <c r="B182" s="17"/>
      <c r="C182" s="17"/>
      <c r="D182" s="17"/>
      <c r="E182" s="17"/>
      <c r="F182" s="17"/>
      <c r="G182" s="17"/>
      <c r="H182" s="17"/>
      <c r="I182" s="17"/>
      <c r="J182" s="17"/>
      <c r="K182" s="17"/>
      <c r="L182" s="17"/>
      <c r="M182" s="17"/>
      <c r="N182" s="17"/>
      <c r="O182" s="17"/>
      <c r="P182" s="17"/>
      <c r="Q182" s="123"/>
      <c r="R182" s="17"/>
    </row>
    <row r="183" spans="1:18" x14ac:dyDescent="0.25">
      <c r="A183" s="3"/>
      <c r="B183" s="17"/>
      <c r="C183" s="17"/>
      <c r="D183" s="17"/>
      <c r="E183" s="17"/>
      <c r="F183" s="17"/>
      <c r="G183" s="17"/>
      <c r="H183" s="17"/>
      <c r="I183" s="17"/>
      <c r="J183" s="17"/>
      <c r="K183" s="17"/>
      <c r="L183" s="17"/>
      <c r="M183" s="17"/>
      <c r="N183" s="17"/>
      <c r="O183" s="17"/>
      <c r="P183" s="17"/>
      <c r="Q183" s="123"/>
      <c r="R183" s="17"/>
    </row>
    <row r="184" spans="1:18" x14ac:dyDescent="0.25">
      <c r="A184" s="3"/>
      <c r="B184" s="17"/>
      <c r="C184" s="17"/>
      <c r="D184" s="17"/>
      <c r="E184" s="17"/>
      <c r="F184" s="17"/>
      <c r="G184" s="17"/>
      <c r="H184" s="17"/>
      <c r="I184" s="17"/>
      <c r="J184" s="17"/>
      <c r="K184" s="17"/>
      <c r="L184" s="17"/>
      <c r="M184" s="17"/>
      <c r="N184" s="17"/>
      <c r="O184" s="17"/>
      <c r="P184" s="17"/>
      <c r="Q184" s="123"/>
      <c r="R184" s="17"/>
    </row>
    <row r="185" spans="1:18" x14ac:dyDescent="0.25">
      <c r="A185" s="3"/>
      <c r="B185" s="17"/>
      <c r="C185" s="17"/>
      <c r="D185" s="17"/>
      <c r="E185" s="17"/>
      <c r="F185" s="17"/>
      <c r="G185" s="17"/>
      <c r="H185" s="17"/>
      <c r="I185" s="17"/>
      <c r="J185" s="17"/>
      <c r="K185" s="17"/>
      <c r="L185" s="17"/>
      <c r="M185" s="17"/>
      <c r="N185" s="17"/>
      <c r="O185" s="17"/>
      <c r="P185" s="17"/>
      <c r="Q185" s="123"/>
      <c r="R185" s="17"/>
    </row>
    <row r="186" spans="1:18" x14ac:dyDescent="0.25">
      <c r="A186" s="3"/>
      <c r="B186" s="17"/>
      <c r="C186" s="17"/>
      <c r="D186" s="17"/>
      <c r="E186" s="17"/>
      <c r="F186" s="17"/>
      <c r="G186" s="17"/>
      <c r="H186" s="17"/>
      <c r="I186" s="17"/>
      <c r="J186" s="17"/>
      <c r="K186" s="17"/>
      <c r="L186" s="17"/>
      <c r="M186" s="17"/>
      <c r="N186" s="17"/>
      <c r="O186" s="17"/>
      <c r="P186" s="17"/>
      <c r="Q186" s="123"/>
      <c r="R186" s="17"/>
    </row>
    <row r="187" spans="1:18" x14ac:dyDescent="0.25">
      <c r="A187" s="3"/>
      <c r="B187" s="17"/>
      <c r="C187" s="17"/>
      <c r="D187" s="17"/>
      <c r="E187" s="17"/>
      <c r="F187" s="17"/>
      <c r="G187" s="17"/>
      <c r="H187" s="17"/>
      <c r="I187" s="17"/>
      <c r="J187" s="17"/>
      <c r="K187" s="17"/>
      <c r="L187" s="17"/>
      <c r="M187" s="17"/>
      <c r="N187" s="17"/>
      <c r="O187" s="17"/>
      <c r="P187" s="17"/>
      <c r="Q187" s="123"/>
      <c r="R187" s="17"/>
    </row>
    <row r="188" spans="1:18" x14ac:dyDescent="0.25">
      <c r="A188" s="3"/>
      <c r="B188" s="17"/>
      <c r="C188" s="17"/>
      <c r="D188" s="17"/>
      <c r="E188" s="17"/>
      <c r="F188" s="17"/>
      <c r="G188" s="17"/>
      <c r="H188" s="17"/>
      <c r="I188" s="17"/>
      <c r="J188" s="17"/>
      <c r="K188" s="17"/>
      <c r="L188" s="17"/>
      <c r="M188" s="17"/>
      <c r="N188" s="17"/>
      <c r="O188" s="17"/>
      <c r="P188" s="17"/>
      <c r="Q188" s="123"/>
      <c r="R188" s="17"/>
    </row>
    <row r="189" spans="1:18" x14ac:dyDescent="0.25">
      <c r="A189" s="3"/>
      <c r="B189" s="17"/>
      <c r="C189" s="17"/>
      <c r="D189" s="17"/>
      <c r="E189" s="17"/>
      <c r="F189" s="17"/>
      <c r="G189" s="17"/>
      <c r="H189" s="17"/>
      <c r="I189" s="17"/>
      <c r="J189" s="17"/>
      <c r="K189" s="17"/>
      <c r="L189" s="17"/>
      <c r="M189" s="17"/>
      <c r="N189" s="17"/>
      <c r="O189" s="17"/>
      <c r="P189" s="17"/>
      <c r="Q189" s="123"/>
      <c r="R189" s="17"/>
    </row>
    <row r="190" spans="1:18" x14ac:dyDescent="0.25">
      <c r="A190" s="3"/>
      <c r="B190" s="17"/>
      <c r="C190" s="17"/>
      <c r="D190" s="17"/>
      <c r="E190" s="17"/>
      <c r="F190" s="17"/>
      <c r="G190" s="17"/>
      <c r="H190" s="17"/>
      <c r="I190" s="17"/>
      <c r="J190" s="17"/>
      <c r="K190" s="17"/>
      <c r="L190" s="17"/>
      <c r="M190" s="17"/>
      <c r="N190" s="17"/>
      <c r="O190" s="17"/>
      <c r="P190" s="17"/>
      <c r="Q190" s="123"/>
      <c r="R190" s="17"/>
    </row>
    <row r="191" spans="1:18" x14ac:dyDescent="0.25">
      <c r="A191" s="3"/>
      <c r="B191" s="17"/>
      <c r="C191" s="17"/>
      <c r="D191" s="17"/>
      <c r="E191" s="17"/>
      <c r="F191" s="17"/>
      <c r="G191" s="17"/>
      <c r="H191" s="17"/>
      <c r="I191" s="17"/>
      <c r="J191" s="17"/>
      <c r="K191" s="17"/>
      <c r="L191" s="17"/>
      <c r="M191" s="17"/>
      <c r="N191" s="17"/>
      <c r="O191" s="17"/>
      <c r="P191" s="17"/>
      <c r="Q191" s="123"/>
      <c r="R191" s="17"/>
    </row>
    <row r="192" spans="1:18" x14ac:dyDescent="0.25">
      <c r="A192" s="3"/>
      <c r="B192" s="17"/>
      <c r="C192" s="17"/>
      <c r="D192" s="17"/>
      <c r="E192" s="17"/>
      <c r="F192" s="17"/>
      <c r="G192" s="17"/>
      <c r="H192" s="17"/>
      <c r="I192" s="17"/>
      <c r="J192" s="17"/>
      <c r="K192" s="17"/>
      <c r="L192" s="17"/>
      <c r="M192" s="17"/>
      <c r="N192" s="17"/>
      <c r="O192" s="17"/>
      <c r="P192" s="17"/>
      <c r="Q192" s="123"/>
      <c r="R192" s="17"/>
    </row>
    <row r="193" spans="1:18" x14ac:dyDescent="0.25">
      <c r="A193" s="3"/>
      <c r="B193" s="17"/>
      <c r="C193" s="17"/>
      <c r="D193" s="17"/>
      <c r="E193" s="17"/>
      <c r="F193" s="17"/>
      <c r="G193" s="17"/>
      <c r="H193" s="17"/>
      <c r="I193" s="17"/>
      <c r="J193" s="17"/>
      <c r="K193" s="17"/>
      <c r="L193" s="17"/>
      <c r="M193" s="17"/>
      <c r="N193" s="17"/>
      <c r="O193" s="17"/>
      <c r="P193" s="17"/>
      <c r="Q193" s="123"/>
      <c r="R193" s="17"/>
    </row>
    <row r="194" spans="1:18" x14ac:dyDescent="0.25">
      <c r="A194" s="3"/>
      <c r="B194" s="17"/>
      <c r="C194" s="17"/>
      <c r="D194" s="17"/>
      <c r="E194" s="17"/>
      <c r="F194" s="17"/>
      <c r="G194" s="17"/>
      <c r="H194" s="17"/>
      <c r="I194" s="17"/>
      <c r="J194" s="17"/>
      <c r="K194" s="17"/>
      <c r="L194" s="17"/>
      <c r="M194" s="17"/>
      <c r="N194" s="17"/>
      <c r="O194" s="17"/>
      <c r="P194" s="17"/>
      <c r="Q194" s="123"/>
      <c r="R194" s="17"/>
    </row>
    <row r="195" spans="1:18" x14ac:dyDescent="0.25">
      <c r="A195" s="3"/>
      <c r="B195" s="17"/>
      <c r="C195" s="17"/>
      <c r="D195" s="17"/>
      <c r="E195" s="17"/>
      <c r="F195" s="17"/>
      <c r="G195" s="17"/>
      <c r="H195" s="17"/>
      <c r="I195" s="17"/>
      <c r="J195" s="17"/>
      <c r="K195" s="17"/>
      <c r="L195" s="17"/>
      <c r="M195" s="17"/>
      <c r="N195" s="17"/>
      <c r="O195" s="17"/>
      <c r="P195" s="17"/>
      <c r="Q195" s="123"/>
      <c r="R195" s="17"/>
    </row>
    <row r="196" spans="1:18" x14ac:dyDescent="0.25">
      <c r="A196" s="3"/>
      <c r="B196" s="17"/>
      <c r="C196" s="17"/>
      <c r="D196" s="17"/>
      <c r="E196" s="17"/>
      <c r="F196" s="17"/>
      <c r="G196" s="17"/>
      <c r="H196" s="17"/>
      <c r="I196" s="17"/>
      <c r="J196" s="17"/>
      <c r="K196" s="17"/>
      <c r="L196" s="17"/>
      <c r="M196" s="17"/>
      <c r="N196" s="17"/>
      <c r="O196" s="17"/>
      <c r="P196" s="17"/>
      <c r="Q196" s="123"/>
      <c r="R196" s="17"/>
    </row>
    <row r="197" spans="1:18" x14ac:dyDescent="0.25">
      <c r="A197" s="3"/>
      <c r="B197" s="17"/>
      <c r="C197" s="17"/>
      <c r="D197" s="17"/>
      <c r="E197" s="17"/>
      <c r="F197" s="17"/>
      <c r="G197" s="17"/>
      <c r="H197" s="17"/>
      <c r="I197" s="17"/>
      <c r="J197" s="17"/>
      <c r="K197" s="17"/>
      <c r="L197" s="17"/>
      <c r="M197" s="17"/>
      <c r="N197" s="17"/>
      <c r="O197" s="17"/>
      <c r="P197" s="17"/>
      <c r="Q197" s="123"/>
      <c r="R197" s="17"/>
    </row>
    <row r="198" spans="1:18" x14ac:dyDescent="0.25">
      <c r="A198" s="3"/>
      <c r="B198" s="17"/>
      <c r="C198" s="17"/>
      <c r="D198" s="17"/>
      <c r="E198" s="17"/>
      <c r="F198" s="17"/>
      <c r="G198" s="17"/>
      <c r="H198" s="17"/>
      <c r="I198" s="17"/>
      <c r="J198" s="17"/>
      <c r="K198" s="17"/>
      <c r="L198" s="17"/>
      <c r="M198" s="17"/>
      <c r="N198" s="17"/>
      <c r="O198" s="17"/>
      <c r="P198" s="17"/>
      <c r="Q198" s="123"/>
      <c r="R198" s="17"/>
    </row>
    <row r="199" spans="1:18" x14ac:dyDescent="0.25">
      <c r="A199" s="3"/>
      <c r="B199" s="17"/>
      <c r="C199" s="17"/>
      <c r="D199" s="17"/>
      <c r="E199" s="17"/>
      <c r="F199" s="17"/>
      <c r="G199" s="17"/>
      <c r="H199" s="17"/>
      <c r="I199" s="17"/>
      <c r="J199" s="17"/>
      <c r="K199" s="17"/>
      <c r="L199" s="17"/>
      <c r="M199" s="17"/>
      <c r="N199" s="17"/>
      <c r="O199" s="17"/>
      <c r="P199" s="17"/>
      <c r="Q199" s="123"/>
      <c r="R199" s="17"/>
    </row>
    <row r="200" spans="1:18" x14ac:dyDescent="0.25">
      <c r="A200" s="3"/>
      <c r="B200" s="17"/>
      <c r="C200" s="17"/>
      <c r="D200" s="17"/>
      <c r="E200" s="17"/>
      <c r="F200" s="17"/>
      <c r="G200" s="17"/>
      <c r="H200" s="17"/>
      <c r="I200" s="17"/>
      <c r="J200" s="17"/>
      <c r="K200" s="17"/>
      <c r="L200" s="17"/>
      <c r="M200" s="17"/>
      <c r="N200" s="17"/>
      <c r="O200" s="17"/>
      <c r="P200" s="17"/>
      <c r="Q200" s="123"/>
      <c r="R200" s="17"/>
    </row>
    <row r="201" spans="1:18" x14ac:dyDescent="0.25">
      <c r="A201" s="3"/>
      <c r="B201" s="17"/>
      <c r="C201" s="17"/>
      <c r="D201" s="17"/>
      <c r="E201" s="17"/>
      <c r="F201" s="17"/>
      <c r="G201" s="17"/>
      <c r="H201" s="17"/>
      <c r="I201" s="17"/>
      <c r="J201" s="17"/>
      <c r="K201" s="17"/>
      <c r="L201" s="17"/>
      <c r="M201" s="17"/>
      <c r="N201" s="17"/>
      <c r="O201" s="17"/>
      <c r="P201" s="17"/>
      <c r="Q201" s="123"/>
      <c r="R201" s="17"/>
    </row>
    <row r="202" spans="1:18" x14ac:dyDescent="0.25">
      <c r="A202" s="3"/>
      <c r="B202" s="17"/>
      <c r="C202" s="17"/>
      <c r="D202" s="17"/>
      <c r="E202" s="17"/>
      <c r="F202" s="17"/>
      <c r="G202" s="17"/>
      <c r="H202" s="17"/>
      <c r="I202" s="17"/>
      <c r="J202" s="17"/>
      <c r="K202" s="17"/>
      <c r="L202" s="17"/>
      <c r="M202" s="17"/>
      <c r="N202" s="17"/>
      <c r="O202" s="17"/>
      <c r="P202" s="17"/>
      <c r="Q202" s="123"/>
      <c r="R202" s="17"/>
    </row>
    <row r="203" spans="1:18" x14ac:dyDescent="0.25">
      <c r="A203" s="3"/>
      <c r="B203" s="17"/>
      <c r="C203" s="17"/>
      <c r="D203" s="17"/>
      <c r="E203" s="17"/>
      <c r="F203" s="17"/>
      <c r="G203" s="17"/>
      <c r="H203" s="17"/>
      <c r="I203" s="17"/>
      <c r="J203" s="17"/>
      <c r="K203" s="17"/>
      <c r="L203" s="17"/>
      <c r="M203" s="17"/>
      <c r="N203" s="17"/>
      <c r="O203" s="17"/>
      <c r="P203" s="17"/>
      <c r="Q203" s="123"/>
      <c r="R203" s="17"/>
    </row>
    <row r="204" spans="1:18" x14ac:dyDescent="0.25">
      <c r="A204" s="3"/>
      <c r="B204" s="17"/>
      <c r="C204" s="17"/>
      <c r="D204" s="17"/>
      <c r="E204" s="17"/>
      <c r="F204" s="17"/>
      <c r="G204" s="17"/>
      <c r="H204" s="17"/>
      <c r="I204" s="17"/>
      <c r="J204" s="17"/>
      <c r="K204" s="17"/>
      <c r="L204" s="17"/>
      <c r="M204" s="17"/>
      <c r="N204" s="17"/>
      <c r="O204" s="17"/>
      <c r="P204" s="17"/>
      <c r="Q204" s="123"/>
      <c r="R204" s="17"/>
    </row>
    <row r="205" spans="1:18" x14ac:dyDescent="0.25">
      <c r="A205" s="3"/>
      <c r="B205" s="17"/>
      <c r="C205" s="17"/>
      <c r="D205" s="17"/>
      <c r="E205" s="17"/>
      <c r="F205" s="17"/>
      <c r="G205" s="17"/>
      <c r="H205" s="17"/>
      <c r="I205" s="17"/>
      <c r="J205" s="17"/>
      <c r="K205" s="17"/>
      <c r="L205" s="17"/>
      <c r="M205" s="17"/>
      <c r="N205" s="17"/>
      <c r="O205" s="17"/>
      <c r="P205" s="17"/>
      <c r="Q205" s="123"/>
      <c r="R205" s="17"/>
    </row>
    <row r="206" spans="1:18" x14ac:dyDescent="0.25">
      <c r="A206" s="3"/>
      <c r="B206" s="17"/>
      <c r="C206" s="17"/>
      <c r="D206" s="17"/>
      <c r="E206" s="17"/>
      <c r="F206" s="17"/>
      <c r="G206" s="17"/>
      <c r="H206" s="17"/>
      <c r="I206" s="17"/>
      <c r="J206" s="17"/>
      <c r="K206" s="17"/>
      <c r="L206" s="17"/>
      <c r="M206" s="17"/>
      <c r="N206" s="17"/>
      <c r="O206" s="17"/>
      <c r="P206" s="17"/>
      <c r="Q206" s="123"/>
      <c r="R206" s="17"/>
    </row>
    <row r="207" spans="1:18" x14ac:dyDescent="0.25">
      <c r="A207" s="3"/>
      <c r="B207" s="17"/>
      <c r="C207" s="17"/>
      <c r="D207" s="17"/>
      <c r="E207" s="17"/>
      <c r="F207" s="17"/>
      <c r="G207" s="17"/>
      <c r="H207" s="17"/>
      <c r="I207" s="17"/>
      <c r="J207" s="17"/>
      <c r="K207" s="17"/>
      <c r="L207" s="17"/>
      <c r="M207" s="17"/>
      <c r="N207" s="17"/>
      <c r="O207" s="17"/>
      <c r="P207" s="17"/>
      <c r="Q207" s="123"/>
      <c r="R207" s="17"/>
    </row>
    <row r="208" spans="1:18" x14ac:dyDescent="0.25">
      <c r="A208" s="3"/>
      <c r="B208" s="17"/>
      <c r="C208" s="17"/>
      <c r="D208" s="17"/>
      <c r="E208" s="17"/>
      <c r="F208" s="17"/>
      <c r="G208" s="17"/>
      <c r="H208" s="17"/>
      <c r="I208" s="17"/>
      <c r="J208" s="17"/>
      <c r="K208" s="17"/>
      <c r="L208" s="17"/>
      <c r="M208" s="17"/>
      <c r="N208" s="17"/>
      <c r="O208" s="17"/>
      <c r="P208" s="17"/>
      <c r="Q208" s="123"/>
      <c r="R208" s="17"/>
    </row>
    <row r="209" spans="1:18" x14ac:dyDescent="0.25">
      <c r="A209" s="3"/>
      <c r="B209" s="17"/>
      <c r="C209" s="17"/>
      <c r="D209" s="17"/>
      <c r="E209" s="17"/>
      <c r="F209" s="17"/>
      <c r="G209" s="17"/>
      <c r="H209" s="17"/>
      <c r="I209" s="17"/>
      <c r="J209" s="17"/>
      <c r="K209" s="17"/>
      <c r="L209" s="17"/>
      <c r="M209" s="17"/>
      <c r="N209" s="17"/>
      <c r="O209" s="17"/>
      <c r="P209" s="17"/>
      <c r="Q209" s="123"/>
      <c r="R209" s="17"/>
    </row>
    <row r="210" spans="1:18" x14ac:dyDescent="0.25">
      <c r="A210" s="3"/>
      <c r="B210" s="17"/>
      <c r="C210" s="17"/>
      <c r="D210" s="17"/>
      <c r="E210" s="17"/>
      <c r="F210" s="17"/>
      <c r="G210" s="17"/>
      <c r="H210" s="17"/>
      <c r="I210" s="17"/>
      <c r="J210" s="17"/>
      <c r="K210" s="17"/>
      <c r="L210" s="17"/>
      <c r="M210" s="17"/>
      <c r="N210" s="17"/>
      <c r="O210" s="17"/>
      <c r="P210" s="17"/>
      <c r="Q210" s="123"/>
      <c r="R210" s="17"/>
    </row>
    <row r="211" spans="1:18" x14ac:dyDescent="0.25">
      <c r="A211" s="3"/>
      <c r="B211" s="17"/>
      <c r="C211" s="17"/>
      <c r="D211" s="17"/>
      <c r="E211" s="17"/>
      <c r="F211" s="17"/>
      <c r="G211" s="17"/>
      <c r="H211" s="17"/>
      <c r="I211" s="17"/>
      <c r="J211" s="17"/>
      <c r="K211" s="17"/>
      <c r="L211" s="17"/>
      <c r="M211" s="17"/>
      <c r="N211" s="17"/>
      <c r="O211" s="17"/>
      <c r="P211" s="17"/>
      <c r="Q211" s="123"/>
      <c r="R211" s="17"/>
    </row>
    <row r="212" spans="1:18" x14ac:dyDescent="0.25">
      <c r="A212" s="3"/>
      <c r="B212" s="17"/>
      <c r="C212" s="17"/>
      <c r="D212" s="17"/>
      <c r="E212" s="17"/>
      <c r="F212" s="17"/>
      <c r="G212" s="17"/>
      <c r="H212" s="17"/>
      <c r="I212" s="17"/>
      <c r="J212" s="17"/>
      <c r="K212" s="17"/>
      <c r="L212" s="17"/>
      <c r="M212" s="17"/>
      <c r="N212" s="17"/>
      <c r="O212" s="17"/>
      <c r="P212" s="17"/>
      <c r="Q212" s="123"/>
      <c r="R212" s="17"/>
    </row>
    <row r="213" spans="1:18" x14ac:dyDescent="0.25">
      <c r="A213" s="3"/>
      <c r="B213" s="17"/>
      <c r="C213" s="17"/>
      <c r="D213" s="17"/>
      <c r="E213" s="17"/>
      <c r="F213" s="17"/>
      <c r="G213" s="17"/>
      <c r="H213" s="17"/>
      <c r="I213" s="17"/>
      <c r="J213" s="17"/>
      <c r="K213" s="17"/>
      <c r="L213" s="17"/>
      <c r="M213" s="17"/>
      <c r="N213" s="17"/>
      <c r="O213" s="17"/>
      <c r="P213" s="17"/>
      <c r="Q213" s="123"/>
      <c r="R213" s="17"/>
    </row>
    <row r="214" spans="1:18" x14ac:dyDescent="0.25">
      <c r="A214" s="3"/>
      <c r="B214" s="17"/>
      <c r="C214" s="17"/>
      <c r="D214" s="17"/>
      <c r="E214" s="17"/>
      <c r="F214" s="17"/>
      <c r="G214" s="17"/>
      <c r="H214" s="17"/>
      <c r="I214" s="17"/>
      <c r="J214" s="17"/>
      <c r="K214" s="17"/>
      <c r="L214" s="17"/>
      <c r="M214" s="17"/>
      <c r="N214" s="17"/>
      <c r="O214" s="17"/>
      <c r="P214" s="17"/>
      <c r="Q214" s="123"/>
      <c r="R214" s="17"/>
    </row>
    <row r="215" spans="1:18" x14ac:dyDescent="0.25">
      <c r="A215" s="3"/>
      <c r="B215" s="17"/>
      <c r="C215" s="17"/>
      <c r="D215" s="17"/>
      <c r="E215" s="17"/>
      <c r="F215" s="17"/>
      <c r="G215" s="17"/>
      <c r="H215" s="17"/>
      <c r="I215" s="17"/>
      <c r="J215" s="17"/>
      <c r="K215" s="17"/>
      <c r="L215" s="17"/>
      <c r="M215" s="17"/>
      <c r="N215" s="17"/>
      <c r="O215" s="17"/>
      <c r="P215" s="17"/>
      <c r="Q215" s="123"/>
      <c r="R215" s="17"/>
    </row>
    <row r="216" spans="1:18" x14ac:dyDescent="0.25">
      <c r="A216" s="3"/>
      <c r="B216" s="17"/>
      <c r="C216" s="17"/>
      <c r="D216" s="17"/>
      <c r="E216" s="17"/>
      <c r="F216" s="17"/>
      <c r="G216" s="17"/>
      <c r="H216" s="17"/>
      <c r="I216" s="17"/>
      <c r="J216" s="17"/>
      <c r="K216" s="17"/>
      <c r="L216" s="17"/>
      <c r="M216" s="17"/>
      <c r="N216" s="17"/>
      <c r="O216" s="17"/>
      <c r="P216" s="17"/>
      <c r="Q216" s="123"/>
      <c r="R216" s="17"/>
    </row>
    <row r="217" spans="1:18" x14ac:dyDescent="0.25">
      <c r="A217" s="3"/>
      <c r="B217" s="17"/>
      <c r="C217" s="17"/>
      <c r="D217" s="17"/>
      <c r="E217" s="17"/>
      <c r="F217" s="17"/>
      <c r="G217" s="17"/>
      <c r="H217" s="17"/>
      <c r="I217" s="17"/>
      <c r="J217" s="17"/>
      <c r="K217" s="17"/>
      <c r="L217" s="17"/>
      <c r="M217" s="17"/>
      <c r="N217" s="17"/>
      <c r="O217" s="17"/>
      <c r="P217" s="17"/>
      <c r="Q217" s="123"/>
      <c r="R217" s="17"/>
    </row>
    <row r="218" spans="1:18" x14ac:dyDescent="0.25">
      <c r="A218" s="3"/>
      <c r="B218" s="17"/>
      <c r="C218" s="17"/>
      <c r="D218" s="17"/>
      <c r="E218" s="17"/>
      <c r="F218" s="17"/>
      <c r="G218" s="17"/>
      <c r="H218" s="17"/>
      <c r="I218" s="17"/>
      <c r="J218" s="17"/>
      <c r="K218" s="17"/>
      <c r="L218" s="17"/>
      <c r="M218" s="17"/>
      <c r="N218" s="17"/>
      <c r="O218" s="17"/>
      <c r="P218" s="17"/>
      <c r="Q218" s="123"/>
      <c r="R218" s="17"/>
    </row>
    <row r="219" spans="1:18" x14ac:dyDescent="0.25">
      <c r="A219" s="3"/>
      <c r="B219" s="17"/>
      <c r="C219" s="17"/>
      <c r="D219" s="17"/>
      <c r="E219" s="17"/>
      <c r="F219" s="17"/>
      <c r="G219" s="17"/>
      <c r="H219" s="17"/>
      <c r="I219" s="17"/>
      <c r="J219" s="17"/>
      <c r="K219" s="17"/>
      <c r="L219" s="17"/>
      <c r="M219" s="17"/>
      <c r="N219" s="17"/>
      <c r="O219" s="17"/>
      <c r="P219" s="17"/>
      <c r="Q219" s="123"/>
      <c r="R219" s="17"/>
    </row>
    <row r="220" spans="1:18" x14ac:dyDescent="0.25">
      <c r="A220" s="3"/>
      <c r="B220" s="17"/>
      <c r="C220" s="17"/>
      <c r="D220" s="17"/>
      <c r="E220" s="17"/>
      <c r="F220" s="17"/>
      <c r="G220" s="17"/>
      <c r="H220" s="17"/>
      <c r="I220" s="17"/>
      <c r="J220" s="17"/>
      <c r="K220" s="17"/>
      <c r="L220" s="17"/>
      <c r="M220" s="17"/>
      <c r="N220" s="17"/>
      <c r="O220" s="17"/>
      <c r="P220" s="17"/>
      <c r="Q220" s="123"/>
      <c r="R220" s="17"/>
    </row>
    <row r="221" spans="1:18" x14ac:dyDescent="0.25">
      <c r="A221" s="3"/>
      <c r="B221" s="17"/>
      <c r="C221" s="17"/>
      <c r="D221" s="17"/>
      <c r="E221" s="17"/>
      <c r="F221" s="17"/>
      <c r="G221" s="17"/>
      <c r="H221" s="17"/>
      <c r="I221" s="17"/>
      <c r="J221" s="17"/>
      <c r="K221" s="17"/>
      <c r="L221" s="17"/>
      <c r="M221" s="17"/>
      <c r="N221" s="17"/>
      <c r="O221" s="17"/>
      <c r="P221" s="17"/>
      <c r="Q221" s="123"/>
      <c r="R221" s="17"/>
    </row>
    <row r="222" spans="1:18" x14ac:dyDescent="0.25">
      <c r="A222" s="3"/>
      <c r="B222" s="17"/>
      <c r="C222" s="17"/>
      <c r="D222" s="17"/>
      <c r="E222" s="17"/>
      <c r="F222" s="17"/>
      <c r="G222" s="17"/>
      <c r="H222" s="17"/>
      <c r="I222" s="17"/>
      <c r="J222" s="17"/>
      <c r="K222" s="17"/>
      <c r="L222" s="17"/>
      <c r="M222" s="17"/>
      <c r="N222" s="17"/>
      <c r="O222" s="17"/>
      <c r="P222" s="17"/>
      <c r="Q222" s="123"/>
      <c r="R222" s="17"/>
    </row>
    <row r="223" spans="1:18" x14ac:dyDescent="0.25">
      <c r="A223" s="3"/>
      <c r="B223" s="17"/>
      <c r="C223" s="17"/>
      <c r="D223" s="17"/>
      <c r="E223" s="17"/>
      <c r="F223" s="17"/>
      <c r="G223" s="17"/>
      <c r="H223" s="17"/>
      <c r="I223" s="17"/>
      <c r="J223" s="17"/>
      <c r="K223" s="17"/>
      <c r="L223" s="17"/>
      <c r="M223" s="17"/>
      <c r="N223" s="17"/>
      <c r="O223" s="17"/>
      <c r="P223" s="17"/>
      <c r="Q223" s="123"/>
      <c r="R223" s="17"/>
    </row>
    <row r="224" spans="1:18" x14ac:dyDescent="0.25">
      <c r="A224" s="3"/>
      <c r="B224" s="17"/>
      <c r="C224" s="17"/>
      <c r="D224" s="17"/>
      <c r="E224" s="17"/>
      <c r="F224" s="17"/>
      <c r="G224" s="17"/>
      <c r="H224" s="17"/>
      <c r="I224" s="17"/>
      <c r="J224" s="17"/>
      <c r="K224" s="17"/>
      <c r="L224" s="17"/>
      <c r="M224" s="17"/>
      <c r="N224" s="17"/>
      <c r="O224" s="17"/>
      <c r="P224" s="17"/>
      <c r="Q224" s="123"/>
      <c r="R224" s="17"/>
    </row>
    <row r="225" spans="1:18" x14ac:dyDescent="0.25">
      <c r="A225" s="3"/>
      <c r="B225" s="17"/>
      <c r="C225" s="17"/>
      <c r="D225" s="17"/>
      <c r="E225" s="17"/>
      <c r="F225" s="17"/>
      <c r="G225" s="17"/>
      <c r="H225" s="17"/>
      <c r="I225" s="17"/>
      <c r="J225" s="17"/>
      <c r="K225" s="17"/>
      <c r="L225" s="17"/>
      <c r="M225" s="17"/>
      <c r="N225" s="17"/>
      <c r="O225" s="17"/>
      <c r="P225" s="17"/>
      <c r="Q225" s="123"/>
      <c r="R225" s="17"/>
    </row>
    <row r="226" spans="1:18" x14ac:dyDescent="0.25">
      <c r="A226" s="3"/>
      <c r="B226" s="17"/>
      <c r="C226" s="17"/>
      <c r="D226" s="17"/>
      <c r="E226" s="17"/>
      <c r="F226" s="17"/>
      <c r="G226" s="17"/>
      <c r="H226" s="17"/>
      <c r="I226" s="17"/>
      <c r="J226" s="17"/>
      <c r="K226" s="17"/>
      <c r="L226" s="17"/>
      <c r="M226" s="17"/>
      <c r="N226" s="17"/>
      <c r="O226" s="17"/>
      <c r="P226" s="17"/>
      <c r="Q226" s="123"/>
      <c r="R226" s="17"/>
    </row>
    <row r="227" spans="1:18" x14ac:dyDescent="0.25">
      <c r="A227" s="3"/>
      <c r="B227" s="17"/>
      <c r="C227" s="17"/>
      <c r="D227" s="17"/>
      <c r="E227" s="17"/>
      <c r="F227" s="17"/>
      <c r="G227" s="17"/>
      <c r="H227" s="17"/>
      <c r="I227" s="17"/>
      <c r="J227" s="17"/>
      <c r="K227" s="17"/>
      <c r="L227" s="17"/>
      <c r="M227" s="17"/>
      <c r="N227" s="17"/>
      <c r="O227" s="17"/>
      <c r="P227" s="17"/>
      <c r="Q227" s="123"/>
      <c r="R227" s="17"/>
    </row>
    <row r="228" spans="1:18" x14ac:dyDescent="0.25">
      <c r="A228" s="3"/>
      <c r="B228" s="17"/>
      <c r="C228" s="17"/>
      <c r="D228" s="17"/>
      <c r="E228" s="17"/>
      <c r="F228" s="17"/>
      <c r="G228" s="17"/>
      <c r="H228" s="17"/>
      <c r="I228" s="17"/>
      <c r="J228" s="17"/>
      <c r="K228" s="17"/>
      <c r="L228" s="17"/>
      <c r="M228" s="17"/>
      <c r="N228" s="17"/>
      <c r="O228" s="17"/>
      <c r="P228" s="17"/>
      <c r="Q228" s="123"/>
      <c r="R228" s="17"/>
    </row>
    <row r="229" spans="1:18" x14ac:dyDescent="0.25">
      <c r="A229" s="3"/>
      <c r="B229" s="17"/>
      <c r="C229" s="17"/>
      <c r="D229" s="17"/>
      <c r="E229" s="17"/>
      <c r="F229" s="17"/>
      <c r="G229" s="17"/>
      <c r="H229" s="17"/>
      <c r="I229" s="17"/>
      <c r="J229" s="17"/>
      <c r="K229" s="17"/>
      <c r="L229" s="17"/>
      <c r="M229" s="17"/>
      <c r="N229" s="17"/>
      <c r="O229" s="17"/>
      <c r="P229" s="17"/>
      <c r="Q229" s="123"/>
      <c r="R229" s="17"/>
    </row>
    <row r="230" spans="1:18" x14ac:dyDescent="0.25">
      <c r="A230" s="3"/>
      <c r="B230" s="17"/>
      <c r="C230" s="17"/>
      <c r="D230" s="17"/>
      <c r="E230" s="17"/>
      <c r="F230" s="17"/>
      <c r="G230" s="17"/>
      <c r="H230" s="17"/>
      <c r="I230" s="17"/>
      <c r="J230" s="17"/>
      <c r="K230" s="17"/>
      <c r="L230" s="17"/>
      <c r="M230" s="17"/>
      <c r="N230" s="17"/>
      <c r="O230" s="17"/>
      <c r="P230" s="17"/>
      <c r="Q230" s="123"/>
      <c r="R230" s="17"/>
    </row>
    <row r="231" spans="1:18" x14ac:dyDescent="0.25">
      <c r="A231" s="3"/>
      <c r="B231" s="17"/>
      <c r="C231" s="17"/>
      <c r="D231" s="17"/>
      <c r="E231" s="17"/>
      <c r="F231" s="17"/>
      <c r="G231" s="17"/>
      <c r="H231" s="17"/>
      <c r="I231" s="17"/>
      <c r="J231" s="17"/>
      <c r="K231" s="17"/>
      <c r="L231" s="17"/>
      <c r="M231" s="17"/>
      <c r="N231" s="17"/>
      <c r="O231" s="17"/>
      <c r="P231" s="17"/>
      <c r="Q231" s="123"/>
      <c r="R231" s="17"/>
    </row>
    <row r="232" spans="1:18" x14ac:dyDescent="0.25">
      <c r="A232" s="3"/>
      <c r="B232" s="17"/>
      <c r="C232" s="17"/>
      <c r="D232" s="17"/>
      <c r="E232" s="17"/>
      <c r="F232" s="17"/>
      <c r="G232" s="17"/>
      <c r="H232" s="17"/>
      <c r="I232" s="17"/>
      <c r="J232" s="17"/>
      <c r="K232" s="17"/>
      <c r="L232" s="17"/>
      <c r="M232" s="17"/>
      <c r="N232" s="17"/>
      <c r="O232" s="17"/>
      <c r="P232" s="17"/>
      <c r="Q232" s="123"/>
      <c r="R232" s="17"/>
    </row>
    <row r="233" spans="1:18" x14ac:dyDescent="0.25">
      <c r="A233" s="3"/>
      <c r="B233" s="17"/>
      <c r="C233" s="17"/>
      <c r="D233" s="17"/>
      <c r="E233" s="17"/>
      <c r="F233" s="17"/>
      <c r="G233" s="17"/>
      <c r="H233" s="17"/>
      <c r="I233" s="17"/>
      <c r="J233" s="17"/>
      <c r="K233" s="17"/>
      <c r="L233" s="17"/>
      <c r="M233" s="17"/>
      <c r="N233" s="17"/>
      <c r="O233" s="17"/>
      <c r="P233" s="17"/>
      <c r="Q233" s="123"/>
      <c r="R233" s="17"/>
    </row>
    <row r="234" spans="1:18" x14ac:dyDescent="0.25">
      <c r="A234" s="3"/>
      <c r="B234" s="17"/>
      <c r="C234" s="17"/>
      <c r="D234" s="17"/>
      <c r="E234" s="17"/>
      <c r="F234" s="17"/>
      <c r="G234" s="17"/>
      <c r="H234" s="17"/>
      <c r="I234" s="17"/>
      <c r="J234" s="17"/>
      <c r="K234" s="17"/>
      <c r="L234" s="17"/>
      <c r="M234" s="17"/>
      <c r="N234" s="17"/>
      <c r="O234" s="17"/>
      <c r="P234" s="17"/>
      <c r="Q234" s="123"/>
      <c r="R234" s="17"/>
    </row>
    <row r="235" spans="1:18" x14ac:dyDescent="0.25">
      <c r="A235" s="3"/>
      <c r="B235" s="17"/>
      <c r="C235" s="17"/>
      <c r="D235" s="17"/>
      <c r="E235" s="17"/>
      <c r="F235" s="17"/>
      <c r="G235" s="17"/>
      <c r="H235" s="17"/>
      <c r="I235" s="17"/>
      <c r="J235" s="17"/>
      <c r="K235" s="17"/>
      <c r="L235" s="17"/>
      <c r="M235" s="17"/>
      <c r="N235" s="17"/>
      <c r="O235" s="17"/>
      <c r="P235" s="17"/>
      <c r="Q235" s="123"/>
      <c r="R235" s="17"/>
    </row>
    <row r="236" spans="1:18" x14ac:dyDescent="0.25">
      <c r="A236" s="3"/>
      <c r="B236" s="17"/>
      <c r="C236" s="17"/>
      <c r="D236" s="17"/>
      <c r="E236" s="17"/>
      <c r="F236" s="17"/>
      <c r="G236" s="17"/>
      <c r="H236" s="17"/>
      <c r="I236" s="17"/>
      <c r="J236" s="17"/>
      <c r="K236" s="17"/>
      <c r="L236" s="17"/>
      <c r="M236" s="17"/>
      <c r="N236" s="17"/>
      <c r="O236" s="17"/>
      <c r="P236" s="17"/>
      <c r="Q236" s="123"/>
      <c r="R236" s="17"/>
    </row>
    <row r="237" spans="1:18" x14ac:dyDescent="0.25">
      <c r="A237" s="3"/>
      <c r="B237" s="17"/>
      <c r="C237" s="17"/>
      <c r="D237" s="17"/>
      <c r="E237" s="17"/>
      <c r="F237" s="17"/>
      <c r="G237" s="17"/>
      <c r="H237" s="17"/>
      <c r="I237" s="17"/>
      <c r="J237" s="17"/>
      <c r="K237" s="17"/>
      <c r="L237" s="17"/>
      <c r="M237" s="17"/>
      <c r="N237" s="17"/>
      <c r="O237" s="17"/>
      <c r="P237" s="17"/>
      <c r="Q237" s="123"/>
      <c r="R237" s="17"/>
    </row>
    <row r="238" spans="1:18" x14ac:dyDescent="0.25">
      <c r="A238" s="3"/>
      <c r="B238" s="17"/>
      <c r="C238" s="17"/>
      <c r="D238" s="17"/>
      <c r="E238" s="17"/>
      <c r="F238" s="17"/>
      <c r="G238" s="17"/>
      <c r="H238" s="17"/>
      <c r="I238" s="17"/>
      <c r="J238" s="17"/>
      <c r="K238" s="17"/>
      <c r="L238" s="17"/>
      <c r="M238" s="17"/>
      <c r="N238" s="17"/>
      <c r="O238" s="17"/>
      <c r="P238" s="17"/>
      <c r="Q238" s="123"/>
      <c r="R238" s="17"/>
    </row>
    <row r="239" spans="1:18" x14ac:dyDescent="0.25">
      <c r="A239" s="3"/>
      <c r="B239" s="17"/>
      <c r="C239" s="17"/>
      <c r="D239" s="17"/>
      <c r="E239" s="17"/>
      <c r="F239" s="17"/>
      <c r="G239" s="17"/>
      <c r="H239" s="17"/>
      <c r="I239" s="17"/>
      <c r="J239" s="17"/>
      <c r="K239" s="17"/>
      <c r="L239" s="17"/>
      <c r="M239" s="17"/>
      <c r="N239" s="17"/>
      <c r="O239" s="17"/>
      <c r="P239" s="17"/>
      <c r="Q239" s="123"/>
      <c r="R239" s="17"/>
    </row>
    <row r="240" spans="1:18" x14ac:dyDescent="0.25">
      <c r="A240" s="3"/>
      <c r="B240" s="17"/>
      <c r="C240" s="17"/>
      <c r="D240" s="17"/>
      <c r="E240" s="17"/>
      <c r="F240" s="17"/>
      <c r="G240" s="17"/>
      <c r="H240" s="17"/>
      <c r="I240" s="17"/>
      <c r="J240" s="17"/>
      <c r="K240" s="17"/>
      <c r="L240" s="17"/>
      <c r="M240" s="17"/>
      <c r="N240" s="17"/>
      <c r="O240" s="17"/>
      <c r="P240" s="17"/>
      <c r="Q240" s="123"/>
      <c r="R240" s="17"/>
    </row>
    <row r="241" spans="1:18" x14ac:dyDescent="0.25">
      <c r="A241" s="3"/>
      <c r="B241" s="17"/>
      <c r="C241" s="17"/>
      <c r="D241" s="17"/>
      <c r="E241" s="17"/>
      <c r="F241" s="17"/>
      <c r="G241" s="17"/>
      <c r="H241" s="17"/>
      <c r="I241" s="17"/>
      <c r="J241" s="17"/>
      <c r="K241" s="17"/>
      <c r="L241" s="17"/>
      <c r="M241" s="17"/>
      <c r="N241" s="17"/>
      <c r="O241" s="17"/>
      <c r="P241" s="17"/>
      <c r="Q241" s="123"/>
      <c r="R241" s="17"/>
    </row>
    <row r="242" spans="1:18" x14ac:dyDescent="0.25">
      <c r="A242" s="3"/>
      <c r="B242" s="17"/>
      <c r="C242" s="17"/>
      <c r="D242" s="17"/>
      <c r="E242" s="17"/>
      <c r="F242" s="17"/>
      <c r="G242" s="17"/>
      <c r="H242" s="17"/>
      <c r="I242" s="17"/>
      <c r="J242" s="17"/>
      <c r="K242" s="17"/>
      <c r="L242" s="17"/>
      <c r="M242" s="17"/>
      <c r="N242" s="17"/>
      <c r="O242" s="17"/>
      <c r="P242" s="17"/>
      <c r="Q242" s="123"/>
      <c r="R242" s="17"/>
    </row>
    <row r="243" spans="1:18" x14ac:dyDescent="0.25">
      <c r="A243" s="3"/>
      <c r="B243" s="17"/>
      <c r="C243" s="17"/>
      <c r="D243" s="17"/>
      <c r="E243" s="17"/>
      <c r="F243" s="17"/>
      <c r="G243" s="17"/>
      <c r="H243" s="17"/>
      <c r="I243" s="17"/>
      <c r="J243" s="17"/>
      <c r="K243" s="17"/>
      <c r="L243" s="17"/>
      <c r="M243" s="17"/>
      <c r="N243" s="17"/>
      <c r="O243" s="17"/>
      <c r="P243" s="17"/>
      <c r="Q243" s="123"/>
      <c r="R243" s="17"/>
    </row>
    <row r="244" spans="1:18" x14ac:dyDescent="0.25">
      <c r="A244" s="3"/>
      <c r="B244" s="17"/>
      <c r="C244" s="17"/>
      <c r="D244" s="17"/>
      <c r="E244" s="17"/>
      <c r="F244" s="17"/>
      <c r="G244" s="17"/>
      <c r="H244" s="17"/>
      <c r="I244" s="17"/>
      <c r="J244" s="17"/>
      <c r="K244" s="17"/>
      <c r="L244" s="17"/>
      <c r="M244" s="17"/>
      <c r="N244" s="17"/>
      <c r="O244" s="17"/>
      <c r="P244" s="17"/>
      <c r="Q244" s="123"/>
      <c r="R244" s="17"/>
    </row>
    <row r="245" spans="1:18" x14ac:dyDescent="0.25">
      <c r="A245" s="3"/>
      <c r="B245" s="17"/>
      <c r="C245" s="17"/>
      <c r="D245" s="17"/>
      <c r="E245" s="17"/>
      <c r="F245" s="17"/>
      <c r="G245" s="17"/>
      <c r="H245" s="17"/>
      <c r="I245" s="17"/>
      <c r="J245" s="17"/>
      <c r="K245" s="17"/>
      <c r="L245" s="17"/>
      <c r="M245" s="17"/>
      <c r="N245" s="17"/>
      <c r="O245" s="17"/>
      <c r="P245" s="17"/>
      <c r="Q245" s="123"/>
      <c r="R245" s="17"/>
    </row>
    <row r="246" spans="1:18" x14ac:dyDescent="0.25">
      <c r="A246" s="3"/>
      <c r="B246" s="17"/>
      <c r="C246" s="17"/>
      <c r="D246" s="17"/>
      <c r="E246" s="17"/>
      <c r="F246" s="17"/>
      <c r="G246" s="17"/>
      <c r="H246" s="17"/>
      <c r="I246" s="17"/>
      <c r="J246" s="17"/>
      <c r="K246" s="17"/>
      <c r="L246" s="17"/>
      <c r="M246" s="17"/>
      <c r="N246" s="17"/>
      <c r="O246" s="17"/>
      <c r="P246" s="17"/>
      <c r="Q246" s="123"/>
      <c r="R246" s="17"/>
    </row>
    <row r="247" spans="1:18" x14ac:dyDescent="0.25">
      <c r="A247" s="3"/>
      <c r="B247" s="17"/>
      <c r="C247" s="17"/>
      <c r="D247" s="17"/>
      <c r="E247" s="17"/>
      <c r="F247" s="17"/>
      <c r="G247" s="17"/>
      <c r="H247" s="17"/>
      <c r="I247" s="17"/>
      <c r="J247" s="17"/>
      <c r="K247" s="17"/>
      <c r="L247" s="17"/>
      <c r="M247" s="17"/>
      <c r="N247" s="17"/>
      <c r="O247" s="17"/>
      <c r="P247" s="17"/>
      <c r="Q247" s="123"/>
      <c r="R247" s="17"/>
    </row>
    <row r="248" spans="1:18" x14ac:dyDescent="0.25">
      <c r="A248" s="3"/>
      <c r="B248" s="17"/>
      <c r="C248" s="17"/>
      <c r="D248" s="17"/>
      <c r="E248" s="17"/>
      <c r="F248" s="17"/>
      <c r="G248" s="17"/>
      <c r="H248" s="17"/>
      <c r="I248" s="17"/>
      <c r="J248" s="17"/>
      <c r="K248" s="17"/>
      <c r="L248" s="17"/>
      <c r="M248" s="17"/>
      <c r="N248" s="17"/>
      <c r="O248" s="17"/>
      <c r="P248" s="17"/>
      <c r="Q248" s="123"/>
      <c r="R248" s="17"/>
    </row>
    <row r="249" spans="1:18" x14ac:dyDescent="0.25">
      <c r="A249" s="3"/>
      <c r="B249" s="17"/>
      <c r="C249" s="17"/>
      <c r="D249" s="17"/>
      <c r="E249" s="17"/>
      <c r="F249" s="17"/>
      <c r="G249" s="17"/>
      <c r="H249" s="17"/>
      <c r="I249" s="17"/>
      <c r="J249" s="17"/>
      <c r="K249" s="17"/>
      <c r="L249" s="17"/>
      <c r="M249" s="17"/>
      <c r="N249" s="17"/>
      <c r="O249" s="17"/>
      <c r="P249" s="17"/>
      <c r="Q249" s="123"/>
      <c r="R249" s="17"/>
    </row>
    <row r="250" spans="1:18" x14ac:dyDescent="0.25">
      <c r="A250" s="3"/>
      <c r="B250" s="17"/>
      <c r="C250" s="17"/>
      <c r="D250" s="17"/>
      <c r="E250" s="17"/>
      <c r="F250" s="17"/>
      <c r="G250" s="17"/>
      <c r="H250" s="17"/>
      <c r="I250" s="17"/>
      <c r="J250" s="17"/>
      <c r="K250" s="17"/>
      <c r="L250" s="17"/>
      <c r="M250" s="17"/>
      <c r="N250" s="17"/>
      <c r="O250" s="17"/>
      <c r="P250" s="17"/>
      <c r="Q250" s="123"/>
      <c r="R250" s="17"/>
    </row>
    <row r="251" spans="1:18" x14ac:dyDescent="0.25">
      <c r="A251" s="3"/>
      <c r="B251" s="17"/>
      <c r="C251" s="17"/>
      <c r="D251" s="17"/>
      <c r="E251" s="17"/>
      <c r="F251" s="17"/>
      <c r="G251" s="17"/>
      <c r="H251" s="17"/>
      <c r="I251" s="17"/>
      <c r="J251" s="17"/>
      <c r="K251" s="17"/>
      <c r="L251" s="17"/>
      <c r="M251" s="17"/>
      <c r="N251" s="17"/>
      <c r="O251" s="17"/>
      <c r="P251" s="17"/>
      <c r="Q251" s="123"/>
      <c r="R251" s="17"/>
    </row>
    <row r="252" spans="1:18" x14ac:dyDescent="0.25">
      <c r="A252" s="3"/>
      <c r="B252" s="17"/>
      <c r="C252" s="17"/>
      <c r="D252" s="17"/>
      <c r="E252" s="17"/>
      <c r="F252" s="17"/>
      <c r="G252" s="17"/>
      <c r="H252" s="17"/>
      <c r="I252" s="17"/>
      <c r="J252" s="17"/>
      <c r="K252" s="17"/>
      <c r="L252" s="17"/>
      <c r="M252" s="17"/>
      <c r="N252" s="17"/>
      <c r="O252" s="17"/>
      <c r="P252" s="17"/>
      <c r="Q252" s="123"/>
      <c r="R252" s="17"/>
    </row>
    <row r="253" spans="1:18" x14ac:dyDescent="0.25">
      <c r="A253" s="3"/>
      <c r="B253" s="17"/>
      <c r="C253" s="17"/>
      <c r="D253" s="17"/>
      <c r="E253" s="17"/>
      <c r="F253" s="17"/>
      <c r="G253" s="17"/>
      <c r="H253" s="17"/>
      <c r="I253" s="17"/>
      <c r="J253" s="17"/>
      <c r="K253" s="17"/>
      <c r="L253" s="17"/>
      <c r="M253" s="17"/>
      <c r="N253" s="17"/>
      <c r="O253" s="17"/>
      <c r="P253" s="17"/>
      <c r="Q253" s="123"/>
      <c r="R253" s="17"/>
    </row>
    <row r="254" spans="1:18" x14ac:dyDescent="0.25">
      <c r="A254" s="3"/>
      <c r="B254" s="17"/>
      <c r="C254" s="17"/>
      <c r="D254" s="17"/>
      <c r="E254" s="17"/>
      <c r="F254" s="17"/>
      <c r="G254" s="17"/>
      <c r="H254" s="17"/>
      <c r="I254" s="17"/>
      <c r="J254" s="17"/>
      <c r="K254" s="17"/>
      <c r="L254" s="17"/>
      <c r="M254" s="17"/>
      <c r="N254" s="17"/>
      <c r="O254" s="17"/>
      <c r="P254" s="17"/>
      <c r="Q254" s="123"/>
      <c r="R254" s="17"/>
    </row>
    <row r="255" spans="1:18" x14ac:dyDescent="0.25">
      <c r="A255" s="3"/>
      <c r="B255" s="17"/>
      <c r="C255" s="17"/>
      <c r="D255" s="17"/>
      <c r="E255" s="17"/>
      <c r="F255" s="17"/>
      <c r="G255" s="17"/>
      <c r="H255" s="17"/>
      <c r="I255" s="17"/>
      <c r="J255" s="17"/>
      <c r="K255" s="17"/>
      <c r="L255" s="17"/>
      <c r="M255" s="17"/>
      <c r="N255" s="17"/>
      <c r="O255" s="17"/>
      <c r="P255" s="17"/>
      <c r="Q255" s="123"/>
      <c r="R255" s="17"/>
    </row>
    <row r="256" spans="1:18" x14ac:dyDescent="0.25">
      <c r="A256" s="3"/>
      <c r="B256" s="17"/>
      <c r="C256" s="17"/>
      <c r="D256" s="17"/>
      <c r="E256" s="17"/>
      <c r="F256" s="17"/>
      <c r="G256" s="17"/>
      <c r="H256" s="17"/>
      <c r="I256" s="17"/>
      <c r="J256" s="17"/>
      <c r="K256" s="17"/>
      <c r="L256" s="17"/>
      <c r="M256" s="17"/>
      <c r="N256" s="17"/>
      <c r="O256" s="17"/>
      <c r="P256" s="17"/>
      <c r="Q256" s="123"/>
      <c r="R256" s="17"/>
    </row>
    <row r="257" spans="1:18" x14ac:dyDescent="0.25">
      <c r="A257" s="3"/>
      <c r="B257" s="17"/>
      <c r="C257" s="17"/>
      <c r="D257" s="17"/>
      <c r="E257" s="17"/>
      <c r="F257" s="17"/>
      <c r="G257" s="17"/>
      <c r="H257" s="17"/>
      <c r="I257" s="17"/>
      <c r="J257" s="17"/>
      <c r="K257" s="17"/>
      <c r="L257" s="17"/>
      <c r="M257" s="17"/>
      <c r="N257" s="17"/>
      <c r="O257" s="17"/>
      <c r="P257" s="17"/>
      <c r="Q257" s="123"/>
      <c r="R257" s="17"/>
    </row>
    <row r="258" spans="1:18" x14ac:dyDescent="0.25">
      <c r="A258" s="3"/>
      <c r="B258" s="17"/>
      <c r="C258" s="17"/>
      <c r="D258" s="17"/>
      <c r="E258" s="17"/>
      <c r="F258" s="17"/>
      <c r="G258" s="17"/>
      <c r="H258" s="17"/>
      <c r="I258" s="17"/>
      <c r="J258" s="17"/>
      <c r="K258" s="17"/>
      <c r="L258" s="17"/>
      <c r="M258" s="17"/>
      <c r="N258" s="17"/>
      <c r="O258" s="17"/>
      <c r="P258" s="17"/>
      <c r="Q258" s="123"/>
      <c r="R258" s="17"/>
    </row>
    <row r="259" spans="1:18" x14ac:dyDescent="0.25">
      <c r="A259" s="3"/>
      <c r="B259" s="17"/>
      <c r="C259" s="17"/>
      <c r="D259" s="17"/>
      <c r="E259" s="17"/>
      <c r="F259" s="17"/>
      <c r="G259" s="17"/>
      <c r="H259" s="17"/>
      <c r="I259" s="17"/>
      <c r="J259" s="17"/>
      <c r="K259" s="17"/>
      <c r="L259" s="17"/>
      <c r="M259" s="17"/>
      <c r="N259" s="17"/>
      <c r="O259" s="17"/>
      <c r="P259" s="17"/>
      <c r="Q259" s="123"/>
      <c r="R259" s="17"/>
    </row>
    <row r="260" spans="1:18" x14ac:dyDescent="0.25">
      <c r="A260" s="3"/>
      <c r="B260" s="17"/>
      <c r="C260" s="17"/>
      <c r="D260" s="17"/>
      <c r="E260" s="17"/>
      <c r="F260" s="17"/>
      <c r="G260" s="17"/>
      <c r="H260" s="17"/>
      <c r="I260" s="17"/>
      <c r="J260" s="17"/>
      <c r="K260" s="17"/>
      <c r="L260" s="17"/>
      <c r="M260" s="17"/>
      <c r="N260" s="17"/>
      <c r="O260" s="17"/>
      <c r="P260" s="17"/>
      <c r="Q260" s="123"/>
      <c r="R260" s="17"/>
    </row>
    <row r="261" spans="1:18" x14ac:dyDescent="0.25">
      <c r="A261" s="3"/>
      <c r="B261" s="17"/>
      <c r="C261" s="17"/>
      <c r="D261" s="17"/>
      <c r="E261" s="17"/>
      <c r="F261" s="17"/>
      <c r="G261" s="17"/>
      <c r="H261" s="17"/>
      <c r="I261" s="17"/>
      <c r="J261" s="17"/>
      <c r="K261" s="17"/>
      <c r="L261" s="17"/>
      <c r="M261" s="17"/>
      <c r="N261" s="17"/>
      <c r="O261" s="17"/>
      <c r="P261" s="17"/>
      <c r="Q261" s="123"/>
      <c r="R261" s="17"/>
    </row>
    <row r="262" spans="1:18" x14ac:dyDescent="0.25">
      <c r="A262" s="3"/>
      <c r="B262" s="17"/>
      <c r="C262" s="17"/>
      <c r="D262" s="17"/>
      <c r="E262" s="17"/>
      <c r="F262" s="17"/>
      <c r="G262" s="17"/>
      <c r="H262" s="17"/>
      <c r="I262" s="17"/>
      <c r="J262" s="17"/>
      <c r="K262" s="17"/>
      <c r="L262" s="17"/>
      <c r="M262" s="17"/>
      <c r="N262" s="17"/>
      <c r="O262" s="17"/>
      <c r="P262" s="17"/>
      <c r="Q262" s="123"/>
      <c r="R262" s="17"/>
    </row>
    <row r="263" spans="1:18" x14ac:dyDescent="0.25">
      <c r="A263" s="3"/>
      <c r="B263" s="17"/>
      <c r="C263" s="17"/>
      <c r="D263" s="17"/>
      <c r="E263" s="17"/>
      <c r="F263" s="17"/>
      <c r="G263" s="17"/>
      <c r="H263" s="17"/>
      <c r="I263" s="17"/>
      <c r="J263" s="17"/>
      <c r="K263" s="17"/>
      <c r="L263" s="17"/>
      <c r="M263" s="17"/>
      <c r="N263" s="17"/>
      <c r="O263" s="17"/>
      <c r="P263" s="17"/>
      <c r="Q263" s="123"/>
      <c r="R263" s="17"/>
    </row>
    <row r="264" spans="1:18" x14ac:dyDescent="0.25">
      <c r="A264" s="3"/>
      <c r="B264" s="17"/>
      <c r="C264" s="17"/>
      <c r="D264" s="17"/>
      <c r="E264" s="17"/>
      <c r="F264" s="17"/>
      <c r="G264" s="17"/>
      <c r="H264" s="17"/>
      <c r="I264" s="17"/>
      <c r="J264" s="17"/>
      <c r="K264" s="17"/>
      <c r="L264" s="17"/>
      <c r="M264" s="17"/>
      <c r="N264" s="17"/>
      <c r="O264" s="17"/>
      <c r="P264" s="17"/>
      <c r="Q264" s="123"/>
      <c r="R264" s="17"/>
    </row>
    <row r="265" spans="1:18" x14ac:dyDescent="0.25">
      <c r="A265" s="3"/>
      <c r="B265" s="17"/>
      <c r="C265" s="17"/>
      <c r="D265" s="17"/>
      <c r="E265" s="17"/>
      <c r="F265" s="17"/>
      <c r="G265" s="17"/>
      <c r="H265" s="17"/>
      <c r="I265" s="17"/>
      <c r="J265" s="17"/>
      <c r="K265" s="17"/>
      <c r="L265" s="17"/>
      <c r="M265" s="17"/>
      <c r="N265" s="17"/>
      <c r="O265" s="17"/>
      <c r="P265" s="17"/>
      <c r="Q265" s="123"/>
      <c r="R265" s="17"/>
    </row>
    <row r="266" spans="1:18" x14ac:dyDescent="0.25">
      <c r="A266" s="3"/>
      <c r="B266" s="17"/>
      <c r="C266" s="17"/>
      <c r="D266" s="17"/>
      <c r="E266" s="17"/>
      <c r="F266" s="17"/>
      <c r="G266" s="17"/>
      <c r="H266" s="17"/>
      <c r="I266" s="17"/>
      <c r="J266" s="17"/>
      <c r="K266" s="17"/>
      <c r="L266" s="17"/>
      <c r="M266" s="17"/>
      <c r="N266" s="17"/>
      <c r="O266" s="17"/>
      <c r="P266" s="17"/>
      <c r="Q266" s="123"/>
      <c r="R266" s="17"/>
    </row>
    <row r="267" spans="1:18" x14ac:dyDescent="0.25">
      <c r="A267" s="3"/>
      <c r="B267" s="17"/>
      <c r="C267" s="17"/>
      <c r="D267" s="17"/>
      <c r="E267" s="17"/>
      <c r="F267" s="17"/>
      <c r="G267" s="17"/>
      <c r="H267" s="17"/>
      <c r="I267" s="17"/>
      <c r="J267" s="17"/>
      <c r="K267" s="17"/>
      <c r="L267" s="17"/>
      <c r="M267" s="17"/>
      <c r="N267" s="17"/>
      <c r="O267" s="17"/>
      <c r="P267" s="17"/>
      <c r="Q267" s="123"/>
      <c r="R267" s="17"/>
    </row>
    <row r="268" spans="1:18" x14ac:dyDescent="0.25">
      <c r="A268" s="3"/>
      <c r="B268" s="17"/>
      <c r="C268" s="17"/>
      <c r="D268" s="17"/>
      <c r="E268" s="17"/>
      <c r="F268" s="17"/>
      <c r="G268" s="17"/>
      <c r="H268" s="17"/>
      <c r="I268" s="17"/>
      <c r="J268" s="17"/>
      <c r="K268" s="17"/>
      <c r="L268" s="17"/>
      <c r="M268" s="17"/>
      <c r="N268" s="17"/>
      <c r="O268" s="17"/>
      <c r="P268" s="17"/>
      <c r="Q268" s="123"/>
      <c r="R268" s="17"/>
    </row>
    <row r="269" spans="1:18" x14ac:dyDescent="0.25">
      <c r="A269" s="3"/>
      <c r="B269" s="17"/>
      <c r="C269" s="17"/>
      <c r="D269" s="17"/>
      <c r="E269" s="17"/>
      <c r="F269" s="17"/>
      <c r="G269" s="17"/>
      <c r="H269" s="17"/>
      <c r="I269" s="17"/>
      <c r="J269" s="17"/>
      <c r="K269" s="17"/>
      <c r="L269" s="17"/>
      <c r="M269" s="17"/>
      <c r="N269" s="17"/>
      <c r="O269" s="17"/>
      <c r="P269" s="17"/>
      <c r="Q269" s="123"/>
      <c r="R269" s="17"/>
    </row>
    <row r="270" spans="1:18" x14ac:dyDescent="0.25">
      <c r="A270" s="3"/>
      <c r="B270" s="17"/>
      <c r="C270" s="17"/>
      <c r="D270" s="17"/>
      <c r="E270" s="17"/>
      <c r="F270" s="17"/>
      <c r="G270" s="17"/>
      <c r="H270" s="17"/>
      <c r="I270" s="17"/>
      <c r="J270" s="17"/>
      <c r="K270" s="17"/>
      <c r="L270" s="17"/>
      <c r="M270" s="17"/>
      <c r="N270" s="17"/>
      <c r="O270" s="17"/>
      <c r="P270" s="17"/>
      <c r="Q270" s="123"/>
      <c r="R270" s="17"/>
    </row>
    <row r="271" spans="1:18" x14ac:dyDescent="0.25">
      <c r="A271" s="3"/>
      <c r="B271" s="17"/>
      <c r="C271" s="17"/>
      <c r="D271" s="17"/>
      <c r="E271" s="17"/>
      <c r="F271" s="17"/>
      <c r="G271" s="17"/>
      <c r="H271" s="17"/>
      <c r="I271" s="17"/>
      <c r="J271" s="17"/>
      <c r="K271" s="17"/>
      <c r="L271" s="17"/>
      <c r="M271" s="17"/>
      <c r="N271" s="17"/>
      <c r="O271" s="17"/>
      <c r="P271" s="17"/>
      <c r="Q271" s="123"/>
      <c r="R271" s="17"/>
    </row>
    <row r="272" spans="1:18" x14ac:dyDescent="0.25">
      <c r="A272" s="3"/>
      <c r="B272" s="17"/>
      <c r="C272" s="17"/>
      <c r="D272" s="17"/>
      <c r="E272" s="17"/>
      <c r="F272" s="17"/>
      <c r="G272" s="17"/>
      <c r="H272" s="17"/>
      <c r="I272" s="17"/>
      <c r="J272" s="17"/>
      <c r="K272" s="17"/>
      <c r="L272" s="17"/>
      <c r="M272" s="17"/>
      <c r="N272" s="17"/>
      <c r="O272" s="17"/>
      <c r="P272" s="17"/>
      <c r="Q272" s="123"/>
      <c r="R272" s="17"/>
    </row>
    <row r="273" spans="1:18" x14ac:dyDescent="0.25">
      <c r="A273" s="3"/>
      <c r="B273" s="17"/>
      <c r="C273" s="17"/>
      <c r="D273" s="17"/>
      <c r="E273" s="17"/>
      <c r="F273" s="17"/>
      <c r="G273" s="17"/>
      <c r="H273" s="17"/>
      <c r="I273" s="17"/>
      <c r="J273" s="17"/>
      <c r="K273" s="17"/>
      <c r="L273" s="17"/>
      <c r="M273" s="17"/>
      <c r="N273" s="17"/>
      <c r="O273" s="17"/>
      <c r="P273" s="17"/>
      <c r="Q273" s="123"/>
      <c r="R273" s="17"/>
    </row>
    <row r="274" spans="1:18" x14ac:dyDescent="0.25">
      <c r="A274" s="3"/>
      <c r="B274" s="17"/>
      <c r="C274" s="17"/>
      <c r="D274" s="17"/>
      <c r="E274" s="17"/>
      <c r="F274" s="17"/>
      <c r="G274" s="17"/>
      <c r="H274" s="17"/>
      <c r="I274" s="17"/>
      <c r="J274" s="17"/>
      <c r="K274" s="17"/>
      <c r="L274" s="17"/>
      <c r="M274" s="17"/>
      <c r="N274" s="17"/>
      <c r="O274" s="17"/>
      <c r="P274" s="17"/>
      <c r="Q274" s="123"/>
      <c r="R274" s="17"/>
    </row>
    <row r="275" spans="1:18" x14ac:dyDescent="0.25">
      <c r="A275" s="3"/>
      <c r="B275" s="17"/>
      <c r="C275" s="17"/>
      <c r="D275" s="17"/>
      <c r="E275" s="17"/>
      <c r="F275" s="17"/>
      <c r="G275" s="17"/>
      <c r="H275" s="17"/>
      <c r="I275" s="17"/>
      <c r="J275" s="17"/>
      <c r="K275" s="17"/>
      <c r="L275" s="17"/>
      <c r="M275" s="17"/>
      <c r="N275" s="17"/>
      <c r="O275" s="17"/>
      <c r="P275" s="17"/>
      <c r="Q275" s="123"/>
      <c r="R275" s="17"/>
    </row>
    <row r="276" spans="1:18" x14ac:dyDescent="0.25">
      <c r="A276" s="3"/>
      <c r="B276" s="17"/>
      <c r="C276" s="17"/>
      <c r="D276" s="17"/>
      <c r="E276" s="17"/>
      <c r="F276" s="17"/>
      <c r="G276" s="17"/>
      <c r="H276" s="17"/>
      <c r="I276" s="17"/>
      <c r="J276" s="17"/>
      <c r="K276" s="17"/>
      <c r="L276" s="17"/>
      <c r="M276" s="17"/>
      <c r="N276" s="17"/>
      <c r="O276" s="17"/>
      <c r="P276" s="17"/>
      <c r="Q276" s="123"/>
      <c r="R276" s="17"/>
    </row>
    <row r="277" spans="1:18" x14ac:dyDescent="0.25">
      <c r="A277" s="3"/>
      <c r="B277" s="17"/>
      <c r="C277" s="17"/>
      <c r="D277" s="17"/>
      <c r="E277" s="17"/>
      <c r="F277" s="17"/>
      <c r="G277" s="17"/>
      <c r="H277" s="17"/>
      <c r="I277" s="17"/>
      <c r="J277" s="17"/>
      <c r="K277" s="17"/>
      <c r="L277" s="17"/>
      <c r="M277" s="17"/>
      <c r="N277" s="17"/>
      <c r="O277" s="17"/>
      <c r="P277" s="17"/>
      <c r="Q277" s="123"/>
      <c r="R277" s="17"/>
    </row>
    <row r="278" spans="1:18" x14ac:dyDescent="0.25">
      <c r="A278" s="3"/>
      <c r="B278" s="17"/>
      <c r="C278" s="17"/>
      <c r="D278" s="17"/>
      <c r="E278" s="17"/>
      <c r="F278" s="17"/>
      <c r="G278" s="17"/>
      <c r="H278" s="17"/>
      <c r="I278" s="17"/>
      <c r="J278" s="17"/>
      <c r="K278" s="17"/>
      <c r="L278" s="17"/>
      <c r="M278" s="17"/>
      <c r="N278" s="17"/>
      <c r="O278" s="17"/>
      <c r="P278" s="17"/>
      <c r="Q278" s="123"/>
      <c r="R278" s="17"/>
    </row>
    <row r="279" spans="1:18" x14ac:dyDescent="0.25">
      <c r="A279" s="3"/>
      <c r="B279" s="17"/>
      <c r="C279" s="17"/>
      <c r="D279" s="17"/>
      <c r="E279" s="17"/>
      <c r="F279" s="17"/>
      <c r="G279" s="17"/>
      <c r="H279" s="17"/>
      <c r="I279" s="17"/>
      <c r="J279" s="17"/>
      <c r="K279" s="17"/>
      <c r="L279" s="17"/>
      <c r="M279" s="17"/>
      <c r="N279" s="17"/>
      <c r="O279" s="17"/>
      <c r="P279" s="17"/>
      <c r="Q279" s="123"/>
      <c r="R279" s="17"/>
    </row>
    <row r="280" spans="1:18" x14ac:dyDescent="0.25">
      <c r="A280" s="3"/>
      <c r="B280" s="17"/>
      <c r="C280" s="17"/>
      <c r="D280" s="17"/>
      <c r="E280" s="17"/>
      <c r="F280" s="17"/>
      <c r="G280" s="17"/>
      <c r="H280" s="17"/>
      <c r="I280" s="17"/>
      <c r="J280" s="17"/>
      <c r="K280" s="17"/>
      <c r="L280" s="17"/>
      <c r="M280" s="17"/>
      <c r="N280" s="17"/>
      <c r="O280" s="17"/>
      <c r="P280" s="17"/>
      <c r="Q280" s="123"/>
      <c r="R280" s="17"/>
    </row>
    <row r="281" spans="1:18" x14ac:dyDescent="0.25">
      <c r="A281" s="3"/>
      <c r="B281" s="17"/>
      <c r="C281" s="17"/>
      <c r="D281" s="17"/>
      <c r="E281" s="17"/>
      <c r="F281" s="17"/>
      <c r="G281" s="17"/>
      <c r="H281" s="17"/>
      <c r="I281" s="17"/>
      <c r="J281" s="17"/>
      <c r="K281" s="17"/>
      <c r="L281" s="17"/>
      <c r="M281" s="17"/>
      <c r="N281" s="17"/>
      <c r="O281" s="17"/>
      <c r="P281" s="17"/>
      <c r="Q281" s="123"/>
      <c r="R281" s="17"/>
    </row>
    <row r="282" spans="1:18" x14ac:dyDescent="0.25">
      <c r="A282" s="3"/>
      <c r="B282" s="17"/>
      <c r="C282" s="17"/>
      <c r="D282" s="17"/>
      <c r="E282" s="17"/>
      <c r="F282" s="17"/>
      <c r="G282" s="17"/>
      <c r="H282" s="17"/>
      <c r="I282" s="17"/>
      <c r="J282" s="17"/>
      <c r="K282" s="17"/>
      <c r="L282" s="17"/>
      <c r="M282" s="17"/>
      <c r="N282" s="17"/>
      <c r="O282" s="17"/>
      <c r="P282" s="17"/>
      <c r="Q282" s="123"/>
      <c r="R282" s="17"/>
    </row>
    <row r="283" spans="1:18" x14ac:dyDescent="0.25">
      <c r="A283" s="3"/>
      <c r="B283" s="17"/>
      <c r="C283" s="17"/>
      <c r="D283" s="17"/>
      <c r="E283" s="17"/>
      <c r="F283" s="17"/>
      <c r="G283" s="17"/>
      <c r="H283" s="17"/>
      <c r="I283" s="17"/>
      <c r="J283" s="17"/>
      <c r="K283" s="17"/>
      <c r="L283" s="17"/>
      <c r="M283" s="17"/>
      <c r="N283" s="17"/>
      <c r="O283" s="17"/>
      <c r="P283" s="17"/>
      <c r="Q283" s="123"/>
      <c r="R283" s="17"/>
    </row>
    <row r="284" spans="1:18" x14ac:dyDescent="0.25">
      <c r="A284" s="3"/>
      <c r="B284" s="17"/>
      <c r="C284" s="17"/>
      <c r="D284" s="17"/>
      <c r="E284" s="17"/>
      <c r="F284" s="17"/>
      <c r="G284" s="17"/>
      <c r="H284" s="17"/>
      <c r="I284" s="17"/>
      <c r="J284" s="17"/>
      <c r="K284" s="17"/>
      <c r="L284" s="17"/>
      <c r="M284" s="17"/>
      <c r="N284" s="17"/>
      <c r="O284" s="17"/>
      <c r="P284" s="17"/>
      <c r="Q284" s="123"/>
      <c r="R284" s="17"/>
    </row>
    <row r="285" spans="1:18" x14ac:dyDescent="0.25">
      <c r="A285" s="3"/>
      <c r="B285" s="17"/>
      <c r="C285" s="17"/>
      <c r="D285" s="17"/>
      <c r="E285" s="17"/>
      <c r="F285" s="17"/>
      <c r="G285" s="17"/>
      <c r="H285" s="17"/>
      <c r="I285" s="17"/>
      <c r="J285" s="17"/>
      <c r="K285" s="17"/>
      <c r="L285" s="17"/>
      <c r="M285" s="17"/>
      <c r="N285" s="17"/>
      <c r="O285" s="17"/>
      <c r="P285" s="17"/>
      <c r="Q285" s="123"/>
      <c r="R285" s="17"/>
    </row>
    <row r="286" spans="1:18" x14ac:dyDescent="0.25">
      <c r="A286" s="3"/>
      <c r="B286" s="17"/>
      <c r="C286" s="17"/>
      <c r="D286" s="17"/>
      <c r="E286" s="17"/>
      <c r="F286" s="17"/>
      <c r="G286" s="17"/>
      <c r="H286" s="17"/>
      <c r="I286" s="17"/>
      <c r="J286" s="17"/>
      <c r="K286" s="17"/>
      <c r="L286" s="17"/>
      <c r="M286" s="17"/>
      <c r="N286" s="17"/>
      <c r="O286" s="17"/>
      <c r="P286" s="17"/>
      <c r="Q286" s="123"/>
      <c r="R286" s="17"/>
    </row>
    <row r="287" spans="1:18" x14ac:dyDescent="0.25">
      <c r="A287" s="3"/>
      <c r="B287" s="17"/>
      <c r="C287" s="17"/>
      <c r="D287" s="17"/>
      <c r="E287" s="17"/>
      <c r="F287" s="17"/>
      <c r="G287" s="17"/>
      <c r="H287" s="17"/>
      <c r="I287" s="17"/>
      <c r="J287" s="17"/>
      <c r="K287" s="17"/>
      <c r="L287" s="17"/>
      <c r="M287" s="17"/>
      <c r="N287" s="17"/>
      <c r="O287" s="17"/>
      <c r="P287" s="17"/>
      <c r="Q287" s="123"/>
      <c r="R287" s="17"/>
    </row>
    <row r="288" spans="1:18" x14ac:dyDescent="0.25">
      <c r="A288" s="3"/>
      <c r="B288" s="17"/>
      <c r="C288" s="17"/>
      <c r="D288" s="17"/>
      <c r="E288" s="17"/>
      <c r="F288" s="17"/>
      <c r="G288" s="17"/>
      <c r="H288" s="17"/>
      <c r="I288" s="17"/>
      <c r="J288" s="17"/>
      <c r="K288" s="17"/>
      <c r="L288" s="17"/>
      <c r="M288" s="17"/>
      <c r="N288" s="17"/>
      <c r="O288" s="17"/>
      <c r="P288" s="17"/>
      <c r="Q288" s="123"/>
      <c r="R288" s="17"/>
    </row>
    <row r="289" spans="1:18" x14ac:dyDescent="0.25">
      <c r="A289" s="3"/>
      <c r="B289" s="17"/>
      <c r="C289" s="17"/>
      <c r="D289" s="17"/>
      <c r="E289" s="17"/>
      <c r="F289" s="17"/>
      <c r="G289" s="17"/>
      <c r="H289" s="17"/>
      <c r="I289" s="17"/>
      <c r="J289" s="17"/>
      <c r="K289" s="17"/>
      <c r="L289" s="17"/>
      <c r="M289" s="17"/>
      <c r="N289" s="17"/>
      <c r="O289" s="17"/>
      <c r="P289" s="17"/>
      <c r="Q289" s="123"/>
      <c r="R289" s="17"/>
    </row>
    <row r="290" spans="1:18" x14ac:dyDescent="0.25">
      <c r="A290" s="3"/>
      <c r="B290" s="17"/>
      <c r="C290" s="17"/>
      <c r="D290" s="17"/>
      <c r="E290" s="17"/>
      <c r="F290" s="17"/>
      <c r="G290" s="17"/>
      <c r="H290" s="17"/>
      <c r="I290" s="17"/>
      <c r="J290" s="17"/>
      <c r="K290" s="17"/>
      <c r="L290" s="17"/>
      <c r="M290" s="17"/>
      <c r="N290" s="17"/>
      <c r="O290" s="17"/>
      <c r="P290" s="17"/>
      <c r="Q290" s="123"/>
      <c r="R290" s="17"/>
    </row>
    <row r="291" spans="1:18" x14ac:dyDescent="0.25">
      <c r="A291" s="3"/>
      <c r="B291" s="17"/>
      <c r="C291" s="17"/>
      <c r="D291" s="17"/>
      <c r="E291" s="17"/>
      <c r="F291" s="17"/>
      <c r="G291" s="17"/>
      <c r="H291" s="17"/>
      <c r="I291" s="17"/>
      <c r="J291" s="17"/>
      <c r="K291" s="17"/>
      <c r="L291" s="17"/>
      <c r="M291" s="17"/>
      <c r="N291" s="17"/>
      <c r="O291" s="17"/>
      <c r="P291" s="17"/>
      <c r="Q291" s="123"/>
      <c r="R291" s="17"/>
    </row>
    <row r="292" spans="1:18" x14ac:dyDescent="0.25">
      <c r="A292" s="3"/>
      <c r="B292" s="17"/>
      <c r="C292" s="17"/>
      <c r="D292" s="17"/>
      <c r="E292" s="17"/>
      <c r="F292" s="17"/>
      <c r="G292" s="17"/>
      <c r="H292" s="17"/>
      <c r="I292" s="17"/>
      <c r="J292" s="17"/>
      <c r="K292" s="17"/>
      <c r="L292" s="17"/>
      <c r="M292" s="17"/>
      <c r="N292" s="17"/>
      <c r="O292" s="17"/>
      <c r="P292" s="17"/>
      <c r="Q292" s="123"/>
      <c r="R292" s="17"/>
    </row>
    <row r="293" spans="1:18" x14ac:dyDescent="0.25">
      <c r="A293" s="3"/>
      <c r="B293" s="17"/>
      <c r="C293" s="17"/>
      <c r="D293" s="17"/>
      <c r="E293" s="17"/>
      <c r="F293" s="17"/>
      <c r="G293" s="17"/>
      <c r="H293" s="17"/>
      <c r="I293" s="17"/>
      <c r="J293" s="17"/>
      <c r="K293" s="17"/>
      <c r="L293" s="17"/>
      <c r="M293" s="17"/>
      <c r="N293" s="17"/>
      <c r="O293" s="17"/>
      <c r="P293" s="17"/>
      <c r="Q293" s="123"/>
      <c r="R293" s="17"/>
    </row>
    <row r="294" spans="1:18" x14ac:dyDescent="0.25">
      <c r="A294" s="3"/>
      <c r="B294" s="17"/>
      <c r="C294" s="17"/>
      <c r="D294" s="17"/>
      <c r="E294" s="17"/>
      <c r="F294" s="17"/>
      <c r="G294" s="17"/>
      <c r="H294" s="17"/>
      <c r="I294" s="17"/>
      <c r="J294" s="17"/>
      <c r="K294" s="17"/>
      <c r="L294" s="17"/>
      <c r="M294" s="17"/>
      <c r="N294" s="17"/>
      <c r="O294" s="17"/>
      <c r="P294" s="17"/>
      <c r="Q294" s="123"/>
      <c r="R294" s="17"/>
    </row>
    <row r="295" spans="1:18" x14ac:dyDescent="0.25">
      <c r="A295" s="3"/>
      <c r="B295" s="17"/>
      <c r="C295" s="17"/>
      <c r="D295" s="17"/>
      <c r="E295" s="17"/>
      <c r="F295" s="17"/>
      <c r="G295" s="17"/>
      <c r="H295" s="17"/>
      <c r="I295" s="17"/>
      <c r="J295" s="17"/>
      <c r="K295" s="17"/>
      <c r="L295" s="17"/>
      <c r="M295" s="17"/>
      <c r="N295" s="17"/>
      <c r="O295" s="17"/>
      <c r="P295" s="17"/>
      <c r="Q295" s="123"/>
      <c r="R295" s="17"/>
    </row>
    <row r="296" spans="1:18" x14ac:dyDescent="0.25">
      <c r="A296" s="3"/>
      <c r="B296" s="17"/>
      <c r="C296" s="17"/>
      <c r="D296" s="17"/>
      <c r="E296" s="17"/>
      <c r="F296" s="17"/>
      <c r="G296" s="17"/>
      <c r="H296" s="17"/>
      <c r="I296" s="17"/>
      <c r="J296" s="17"/>
      <c r="K296" s="17"/>
      <c r="L296" s="17"/>
      <c r="M296" s="17"/>
      <c r="N296" s="17"/>
      <c r="O296" s="17"/>
      <c r="P296" s="17"/>
      <c r="Q296" s="123"/>
      <c r="R296" s="17"/>
    </row>
    <row r="297" spans="1:18" x14ac:dyDescent="0.25">
      <c r="A297" s="3"/>
      <c r="B297" s="17"/>
      <c r="C297" s="17"/>
      <c r="D297" s="17"/>
      <c r="E297" s="17"/>
      <c r="F297" s="17"/>
      <c r="G297" s="17"/>
      <c r="H297" s="17"/>
      <c r="I297" s="17"/>
      <c r="J297" s="17"/>
      <c r="K297" s="17"/>
      <c r="L297" s="17"/>
      <c r="M297" s="17"/>
      <c r="N297" s="17"/>
      <c r="O297" s="17"/>
      <c r="P297" s="17"/>
      <c r="Q297" s="123"/>
      <c r="R297" s="17"/>
    </row>
    <row r="298" spans="1:18" x14ac:dyDescent="0.25">
      <c r="A298" s="3"/>
      <c r="B298" s="17"/>
      <c r="C298" s="17"/>
      <c r="D298" s="17"/>
      <c r="E298" s="17"/>
      <c r="F298" s="17"/>
      <c r="G298" s="17"/>
      <c r="H298" s="17"/>
      <c r="I298" s="17"/>
      <c r="J298" s="17"/>
      <c r="K298" s="17"/>
      <c r="L298" s="17"/>
      <c r="M298" s="17"/>
      <c r="N298" s="17"/>
      <c r="O298" s="17"/>
      <c r="P298" s="17"/>
      <c r="Q298" s="123"/>
      <c r="R298" s="17"/>
    </row>
    <row r="299" spans="1:18" x14ac:dyDescent="0.25">
      <c r="A299" s="3"/>
      <c r="B299" s="17"/>
      <c r="C299" s="17"/>
      <c r="D299" s="17"/>
      <c r="E299" s="17"/>
      <c r="F299" s="17"/>
      <c r="G299" s="17"/>
      <c r="H299" s="17"/>
      <c r="I299" s="17"/>
      <c r="J299" s="17"/>
      <c r="K299" s="17"/>
      <c r="L299" s="17"/>
      <c r="M299" s="17"/>
      <c r="N299" s="17"/>
      <c r="O299" s="17"/>
      <c r="P299" s="17"/>
      <c r="Q299" s="123"/>
      <c r="R299" s="17"/>
    </row>
    <row r="300" spans="1:18" x14ac:dyDescent="0.25">
      <c r="A300" s="3"/>
      <c r="B300" s="17"/>
      <c r="C300" s="17"/>
      <c r="D300" s="17"/>
      <c r="E300" s="17"/>
      <c r="F300" s="17"/>
      <c r="G300" s="17"/>
      <c r="H300" s="17"/>
      <c r="I300" s="17"/>
      <c r="J300" s="17"/>
      <c r="K300" s="17"/>
      <c r="L300" s="17"/>
      <c r="M300" s="17"/>
      <c r="N300" s="17"/>
      <c r="O300" s="17"/>
      <c r="P300" s="17"/>
      <c r="Q300" s="123"/>
      <c r="R300" s="17"/>
    </row>
    <row r="301" spans="1:18" x14ac:dyDescent="0.25">
      <c r="A301" s="3"/>
      <c r="B301" s="17"/>
      <c r="C301" s="17"/>
      <c r="D301" s="17"/>
      <c r="E301" s="17"/>
      <c r="F301" s="17"/>
      <c r="G301" s="17"/>
      <c r="H301" s="17"/>
      <c r="I301" s="17"/>
      <c r="J301" s="17"/>
      <c r="K301" s="17"/>
      <c r="L301" s="17"/>
      <c r="M301" s="17"/>
      <c r="N301" s="17"/>
      <c r="O301" s="17"/>
      <c r="P301" s="17"/>
      <c r="Q301" s="123"/>
      <c r="R301" s="17"/>
    </row>
    <row r="302" spans="1:18" x14ac:dyDescent="0.25">
      <c r="A302" s="3"/>
      <c r="B302" s="17"/>
      <c r="C302" s="17"/>
      <c r="D302" s="17"/>
      <c r="E302" s="17"/>
      <c r="F302" s="17"/>
      <c r="G302" s="17"/>
      <c r="H302" s="17"/>
      <c r="I302" s="17"/>
      <c r="J302" s="17"/>
      <c r="K302" s="17"/>
      <c r="L302" s="17"/>
      <c r="M302" s="17"/>
      <c r="N302" s="17"/>
      <c r="O302" s="17"/>
      <c r="P302" s="17"/>
      <c r="Q302" s="123"/>
      <c r="R302" s="17"/>
    </row>
    <row r="303" spans="1:18" x14ac:dyDescent="0.25">
      <c r="A303" s="3"/>
      <c r="B303" s="17"/>
      <c r="C303" s="17"/>
      <c r="D303" s="17"/>
      <c r="E303" s="17"/>
      <c r="F303" s="17"/>
      <c r="G303" s="17"/>
      <c r="H303" s="17"/>
      <c r="I303" s="17"/>
      <c r="J303" s="17"/>
      <c r="K303" s="17"/>
      <c r="L303" s="17"/>
      <c r="M303" s="17"/>
      <c r="N303" s="17"/>
      <c r="O303" s="17"/>
      <c r="P303" s="17"/>
      <c r="Q303" s="123"/>
      <c r="R303" s="17"/>
    </row>
    <row r="304" spans="1:18" x14ac:dyDescent="0.25">
      <c r="A304" s="3"/>
      <c r="B304" s="17"/>
      <c r="C304" s="17"/>
      <c r="D304" s="17"/>
      <c r="E304" s="17"/>
      <c r="F304" s="17"/>
      <c r="G304" s="17"/>
      <c r="H304" s="17"/>
      <c r="I304" s="17"/>
      <c r="J304" s="17"/>
      <c r="K304" s="17"/>
      <c r="L304" s="17"/>
      <c r="M304" s="17"/>
      <c r="N304" s="17"/>
      <c r="O304" s="17"/>
      <c r="P304" s="17"/>
      <c r="Q304" s="123"/>
      <c r="R304" s="17"/>
    </row>
    <row r="305" spans="1:18" x14ac:dyDescent="0.25">
      <c r="A305" s="3"/>
      <c r="B305" s="17"/>
      <c r="C305" s="17"/>
      <c r="D305" s="17"/>
      <c r="E305" s="17"/>
      <c r="F305" s="17"/>
      <c r="G305" s="17"/>
      <c r="H305" s="17"/>
      <c r="I305" s="17"/>
      <c r="J305" s="17"/>
      <c r="K305" s="17"/>
      <c r="L305" s="17"/>
      <c r="M305" s="17"/>
      <c r="N305" s="17"/>
      <c r="O305" s="17"/>
      <c r="P305" s="17"/>
      <c r="Q305" s="123"/>
      <c r="R305" s="17"/>
    </row>
    <row r="306" spans="1:18" x14ac:dyDescent="0.25">
      <c r="A306" s="3"/>
      <c r="B306" s="17"/>
      <c r="C306" s="17"/>
      <c r="D306" s="17"/>
      <c r="E306" s="17"/>
      <c r="F306" s="17"/>
      <c r="G306" s="17"/>
      <c r="H306" s="17"/>
      <c r="I306" s="17"/>
      <c r="J306" s="17"/>
      <c r="K306" s="17"/>
      <c r="L306" s="17"/>
      <c r="M306" s="17"/>
      <c r="N306" s="17"/>
      <c r="O306" s="17"/>
      <c r="P306" s="17"/>
      <c r="Q306" s="123"/>
      <c r="R306" s="17"/>
    </row>
    <row r="307" spans="1:18" x14ac:dyDescent="0.25">
      <c r="A307" s="3"/>
      <c r="B307" s="17"/>
      <c r="C307" s="17"/>
      <c r="D307" s="17"/>
      <c r="E307" s="17"/>
      <c r="F307" s="17"/>
      <c r="G307" s="17"/>
      <c r="H307" s="17"/>
      <c r="I307" s="17"/>
      <c r="J307" s="17"/>
      <c r="K307" s="17"/>
      <c r="L307" s="17"/>
      <c r="M307" s="17"/>
      <c r="N307" s="17"/>
      <c r="O307" s="17"/>
      <c r="P307" s="17"/>
      <c r="Q307" s="123"/>
      <c r="R307" s="17"/>
    </row>
    <row r="308" spans="1:18" x14ac:dyDescent="0.25">
      <c r="A308" s="3"/>
      <c r="B308" s="17"/>
      <c r="C308" s="17"/>
      <c r="D308" s="17"/>
      <c r="E308" s="17"/>
      <c r="F308" s="17"/>
      <c r="G308" s="17"/>
      <c r="H308" s="17"/>
      <c r="I308" s="17"/>
      <c r="J308" s="17"/>
      <c r="K308" s="17"/>
      <c r="L308" s="17"/>
      <c r="M308" s="17"/>
      <c r="N308" s="17"/>
      <c r="O308" s="17"/>
      <c r="P308" s="17"/>
      <c r="Q308" s="123"/>
      <c r="R308" s="17"/>
    </row>
    <row r="309" spans="1:18" x14ac:dyDescent="0.25">
      <c r="A309" s="3"/>
      <c r="B309" s="17"/>
      <c r="C309" s="17"/>
      <c r="D309" s="17"/>
      <c r="E309" s="17"/>
      <c r="F309" s="17"/>
      <c r="G309" s="17"/>
      <c r="H309" s="17"/>
      <c r="I309" s="17"/>
      <c r="J309" s="17"/>
      <c r="K309" s="17"/>
      <c r="L309" s="17"/>
      <c r="M309" s="17"/>
      <c r="N309" s="17"/>
      <c r="O309" s="17"/>
      <c r="P309" s="17"/>
      <c r="Q309" s="123"/>
      <c r="R309" s="17"/>
    </row>
    <row r="310" spans="1:18" x14ac:dyDescent="0.25">
      <c r="A310" s="3"/>
      <c r="B310" s="17"/>
      <c r="C310" s="17"/>
      <c r="D310" s="17"/>
      <c r="E310" s="17"/>
      <c r="F310" s="17"/>
      <c r="G310" s="17"/>
      <c r="H310" s="17"/>
      <c r="I310" s="17"/>
      <c r="J310" s="17"/>
      <c r="K310" s="17"/>
      <c r="L310" s="17"/>
      <c r="M310" s="17"/>
      <c r="N310" s="17"/>
      <c r="O310" s="17"/>
      <c r="P310" s="17"/>
      <c r="Q310" s="123"/>
      <c r="R310" s="17"/>
    </row>
    <row r="311" spans="1:18" x14ac:dyDescent="0.25">
      <c r="A311" s="3"/>
      <c r="B311" s="17"/>
      <c r="C311" s="17"/>
      <c r="D311" s="17"/>
      <c r="E311" s="17"/>
      <c r="F311" s="17"/>
      <c r="G311" s="17"/>
      <c r="H311" s="17"/>
      <c r="I311" s="17"/>
      <c r="J311" s="17"/>
      <c r="K311" s="17"/>
      <c r="L311" s="17"/>
      <c r="M311" s="17"/>
      <c r="N311" s="17"/>
      <c r="O311" s="17"/>
      <c r="P311" s="17"/>
      <c r="Q311" s="123"/>
      <c r="R311" s="17"/>
    </row>
    <row r="312" spans="1:18" x14ac:dyDescent="0.25">
      <c r="A312" s="3"/>
      <c r="B312" s="17"/>
      <c r="C312" s="17"/>
      <c r="D312" s="17"/>
      <c r="E312" s="17"/>
      <c r="F312" s="17"/>
      <c r="G312" s="17"/>
      <c r="H312" s="17"/>
      <c r="I312" s="17"/>
      <c r="J312" s="17"/>
      <c r="K312" s="17"/>
      <c r="L312" s="17"/>
      <c r="M312" s="17"/>
      <c r="N312" s="17"/>
      <c r="O312" s="17"/>
      <c r="P312" s="17"/>
      <c r="Q312" s="123"/>
      <c r="R312" s="17"/>
    </row>
    <row r="313" spans="1:18" x14ac:dyDescent="0.25">
      <c r="A313" s="3"/>
      <c r="B313" s="17"/>
      <c r="C313" s="17"/>
      <c r="D313" s="17"/>
      <c r="E313" s="17"/>
      <c r="F313" s="17"/>
      <c r="G313" s="17"/>
      <c r="H313" s="17"/>
      <c r="I313" s="17"/>
      <c r="J313" s="17"/>
      <c r="K313" s="17"/>
      <c r="L313" s="17"/>
      <c r="M313" s="17"/>
      <c r="N313" s="17"/>
      <c r="O313" s="17"/>
      <c r="P313" s="17"/>
      <c r="Q313" s="123"/>
      <c r="R313" s="17"/>
    </row>
    <row r="314" spans="1:18" x14ac:dyDescent="0.25">
      <c r="A314" s="3"/>
      <c r="B314" s="17"/>
      <c r="C314" s="17"/>
      <c r="D314" s="17"/>
      <c r="E314" s="17"/>
      <c r="F314" s="17"/>
      <c r="G314" s="17"/>
      <c r="H314" s="17"/>
      <c r="I314" s="17"/>
      <c r="J314" s="17"/>
      <c r="K314" s="17"/>
      <c r="L314" s="17"/>
      <c r="M314" s="17"/>
      <c r="N314" s="17"/>
      <c r="O314" s="17"/>
      <c r="P314" s="17"/>
      <c r="Q314" s="123"/>
      <c r="R314" s="17"/>
    </row>
    <row r="315" spans="1:18" x14ac:dyDescent="0.25">
      <c r="A315" s="3"/>
      <c r="B315" s="17"/>
      <c r="C315" s="17"/>
      <c r="D315" s="17"/>
      <c r="E315" s="17"/>
      <c r="F315" s="17"/>
      <c r="G315" s="17"/>
      <c r="H315" s="17"/>
      <c r="I315" s="17"/>
      <c r="J315" s="17"/>
      <c r="K315" s="17"/>
      <c r="L315" s="17"/>
      <c r="M315" s="17"/>
      <c r="N315" s="17"/>
      <c r="O315" s="17"/>
      <c r="P315" s="17"/>
      <c r="Q315" s="123"/>
      <c r="R315" s="17"/>
    </row>
    <row r="316" spans="1:18" x14ac:dyDescent="0.25">
      <c r="A316" s="3"/>
      <c r="B316" s="17"/>
      <c r="C316" s="17"/>
      <c r="D316" s="17"/>
      <c r="E316" s="17"/>
      <c r="F316" s="17"/>
      <c r="G316" s="17"/>
      <c r="H316" s="17"/>
      <c r="I316" s="17"/>
      <c r="J316" s="17"/>
      <c r="K316" s="17"/>
      <c r="L316" s="17"/>
      <c r="M316" s="17"/>
      <c r="N316" s="17"/>
      <c r="O316" s="17"/>
      <c r="P316" s="17"/>
      <c r="Q316" s="123"/>
      <c r="R316" s="17"/>
    </row>
    <row r="317" spans="1:18" x14ac:dyDescent="0.25">
      <c r="A317" s="3"/>
      <c r="B317" s="17"/>
      <c r="C317" s="17"/>
      <c r="D317" s="17"/>
      <c r="E317" s="17"/>
      <c r="F317" s="17"/>
      <c r="G317" s="17"/>
      <c r="H317" s="17"/>
      <c r="I317" s="17"/>
      <c r="J317" s="17"/>
      <c r="K317" s="17"/>
      <c r="L317" s="17"/>
      <c r="M317" s="17"/>
      <c r="N317" s="17"/>
      <c r="O317" s="17"/>
      <c r="P317" s="17"/>
      <c r="Q317" s="123"/>
      <c r="R317" s="17"/>
    </row>
    <row r="318" spans="1:18" x14ac:dyDescent="0.25">
      <c r="A318" s="3"/>
      <c r="B318" s="17"/>
      <c r="C318" s="17"/>
      <c r="D318" s="17"/>
      <c r="E318" s="17"/>
      <c r="F318" s="17"/>
      <c r="G318" s="17"/>
      <c r="H318" s="17"/>
      <c r="I318" s="17"/>
      <c r="J318" s="17"/>
      <c r="K318" s="17"/>
      <c r="L318" s="17"/>
      <c r="M318" s="17"/>
      <c r="N318" s="17"/>
      <c r="O318" s="17"/>
      <c r="P318" s="17"/>
      <c r="Q318" s="123"/>
      <c r="R318" s="17"/>
    </row>
    <row r="319" spans="1:18" x14ac:dyDescent="0.25">
      <c r="A319" s="3"/>
      <c r="B319" s="17"/>
      <c r="C319" s="17"/>
      <c r="D319" s="17"/>
      <c r="E319" s="17"/>
      <c r="F319" s="17"/>
      <c r="G319" s="17"/>
      <c r="H319" s="17"/>
      <c r="I319" s="17"/>
      <c r="J319" s="17"/>
      <c r="K319" s="17"/>
      <c r="L319" s="17"/>
      <c r="M319" s="17"/>
      <c r="N319" s="17"/>
      <c r="O319" s="17"/>
      <c r="P319" s="17"/>
      <c r="Q319" s="123"/>
      <c r="R319" s="17"/>
    </row>
    <row r="320" spans="1:18" x14ac:dyDescent="0.25">
      <c r="A320" s="3"/>
      <c r="B320" s="17"/>
      <c r="C320" s="17"/>
      <c r="D320" s="17"/>
      <c r="E320" s="17"/>
      <c r="F320" s="17"/>
      <c r="G320" s="17"/>
      <c r="H320" s="17"/>
      <c r="I320" s="17"/>
      <c r="J320" s="17"/>
      <c r="K320" s="17"/>
      <c r="L320" s="17"/>
      <c r="M320" s="17"/>
      <c r="N320" s="17"/>
      <c r="O320" s="17"/>
      <c r="P320" s="17"/>
      <c r="Q320" s="123"/>
      <c r="R320" s="17"/>
    </row>
    <row r="321" spans="1:18" x14ac:dyDescent="0.25">
      <c r="A321" s="3"/>
      <c r="B321" s="17"/>
      <c r="C321" s="17"/>
      <c r="D321" s="17"/>
      <c r="E321" s="17"/>
      <c r="F321" s="17"/>
      <c r="G321" s="17"/>
      <c r="H321" s="17"/>
      <c r="I321" s="17"/>
      <c r="J321" s="17"/>
      <c r="K321" s="17"/>
      <c r="L321" s="17"/>
      <c r="M321" s="17"/>
      <c r="N321" s="17"/>
      <c r="O321" s="17"/>
      <c r="P321" s="17"/>
      <c r="Q321" s="123"/>
      <c r="R321" s="17"/>
    </row>
    <row r="322" spans="1:18" x14ac:dyDescent="0.25">
      <c r="A322" s="3"/>
      <c r="B322" s="17"/>
      <c r="C322" s="17"/>
      <c r="D322" s="17"/>
      <c r="E322" s="17"/>
      <c r="F322" s="17"/>
      <c r="G322" s="17"/>
      <c r="H322" s="17"/>
      <c r="I322" s="17"/>
      <c r="J322" s="17"/>
      <c r="K322" s="17"/>
      <c r="L322" s="17"/>
      <c r="M322" s="17"/>
      <c r="N322" s="17"/>
      <c r="O322" s="17"/>
      <c r="P322" s="17"/>
      <c r="Q322" s="123"/>
      <c r="R322" s="17"/>
    </row>
    <row r="323" spans="1:18" x14ac:dyDescent="0.25">
      <c r="A323" s="3"/>
      <c r="B323" s="17"/>
      <c r="C323" s="17"/>
      <c r="D323" s="17"/>
      <c r="E323" s="17"/>
      <c r="F323" s="17"/>
      <c r="G323" s="17"/>
      <c r="H323" s="17"/>
      <c r="I323" s="17"/>
      <c r="J323" s="17"/>
      <c r="K323" s="17"/>
      <c r="L323" s="17"/>
      <c r="M323" s="17"/>
      <c r="N323" s="17"/>
      <c r="O323" s="17"/>
      <c r="P323" s="17"/>
      <c r="Q323" s="123"/>
      <c r="R323" s="17"/>
    </row>
    <row r="324" spans="1:18" x14ac:dyDescent="0.25">
      <c r="A324" s="3"/>
      <c r="B324" s="17"/>
      <c r="C324" s="17"/>
      <c r="D324" s="17"/>
      <c r="E324" s="17"/>
      <c r="F324" s="17"/>
      <c r="G324" s="17"/>
      <c r="H324" s="17"/>
      <c r="I324" s="17"/>
      <c r="J324" s="17"/>
      <c r="K324" s="17"/>
      <c r="L324" s="17"/>
      <c r="M324" s="17"/>
      <c r="N324" s="17"/>
      <c r="O324" s="17"/>
      <c r="P324" s="17"/>
      <c r="Q324" s="123"/>
      <c r="R324" s="17"/>
    </row>
    <row r="325" spans="1:18" x14ac:dyDescent="0.25">
      <c r="A325" s="3"/>
      <c r="B325" s="17"/>
      <c r="C325" s="17"/>
      <c r="D325" s="17"/>
      <c r="E325" s="17"/>
      <c r="F325" s="17"/>
      <c r="G325" s="17"/>
      <c r="H325" s="17"/>
      <c r="I325" s="17"/>
      <c r="J325" s="17"/>
      <c r="K325" s="17"/>
      <c r="L325" s="17"/>
      <c r="M325" s="17"/>
      <c r="N325" s="17"/>
      <c r="O325" s="17"/>
      <c r="P325" s="17"/>
      <c r="Q325" s="123"/>
      <c r="R325" s="17"/>
    </row>
    <row r="326" spans="1:18" x14ac:dyDescent="0.25">
      <c r="A326" s="3"/>
      <c r="B326" s="17"/>
      <c r="C326" s="17"/>
      <c r="D326" s="17"/>
      <c r="E326" s="17"/>
      <c r="F326" s="17"/>
      <c r="G326" s="17"/>
      <c r="H326" s="17"/>
      <c r="I326" s="17"/>
      <c r="J326" s="17"/>
      <c r="K326" s="17"/>
      <c r="L326" s="17"/>
      <c r="M326" s="17"/>
      <c r="N326" s="17"/>
      <c r="O326" s="17"/>
      <c r="P326" s="17"/>
      <c r="Q326" s="123"/>
      <c r="R326" s="17"/>
    </row>
    <row r="327" spans="1:18" x14ac:dyDescent="0.25">
      <c r="A327" s="3"/>
      <c r="B327" s="17"/>
      <c r="C327" s="17"/>
      <c r="D327" s="17"/>
      <c r="E327" s="17"/>
      <c r="F327" s="17"/>
      <c r="G327" s="17"/>
      <c r="H327" s="17"/>
      <c r="I327" s="17"/>
      <c r="J327" s="17"/>
      <c r="K327" s="17"/>
      <c r="L327" s="17"/>
      <c r="M327" s="17"/>
      <c r="N327" s="17"/>
      <c r="O327" s="17"/>
      <c r="P327" s="17"/>
      <c r="Q327" s="123"/>
      <c r="R327" s="17"/>
    </row>
    <row r="328" spans="1:18" x14ac:dyDescent="0.25">
      <c r="A328" s="3"/>
      <c r="B328" s="17"/>
      <c r="C328" s="17"/>
      <c r="D328" s="17"/>
      <c r="E328" s="17"/>
      <c r="F328" s="17"/>
      <c r="G328" s="17"/>
      <c r="H328" s="17"/>
      <c r="I328" s="17"/>
      <c r="J328" s="17"/>
      <c r="K328" s="17"/>
      <c r="L328" s="17"/>
      <c r="M328" s="17"/>
      <c r="N328" s="17"/>
      <c r="O328" s="17"/>
      <c r="P328" s="17"/>
      <c r="Q328" s="123"/>
      <c r="R328" s="17"/>
    </row>
    <row r="329" spans="1:18" x14ac:dyDescent="0.25">
      <c r="A329" s="3"/>
      <c r="B329" s="17"/>
      <c r="C329" s="17"/>
      <c r="D329" s="17"/>
      <c r="E329" s="17"/>
      <c r="F329" s="17"/>
      <c r="G329" s="17"/>
      <c r="H329" s="17"/>
      <c r="I329" s="17"/>
      <c r="J329" s="17"/>
      <c r="K329" s="17"/>
      <c r="L329" s="17"/>
      <c r="M329" s="17"/>
      <c r="N329" s="17"/>
      <c r="O329" s="17"/>
      <c r="P329" s="17"/>
      <c r="Q329" s="123"/>
      <c r="R329" s="17"/>
    </row>
    <row r="330" spans="1:18" x14ac:dyDescent="0.25">
      <c r="A330" s="3"/>
      <c r="B330" s="17"/>
      <c r="C330" s="17"/>
      <c r="D330" s="17"/>
      <c r="E330" s="17"/>
      <c r="F330" s="17"/>
      <c r="G330" s="17"/>
      <c r="H330" s="17"/>
      <c r="I330" s="17"/>
      <c r="J330" s="17"/>
      <c r="K330" s="17"/>
      <c r="L330" s="17"/>
      <c r="M330" s="17"/>
      <c r="N330" s="17"/>
      <c r="O330" s="17"/>
      <c r="P330" s="17"/>
      <c r="Q330" s="123"/>
      <c r="R330" s="17"/>
    </row>
    <row r="331" spans="1:18" x14ac:dyDescent="0.25">
      <c r="A331" s="3"/>
      <c r="B331" s="17"/>
      <c r="C331" s="17"/>
      <c r="D331" s="17"/>
      <c r="E331" s="17"/>
      <c r="F331" s="17"/>
      <c r="G331" s="17"/>
      <c r="H331" s="17"/>
      <c r="I331" s="17"/>
      <c r="J331" s="17"/>
      <c r="K331" s="17"/>
      <c r="L331" s="17"/>
      <c r="M331" s="17"/>
      <c r="N331" s="17"/>
      <c r="O331" s="17"/>
      <c r="P331" s="17"/>
      <c r="Q331" s="123"/>
      <c r="R331" s="17"/>
    </row>
    <row r="332" spans="1:18" x14ac:dyDescent="0.25">
      <c r="A332" s="3"/>
      <c r="B332" s="17"/>
      <c r="C332" s="17"/>
      <c r="D332" s="17"/>
      <c r="E332" s="17"/>
      <c r="F332" s="17"/>
      <c r="G332" s="17"/>
      <c r="H332" s="17"/>
      <c r="I332" s="17"/>
      <c r="J332" s="17"/>
      <c r="K332" s="17"/>
      <c r="L332" s="17"/>
      <c r="M332" s="17"/>
      <c r="N332" s="17"/>
      <c r="O332" s="17"/>
      <c r="P332" s="17"/>
      <c r="Q332" s="123"/>
      <c r="R332" s="17"/>
    </row>
    <row r="333" spans="1:18" x14ac:dyDescent="0.25">
      <c r="A333" s="3"/>
      <c r="B333" s="17"/>
      <c r="C333" s="17"/>
      <c r="D333" s="17"/>
      <c r="E333" s="17"/>
      <c r="F333" s="17"/>
      <c r="G333" s="17"/>
      <c r="H333" s="17"/>
      <c r="I333" s="17"/>
      <c r="J333" s="17"/>
      <c r="K333" s="17"/>
      <c r="L333" s="17"/>
      <c r="M333" s="17"/>
      <c r="N333" s="17"/>
      <c r="O333" s="17"/>
      <c r="P333" s="17"/>
      <c r="Q333" s="123"/>
      <c r="R333" s="17"/>
    </row>
    <row r="334" spans="1:18" x14ac:dyDescent="0.25">
      <c r="A334" s="3"/>
      <c r="B334" s="17"/>
      <c r="C334" s="17"/>
      <c r="D334" s="17"/>
      <c r="E334" s="17"/>
      <c r="F334" s="17"/>
      <c r="G334" s="17"/>
      <c r="H334" s="17"/>
      <c r="I334" s="17"/>
      <c r="J334" s="17"/>
      <c r="K334" s="17"/>
      <c r="L334" s="17"/>
      <c r="M334" s="17"/>
      <c r="N334" s="17"/>
      <c r="O334" s="17"/>
      <c r="P334" s="17"/>
      <c r="Q334" s="123"/>
      <c r="R334" s="17"/>
    </row>
    <row r="335" spans="1:18" x14ac:dyDescent="0.25">
      <c r="A335" s="3"/>
      <c r="B335" s="17"/>
      <c r="C335" s="17"/>
      <c r="D335" s="17"/>
      <c r="E335" s="17"/>
      <c r="F335" s="17"/>
      <c r="G335" s="17"/>
      <c r="H335" s="17"/>
      <c r="I335" s="17"/>
      <c r="J335" s="17"/>
      <c r="K335" s="17"/>
      <c r="L335" s="17"/>
      <c r="M335" s="17"/>
      <c r="N335" s="17"/>
      <c r="O335" s="17"/>
      <c r="P335" s="17"/>
      <c r="Q335" s="123"/>
      <c r="R335" s="17"/>
    </row>
    <row r="336" spans="1:18" x14ac:dyDescent="0.25">
      <c r="A336" s="3"/>
      <c r="B336" s="17"/>
      <c r="C336" s="17"/>
      <c r="D336" s="17"/>
      <c r="E336" s="17"/>
      <c r="F336" s="17"/>
      <c r="G336" s="17"/>
      <c r="H336" s="17"/>
      <c r="I336" s="17"/>
      <c r="J336" s="17"/>
      <c r="K336" s="17"/>
      <c r="L336" s="17"/>
      <c r="M336" s="17"/>
      <c r="N336" s="17"/>
      <c r="O336" s="17"/>
      <c r="P336" s="17"/>
      <c r="Q336" s="123"/>
      <c r="R336" s="17"/>
    </row>
    <row r="337" spans="1:18" x14ac:dyDescent="0.25">
      <c r="A337" s="3"/>
      <c r="B337" s="17"/>
      <c r="C337" s="17"/>
      <c r="D337" s="17"/>
      <c r="E337" s="17"/>
      <c r="F337" s="17"/>
      <c r="G337" s="17"/>
      <c r="H337" s="17"/>
      <c r="I337" s="17"/>
      <c r="J337" s="17"/>
      <c r="K337" s="17"/>
      <c r="L337" s="17"/>
      <c r="M337" s="17"/>
      <c r="N337" s="17"/>
      <c r="O337" s="17"/>
      <c r="P337" s="17"/>
      <c r="Q337" s="123"/>
      <c r="R337" s="17"/>
    </row>
    <row r="338" spans="1:18" x14ac:dyDescent="0.25">
      <c r="A338" s="3"/>
      <c r="B338" s="17"/>
      <c r="C338" s="17"/>
      <c r="D338" s="17"/>
      <c r="E338" s="17"/>
      <c r="F338" s="17"/>
      <c r="G338" s="17"/>
      <c r="H338" s="17"/>
      <c r="I338" s="17"/>
      <c r="J338" s="17"/>
      <c r="K338" s="17"/>
      <c r="L338" s="17"/>
      <c r="M338" s="17"/>
      <c r="N338" s="17"/>
      <c r="O338" s="17"/>
      <c r="P338" s="17"/>
      <c r="Q338" s="123"/>
      <c r="R338" s="17"/>
    </row>
    <row r="339" spans="1:18" x14ac:dyDescent="0.25">
      <c r="A339" s="3"/>
      <c r="B339" s="17"/>
      <c r="C339" s="17"/>
      <c r="D339" s="17"/>
      <c r="E339" s="17"/>
      <c r="F339" s="17"/>
      <c r="G339" s="17"/>
      <c r="H339" s="17"/>
      <c r="I339" s="17"/>
      <c r="J339" s="17"/>
      <c r="K339" s="17"/>
      <c r="L339" s="17"/>
      <c r="M339" s="17"/>
      <c r="N339" s="17"/>
      <c r="O339" s="17"/>
      <c r="P339" s="17"/>
      <c r="Q339" s="123"/>
      <c r="R339" s="17"/>
    </row>
    <row r="340" spans="1:18" x14ac:dyDescent="0.25">
      <c r="A340" s="3"/>
      <c r="B340" s="17"/>
      <c r="C340" s="17"/>
      <c r="D340" s="17"/>
      <c r="E340" s="17"/>
      <c r="F340" s="17"/>
      <c r="G340" s="17"/>
      <c r="H340" s="17"/>
      <c r="I340" s="17"/>
      <c r="J340" s="17"/>
      <c r="K340" s="17"/>
      <c r="L340" s="17"/>
      <c r="M340" s="17"/>
      <c r="N340" s="17"/>
      <c r="O340" s="17"/>
      <c r="P340" s="17"/>
      <c r="Q340" s="123"/>
      <c r="R340" s="17"/>
    </row>
    <row r="341" spans="1:18" x14ac:dyDescent="0.25">
      <c r="A341" s="3"/>
      <c r="B341" s="17"/>
      <c r="C341" s="17"/>
      <c r="D341" s="17"/>
      <c r="E341" s="17"/>
      <c r="F341" s="17"/>
      <c r="G341" s="17"/>
      <c r="H341" s="17"/>
      <c r="I341" s="17"/>
      <c r="J341" s="17"/>
      <c r="K341" s="17"/>
      <c r="L341" s="17"/>
      <c r="M341" s="17"/>
      <c r="N341" s="17"/>
      <c r="O341" s="17"/>
      <c r="P341" s="17"/>
      <c r="Q341" s="123"/>
      <c r="R341" s="17"/>
    </row>
    <row r="342" spans="1:18" x14ac:dyDescent="0.25">
      <c r="A342" s="3"/>
      <c r="B342" s="17"/>
      <c r="C342" s="17"/>
      <c r="D342" s="17"/>
      <c r="E342" s="17"/>
      <c r="F342" s="17"/>
      <c r="G342" s="17"/>
      <c r="H342" s="17"/>
      <c r="I342" s="17"/>
      <c r="J342" s="17"/>
      <c r="K342" s="17"/>
      <c r="L342" s="17"/>
      <c r="M342" s="17"/>
      <c r="N342" s="17"/>
      <c r="O342" s="17"/>
      <c r="P342" s="17"/>
      <c r="Q342" s="123"/>
      <c r="R342" s="17"/>
    </row>
    <row r="343" spans="1:18" x14ac:dyDescent="0.25">
      <c r="A343" s="3"/>
      <c r="B343" s="17"/>
      <c r="C343" s="17"/>
      <c r="D343" s="17"/>
      <c r="E343" s="17"/>
      <c r="F343" s="17"/>
      <c r="G343" s="17"/>
      <c r="H343" s="17"/>
      <c r="I343" s="17"/>
      <c r="J343" s="17"/>
      <c r="K343" s="17"/>
      <c r="L343" s="17"/>
      <c r="M343" s="17"/>
      <c r="N343" s="17"/>
      <c r="O343" s="17"/>
      <c r="P343" s="17"/>
      <c r="Q343" s="123"/>
      <c r="R343" s="17"/>
    </row>
    <row r="344" spans="1:18" x14ac:dyDescent="0.25">
      <c r="A344" s="3"/>
      <c r="B344" s="17"/>
      <c r="C344" s="17"/>
      <c r="D344" s="17"/>
      <c r="E344" s="17"/>
      <c r="F344" s="17"/>
      <c r="G344" s="17"/>
      <c r="H344" s="17"/>
      <c r="I344" s="17"/>
      <c r="J344" s="17"/>
      <c r="K344" s="17"/>
      <c r="L344" s="17"/>
      <c r="M344" s="17"/>
      <c r="N344" s="17"/>
      <c r="O344" s="17"/>
      <c r="P344" s="17"/>
      <c r="Q344" s="123"/>
      <c r="R344" s="17"/>
    </row>
    <row r="345" spans="1:18" x14ac:dyDescent="0.25">
      <c r="A345" s="3"/>
      <c r="B345" s="17"/>
      <c r="C345" s="17"/>
      <c r="D345" s="17"/>
      <c r="E345" s="17"/>
      <c r="F345" s="17"/>
      <c r="G345" s="17"/>
      <c r="H345" s="17"/>
      <c r="I345" s="17"/>
      <c r="J345" s="17"/>
      <c r="K345" s="17"/>
      <c r="L345" s="17"/>
      <c r="M345" s="17"/>
      <c r="N345" s="17"/>
      <c r="O345" s="17"/>
      <c r="P345" s="17"/>
      <c r="Q345" s="123"/>
      <c r="R345" s="17"/>
    </row>
    <row r="346" spans="1:18" x14ac:dyDescent="0.25">
      <c r="A346" s="3"/>
      <c r="B346" s="17"/>
      <c r="C346" s="17"/>
      <c r="D346" s="17"/>
      <c r="E346" s="17"/>
      <c r="F346" s="17"/>
      <c r="G346" s="17"/>
      <c r="H346" s="17"/>
      <c r="I346" s="17"/>
      <c r="J346" s="17"/>
      <c r="K346" s="17"/>
      <c r="L346" s="17"/>
      <c r="M346" s="17"/>
      <c r="N346" s="17"/>
      <c r="O346" s="17"/>
      <c r="P346" s="17"/>
      <c r="Q346" s="123"/>
      <c r="R346" s="17"/>
    </row>
    <row r="347" spans="1:18" x14ac:dyDescent="0.25">
      <c r="A347" s="3"/>
      <c r="B347" s="17"/>
      <c r="C347" s="17"/>
      <c r="D347" s="17"/>
      <c r="E347" s="17"/>
      <c r="F347" s="17"/>
      <c r="G347" s="17"/>
      <c r="H347" s="17"/>
      <c r="I347" s="17"/>
      <c r="J347" s="17"/>
      <c r="K347" s="17"/>
      <c r="L347" s="17"/>
      <c r="M347" s="17"/>
      <c r="N347" s="17"/>
      <c r="O347" s="17"/>
      <c r="P347" s="17"/>
      <c r="Q347" s="123"/>
      <c r="R347" s="17"/>
    </row>
    <row r="348" spans="1:18" x14ac:dyDescent="0.25">
      <c r="A348" s="3"/>
      <c r="B348" s="17"/>
      <c r="C348" s="17"/>
      <c r="D348" s="17"/>
      <c r="E348" s="17"/>
      <c r="F348" s="17"/>
      <c r="G348" s="17"/>
      <c r="H348" s="17"/>
      <c r="I348" s="17"/>
      <c r="J348" s="17"/>
      <c r="K348" s="17"/>
      <c r="L348" s="17"/>
      <c r="M348" s="17"/>
      <c r="N348" s="17"/>
      <c r="O348" s="17"/>
      <c r="P348" s="17"/>
      <c r="Q348" s="123"/>
      <c r="R348" s="17"/>
    </row>
    <row r="349" spans="1:18" x14ac:dyDescent="0.25">
      <c r="A349" s="3"/>
      <c r="B349" s="17"/>
      <c r="C349" s="17"/>
      <c r="D349" s="17"/>
      <c r="E349" s="17"/>
      <c r="F349" s="17"/>
      <c r="G349" s="17"/>
      <c r="H349" s="17"/>
      <c r="I349" s="17"/>
      <c r="J349" s="17"/>
      <c r="K349" s="17"/>
      <c r="L349" s="17"/>
      <c r="M349" s="17"/>
      <c r="N349" s="17"/>
      <c r="O349" s="17"/>
      <c r="P349" s="17"/>
      <c r="Q349" s="123"/>
      <c r="R349" s="17"/>
    </row>
    <row r="350" spans="1:18" x14ac:dyDescent="0.25">
      <c r="A350" s="3"/>
      <c r="B350" s="17"/>
      <c r="C350" s="17"/>
      <c r="D350" s="17"/>
      <c r="E350" s="17"/>
      <c r="F350" s="17"/>
      <c r="G350" s="17"/>
      <c r="H350" s="17"/>
      <c r="I350" s="17"/>
      <c r="J350" s="17"/>
      <c r="K350" s="17"/>
      <c r="L350" s="17"/>
      <c r="M350" s="17"/>
      <c r="N350" s="17"/>
      <c r="O350" s="17"/>
      <c r="P350" s="17"/>
      <c r="Q350" s="123"/>
      <c r="R350" s="17"/>
    </row>
    <row r="351" spans="1:18" x14ac:dyDescent="0.25">
      <c r="A351" s="3"/>
      <c r="B351" s="17"/>
      <c r="C351" s="17"/>
      <c r="D351" s="17"/>
      <c r="E351" s="17"/>
      <c r="F351" s="17"/>
      <c r="G351" s="17"/>
      <c r="H351" s="17"/>
      <c r="I351" s="17"/>
      <c r="J351" s="17"/>
      <c r="K351" s="17"/>
      <c r="L351" s="17"/>
      <c r="M351" s="17"/>
      <c r="N351" s="17"/>
      <c r="O351" s="17"/>
      <c r="P351" s="17"/>
      <c r="Q351" s="123"/>
      <c r="R351" s="17"/>
    </row>
    <row r="352" spans="1:18" x14ac:dyDescent="0.25">
      <c r="A352" s="3"/>
      <c r="B352" s="17"/>
      <c r="C352" s="17"/>
      <c r="D352" s="17"/>
      <c r="E352" s="17"/>
      <c r="F352" s="17"/>
      <c r="G352" s="17"/>
      <c r="H352" s="17"/>
      <c r="I352" s="17"/>
      <c r="J352" s="17"/>
      <c r="K352" s="17"/>
      <c r="L352" s="17"/>
      <c r="M352" s="17"/>
      <c r="N352" s="17"/>
      <c r="O352" s="17"/>
      <c r="P352" s="17"/>
      <c r="Q352" s="123"/>
      <c r="R352" s="17"/>
    </row>
    <row r="353" spans="1:18" x14ac:dyDescent="0.25">
      <c r="A353" s="3"/>
      <c r="B353" s="17"/>
      <c r="C353" s="17"/>
      <c r="D353" s="17"/>
      <c r="E353" s="17"/>
      <c r="F353" s="17"/>
      <c r="G353" s="17"/>
      <c r="H353" s="17"/>
      <c r="I353" s="17"/>
      <c r="J353" s="17"/>
      <c r="K353" s="17"/>
      <c r="L353" s="17"/>
      <c r="M353" s="17"/>
      <c r="N353" s="17"/>
      <c r="O353" s="17"/>
      <c r="P353" s="17"/>
      <c r="Q353" s="123"/>
      <c r="R353" s="17"/>
    </row>
    <row r="354" spans="1:18" x14ac:dyDescent="0.25">
      <c r="A354" s="3"/>
      <c r="B354" s="17"/>
      <c r="C354" s="17"/>
      <c r="D354" s="17"/>
      <c r="E354" s="17"/>
      <c r="F354" s="17"/>
      <c r="G354" s="17"/>
      <c r="H354" s="17"/>
      <c r="I354" s="17"/>
      <c r="J354" s="17"/>
      <c r="K354" s="17"/>
      <c r="L354" s="17"/>
      <c r="M354" s="17"/>
      <c r="N354" s="17"/>
      <c r="O354" s="17"/>
      <c r="P354" s="17"/>
      <c r="Q354" s="123"/>
      <c r="R354" s="17"/>
    </row>
    <row r="355" spans="1:18" x14ac:dyDescent="0.25">
      <c r="A355" s="3"/>
      <c r="B355" s="17"/>
      <c r="C355" s="17"/>
      <c r="D355" s="17"/>
      <c r="E355" s="17"/>
      <c r="F355" s="17"/>
      <c r="G355" s="17"/>
      <c r="H355" s="17"/>
      <c r="I355" s="17"/>
      <c r="J355" s="17"/>
      <c r="K355" s="17"/>
      <c r="L355" s="17"/>
      <c r="M355" s="17"/>
      <c r="N355" s="17"/>
      <c r="O355" s="17"/>
      <c r="P355" s="17"/>
      <c r="Q355" s="123"/>
      <c r="R355" s="17"/>
    </row>
    <row r="356" spans="1:18" x14ac:dyDescent="0.25">
      <c r="A356" s="3"/>
      <c r="B356" s="17"/>
      <c r="C356" s="17"/>
      <c r="D356" s="17"/>
      <c r="E356" s="17"/>
      <c r="F356" s="17"/>
      <c r="G356" s="17"/>
      <c r="H356" s="17"/>
      <c r="I356" s="17"/>
      <c r="J356" s="17"/>
      <c r="K356" s="17"/>
      <c r="L356" s="17"/>
      <c r="M356" s="17"/>
      <c r="N356" s="17"/>
      <c r="O356" s="17"/>
      <c r="P356" s="17"/>
      <c r="Q356" s="123"/>
      <c r="R356" s="17"/>
    </row>
    <row r="357" spans="1:18" x14ac:dyDescent="0.25">
      <c r="A357" s="3"/>
      <c r="B357" s="17"/>
      <c r="C357" s="17"/>
      <c r="D357" s="17"/>
      <c r="E357" s="17"/>
      <c r="F357" s="17"/>
      <c r="G357" s="17"/>
      <c r="H357" s="17"/>
      <c r="I357" s="17"/>
      <c r="J357" s="17"/>
      <c r="K357" s="17"/>
      <c r="L357" s="17"/>
      <c r="M357" s="17"/>
      <c r="N357" s="17"/>
      <c r="O357" s="17"/>
      <c r="P357" s="17"/>
      <c r="Q357" s="123"/>
      <c r="R357" s="17"/>
    </row>
    <row r="358" spans="1:18" x14ac:dyDescent="0.25">
      <c r="A358" s="3"/>
      <c r="B358" s="17"/>
      <c r="C358" s="17"/>
      <c r="D358" s="17"/>
      <c r="E358" s="17"/>
      <c r="F358" s="17"/>
      <c r="G358" s="17"/>
      <c r="H358" s="17"/>
      <c r="I358" s="17"/>
      <c r="J358" s="17"/>
      <c r="K358" s="17"/>
      <c r="L358" s="17"/>
      <c r="M358" s="17"/>
      <c r="N358" s="17"/>
      <c r="O358" s="17"/>
      <c r="P358" s="17"/>
      <c r="Q358" s="123"/>
      <c r="R358" s="17"/>
    </row>
    <row r="359" spans="1:18" x14ac:dyDescent="0.25">
      <c r="A359" s="3"/>
      <c r="B359" s="17"/>
      <c r="C359" s="17"/>
      <c r="D359" s="17"/>
      <c r="E359" s="17"/>
      <c r="F359" s="17"/>
      <c r="G359" s="17"/>
      <c r="H359" s="17"/>
      <c r="I359" s="17"/>
      <c r="J359" s="17"/>
      <c r="K359" s="17"/>
      <c r="L359" s="17"/>
      <c r="M359" s="17"/>
      <c r="N359" s="17"/>
      <c r="O359" s="17"/>
      <c r="P359" s="17"/>
      <c r="Q359" s="123"/>
      <c r="R359" s="17"/>
    </row>
    <row r="360" spans="1:18" x14ac:dyDescent="0.25">
      <c r="A360" s="3"/>
      <c r="B360" s="17"/>
      <c r="C360" s="17"/>
      <c r="D360" s="17"/>
      <c r="E360" s="17"/>
      <c r="F360" s="17"/>
      <c r="G360" s="17"/>
      <c r="H360" s="17"/>
      <c r="I360" s="17"/>
      <c r="J360" s="17"/>
      <c r="K360" s="17"/>
      <c r="L360" s="17"/>
      <c r="M360" s="17"/>
      <c r="N360" s="17"/>
      <c r="O360" s="17"/>
      <c r="P360" s="17"/>
      <c r="Q360" s="123"/>
      <c r="R360" s="17"/>
    </row>
    <row r="361" spans="1:18" x14ac:dyDescent="0.25">
      <c r="A361" s="3"/>
      <c r="B361" s="17"/>
      <c r="C361" s="17"/>
      <c r="D361" s="17"/>
      <c r="E361" s="17"/>
      <c r="F361" s="17"/>
      <c r="G361" s="17"/>
      <c r="H361" s="17"/>
      <c r="I361" s="17"/>
      <c r="J361" s="17"/>
      <c r="K361" s="17"/>
      <c r="L361" s="17"/>
      <c r="M361" s="17"/>
      <c r="N361" s="17"/>
      <c r="O361" s="17"/>
      <c r="P361" s="17"/>
      <c r="Q361" s="123"/>
      <c r="R361" s="17"/>
    </row>
    <row r="362" spans="1:18" x14ac:dyDescent="0.25">
      <c r="A362" s="3"/>
      <c r="B362" s="17"/>
      <c r="C362" s="17"/>
      <c r="D362" s="17"/>
      <c r="E362" s="17"/>
      <c r="F362" s="17"/>
      <c r="G362" s="17"/>
      <c r="H362" s="17"/>
      <c r="I362" s="17"/>
      <c r="J362" s="17"/>
      <c r="K362" s="17"/>
      <c r="L362" s="17"/>
      <c r="M362" s="17"/>
      <c r="N362" s="17"/>
      <c r="O362" s="17"/>
      <c r="P362" s="17"/>
      <c r="Q362" s="123"/>
      <c r="R362" s="17"/>
    </row>
    <row r="363" spans="1:18" x14ac:dyDescent="0.25">
      <c r="A363" s="3"/>
      <c r="B363" s="17"/>
      <c r="C363" s="17"/>
      <c r="D363" s="17"/>
      <c r="E363" s="17"/>
      <c r="F363" s="17"/>
      <c r="G363" s="17"/>
      <c r="H363" s="17"/>
      <c r="I363" s="17"/>
      <c r="J363" s="17"/>
      <c r="K363" s="17"/>
      <c r="L363" s="17"/>
      <c r="M363" s="17"/>
      <c r="N363" s="17"/>
      <c r="O363" s="17"/>
      <c r="P363" s="17"/>
      <c r="Q363" s="123"/>
      <c r="R363" s="17"/>
    </row>
    <row r="364" spans="1:18" x14ac:dyDescent="0.25">
      <c r="A364" s="3"/>
      <c r="B364" s="17"/>
      <c r="C364" s="17"/>
      <c r="D364" s="17"/>
      <c r="E364" s="17"/>
      <c r="F364" s="17"/>
      <c r="G364" s="17"/>
      <c r="H364" s="17"/>
      <c r="I364" s="17"/>
      <c r="J364" s="17"/>
      <c r="K364" s="17"/>
      <c r="L364" s="17"/>
      <c r="M364" s="17"/>
      <c r="N364" s="17"/>
      <c r="O364" s="17"/>
      <c r="P364" s="17"/>
      <c r="Q364" s="123"/>
      <c r="R364" s="17"/>
    </row>
    <row r="365" spans="1:18" x14ac:dyDescent="0.25">
      <c r="A365" s="3"/>
      <c r="B365" s="17"/>
      <c r="C365" s="17"/>
      <c r="D365" s="17"/>
      <c r="E365" s="17"/>
      <c r="F365" s="17"/>
      <c r="G365" s="17"/>
      <c r="H365" s="17"/>
      <c r="I365" s="17"/>
      <c r="J365" s="17"/>
      <c r="K365" s="17"/>
      <c r="L365" s="17"/>
      <c r="M365" s="17"/>
      <c r="N365" s="17"/>
      <c r="O365" s="17"/>
      <c r="P365" s="17"/>
      <c r="Q365" s="123"/>
      <c r="R365" s="17"/>
    </row>
    <row r="366" spans="1:18" x14ac:dyDescent="0.25">
      <c r="A366" s="3"/>
      <c r="B366" s="17"/>
      <c r="C366" s="17"/>
      <c r="D366" s="17"/>
      <c r="E366" s="17"/>
      <c r="F366" s="17"/>
      <c r="G366" s="17"/>
      <c r="H366" s="17"/>
      <c r="I366" s="17"/>
      <c r="J366" s="17"/>
      <c r="K366" s="17"/>
      <c r="L366" s="17"/>
      <c r="M366" s="17"/>
      <c r="N366" s="17"/>
      <c r="O366" s="17"/>
      <c r="P366" s="17"/>
      <c r="Q366" s="123"/>
      <c r="R366" s="17"/>
    </row>
    <row r="367" spans="1:18" x14ac:dyDescent="0.25">
      <c r="A367" s="3"/>
      <c r="B367" s="17"/>
      <c r="C367" s="17"/>
      <c r="D367" s="17"/>
      <c r="E367" s="17"/>
      <c r="F367" s="17"/>
      <c r="G367" s="17"/>
      <c r="H367" s="17"/>
      <c r="I367" s="17"/>
      <c r="J367" s="17"/>
      <c r="K367" s="17"/>
      <c r="L367" s="17"/>
      <c r="M367" s="17"/>
      <c r="N367" s="17"/>
      <c r="O367" s="17"/>
      <c r="P367" s="17"/>
      <c r="Q367" s="123"/>
      <c r="R367" s="17"/>
    </row>
    <row r="368" spans="1:18" x14ac:dyDescent="0.25">
      <c r="A368" s="3"/>
      <c r="B368" s="17"/>
      <c r="C368" s="17"/>
      <c r="D368" s="17"/>
      <c r="E368" s="17"/>
      <c r="F368" s="17"/>
      <c r="G368" s="17"/>
      <c r="H368" s="17"/>
      <c r="I368" s="17"/>
      <c r="J368" s="17"/>
      <c r="K368" s="17"/>
      <c r="L368" s="17"/>
      <c r="M368" s="17"/>
      <c r="N368" s="17"/>
      <c r="O368" s="17"/>
      <c r="P368" s="17"/>
      <c r="Q368" s="123"/>
      <c r="R368" s="17"/>
    </row>
    <row r="369" spans="1:18" x14ac:dyDescent="0.25">
      <c r="A369" s="3"/>
      <c r="B369" s="17"/>
      <c r="C369" s="17"/>
      <c r="D369" s="17"/>
      <c r="E369" s="17"/>
      <c r="F369" s="17"/>
      <c r="G369" s="17"/>
      <c r="H369" s="17"/>
      <c r="I369" s="17"/>
      <c r="J369" s="17"/>
      <c r="K369" s="17"/>
      <c r="L369" s="17"/>
      <c r="M369" s="17"/>
      <c r="N369" s="17"/>
      <c r="O369" s="17"/>
      <c r="P369" s="17"/>
      <c r="Q369" s="123"/>
      <c r="R369" s="17"/>
    </row>
    <row r="370" spans="1:18" x14ac:dyDescent="0.25">
      <c r="A370" s="3"/>
      <c r="B370" s="17"/>
      <c r="C370" s="17"/>
      <c r="D370" s="17"/>
      <c r="E370" s="17"/>
      <c r="F370" s="17"/>
      <c r="G370" s="17"/>
      <c r="H370" s="17"/>
      <c r="I370" s="17"/>
      <c r="J370" s="17"/>
      <c r="K370" s="17"/>
      <c r="L370" s="17"/>
      <c r="M370" s="17"/>
      <c r="N370" s="17"/>
      <c r="O370" s="17"/>
      <c r="P370" s="17"/>
      <c r="Q370" s="123"/>
      <c r="R370" s="17"/>
    </row>
    <row r="371" spans="1:18" x14ac:dyDescent="0.25">
      <c r="A371" s="3"/>
      <c r="B371" s="17"/>
      <c r="C371" s="17"/>
      <c r="D371" s="17"/>
      <c r="E371" s="17"/>
      <c r="F371" s="17"/>
      <c r="G371" s="17"/>
      <c r="H371" s="17"/>
      <c r="I371" s="17"/>
      <c r="J371" s="17"/>
      <c r="K371" s="17"/>
      <c r="L371" s="17"/>
      <c r="M371" s="17"/>
      <c r="N371" s="17"/>
      <c r="O371" s="17"/>
      <c r="P371" s="17"/>
      <c r="Q371" s="123"/>
      <c r="R371" s="17"/>
    </row>
    <row r="372" spans="1:18" x14ac:dyDescent="0.25">
      <c r="A372" s="3"/>
      <c r="B372" s="17"/>
      <c r="C372" s="17"/>
      <c r="D372" s="17"/>
      <c r="E372" s="17"/>
      <c r="F372" s="17"/>
      <c r="G372" s="17"/>
      <c r="H372" s="17"/>
      <c r="I372" s="17"/>
      <c r="J372" s="17"/>
      <c r="K372" s="17"/>
      <c r="L372" s="17"/>
      <c r="M372" s="17"/>
      <c r="N372" s="17"/>
      <c r="O372" s="17"/>
      <c r="P372" s="17"/>
      <c r="Q372" s="123"/>
      <c r="R372" s="17"/>
    </row>
    <row r="373" spans="1:18" x14ac:dyDescent="0.25">
      <c r="A373" s="3"/>
      <c r="B373" s="17"/>
      <c r="C373" s="17"/>
      <c r="D373" s="17"/>
      <c r="E373" s="17"/>
      <c r="F373" s="17"/>
      <c r="G373" s="17"/>
      <c r="H373" s="17"/>
      <c r="I373" s="17"/>
      <c r="J373" s="17"/>
      <c r="K373" s="17"/>
      <c r="L373" s="17"/>
      <c r="M373" s="17"/>
      <c r="N373" s="17"/>
      <c r="O373" s="17"/>
      <c r="P373" s="17"/>
      <c r="Q373" s="123"/>
      <c r="R373" s="17"/>
    </row>
    <row r="374" spans="1:18" x14ac:dyDescent="0.25">
      <c r="A374" s="3"/>
      <c r="B374" s="17"/>
      <c r="C374" s="17"/>
      <c r="D374" s="17"/>
      <c r="E374" s="17"/>
      <c r="F374" s="17"/>
      <c r="G374" s="17"/>
      <c r="H374" s="17"/>
      <c r="I374" s="17"/>
      <c r="J374" s="17"/>
      <c r="K374" s="17"/>
      <c r="L374" s="17"/>
      <c r="M374" s="17"/>
      <c r="N374" s="17"/>
      <c r="O374" s="17"/>
      <c r="P374" s="17"/>
      <c r="Q374" s="123"/>
      <c r="R374" s="17"/>
    </row>
    <row r="375" spans="1:18" x14ac:dyDescent="0.25">
      <c r="A375" s="3"/>
      <c r="B375" s="17"/>
      <c r="C375" s="17"/>
      <c r="D375" s="17"/>
      <c r="E375" s="17"/>
      <c r="F375" s="17"/>
      <c r="G375" s="17"/>
      <c r="H375" s="17"/>
      <c r="I375" s="17"/>
      <c r="J375" s="17"/>
      <c r="K375" s="17"/>
      <c r="L375" s="17"/>
      <c r="M375" s="17"/>
      <c r="N375" s="17"/>
      <c r="O375" s="17"/>
      <c r="P375" s="17"/>
      <c r="Q375" s="123"/>
      <c r="R375" s="17"/>
    </row>
    <row r="376" spans="1:18" x14ac:dyDescent="0.25">
      <c r="A376" s="3"/>
      <c r="B376" s="17"/>
      <c r="C376" s="17"/>
      <c r="D376" s="17"/>
      <c r="E376" s="17"/>
      <c r="F376" s="17"/>
      <c r="G376" s="17"/>
      <c r="H376" s="17"/>
      <c r="I376" s="17"/>
      <c r="J376" s="17"/>
      <c r="K376" s="17"/>
      <c r="L376" s="17"/>
      <c r="M376" s="17"/>
      <c r="N376" s="17"/>
      <c r="O376" s="17"/>
      <c r="P376" s="17"/>
      <c r="Q376" s="123"/>
      <c r="R376" s="17"/>
    </row>
    <row r="377" spans="1:18" x14ac:dyDescent="0.25">
      <c r="A377" s="3"/>
      <c r="B377" s="17"/>
      <c r="C377" s="17"/>
      <c r="D377" s="17"/>
      <c r="E377" s="17"/>
      <c r="F377" s="17"/>
      <c r="G377" s="17"/>
      <c r="H377" s="17"/>
      <c r="I377" s="17"/>
      <c r="J377" s="17"/>
      <c r="K377" s="17"/>
      <c r="L377" s="17"/>
      <c r="M377" s="17"/>
      <c r="N377" s="17"/>
      <c r="O377" s="17"/>
      <c r="P377" s="17"/>
      <c r="Q377" s="123"/>
      <c r="R377" s="17"/>
    </row>
    <row r="378" spans="1:18" x14ac:dyDescent="0.25">
      <c r="A378" s="3"/>
      <c r="B378" s="17"/>
      <c r="C378" s="17"/>
      <c r="D378" s="17"/>
      <c r="E378" s="17"/>
      <c r="F378" s="17"/>
      <c r="G378" s="17"/>
      <c r="H378" s="17"/>
      <c r="I378" s="17"/>
      <c r="J378" s="17"/>
      <c r="K378" s="17"/>
      <c r="L378" s="17"/>
      <c r="M378" s="17"/>
      <c r="N378" s="17"/>
      <c r="O378" s="17"/>
      <c r="P378" s="17"/>
      <c r="Q378" s="123"/>
      <c r="R378" s="17"/>
    </row>
    <row r="379" spans="1:18" x14ac:dyDescent="0.25">
      <c r="A379" s="3"/>
      <c r="B379" s="17"/>
      <c r="C379" s="17"/>
      <c r="D379" s="17"/>
      <c r="E379" s="17"/>
      <c r="F379" s="17"/>
      <c r="G379" s="17"/>
      <c r="H379" s="17"/>
      <c r="I379" s="17"/>
      <c r="J379" s="17"/>
      <c r="K379" s="17"/>
      <c r="L379" s="17"/>
      <c r="M379" s="17"/>
      <c r="N379" s="17"/>
      <c r="O379" s="17"/>
      <c r="P379" s="17"/>
      <c r="Q379" s="123"/>
      <c r="R379" s="17"/>
    </row>
    <row r="380" spans="1:18" x14ac:dyDescent="0.25">
      <c r="A380" s="3"/>
      <c r="B380" s="17"/>
      <c r="C380" s="17"/>
      <c r="D380" s="17"/>
      <c r="E380" s="17"/>
      <c r="F380" s="17"/>
      <c r="G380" s="17"/>
      <c r="H380" s="17"/>
      <c r="I380" s="17"/>
      <c r="J380" s="17"/>
      <c r="K380" s="17"/>
      <c r="L380" s="17"/>
      <c r="M380" s="17"/>
      <c r="N380" s="17"/>
      <c r="O380" s="17"/>
      <c r="P380" s="17"/>
      <c r="Q380" s="123"/>
      <c r="R380" s="17"/>
    </row>
    <row r="381" spans="1:18" x14ac:dyDescent="0.25">
      <c r="A381" s="3"/>
      <c r="B381" s="17"/>
      <c r="C381" s="17"/>
      <c r="D381" s="17"/>
      <c r="E381" s="17"/>
      <c r="F381" s="17"/>
      <c r="G381" s="17"/>
      <c r="H381" s="17"/>
      <c r="I381" s="17"/>
      <c r="J381" s="17"/>
      <c r="K381" s="17"/>
      <c r="L381" s="17"/>
      <c r="M381" s="17"/>
      <c r="N381" s="17"/>
      <c r="O381" s="17"/>
      <c r="P381" s="17"/>
      <c r="Q381" s="123"/>
      <c r="R381" s="17"/>
    </row>
  </sheetData>
  <printOptions horizontalCentered="1"/>
  <pageMargins left="0.59055118110236227" right="0.78740157480314965" top="0.78740157480314965" bottom="0.31496062992125984" header="0.15748031496062992" footer="0.31496062992125984"/>
  <pageSetup paperSize="9" scale="65" fitToWidth="2" orientation="landscape" r:id="rId1"/>
  <headerFooter>
    <oddHeader>&amp;C&amp;"Times New Roman,Félkövér"2020.évi költségvetés
költségvetési szervek
célljellegű kiadási előirányzatai&amp;R&amp;"Times New Roman,Félkövér dőlt"14. melléklet a /2020. () 
önkormányzati rendelethez
ezer forintban</oddHead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G16"/>
  <sheetViews>
    <sheetView workbookViewId="0">
      <pane xSplit="1" ySplit="4" topLeftCell="B5" activePane="bottomRight" state="frozen"/>
      <selection pane="topRight" activeCell="B1" sqref="B1"/>
      <selection pane="bottomLeft" activeCell="A6" sqref="A6"/>
      <selection pane="bottomRight" activeCell="B4" sqref="B4:G4"/>
    </sheetView>
  </sheetViews>
  <sheetFormatPr defaultRowHeight="14.4" x14ac:dyDescent="0.3"/>
  <cols>
    <col min="1" max="1" width="61.6640625" style="685" customWidth="1"/>
    <col min="2" max="7" width="15.77734375" style="685" customWidth="1"/>
    <col min="8" max="232" width="9.109375" style="685"/>
    <col min="233" max="233" width="32.88671875" style="685" customWidth="1"/>
    <col min="234" max="234" width="9.6640625" style="685" customWidth="1"/>
    <col min="235" max="235" width="10.109375" style="685" customWidth="1"/>
    <col min="236" max="236" width="9.109375" style="685" customWidth="1"/>
    <col min="237" max="237" width="10" style="685" customWidth="1"/>
    <col min="238" max="238" width="9.88671875" style="685" customWidth="1"/>
    <col min="239" max="239" width="9.109375" style="685" customWidth="1"/>
    <col min="240" max="240" width="9.5546875" style="685" customWidth="1"/>
    <col min="241" max="241" width="9.6640625" style="685" customWidth="1"/>
    <col min="242" max="242" width="9.5546875" style="685" bestFit="1" customWidth="1"/>
    <col min="243" max="243" width="10.5546875" style="685" customWidth="1"/>
    <col min="244" max="244" width="9.88671875" style="685" customWidth="1"/>
    <col min="245" max="245" width="9.109375" style="685"/>
    <col min="246" max="246" width="10" style="685" customWidth="1"/>
    <col min="247" max="247" width="10.109375" style="685" customWidth="1"/>
    <col min="248" max="248" width="9.109375" style="685"/>
    <col min="249" max="249" width="10" style="685" customWidth="1"/>
    <col min="250" max="250" width="9.6640625" style="685" customWidth="1"/>
    <col min="251" max="251" width="11.33203125" style="685" customWidth="1"/>
    <col min="252" max="252" width="9.6640625" style="685" customWidth="1"/>
    <col min="253" max="253" width="9.88671875" style="685" customWidth="1"/>
    <col min="254" max="254" width="9.109375" style="685"/>
    <col min="255" max="255" width="9.88671875" style="685" customWidth="1"/>
    <col min="256" max="256" width="9.5546875" style="685" customWidth="1"/>
    <col min="257" max="257" width="9.109375" style="685"/>
    <col min="258" max="258" width="10.109375" style="685" customWidth="1"/>
    <col min="259" max="259" width="9.5546875" style="685" customWidth="1"/>
    <col min="260" max="260" width="9.109375" style="685"/>
    <col min="261" max="262" width="9.88671875" style="685" customWidth="1"/>
    <col min="263" max="488" width="9.109375" style="685"/>
    <col min="489" max="489" width="32.88671875" style="685" customWidth="1"/>
    <col min="490" max="490" width="9.6640625" style="685" customWidth="1"/>
    <col min="491" max="491" width="10.109375" style="685" customWidth="1"/>
    <col min="492" max="492" width="9.109375" style="685" customWidth="1"/>
    <col min="493" max="493" width="10" style="685" customWidth="1"/>
    <col min="494" max="494" width="9.88671875" style="685" customWidth="1"/>
    <col min="495" max="495" width="9.109375" style="685" customWidth="1"/>
    <col min="496" max="496" width="9.5546875" style="685" customWidth="1"/>
    <col min="497" max="497" width="9.6640625" style="685" customWidth="1"/>
    <col min="498" max="498" width="9.5546875" style="685" bestFit="1" customWidth="1"/>
    <col min="499" max="499" width="10.5546875" style="685" customWidth="1"/>
    <col min="500" max="500" width="9.88671875" style="685" customWidth="1"/>
    <col min="501" max="501" width="9.109375" style="685"/>
    <col min="502" max="502" width="10" style="685" customWidth="1"/>
    <col min="503" max="503" width="10.109375" style="685" customWidth="1"/>
    <col min="504" max="504" width="9.109375" style="685"/>
    <col min="505" max="505" width="10" style="685" customWidth="1"/>
    <col min="506" max="506" width="9.6640625" style="685" customWidth="1"/>
    <col min="507" max="507" width="11.33203125" style="685" customWidth="1"/>
    <col min="508" max="508" width="9.6640625" style="685" customWidth="1"/>
    <col min="509" max="509" width="9.88671875" style="685" customWidth="1"/>
    <col min="510" max="510" width="9.109375" style="685"/>
    <col min="511" max="511" width="9.88671875" style="685" customWidth="1"/>
    <col min="512" max="512" width="9.5546875" style="685" customWidth="1"/>
    <col min="513" max="513" width="9.109375" style="685"/>
    <col min="514" max="514" width="10.109375" style="685" customWidth="1"/>
    <col min="515" max="515" width="9.5546875" style="685" customWidth="1"/>
    <col min="516" max="516" width="9.109375" style="685"/>
    <col min="517" max="518" width="9.88671875" style="685" customWidth="1"/>
    <col min="519" max="744" width="9.109375" style="685"/>
    <col min="745" max="745" width="32.88671875" style="685" customWidth="1"/>
    <col min="746" max="746" width="9.6640625" style="685" customWidth="1"/>
    <col min="747" max="747" width="10.109375" style="685" customWidth="1"/>
    <col min="748" max="748" width="9.109375" style="685" customWidth="1"/>
    <col min="749" max="749" width="10" style="685" customWidth="1"/>
    <col min="750" max="750" width="9.88671875" style="685" customWidth="1"/>
    <col min="751" max="751" width="9.109375" style="685" customWidth="1"/>
    <col min="752" max="752" width="9.5546875" style="685" customWidth="1"/>
    <col min="753" max="753" width="9.6640625" style="685" customWidth="1"/>
    <col min="754" max="754" width="9.5546875" style="685" bestFit="1" customWidth="1"/>
    <col min="755" max="755" width="10.5546875" style="685" customWidth="1"/>
    <col min="756" max="756" width="9.88671875" style="685" customWidth="1"/>
    <col min="757" max="757" width="9.109375" style="685"/>
    <col min="758" max="758" width="10" style="685" customWidth="1"/>
    <col min="759" max="759" width="10.109375" style="685" customWidth="1"/>
    <col min="760" max="760" width="9.109375" style="685"/>
    <col min="761" max="761" width="10" style="685" customWidth="1"/>
    <col min="762" max="762" width="9.6640625" style="685" customWidth="1"/>
    <col min="763" max="763" width="11.33203125" style="685" customWidth="1"/>
    <col min="764" max="764" width="9.6640625" style="685" customWidth="1"/>
    <col min="765" max="765" width="9.88671875" style="685" customWidth="1"/>
    <col min="766" max="766" width="9.109375" style="685"/>
    <col min="767" max="767" width="9.88671875" style="685" customWidth="1"/>
    <col min="768" max="768" width="9.5546875" style="685" customWidth="1"/>
    <col min="769" max="769" width="9.109375" style="685"/>
    <col min="770" max="770" width="10.109375" style="685" customWidth="1"/>
    <col min="771" max="771" width="9.5546875" style="685" customWidth="1"/>
    <col min="772" max="772" width="9.109375" style="685"/>
    <col min="773" max="774" width="9.88671875" style="685" customWidth="1"/>
    <col min="775" max="1000" width="9.109375" style="685"/>
    <col min="1001" max="1001" width="32.88671875" style="685" customWidth="1"/>
    <col min="1002" max="1002" width="9.6640625" style="685" customWidth="1"/>
    <col min="1003" max="1003" width="10.109375" style="685" customWidth="1"/>
    <col min="1004" max="1004" width="9.109375" style="685" customWidth="1"/>
    <col min="1005" max="1005" width="10" style="685" customWidth="1"/>
    <col min="1006" max="1006" width="9.88671875" style="685" customWidth="1"/>
    <col min="1007" max="1007" width="9.109375" style="685" customWidth="1"/>
    <col min="1008" max="1008" width="9.5546875" style="685" customWidth="1"/>
    <col min="1009" max="1009" width="9.6640625" style="685" customWidth="1"/>
    <col min="1010" max="1010" width="9.5546875" style="685" bestFit="1" customWidth="1"/>
    <col min="1011" max="1011" width="10.5546875" style="685" customWidth="1"/>
    <col min="1012" max="1012" width="9.88671875" style="685" customWidth="1"/>
    <col min="1013" max="1013" width="9.109375" style="685"/>
    <col min="1014" max="1014" width="10" style="685" customWidth="1"/>
    <col min="1015" max="1015" width="10.109375" style="685" customWidth="1"/>
    <col min="1016" max="1016" width="9.109375" style="685"/>
    <col min="1017" max="1017" width="10" style="685" customWidth="1"/>
    <col min="1018" max="1018" width="9.6640625" style="685" customWidth="1"/>
    <col min="1019" max="1019" width="11.33203125" style="685" customWidth="1"/>
    <col min="1020" max="1020" width="9.6640625" style="685" customWidth="1"/>
    <col min="1021" max="1021" width="9.88671875" style="685" customWidth="1"/>
    <col min="1022" max="1022" width="9.109375" style="685"/>
    <col min="1023" max="1023" width="9.88671875" style="685" customWidth="1"/>
    <col min="1024" max="1024" width="9.5546875" style="685" customWidth="1"/>
    <col min="1025" max="1025" width="9.109375" style="685"/>
    <col min="1026" max="1026" width="10.109375" style="685" customWidth="1"/>
    <col min="1027" max="1027" width="9.5546875" style="685" customWidth="1"/>
    <col min="1028" max="1028" width="9.109375" style="685"/>
    <col min="1029" max="1030" width="9.88671875" style="685" customWidth="1"/>
    <col min="1031" max="1256" width="9.109375" style="685"/>
    <col min="1257" max="1257" width="32.88671875" style="685" customWidth="1"/>
    <col min="1258" max="1258" width="9.6640625" style="685" customWidth="1"/>
    <col min="1259" max="1259" width="10.109375" style="685" customWidth="1"/>
    <col min="1260" max="1260" width="9.109375" style="685" customWidth="1"/>
    <col min="1261" max="1261" width="10" style="685" customWidth="1"/>
    <col min="1262" max="1262" width="9.88671875" style="685" customWidth="1"/>
    <col min="1263" max="1263" width="9.109375" style="685" customWidth="1"/>
    <col min="1264" max="1264" width="9.5546875" style="685" customWidth="1"/>
    <col min="1265" max="1265" width="9.6640625" style="685" customWidth="1"/>
    <col min="1266" max="1266" width="9.5546875" style="685" bestFit="1" customWidth="1"/>
    <col min="1267" max="1267" width="10.5546875" style="685" customWidth="1"/>
    <col min="1268" max="1268" width="9.88671875" style="685" customWidth="1"/>
    <col min="1269" max="1269" width="9.109375" style="685"/>
    <col min="1270" max="1270" width="10" style="685" customWidth="1"/>
    <col min="1271" max="1271" width="10.109375" style="685" customWidth="1"/>
    <col min="1272" max="1272" width="9.109375" style="685"/>
    <col min="1273" max="1273" width="10" style="685" customWidth="1"/>
    <col min="1274" max="1274" width="9.6640625" style="685" customWidth="1"/>
    <col min="1275" max="1275" width="11.33203125" style="685" customWidth="1"/>
    <col min="1276" max="1276" width="9.6640625" style="685" customWidth="1"/>
    <col min="1277" max="1277" width="9.88671875" style="685" customWidth="1"/>
    <col min="1278" max="1278" width="9.109375" style="685"/>
    <col min="1279" max="1279" width="9.88671875" style="685" customWidth="1"/>
    <col min="1280" max="1280" width="9.5546875" style="685" customWidth="1"/>
    <col min="1281" max="1281" width="9.109375" style="685"/>
    <col min="1282" max="1282" width="10.109375" style="685" customWidth="1"/>
    <col min="1283" max="1283" width="9.5546875" style="685" customWidth="1"/>
    <col min="1284" max="1284" width="9.109375" style="685"/>
    <col min="1285" max="1286" width="9.88671875" style="685" customWidth="1"/>
    <col min="1287" max="1512" width="9.109375" style="685"/>
    <col min="1513" max="1513" width="32.88671875" style="685" customWidth="1"/>
    <col min="1514" max="1514" width="9.6640625" style="685" customWidth="1"/>
    <col min="1515" max="1515" width="10.109375" style="685" customWidth="1"/>
    <col min="1516" max="1516" width="9.109375" style="685" customWidth="1"/>
    <col min="1517" max="1517" width="10" style="685" customWidth="1"/>
    <col min="1518" max="1518" width="9.88671875" style="685" customWidth="1"/>
    <col min="1519" max="1519" width="9.109375" style="685" customWidth="1"/>
    <col min="1520" max="1520" width="9.5546875" style="685" customWidth="1"/>
    <col min="1521" max="1521" width="9.6640625" style="685" customWidth="1"/>
    <col min="1522" max="1522" width="9.5546875" style="685" bestFit="1" customWidth="1"/>
    <col min="1523" max="1523" width="10.5546875" style="685" customWidth="1"/>
    <col min="1524" max="1524" width="9.88671875" style="685" customWidth="1"/>
    <col min="1525" max="1525" width="9.109375" style="685"/>
    <col min="1526" max="1526" width="10" style="685" customWidth="1"/>
    <col min="1527" max="1527" width="10.109375" style="685" customWidth="1"/>
    <col min="1528" max="1528" width="9.109375" style="685"/>
    <col min="1529" max="1529" width="10" style="685" customWidth="1"/>
    <col min="1530" max="1530" width="9.6640625" style="685" customWidth="1"/>
    <col min="1531" max="1531" width="11.33203125" style="685" customWidth="1"/>
    <col min="1532" max="1532" width="9.6640625" style="685" customWidth="1"/>
    <col min="1533" max="1533" width="9.88671875" style="685" customWidth="1"/>
    <col min="1534" max="1534" width="9.109375" style="685"/>
    <col min="1535" max="1535" width="9.88671875" style="685" customWidth="1"/>
    <col min="1536" max="1536" width="9.5546875" style="685" customWidth="1"/>
    <col min="1537" max="1537" width="9.109375" style="685"/>
    <col min="1538" max="1538" width="10.109375" style="685" customWidth="1"/>
    <col min="1539" max="1539" width="9.5546875" style="685" customWidth="1"/>
    <col min="1540" max="1540" width="9.109375" style="685"/>
    <col min="1541" max="1542" width="9.88671875" style="685" customWidth="1"/>
    <col min="1543" max="1768" width="9.109375" style="685"/>
    <col min="1769" max="1769" width="32.88671875" style="685" customWidth="1"/>
    <col min="1770" max="1770" width="9.6640625" style="685" customWidth="1"/>
    <col min="1771" max="1771" width="10.109375" style="685" customWidth="1"/>
    <col min="1772" max="1772" width="9.109375" style="685" customWidth="1"/>
    <col min="1773" max="1773" width="10" style="685" customWidth="1"/>
    <col min="1774" max="1774" width="9.88671875" style="685" customWidth="1"/>
    <col min="1775" max="1775" width="9.109375" style="685" customWidth="1"/>
    <col min="1776" max="1776" width="9.5546875" style="685" customWidth="1"/>
    <col min="1777" max="1777" width="9.6640625" style="685" customWidth="1"/>
    <col min="1778" max="1778" width="9.5546875" style="685" bestFit="1" customWidth="1"/>
    <col min="1779" max="1779" width="10.5546875" style="685" customWidth="1"/>
    <col min="1780" max="1780" width="9.88671875" style="685" customWidth="1"/>
    <col min="1781" max="1781" width="9.109375" style="685"/>
    <col min="1782" max="1782" width="10" style="685" customWidth="1"/>
    <col min="1783" max="1783" width="10.109375" style="685" customWidth="1"/>
    <col min="1784" max="1784" width="9.109375" style="685"/>
    <col min="1785" max="1785" width="10" style="685" customWidth="1"/>
    <col min="1786" max="1786" width="9.6640625" style="685" customWidth="1"/>
    <col min="1787" max="1787" width="11.33203125" style="685" customWidth="1"/>
    <col min="1788" max="1788" width="9.6640625" style="685" customWidth="1"/>
    <col min="1789" max="1789" width="9.88671875" style="685" customWidth="1"/>
    <col min="1790" max="1790" width="9.109375" style="685"/>
    <col min="1791" max="1791" width="9.88671875" style="685" customWidth="1"/>
    <col min="1792" max="1792" width="9.5546875" style="685" customWidth="1"/>
    <col min="1793" max="1793" width="9.109375" style="685"/>
    <col min="1794" max="1794" width="10.109375" style="685" customWidth="1"/>
    <col min="1795" max="1795" width="9.5546875" style="685" customWidth="1"/>
    <col min="1796" max="1796" width="9.109375" style="685"/>
    <col min="1797" max="1798" width="9.88671875" style="685" customWidth="1"/>
    <col min="1799" max="2024" width="9.109375" style="685"/>
    <col min="2025" max="2025" width="32.88671875" style="685" customWidth="1"/>
    <col min="2026" max="2026" width="9.6640625" style="685" customWidth="1"/>
    <col min="2027" max="2027" width="10.109375" style="685" customWidth="1"/>
    <col min="2028" max="2028" width="9.109375" style="685" customWidth="1"/>
    <col min="2029" max="2029" width="10" style="685" customWidth="1"/>
    <col min="2030" max="2030" width="9.88671875" style="685" customWidth="1"/>
    <col min="2031" max="2031" width="9.109375" style="685" customWidth="1"/>
    <col min="2032" max="2032" width="9.5546875" style="685" customWidth="1"/>
    <col min="2033" max="2033" width="9.6640625" style="685" customWidth="1"/>
    <col min="2034" max="2034" width="9.5546875" style="685" bestFit="1" customWidth="1"/>
    <col min="2035" max="2035" width="10.5546875" style="685" customWidth="1"/>
    <col min="2036" max="2036" width="9.88671875" style="685" customWidth="1"/>
    <col min="2037" max="2037" width="9.109375" style="685"/>
    <col min="2038" max="2038" width="10" style="685" customWidth="1"/>
    <col min="2039" max="2039" width="10.109375" style="685" customWidth="1"/>
    <col min="2040" max="2040" width="9.109375" style="685"/>
    <col min="2041" max="2041" width="10" style="685" customWidth="1"/>
    <col min="2042" max="2042" width="9.6640625" style="685" customWidth="1"/>
    <col min="2043" max="2043" width="11.33203125" style="685" customWidth="1"/>
    <col min="2044" max="2044" width="9.6640625" style="685" customWidth="1"/>
    <col min="2045" max="2045" width="9.88671875" style="685" customWidth="1"/>
    <col min="2046" max="2046" width="9.109375" style="685"/>
    <col min="2047" max="2047" width="9.88671875" style="685" customWidth="1"/>
    <col min="2048" max="2048" width="9.5546875" style="685" customWidth="1"/>
    <col min="2049" max="2049" width="9.109375" style="685"/>
    <col min="2050" max="2050" width="10.109375" style="685" customWidth="1"/>
    <col min="2051" max="2051" width="9.5546875" style="685" customWidth="1"/>
    <col min="2052" max="2052" width="9.109375" style="685"/>
    <col min="2053" max="2054" width="9.88671875" style="685" customWidth="1"/>
    <col min="2055" max="2280" width="9.109375" style="685"/>
    <col min="2281" max="2281" width="32.88671875" style="685" customWidth="1"/>
    <col min="2282" max="2282" width="9.6640625" style="685" customWidth="1"/>
    <col min="2283" max="2283" width="10.109375" style="685" customWidth="1"/>
    <col min="2284" max="2284" width="9.109375" style="685" customWidth="1"/>
    <col min="2285" max="2285" width="10" style="685" customWidth="1"/>
    <col min="2286" max="2286" width="9.88671875" style="685" customWidth="1"/>
    <col min="2287" max="2287" width="9.109375" style="685" customWidth="1"/>
    <col min="2288" max="2288" width="9.5546875" style="685" customWidth="1"/>
    <col min="2289" max="2289" width="9.6640625" style="685" customWidth="1"/>
    <col min="2290" max="2290" width="9.5546875" style="685" bestFit="1" customWidth="1"/>
    <col min="2291" max="2291" width="10.5546875" style="685" customWidth="1"/>
    <col min="2292" max="2292" width="9.88671875" style="685" customWidth="1"/>
    <col min="2293" max="2293" width="9.109375" style="685"/>
    <col min="2294" max="2294" width="10" style="685" customWidth="1"/>
    <col min="2295" max="2295" width="10.109375" style="685" customWidth="1"/>
    <col min="2296" max="2296" width="9.109375" style="685"/>
    <col min="2297" max="2297" width="10" style="685" customWidth="1"/>
    <col min="2298" max="2298" width="9.6640625" style="685" customWidth="1"/>
    <col min="2299" max="2299" width="11.33203125" style="685" customWidth="1"/>
    <col min="2300" max="2300" width="9.6640625" style="685" customWidth="1"/>
    <col min="2301" max="2301" width="9.88671875" style="685" customWidth="1"/>
    <col min="2302" max="2302" width="9.109375" style="685"/>
    <col min="2303" max="2303" width="9.88671875" style="685" customWidth="1"/>
    <col min="2304" max="2304" width="9.5546875" style="685" customWidth="1"/>
    <col min="2305" max="2305" width="9.109375" style="685"/>
    <col min="2306" max="2306" width="10.109375" style="685" customWidth="1"/>
    <col min="2307" max="2307" width="9.5546875" style="685" customWidth="1"/>
    <col min="2308" max="2308" width="9.109375" style="685"/>
    <col min="2309" max="2310" width="9.88671875" style="685" customWidth="1"/>
    <col min="2311" max="2536" width="9.109375" style="685"/>
    <col min="2537" max="2537" width="32.88671875" style="685" customWidth="1"/>
    <col min="2538" max="2538" width="9.6640625" style="685" customWidth="1"/>
    <col min="2539" max="2539" width="10.109375" style="685" customWidth="1"/>
    <col min="2540" max="2540" width="9.109375" style="685" customWidth="1"/>
    <col min="2541" max="2541" width="10" style="685" customWidth="1"/>
    <col min="2542" max="2542" width="9.88671875" style="685" customWidth="1"/>
    <col min="2543" max="2543" width="9.109375" style="685" customWidth="1"/>
    <col min="2544" max="2544" width="9.5546875" style="685" customWidth="1"/>
    <col min="2545" max="2545" width="9.6640625" style="685" customWidth="1"/>
    <col min="2546" max="2546" width="9.5546875" style="685" bestFit="1" customWidth="1"/>
    <col min="2547" max="2547" width="10.5546875" style="685" customWidth="1"/>
    <col min="2548" max="2548" width="9.88671875" style="685" customWidth="1"/>
    <col min="2549" max="2549" width="9.109375" style="685"/>
    <col min="2550" max="2550" width="10" style="685" customWidth="1"/>
    <col min="2551" max="2551" width="10.109375" style="685" customWidth="1"/>
    <col min="2552" max="2552" width="9.109375" style="685"/>
    <col min="2553" max="2553" width="10" style="685" customWidth="1"/>
    <col min="2554" max="2554" width="9.6640625" style="685" customWidth="1"/>
    <col min="2555" max="2555" width="11.33203125" style="685" customWidth="1"/>
    <col min="2556" max="2556" width="9.6640625" style="685" customWidth="1"/>
    <col min="2557" max="2557" width="9.88671875" style="685" customWidth="1"/>
    <col min="2558" max="2558" width="9.109375" style="685"/>
    <col min="2559" max="2559" width="9.88671875" style="685" customWidth="1"/>
    <col min="2560" max="2560" width="9.5546875" style="685" customWidth="1"/>
    <col min="2561" max="2561" width="9.109375" style="685"/>
    <col min="2562" max="2562" width="10.109375" style="685" customWidth="1"/>
    <col min="2563" max="2563" width="9.5546875" style="685" customWidth="1"/>
    <col min="2564" max="2564" width="9.109375" style="685"/>
    <col min="2565" max="2566" width="9.88671875" style="685" customWidth="1"/>
    <col min="2567" max="2792" width="9.109375" style="685"/>
    <col min="2793" max="2793" width="32.88671875" style="685" customWidth="1"/>
    <col min="2794" max="2794" width="9.6640625" style="685" customWidth="1"/>
    <col min="2795" max="2795" width="10.109375" style="685" customWidth="1"/>
    <col min="2796" max="2796" width="9.109375" style="685" customWidth="1"/>
    <col min="2797" max="2797" width="10" style="685" customWidth="1"/>
    <col min="2798" max="2798" width="9.88671875" style="685" customWidth="1"/>
    <col min="2799" max="2799" width="9.109375" style="685" customWidth="1"/>
    <col min="2800" max="2800" width="9.5546875" style="685" customWidth="1"/>
    <col min="2801" max="2801" width="9.6640625" style="685" customWidth="1"/>
    <col min="2802" max="2802" width="9.5546875" style="685" bestFit="1" customWidth="1"/>
    <col min="2803" max="2803" width="10.5546875" style="685" customWidth="1"/>
    <col min="2804" max="2804" width="9.88671875" style="685" customWidth="1"/>
    <col min="2805" max="2805" width="9.109375" style="685"/>
    <col min="2806" max="2806" width="10" style="685" customWidth="1"/>
    <col min="2807" max="2807" width="10.109375" style="685" customWidth="1"/>
    <col min="2808" max="2808" width="9.109375" style="685"/>
    <col min="2809" max="2809" width="10" style="685" customWidth="1"/>
    <col min="2810" max="2810" width="9.6640625" style="685" customWidth="1"/>
    <col min="2811" max="2811" width="11.33203125" style="685" customWidth="1"/>
    <col min="2812" max="2812" width="9.6640625" style="685" customWidth="1"/>
    <col min="2813" max="2813" width="9.88671875" style="685" customWidth="1"/>
    <col min="2814" max="2814" width="9.109375" style="685"/>
    <col min="2815" max="2815" width="9.88671875" style="685" customWidth="1"/>
    <col min="2816" max="2816" width="9.5546875" style="685" customWidth="1"/>
    <col min="2817" max="2817" width="9.109375" style="685"/>
    <col min="2818" max="2818" width="10.109375" style="685" customWidth="1"/>
    <col min="2819" max="2819" width="9.5546875" style="685" customWidth="1"/>
    <col min="2820" max="2820" width="9.109375" style="685"/>
    <col min="2821" max="2822" width="9.88671875" style="685" customWidth="1"/>
    <col min="2823" max="3048" width="9.109375" style="685"/>
    <col min="3049" max="3049" width="32.88671875" style="685" customWidth="1"/>
    <col min="3050" max="3050" width="9.6640625" style="685" customWidth="1"/>
    <col min="3051" max="3051" width="10.109375" style="685" customWidth="1"/>
    <col min="3052" max="3052" width="9.109375" style="685" customWidth="1"/>
    <col min="3053" max="3053" width="10" style="685" customWidth="1"/>
    <col min="3054" max="3054" width="9.88671875" style="685" customWidth="1"/>
    <col min="3055" max="3055" width="9.109375" style="685" customWidth="1"/>
    <col min="3056" max="3056" width="9.5546875" style="685" customWidth="1"/>
    <col min="3057" max="3057" width="9.6640625" style="685" customWidth="1"/>
    <col min="3058" max="3058" width="9.5546875" style="685" bestFit="1" customWidth="1"/>
    <col min="3059" max="3059" width="10.5546875" style="685" customWidth="1"/>
    <col min="3060" max="3060" width="9.88671875" style="685" customWidth="1"/>
    <col min="3061" max="3061" width="9.109375" style="685"/>
    <col min="3062" max="3062" width="10" style="685" customWidth="1"/>
    <col min="3063" max="3063" width="10.109375" style="685" customWidth="1"/>
    <col min="3064" max="3064" width="9.109375" style="685"/>
    <col min="3065" max="3065" width="10" style="685" customWidth="1"/>
    <col min="3066" max="3066" width="9.6640625" style="685" customWidth="1"/>
    <col min="3067" max="3067" width="11.33203125" style="685" customWidth="1"/>
    <col min="3068" max="3068" width="9.6640625" style="685" customWidth="1"/>
    <col min="3069" max="3069" width="9.88671875" style="685" customWidth="1"/>
    <col min="3070" max="3070" width="9.109375" style="685"/>
    <col min="3071" max="3071" width="9.88671875" style="685" customWidth="1"/>
    <col min="3072" max="3072" width="9.5546875" style="685" customWidth="1"/>
    <col min="3073" max="3073" width="9.109375" style="685"/>
    <col min="3074" max="3074" width="10.109375" style="685" customWidth="1"/>
    <col min="3075" max="3075" width="9.5546875" style="685" customWidth="1"/>
    <col min="3076" max="3076" width="9.109375" style="685"/>
    <col min="3077" max="3078" width="9.88671875" style="685" customWidth="1"/>
    <col min="3079" max="3304" width="9.109375" style="685"/>
    <col min="3305" max="3305" width="32.88671875" style="685" customWidth="1"/>
    <col min="3306" max="3306" width="9.6640625" style="685" customWidth="1"/>
    <col min="3307" max="3307" width="10.109375" style="685" customWidth="1"/>
    <col min="3308" max="3308" width="9.109375" style="685" customWidth="1"/>
    <col min="3309" max="3309" width="10" style="685" customWidth="1"/>
    <col min="3310" max="3310" width="9.88671875" style="685" customWidth="1"/>
    <col min="3311" max="3311" width="9.109375" style="685" customWidth="1"/>
    <col min="3312" max="3312" width="9.5546875" style="685" customWidth="1"/>
    <col min="3313" max="3313" width="9.6640625" style="685" customWidth="1"/>
    <col min="3314" max="3314" width="9.5546875" style="685" bestFit="1" customWidth="1"/>
    <col min="3315" max="3315" width="10.5546875" style="685" customWidth="1"/>
    <col min="3316" max="3316" width="9.88671875" style="685" customWidth="1"/>
    <col min="3317" max="3317" width="9.109375" style="685"/>
    <col min="3318" max="3318" width="10" style="685" customWidth="1"/>
    <col min="3319" max="3319" width="10.109375" style="685" customWidth="1"/>
    <col min="3320" max="3320" width="9.109375" style="685"/>
    <col min="3321" max="3321" width="10" style="685" customWidth="1"/>
    <col min="3322" max="3322" width="9.6640625" style="685" customWidth="1"/>
    <col min="3323" max="3323" width="11.33203125" style="685" customWidth="1"/>
    <col min="3324" max="3324" width="9.6640625" style="685" customWidth="1"/>
    <col min="3325" max="3325" width="9.88671875" style="685" customWidth="1"/>
    <col min="3326" max="3326" width="9.109375" style="685"/>
    <col min="3327" max="3327" width="9.88671875" style="685" customWidth="1"/>
    <col min="3328" max="3328" width="9.5546875" style="685" customWidth="1"/>
    <col min="3329" max="3329" width="9.109375" style="685"/>
    <col min="3330" max="3330" width="10.109375" style="685" customWidth="1"/>
    <col min="3331" max="3331" width="9.5546875" style="685" customWidth="1"/>
    <col min="3332" max="3332" width="9.109375" style="685"/>
    <col min="3333" max="3334" width="9.88671875" style="685" customWidth="1"/>
    <col min="3335" max="3560" width="9.109375" style="685"/>
    <col min="3561" max="3561" width="32.88671875" style="685" customWidth="1"/>
    <col min="3562" max="3562" width="9.6640625" style="685" customWidth="1"/>
    <col min="3563" max="3563" width="10.109375" style="685" customWidth="1"/>
    <col min="3564" max="3564" width="9.109375" style="685" customWidth="1"/>
    <col min="3565" max="3565" width="10" style="685" customWidth="1"/>
    <col min="3566" max="3566" width="9.88671875" style="685" customWidth="1"/>
    <col min="3567" max="3567" width="9.109375" style="685" customWidth="1"/>
    <col min="3568" max="3568" width="9.5546875" style="685" customWidth="1"/>
    <col min="3569" max="3569" width="9.6640625" style="685" customWidth="1"/>
    <col min="3570" max="3570" width="9.5546875" style="685" bestFit="1" customWidth="1"/>
    <col min="3571" max="3571" width="10.5546875" style="685" customWidth="1"/>
    <col min="3572" max="3572" width="9.88671875" style="685" customWidth="1"/>
    <col min="3573" max="3573" width="9.109375" style="685"/>
    <col min="3574" max="3574" width="10" style="685" customWidth="1"/>
    <col min="3575" max="3575" width="10.109375" style="685" customWidth="1"/>
    <col min="3576" max="3576" width="9.109375" style="685"/>
    <col min="3577" max="3577" width="10" style="685" customWidth="1"/>
    <col min="3578" max="3578" width="9.6640625" style="685" customWidth="1"/>
    <col min="3579" max="3579" width="11.33203125" style="685" customWidth="1"/>
    <col min="3580" max="3580" width="9.6640625" style="685" customWidth="1"/>
    <col min="3581" max="3581" width="9.88671875" style="685" customWidth="1"/>
    <col min="3582" max="3582" width="9.109375" style="685"/>
    <col min="3583" max="3583" width="9.88671875" style="685" customWidth="1"/>
    <col min="3584" max="3584" width="9.5546875" style="685" customWidth="1"/>
    <col min="3585" max="3585" width="9.109375" style="685"/>
    <col min="3586" max="3586" width="10.109375" style="685" customWidth="1"/>
    <col min="3587" max="3587" width="9.5546875" style="685" customWidth="1"/>
    <col min="3588" max="3588" width="9.109375" style="685"/>
    <col min="3589" max="3590" width="9.88671875" style="685" customWidth="1"/>
    <col min="3591" max="3816" width="9.109375" style="685"/>
    <col min="3817" max="3817" width="32.88671875" style="685" customWidth="1"/>
    <col min="3818" max="3818" width="9.6640625" style="685" customWidth="1"/>
    <col min="3819" max="3819" width="10.109375" style="685" customWidth="1"/>
    <col min="3820" max="3820" width="9.109375" style="685" customWidth="1"/>
    <col min="3821" max="3821" width="10" style="685" customWidth="1"/>
    <col min="3822" max="3822" width="9.88671875" style="685" customWidth="1"/>
    <col min="3823" max="3823" width="9.109375" style="685" customWidth="1"/>
    <col min="3824" max="3824" width="9.5546875" style="685" customWidth="1"/>
    <col min="3825" max="3825" width="9.6640625" style="685" customWidth="1"/>
    <col min="3826" max="3826" width="9.5546875" style="685" bestFit="1" customWidth="1"/>
    <col min="3827" max="3827" width="10.5546875" style="685" customWidth="1"/>
    <col min="3828" max="3828" width="9.88671875" style="685" customWidth="1"/>
    <col min="3829" max="3829" width="9.109375" style="685"/>
    <col min="3830" max="3830" width="10" style="685" customWidth="1"/>
    <col min="3831" max="3831" width="10.109375" style="685" customWidth="1"/>
    <col min="3832" max="3832" width="9.109375" style="685"/>
    <col min="3833" max="3833" width="10" style="685" customWidth="1"/>
    <col min="3834" max="3834" width="9.6640625" style="685" customWidth="1"/>
    <col min="3835" max="3835" width="11.33203125" style="685" customWidth="1"/>
    <col min="3836" max="3836" width="9.6640625" style="685" customWidth="1"/>
    <col min="3837" max="3837" width="9.88671875" style="685" customWidth="1"/>
    <col min="3838" max="3838" width="9.109375" style="685"/>
    <col min="3839" max="3839" width="9.88671875" style="685" customWidth="1"/>
    <col min="3840" max="3840" width="9.5546875" style="685" customWidth="1"/>
    <col min="3841" max="3841" width="9.109375" style="685"/>
    <col min="3842" max="3842" width="10.109375" style="685" customWidth="1"/>
    <col min="3843" max="3843" width="9.5546875" style="685" customWidth="1"/>
    <col min="3844" max="3844" width="9.109375" style="685"/>
    <col min="3845" max="3846" width="9.88671875" style="685" customWidth="1"/>
    <col min="3847" max="4072" width="9.109375" style="685"/>
    <col min="4073" max="4073" width="32.88671875" style="685" customWidth="1"/>
    <col min="4074" max="4074" width="9.6640625" style="685" customWidth="1"/>
    <col min="4075" max="4075" width="10.109375" style="685" customWidth="1"/>
    <col min="4076" max="4076" width="9.109375" style="685" customWidth="1"/>
    <col min="4077" max="4077" width="10" style="685" customWidth="1"/>
    <col min="4078" max="4078" width="9.88671875" style="685" customWidth="1"/>
    <col min="4079" max="4079" width="9.109375" style="685" customWidth="1"/>
    <col min="4080" max="4080" width="9.5546875" style="685" customWidth="1"/>
    <col min="4081" max="4081" width="9.6640625" style="685" customWidth="1"/>
    <col min="4082" max="4082" width="9.5546875" style="685" bestFit="1" customWidth="1"/>
    <col min="4083" max="4083" width="10.5546875" style="685" customWidth="1"/>
    <col min="4084" max="4084" width="9.88671875" style="685" customWidth="1"/>
    <col min="4085" max="4085" width="9.109375" style="685"/>
    <col min="4086" max="4086" width="10" style="685" customWidth="1"/>
    <col min="4087" max="4087" width="10.109375" style="685" customWidth="1"/>
    <col min="4088" max="4088" width="9.109375" style="685"/>
    <col min="4089" max="4089" width="10" style="685" customWidth="1"/>
    <col min="4090" max="4090" width="9.6640625" style="685" customWidth="1"/>
    <col min="4091" max="4091" width="11.33203125" style="685" customWidth="1"/>
    <col min="4092" max="4092" width="9.6640625" style="685" customWidth="1"/>
    <col min="4093" max="4093" width="9.88671875" style="685" customWidth="1"/>
    <col min="4094" max="4094" width="9.109375" style="685"/>
    <col min="4095" max="4095" width="9.88671875" style="685" customWidth="1"/>
    <col min="4096" max="4096" width="9.5546875" style="685" customWidth="1"/>
    <col min="4097" max="4097" width="9.109375" style="685"/>
    <col min="4098" max="4098" width="10.109375" style="685" customWidth="1"/>
    <col min="4099" max="4099" width="9.5546875" style="685" customWidth="1"/>
    <col min="4100" max="4100" width="9.109375" style="685"/>
    <col min="4101" max="4102" width="9.88671875" style="685" customWidth="1"/>
    <col min="4103" max="4328" width="9.109375" style="685"/>
    <col min="4329" max="4329" width="32.88671875" style="685" customWidth="1"/>
    <col min="4330" max="4330" width="9.6640625" style="685" customWidth="1"/>
    <col min="4331" max="4331" width="10.109375" style="685" customWidth="1"/>
    <col min="4332" max="4332" width="9.109375" style="685" customWidth="1"/>
    <col min="4333" max="4333" width="10" style="685" customWidth="1"/>
    <col min="4334" max="4334" width="9.88671875" style="685" customWidth="1"/>
    <col min="4335" max="4335" width="9.109375" style="685" customWidth="1"/>
    <col min="4336" max="4336" width="9.5546875" style="685" customWidth="1"/>
    <col min="4337" max="4337" width="9.6640625" style="685" customWidth="1"/>
    <col min="4338" max="4338" width="9.5546875" style="685" bestFit="1" customWidth="1"/>
    <col min="4339" max="4339" width="10.5546875" style="685" customWidth="1"/>
    <col min="4340" max="4340" width="9.88671875" style="685" customWidth="1"/>
    <col min="4341" max="4341" width="9.109375" style="685"/>
    <col min="4342" max="4342" width="10" style="685" customWidth="1"/>
    <col min="4343" max="4343" width="10.109375" style="685" customWidth="1"/>
    <col min="4344" max="4344" width="9.109375" style="685"/>
    <col min="4345" max="4345" width="10" style="685" customWidth="1"/>
    <col min="4346" max="4346" width="9.6640625" style="685" customWidth="1"/>
    <col min="4347" max="4347" width="11.33203125" style="685" customWidth="1"/>
    <col min="4348" max="4348" width="9.6640625" style="685" customWidth="1"/>
    <col min="4349" max="4349" width="9.88671875" style="685" customWidth="1"/>
    <col min="4350" max="4350" width="9.109375" style="685"/>
    <col min="4351" max="4351" width="9.88671875" style="685" customWidth="1"/>
    <col min="4352" max="4352" width="9.5546875" style="685" customWidth="1"/>
    <col min="4353" max="4353" width="9.109375" style="685"/>
    <col min="4354" max="4354" width="10.109375" style="685" customWidth="1"/>
    <col min="4355" max="4355" width="9.5546875" style="685" customWidth="1"/>
    <col min="4356" max="4356" width="9.109375" style="685"/>
    <col min="4357" max="4358" width="9.88671875" style="685" customWidth="1"/>
    <col min="4359" max="4584" width="9.109375" style="685"/>
    <col min="4585" max="4585" width="32.88671875" style="685" customWidth="1"/>
    <col min="4586" max="4586" width="9.6640625" style="685" customWidth="1"/>
    <col min="4587" max="4587" width="10.109375" style="685" customWidth="1"/>
    <col min="4588" max="4588" width="9.109375" style="685" customWidth="1"/>
    <col min="4589" max="4589" width="10" style="685" customWidth="1"/>
    <col min="4590" max="4590" width="9.88671875" style="685" customWidth="1"/>
    <col min="4591" max="4591" width="9.109375" style="685" customWidth="1"/>
    <col min="4592" max="4592" width="9.5546875" style="685" customWidth="1"/>
    <col min="4593" max="4593" width="9.6640625" style="685" customWidth="1"/>
    <col min="4594" max="4594" width="9.5546875" style="685" bestFit="1" customWidth="1"/>
    <col min="4595" max="4595" width="10.5546875" style="685" customWidth="1"/>
    <col min="4596" max="4596" width="9.88671875" style="685" customWidth="1"/>
    <col min="4597" max="4597" width="9.109375" style="685"/>
    <col min="4598" max="4598" width="10" style="685" customWidth="1"/>
    <col min="4599" max="4599" width="10.109375" style="685" customWidth="1"/>
    <col min="4600" max="4600" width="9.109375" style="685"/>
    <col min="4601" max="4601" width="10" style="685" customWidth="1"/>
    <col min="4602" max="4602" width="9.6640625" style="685" customWidth="1"/>
    <col min="4603" max="4603" width="11.33203125" style="685" customWidth="1"/>
    <col min="4604" max="4604" width="9.6640625" style="685" customWidth="1"/>
    <col min="4605" max="4605" width="9.88671875" style="685" customWidth="1"/>
    <col min="4606" max="4606" width="9.109375" style="685"/>
    <col min="4607" max="4607" width="9.88671875" style="685" customWidth="1"/>
    <col min="4608" max="4608" width="9.5546875" style="685" customWidth="1"/>
    <col min="4609" max="4609" width="9.109375" style="685"/>
    <col min="4610" max="4610" width="10.109375" style="685" customWidth="1"/>
    <col min="4611" max="4611" width="9.5546875" style="685" customWidth="1"/>
    <col min="4612" max="4612" width="9.109375" style="685"/>
    <col min="4613" max="4614" width="9.88671875" style="685" customWidth="1"/>
    <col min="4615" max="4840" width="9.109375" style="685"/>
    <col min="4841" max="4841" width="32.88671875" style="685" customWidth="1"/>
    <col min="4842" max="4842" width="9.6640625" style="685" customWidth="1"/>
    <col min="4843" max="4843" width="10.109375" style="685" customWidth="1"/>
    <col min="4844" max="4844" width="9.109375" style="685" customWidth="1"/>
    <col min="4845" max="4845" width="10" style="685" customWidth="1"/>
    <col min="4846" max="4846" width="9.88671875" style="685" customWidth="1"/>
    <col min="4847" max="4847" width="9.109375" style="685" customWidth="1"/>
    <col min="4848" max="4848" width="9.5546875" style="685" customWidth="1"/>
    <col min="4849" max="4849" width="9.6640625" style="685" customWidth="1"/>
    <col min="4850" max="4850" width="9.5546875" style="685" bestFit="1" customWidth="1"/>
    <col min="4851" max="4851" width="10.5546875" style="685" customWidth="1"/>
    <col min="4852" max="4852" width="9.88671875" style="685" customWidth="1"/>
    <col min="4853" max="4853" width="9.109375" style="685"/>
    <col min="4854" max="4854" width="10" style="685" customWidth="1"/>
    <col min="4855" max="4855" width="10.109375" style="685" customWidth="1"/>
    <col min="4856" max="4856" width="9.109375" style="685"/>
    <col min="4857" max="4857" width="10" style="685" customWidth="1"/>
    <col min="4858" max="4858" width="9.6640625" style="685" customWidth="1"/>
    <col min="4859" max="4859" width="11.33203125" style="685" customWidth="1"/>
    <col min="4860" max="4860" width="9.6640625" style="685" customWidth="1"/>
    <col min="4861" max="4861" width="9.88671875" style="685" customWidth="1"/>
    <col min="4862" max="4862" width="9.109375" style="685"/>
    <col min="4863" max="4863" width="9.88671875" style="685" customWidth="1"/>
    <col min="4864" max="4864" width="9.5546875" style="685" customWidth="1"/>
    <col min="4865" max="4865" width="9.109375" style="685"/>
    <col min="4866" max="4866" width="10.109375" style="685" customWidth="1"/>
    <col min="4867" max="4867" width="9.5546875" style="685" customWidth="1"/>
    <col min="4868" max="4868" width="9.109375" style="685"/>
    <col min="4869" max="4870" width="9.88671875" style="685" customWidth="1"/>
    <col min="4871" max="5096" width="9.109375" style="685"/>
    <col min="5097" max="5097" width="32.88671875" style="685" customWidth="1"/>
    <col min="5098" max="5098" width="9.6640625" style="685" customWidth="1"/>
    <col min="5099" max="5099" width="10.109375" style="685" customWidth="1"/>
    <col min="5100" max="5100" width="9.109375" style="685" customWidth="1"/>
    <col min="5101" max="5101" width="10" style="685" customWidth="1"/>
    <col min="5102" max="5102" width="9.88671875" style="685" customWidth="1"/>
    <col min="5103" max="5103" width="9.109375" style="685" customWidth="1"/>
    <col min="5104" max="5104" width="9.5546875" style="685" customWidth="1"/>
    <col min="5105" max="5105" width="9.6640625" style="685" customWidth="1"/>
    <col min="5106" max="5106" width="9.5546875" style="685" bestFit="1" customWidth="1"/>
    <col min="5107" max="5107" width="10.5546875" style="685" customWidth="1"/>
    <col min="5108" max="5108" width="9.88671875" style="685" customWidth="1"/>
    <col min="5109" max="5109" width="9.109375" style="685"/>
    <col min="5110" max="5110" width="10" style="685" customWidth="1"/>
    <col min="5111" max="5111" width="10.109375" style="685" customWidth="1"/>
    <col min="5112" max="5112" width="9.109375" style="685"/>
    <col min="5113" max="5113" width="10" style="685" customWidth="1"/>
    <col min="5114" max="5114" width="9.6640625" style="685" customWidth="1"/>
    <col min="5115" max="5115" width="11.33203125" style="685" customWidth="1"/>
    <col min="5116" max="5116" width="9.6640625" style="685" customWidth="1"/>
    <col min="5117" max="5117" width="9.88671875" style="685" customWidth="1"/>
    <col min="5118" max="5118" width="9.109375" style="685"/>
    <col min="5119" max="5119" width="9.88671875" style="685" customWidth="1"/>
    <col min="5120" max="5120" width="9.5546875" style="685" customWidth="1"/>
    <col min="5121" max="5121" width="9.109375" style="685"/>
    <col min="5122" max="5122" width="10.109375" style="685" customWidth="1"/>
    <col min="5123" max="5123" width="9.5546875" style="685" customWidth="1"/>
    <col min="5124" max="5124" width="9.109375" style="685"/>
    <col min="5125" max="5126" width="9.88671875" style="685" customWidth="1"/>
    <col min="5127" max="5352" width="9.109375" style="685"/>
    <col min="5353" max="5353" width="32.88671875" style="685" customWidth="1"/>
    <col min="5354" max="5354" width="9.6640625" style="685" customWidth="1"/>
    <col min="5355" max="5355" width="10.109375" style="685" customWidth="1"/>
    <col min="5356" max="5356" width="9.109375" style="685" customWidth="1"/>
    <col min="5357" max="5357" width="10" style="685" customWidth="1"/>
    <col min="5358" max="5358" width="9.88671875" style="685" customWidth="1"/>
    <col min="5359" max="5359" width="9.109375" style="685" customWidth="1"/>
    <col min="5360" max="5360" width="9.5546875" style="685" customWidth="1"/>
    <col min="5361" max="5361" width="9.6640625" style="685" customWidth="1"/>
    <col min="5362" max="5362" width="9.5546875" style="685" bestFit="1" customWidth="1"/>
    <col min="5363" max="5363" width="10.5546875" style="685" customWidth="1"/>
    <col min="5364" max="5364" width="9.88671875" style="685" customWidth="1"/>
    <col min="5365" max="5365" width="9.109375" style="685"/>
    <col min="5366" max="5366" width="10" style="685" customWidth="1"/>
    <col min="5367" max="5367" width="10.109375" style="685" customWidth="1"/>
    <col min="5368" max="5368" width="9.109375" style="685"/>
    <col min="5369" max="5369" width="10" style="685" customWidth="1"/>
    <col min="5370" max="5370" width="9.6640625" style="685" customWidth="1"/>
    <col min="5371" max="5371" width="11.33203125" style="685" customWidth="1"/>
    <col min="5372" max="5372" width="9.6640625" style="685" customWidth="1"/>
    <col min="5373" max="5373" width="9.88671875" style="685" customWidth="1"/>
    <col min="5374" max="5374" width="9.109375" style="685"/>
    <col min="5375" max="5375" width="9.88671875" style="685" customWidth="1"/>
    <col min="5376" max="5376" width="9.5546875" style="685" customWidth="1"/>
    <col min="5377" max="5377" width="9.109375" style="685"/>
    <col min="5378" max="5378" width="10.109375" style="685" customWidth="1"/>
    <col min="5379" max="5379" width="9.5546875" style="685" customWidth="1"/>
    <col min="5380" max="5380" width="9.109375" style="685"/>
    <col min="5381" max="5382" width="9.88671875" style="685" customWidth="1"/>
    <col min="5383" max="5608" width="9.109375" style="685"/>
    <col min="5609" max="5609" width="32.88671875" style="685" customWidth="1"/>
    <col min="5610" max="5610" width="9.6640625" style="685" customWidth="1"/>
    <col min="5611" max="5611" width="10.109375" style="685" customWidth="1"/>
    <col min="5612" max="5612" width="9.109375" style="685" customWidth="1"/>
    <col min="5613" max="5613" width="10" style="685" customWidth="1"/>
    <col min="5614" max="5614" width="9.88671875" style="685" customWidth="1"/>
    <col min="5615" max="5615" width="9.109375" style="685" customWidth="1"/>
    <col min="5616" max="5616" width="9.5546875" style="685" customWidth="1"/>
    <col min="5617" max="5617" width="9.6640625" style="685" customWidth="1"/>
    <col min="5618" max="5618" width="9.5546875" style="685" bestFit="1" customWidth="1"/>
    <col min="5619" max="5619" width="10.5546875" style="685" customWidth="1"/>
    <col min="5620" max="5620" width="9.88671875" style="685" customWidth="1"/>
    <col min="5621" max="5621" width="9.109375" style="685"/>
    <col min="5622" max="5622" width="10" style="685" customWidth="1"/>
    <col min="5623" max="5623" width="10.109375" style="685" customWidth="1"/>
    <col min="5624" max="5624" width="9.109375" style="685"/>
    <col min="5625" max="5625" width="10" style="685" customWidth="1"/>
    <col min="5626" max="5626" width="9.6640625" style="685" customWidth="1"/>
    <col min="5627" max="5627" width="11.33203125" style="685" customWidth="1"/>
    <col min="5628" max="5628" width="9.6640625" style="685" customWidth="1"/>
    <col min="5629" max="5629" width="9.88671875" style="685" customWidth="1"/>
    <col min="5630" max="5630" width="9.109375" style="685"/>
    <col min="5631" max="5631" width="9.88671875" style="685" customWidth="1"/>
    <col min="5632" max="5632" width="9.5546875" style="685" customWidth="1"/>
    <col min="5633" max="5633" width="9.109375" style="685"/>
    <col min="5634" max="5634" width="10.109375" style="685" customWidth="1"/>
    <col min="5635" max="5635" width="9.5546875" style="685" customWidth="1"/>
    <col min="5636" max="5636" width="9.109375" style="685"/>
    <col min="5637" max="5638" width="9.88671875" style="685" customWidth="1"/>
    <col min="5639" max="5864" width="9.109375" style="685"/>
    <col min="5865" max="5865" width="32.88671875" style="685" customWidth="1"/>
    <col min="5866" max="5866" width="9.6640625" style="685" customWidth="1"/>
    <col min="5867" max="5867" width="10.109375" style="685" customWidth="1"/>
    <col min="5868" max="5868" width="9.109375" style="685" customWidth="1"/>
    <col min="5869" max="5869" width="10" style="685" customWidth="1"/>
    <col min="5870" max="5870" width="9.88671875" style="685" customWidth="1"/>
    <col min="5871" max="5871" width="9.109375" style="685" customWidth="1"/>
    <col min="5872" max="5872" width="9.5546875" style="685" customWidth="1"/>
    <col min="5873" max="5873" width="9.6640625" style="685" customWidth="1"/>
    <col min="5874" max="5874" width="9.5546875" style="685" bestFit="1" customWidth="1"/>
    <col min="5875" max="5875" width="10.5546875" style="685" customWidth="1"/>
    <col min="5876" max="5876" width="9.88671875" style="685" customWidth="1"/>
    <col min="5877" max="5877" width="9.109375" style="685"/>
    <col min="5878" max="5878" width="10" style="685" customWidth="1"/>
    <col min="5879" max="5879" width="10.109375" style="685" customWidth="1"/>
    <col min="5880" max="5880" width="9.109375" style="685"/>
    <col min="5881" max="5881" width="10" style="685" customWidth="1"/>
    <col min="5882" max="5882" width="9.6640625" style="685" customWidth="1"/>
    <col min="5883" max="5883" width="11.33203125" style="685" customWidth="1"/>
    <col min="5884" max="5884" width="9.6640625" style="685" customWidth="1"/>
    <col min="5885" max="5885" width="9.88671875" style="685" customWidth="1"/>
    <col min="5886" max="5886" width="9.109375" style="685"/>
    <col min="5887" max="5887" width="9.88671875" style="685" customWidth="1"/>
    <col min="5888" max="5888" width="9.5546875" style="685" customWidth="1"/>
    <col min="5889" max="5889" width="9.109375" style="685"/>
    <col min="5890" max="5890" width="10.109375" style="685" customWidth="1"/>
    <col min="5891" max="5891" width="9.5546875" style="685" customWidth="1"/>
    <col min="5892" max="5892" width="9.109375" style="685"/>
    <col min="5893" max="5894" width="9.88671875" style="685" customWidth="1"/>
    <col min="5895" max="6120" width="9.109375" style="685"/>
    <col min="6121" max="6121" width="32.88671875" style="685" customWidth="1"/>
    <col min="6122" max="6122" width="9.6640625" style="685" customWidth="1"/>
    <col min="6123" max="6123" width="10.109375" style="685" customWidth="1"/>
    <col min="6124" max="6124" width="9.109375" style="685" customWidth="1"/>
    <col min="6125" max="6125" width="10" style="685" customWidth="1"/>
    <col min="6126" max="6126" width="9.88671875" style="685" customWidth="1"/>
    <col min="6127" max="6127" width="9.109375" style="685" customWidth="1"/>
    <col min="6128" max="6128" width="9.5546875" style="685" customWidth="1"/>
    <col min="6129" max="6129" width="9.6640625" style="685" customWidth="1"/>
    <col min="6130" max="6130" width="9.5546875" style="685" bestFit="1" customWidth="1"/>
    <col min="6131" max="6131" width="10.5546875" style="685" customWidth="1"/>
    <col min="6132" max="6132" width="9.88671875" style="685" customWidth="1"/>
    <col min="6133" max="6133" width="9.109375" style="685"/>
    <col min="6134" max="6134" width="10" style="685" customWidth="1"/>
    <col min="6135" max="6135" width="10.109375" style="685" customWidth="1"/>
    <col min="6136" max="6136" width="9.109375" style="685"/>
    <col min="6137" max="6137" width="10" style="685" customWidth="1"/>
    <col min="6138" max="6138" width="9.6640625" style="685" customWidth="1"/>
    <col min="6139" max="6139" width="11.33203125" style="685" customWidth="1"/>
    <col min="6140" max="6140" width="9.6640625" style="685" customWidth="1"/>
    <col min="6141" max="6141" width="9.88671875" style="685" customWidth="1"/>
    <col min="6142" max="6142" width="9.109375" style="685"/>
    <col min="6143" max="6143" width="9.88671875" style="685" customWidth="1"/>
    <col min="6144" max="6144" width="9.5546875" style="685" customWidth="1"/>
    <col min="6145" max="6145" width="9.109375" style="685"/>
    <col min="6146" max="6146" width="10.109375" style="685" customWidth="1"/>
    <col min="6147" max="6147" width="9.5546875" style="685" customWidth="1"/>
    <col min="6148" max="6148" width="9.109375" style="685"/>
    <col min="6149" max="6150" width="9.88671875" style="685" customWidth="1"/>
    <col min="6151" max="6376" width="9.109375" style="685"/>
    <col min="6377" max="6377" width="32.88671875" style="685" customWidth="1"/>
    <col min="6378" max="6378" width="9.6640625" style="685" customWidth="1"/>
    <col min="6379" max="6379" width="10.109375" style="685" customWidth="1"/>
    <col min="6380" max="6380" width="9.109375" style="685" customWidth="1"/>
    <col min="6381" max="6381" width="10" style="685" customWidth="1"/>
    <col min="6382" max="6382" width="9.88671875" style="685" customWidth="1"/>
    <col min="6383" max="6383" width="9.109375" style="685" customWidth="1"/>
    <col min="6384" max="6384" width="9.5546875" style="685" customWidth="1"/>
    <col min="6385" max="6385" width="9.6640625" style="685" customWidth="1"/>
    <col min="6386" max="6386" width="9.5546875" style="685" bestFit="1" customWidth="1"/>
    <col min="6387" max="6387" width="10.5546875" style="685" customWidth="1"/>
    <col min="6388" max="6388" width="9.88671875" style="685" customWidth="1"/>
    <col min="6389" max="6389" width="9.109375" style="685"/>
    <col min="6390" max="6390" width="10" style="685" customWidth="1"/>
    <col min="6391" max="6391" width="10.109375" style="685" customWidth="1"/>
    <col min="6392" max="6392" width="9.109375" style="685"/>
    <col min="6393" max="6393" width="10" style="685" customWidth="1"/>
    <col min="6394" max="6394" width="9.6640625" style="685" customWidth="1"/>
    <col min="6395" max="6395" width="11.33203125" style="685" customWidth="1"/>
    <col min="6396" max="6396" width="9.6640625" style="685" customWidth="1"/>
    <col min="6397" max="6397" width="9.88671875" style="685" customWidth="1"/>
    <col min="6398" max="6398" width="9.109375" style="685"/>
    <col min="6399" max="6399" width="9.88671875" style="685" customWidth="1"/>
    <col min="6400" max="6400" width="9.5546875" style="685" customWidth="1"/>
    <col min="6401" max="6401" width="9.109375" style="685"/>
    <col min="6402" max="6402" width="10.109375" style="685" customWidth="1"/>
    <col min="6403" max="6403" width="9.5546875" style="685" customWidth="1"/>
    <col min="6404" max="6404" width="9.109375" style="685"/>
    <col min="6405" max="6406" width="9.88671875" style="685" customWidth="1"/>
    <col min="6407" max="6632" width="9.109375" style="685"/>
    <col min="6633" max="6633" width="32.88671875" style="685" customWidth="1"/>
    <col min="6634" max="6634" width="9.6640625" style="685" customWidth="1"/>
    <col min="6635" max="6635" width="10.109375" style="685" customWidth="1"/>
    <col min="6636" max="6636" width="9.109375" style="685" customWidth="1"/>
    <col min="6637" max="6637" width="10" style="685" customWidth="1"/>
    <col min="6638" max="6638" width="9.88671875" style="685" customWidth="1"/>
    <col min="6639" max="6639" width="9.109375" style="685" customWidth="1"/>
    <col min="6640" max="6640" width="9.5546875" style="685" customWidth="1"/>
    <col min="6641" max="6641" width="9.6640625" style="685" customWidth="1"/>
    <col min="6642" max="6642" width="9.5546875" style="685" bestFit="1" customWidth="1"/>
    <col min="6643" max="6643" width="10.5546875" style="685" customWidth="1"/>
    <col min="6644" max="6644" width="9.88671875" style="685" customWidth="1"/>
    <col min="6645" max="6645" width="9.109375" style="685"/>
    <col min="6646" max="6646" width="10" style="685" customWidth="1"/>
    <col min="6647" max="6647" width="10.109375" style="685" customWidth="1"/>
    <col min="6648" max="6648" width="9.109375" style="685"/>
    <col min="6649" max="6649" width="10" style="685" customWidth="1"/>
    <col min="6650" max="6650" width="9.6640625" style="685" customWidth="1"/>
    <col min="6651" max="6651" width="11.33203125" style="685" customWidth="1"/>
    <col min="6652" max="6652" width="9.6640625" style="685" customWidth="1"/>
    <col min="6653" max="6653" width="9.88671875" style="685" customWidth="1"/>
    <col min="6654" max="6654" width="9.109375" style="685"/>
    <col min="6655" max="6655" width="9.88671875" style="685" customWidth="1"/>
    <col min="6656" max="6656" width="9.5546875" style="685" customWidth="1"/>
    <col min="6657" max="6657" width="9.109375" style="685"/>
    <col min="6658" max="6658" width="10.109375" style="685" customWidth="1"/>
    <col min="6659" max="6659" width="9.5546875" style="685" customWidth="1"/>
    <col min="6660" max="6660" width="9.109375" style="685"/>
    <col min="6661" max="6662" width="9.88671875" style="685" customWidth="1"/>
    <col min="6663" max="6888" width="9.109375" style="685"/>
    <col min="6889" max="6889" width="32.88671875" style="685" customWidth="1"/>
    <col min="6890" max="6890" width="9.6640625" style="685" customWidth="1"/>
    <col min="6891" max="6891" width="10.109375" style="685" customWidth="1"/>
    <col min="6892" max="6892" width="9.109375" style="685" customWidth="1"/>
    <col min="6893" max="6893" width="10" style="685" customWidth="1"/>
    <col min="6894" max="6894" width="9.88671875" style="685" customWidth="1"/>
    <col min="6895" max="6895" width="9.109375" style="685" customWidth="1"/>
    <col min="6896" max="6896" width="9.5546875" style="685" customWidth="1"/>
    <col min="6897" max="6897" width="9.6640625" style="685" customWidth="1"/>
    <col min="6898" max="6898" width="9.5546875" style="685" bestFit="1" customWidth="1"/>
    <col min="6899" max="6899" width="10.5546875" style="685" customWidth="1"/>
    <col min="6900" max="6900" width="9.88671875" style="685" customWidth="1"/>
    <col min="6901" max="6901" width="9.109375" style="685"/>
    <col min="6902" max="6902" width="10" style="685" customWidth="1"/>
    <col min="6903" max="6903" width="10.109375" style="685" customWidth="1"/>
    <col min="6904" max="6904" width="9.109375" style="685"/>
    <col min="6905" max="6905" width="10" style="685" customWidth="1"/>
    <col min="6906" max="6906" width="9.6640625" style="685" customWidth="1"/>
    <col min="6907" max="6907" width="11.33203125" style="685" customWidth="1"/>
    <col min="6908" max="6908" width="9.6640625" style="685" customWidth="1"/>
    <col min="6909" max="6909" width="9.88671875" style="685" customWidth="1"/>
    <col min="6910" max="6910" width="9.109375" style="685"/>
    <col min="6911" max="6911" width="9.88671875" style="685" customWidth="1"/>
    <col min="6912" max="6912" width="9.5546875" style="685" customWidth="1"/>
    <col min="6913" max="6913" width="9.109375" style="685"/>
    <col min="6914" max="6914" width="10.109375" style="685" customWidth="1"/>
    <col min="6915" max="6915" width="9.5546875" style="685" customWidth="1"/>
    <col min="6916" max="6916" width="9.109375" style="685"/>
    <col min="6917" max="6918" width="9.88671875" style="685" customWidth="1"/>
    <col min="6919" max="7144" width="9.109375" style="685"/>
    <col min="7145" max="7145" width="32.88671875" style="685" customWidth="1"/>
    <col min="7146" max="7146" width="9.6640625" style="685" customWidth="1"/>
    <col min="7147" max="7147" width="10.109375" style="685" customWidth="1"/>
    <col min="7148" max="7148" width="9.109375" style="685" customWidth="1"/>
    <col min="7149" max="7149" width="10" style="685" customWidth="1"/>
    <col min="7150" max="7150" width="9.88671875" style="685" customWidth="1"/>
    <col min="7151" max="7151" width="9.109375" style="685" customWidth="1"/>
    <col min="7152" max="7152" width="9.5546875" style="685" customWidth="1"/>
    <col min="7153" max="7153" width="9.6640625" style="685" customWidth="1"/>
    <col min="7154" max="7154" width="9.5546875" style="685" bestFit="1" customWidth="1"/>
    <col min="7155" max="7155" width="10.5546875" style="685" customWidth="1"/>
    <col min="7156" max="7156" width="9.88671875" style="685" customWidth="1"/>
    <col min="7157" max="7157" width="9.109375" style="685"/>
    <col min="7158" max="7158" width="10" style="685" customWidth="1"/>
    <col min="7159" max="7159" width="10.109375" style="685" customWidth="1"/>
    <col min="7160" max="7160" width="9.109375" style="685"/>
    <col min="7161" max="7161" width="10" style="685" customWidth="1"/>
    <col min="7162" max="7162" width="9.6640625" style="685" customWidth="1"/>
    <col min="7163" max="7163" width="11.33203125" style="685" customWidth="1"/>
    <col min="7164" max="7164" width="9.6640625" style="685" customWidth="1"/>
    <col min="7165" max="7165" width="9.88671875" style="685" customWidth="1"/>
    <col min="7166" max="7166" width="9.109375" style="685"/>
    <col min="7167" max="7167" width="9.88671875" style="685" customWidth="1"/>
    <col min="7168" max="7168" width="9.5546875" style="685" customWidth="1"/>
    <col min="7169" max="7169" width="9.109375" style="685"/>
    <col min="7170" max="7170" width="10.109375" style="685" customWidth="1"/>
    <col min="7171" max="7171" width="9.5546875" style="685" customWidth="1"/>
    <col min="7172" max="7172" width="9.109375" style="685"/>
    <col min="7173" max="7174" width="9.88671875" style="685" customWidth="1"/>
    <col min="7175" max="7400" width="9.109375" style="685"/>
    <col min="7401" max="7401" width="32.88671875" style="685" customWidth="1"/>
    <col min="7402" max="7402" width="9.6640625" style="685" customWidth="1"/>
    <col min="7403" max="7403" width="10.109375" style="685" customWidth="1"/>
    <col min="7404" max="7404" width="9.109375" style="685" customWidth="1"/>
    <col min="7405" max="7405" width="10" style="685" customWidth="1"/>
    <col min="7406" max="7406" width="9.88671875" style="685" customWidth="1"/>
    <col min="7407" max="7407" width="9.109375" style="685" customWidth="1"/>
    <col min="7408" max="7408" width="9.5546875" style="685" customWidth="1"/>
    <col min="7409" max="7409" width="9.6640625" style="685" customWidth="1"/>
    <col min="7410" max="7410" width="9.5546875" style="685" bestFit="1" customWidth="1"/>
    <col min="7411" max="7411" width="10.5546875" style="685" customWidth="1"/>
    <col min="7412" max="7412" width="9.88671875" style="685" customWidth="1"/>
    <col min="7413" max="7413" width="9.109375" style="685"/>
    <col min="7414" max="7414" width="10" style="685" customWidth="1"/>
    <col min="7415" max="7415" width="10.109375" style="685" customWidth="1"/>
    <col min="7416" max="7416" width="9.109375" style="685"/>
    <col min="7417" max="7417" width="10" style="685" customWidth="1"/>
    <col min="7418" max="7418" width="9.6640625" style="685" customWidth="1"/>
    <col min="7419" max="7419" width="11.33203125" style="685" customWidth="1"/>
    <col min="7420" max="7420" width="9.6640625" style="685" customWidth="1"/>
    <col min="7421" max="7421" width="9.88671875" style="685" customWidth="1"/>
    <col min="7422" max="7422" width="9.109375" style="685"/>
    <col min="7423" max="7423" width="9.88671875" style="685" customWidth="1"/>
    <col min="7424" max="7424" width="9.5546875" style="685" customWidth="1"/>
    <col min="7425" max="7425" width="9.109375" style="685"/>
    <col min="7426" max="7426" width="10.109375" style="685" customWidth="1"/>
    <col min="7427" max="7427" width="9.5546875" style="685" customWidth="1"/>
    <col min="7428" max="7428" width="9.109375" style="685"/>
    <col min="7429" max="7430" width="9.88671875" style="685" customWidth="1"/>
    <col min="7431" max="7656" width="9.109375" style="685"/>
    <col min="7657" max="7657" width="32.88671875" style="685" customWidth="1"/>
    <col min="7658" max="7658" width="9.6640625" style="685" customWidth="1"/>
    <col min="7659" max="7659" width="10.109375" style="685" customWidth="1"/>
    <col min="7660" max="7660" width="9.109375" style="685" customWidth="1"/>
    <col min="7661" max="7661" width="10" style="685" customWidth="1"/>
    <col min="7662" max="7662" width="9.88671875" style="685" customWidth="1"/>
    <col min="7663" max="7663" width="9.109375" style="685" customWidth="1"/>
    <col min="7664" max="7664" width="9.5546875" style="685" customWidth="1"/>
    <col min="7665" max="7665" width="9.6640625" style="685" customWidth="1"/>
    <col min="7666" max="7666" width="9.5546875" style="685" bestFit="1" customWidth="1"/>
    <col min="7667" max="7667" width="10.5546875" style="685" customWidth="1"/>
    <col min="7668" max="7668" width="9.88671875" style="685" customWidth="1"/>
    <col min="7669" max="7669" width="9.109375" style="685"/>
    <col min="7670" max="7670" width="10" style="685" customWidth="1"/>
    <col min="7671" max="7671" width="10.109375" style="685" customWidth="1"/>
    <col min="7672" max="7672" width="9.109375" style="685"/>
    <col min="7673" max="7673" width="10" style="685" customWidth="1"/>
    <col min="7674" max="7674" width="9.6640625" style="685" customWidth="1"/>
    <col min="7675" max="7675" width="11.33203125" style="685" customWidth="1"/>
    <col min="7676" max="7676" width="9.6640625" style="685" customWidth="1"/>
    <col min="7677" max="7677" width="9.88671875" style="685" customWidth="1"/>
    <col min="7678" max="7678" width="9.109375" style="685"/>
    <col min="7679" max="7679" width="9.88671875" style="685" customWidth="1"/>
    <col min="7680" max="7680" width="9.5546875" style="685" customWidth="1"/>
    <col min="7681" max="7681" width="9.109375" style="685"/>
    <col min="7682" max="7682" width="10.109375" style="685" customWidth="1"/>
    <col min="7683" max="7683" width="9.5546875" style="685" customWidth="1"/>
    <col min="7684" max="7684" width="9.109375" style="685"/>
    <col min="7685" max="7686" width="9.88671875" style="685" customWidth="1"/>
    <col min="7687" max="7912" width="9.109375" style="685"/>
    <col min="7913" max="7913" width="32.88671875" style="685" customWidth="1"/>
    <col min="7914" max="7914" width="9.6640625" style="685" customWidth="1"/>
    <col min="7915" max="7915" width="10.109375" style="685" customWidth="1"/>
    <col min="7916" max="7916" width="9.109375" style="685" customWidth="1"/>
    <col min="7917" max="7917" width="10" style="685" customWidth="1"/>
    <col min="7918" max="7918" width="9.88671875" style="685" customWidth="1"/>
    <col min="7919" max="7919" width="9.109375" style="685" customWidth="1"/>
    <col min="7920" max="7920" width="9.5546875" style="685" customWidth="1"/>
    <col min="7921" max="7921" width="9.6640625" style="685" customWidth="1"/>
    <col min="7922" max="7922" width="9.5546875" style="685" bestFit="1" customWidth="1"/>
    <col min="7923" max="7923" width="10.5546875" style="685" customWidth="1"/>
    <col min="7924" max="7924" width="9.88671875" style="685" customWidth="1"/>
    <col min="7925" max="7925" width="9.109375" style="685"/>
    <col min="7926" max="7926" width="10" style="685" customWidth="1"/>
    <col min="7927" max="7927" width="10.109375" style="685" customWidth="1"/>
    <col min="7928" max="7928" width="9.109375" style="685"/>
    <col min="7929" max="7929" width="10" style="685" customWidth="1"/>
    <col min="7930" max="7930" width="9.6640625" style="685" customWidth="1"/>
    <col min="7931" max="7931" width="11.33203125" style="685" customWidth="1"/>
    <col min="7932" max="7932" width="9.6640625" style="685" customWidth="1"/>
    <col min="7933" max="7933" width="9.88671875" style="685" customWidth="1"/>
    <col min="7934" max="7934" width="9.109375" style="685"/>
    <col min="7935" max="7935" width="9.88671875" style="685" customWidth="1"/>
    <col min="7936" max="7936" width="9.5546875" style="685" customWidth="1"/>
    <col min="7937" max="7937" width="9.109375" style="685"/>
    <col min="7938" max="7938" width="10.109375" style="685" customWidth="1"/>
    <col min="7939" max="7939" width="9.5546875" style="685" customWidth="1"/>
    <col min="7940" max="7940" width="9.109375" style="685"/>
    <col min="7941" max="7942" width="9.88671875" style="685" customWidth="1"/>
    <col min="7943" max="8168" width="9.109375" style="685"/>
    <col min="8169" max="8169" width="32.88671875" style="685" customWidth="1"/>
    <col min="8170" max="8170" width="9.6640625" style="685" customWidth="1"/>
    <col min="8171" max="8171" width="10.109375" style="685" customWidth="1"/>
    <col min="8172" max="8172" width="9.109375" style="685" customWidth="1"/>
    <col min="8173" max="8173" width="10" style="685" customWidth="1"/>
    <col min="8174" max="8174" width="9.88671875" style="685" customWidth="1"/>
    <col min="8175" max="8175" width="9.109375" style="685" customWidth="1"/>
    <col min="8176" max="8176" width="9.5546875" style="685" customWidth="1"/>
    <col min="8177" max="8177" width="9.6640625" style="685" customWidth="1"/>
    <col min="8178" max="8178" width="9.5546875" style="685" bestFit="1" customWidth="1"/>
    <col min="8179" max="8179" width="10.5546875" style="685" customWidth="1"/>
    <col min="8180" max="8180" width="9.88671875" style="685" customWidth="1"/>
    <col min="8181" max="8181" width="9.109375" style="685"/>
    <col min="8182" max="8182" width="10" style="685" customWidth="1"/>
    <col min="8183" max="8183" width="10.109375" style="685" customWidth="1"/>
    <col min="8184" max="8184" width="9.109375" style="685"/>
    <col min="8185" max="8185" width="10" style="685" customWidth="1"/>
    <col min="8186" max="8186" width="9.6640625" style="685" customWidth="1"/>
    <col min="8187" max="8187" width="11.33203125" style="685" customWidth="1"/>
    <col min="8188" max="8188" width="9.6640625" style="685" customWidth="1"/>
    <col min="8189" max="8189" width="9.88671875" style="685" customWidth="1"/>
    <col min="8190" max="8190" width="9.109375" style="685"/>
    <col min="8191" max="8191" width="9.88671875" style="685" customWidth="1"/>
    <col min="8192" max="8192" width="9.5546875" style="685" customWidth="1"/>
    <col min="8193" max="8193" width="9.109375" style="685"/>
    <col min="8194" max="8194" width="10.109375" style="685" customWidth="1"/>
    <col min="8195" max="8195" width="9.5546875" style="685" customWidth="1"/>
    <col min="8196" max="8196" width="9.109375" style="685"/>
    <col min="8197" max="8198" width="9.88671875" style="685" customWidth="1"/>
    <col min="8199" max="8424" width="9.109375" style="685"/>
    <col min="8425" max="8425" width="32.88671875" style="685" customWidth="1"/>
    <col min="8426" max="8426" width="9.6640625" style="685" customWidth="1"/>
    <col min="8427" max="8427" width="10.109375" style="685" customWidth="1"/>
    <col min="8428" max="8428" width="9.109375" style="685" customWidth="1"/>
    <col min="8429" max="8429" width="10" style="685" customWidth="1"/>
    <col min="8430" max="8430" width="9.88671875" style="685" customWidth="1"/>
    <col min="8431" max="8431" width="9.109375" style="685" customWidth="1"/>
    <col min="8432" max="8432" width="9.5546875" style="685" customWidth="1"/>
    <col min="8433" max="8433" width="9.6640625" style="685" customWidth="1"/>
    <col min="8434" max="8434" width="9.5546875" style="685" bestFit="1" customWidth="1"/>
    <col min="8435" max="8435" width="10.5546875" style="685" customWidth="1"/>
    <col min="8436" max="8436" width="9.88671875" style="685" customWidth="1"/>
    <col min="8437" max="8437" width="9.109375" style="685"/>
    <col min="8438" max="8438" width="10" style="685" customWidth="1"/>
    <col min="8439" max="8439" width="10.109375" style="685" customWidth="1"/>
    <col min="8440" max="8440" width="9.109375" style="685"/>
    <col min="8441" max="8441" width="10" style="685" customWidth="1"/>
    <col min="8442" max="8442" width="9.6640625" style="685" customWidth="1"/>
    <col min="8443" max="8443" width="11.33203125" style="685" customWidth="1"/>
    <col min="8444" max="8444" width="9.6640625" style="685" customWidth="1"/>
    <col min="8445" max="8445" width="9.88671875" style="685" customWidth="1"/>
    <col min="8446" max="8446" width="9.109375" style="685"/>
    <col min="8447" max="8447" width="9.88671875" style="685" customWidth="1"/>
    <col min="8448" max="8448" width="9.5546875" style="685" customWidth="1"/>
    <col min="8449" max="8449" width="9.109375" style="685"/>
    <col min="8450" max="8450" width="10.109375" style="685" customWidth="1"/>
    <col min="8451" max="8451" width="9.5546875" style="685" customWidth="1"/>
    <col min="8452" max="8452" width="9.109375" style="685"/>
    <col min="8453" max="8454" width="9.88671875" style="685" customWidth="1"/>
    <col min="8455" max="8680" width="9.109375" style="685"/>
    <col min="8681" max="8681" width="32.88671875" style="685" customWidth="1"/>
    <col min="8682" max="8682" width="9.6640625" style="685" customWidth="1"/>
    <col min="8683" max="8683" width="10.109375" style="685" customWidth="1"/>
    <col min="8684" max="8684" width="9.109375" style="685" customWidth="1"/>
    <col min="8685" max="8685" width="10" style="685" customWidth="1"/>
    <col min="8686" max="8686" width="9.88671875" style="685" customWidth="1"/>
    <col min="8687" max="8687" width="9.109375" style="685" customWidth="1"/>
    <col min="8688" max="8688" width="9.5546875" style="685" customWidth="1"/>
    <col min="8689" max="8689" width="9.6640625" style="685" customWidth="1"/>
    <col min="8690" max="8690" width="9.5546875" style="685" bestFit="1" customWidth="1"/>
    <col min="8691" max="8691" width="10.5546875" style="685" customWidth="1"/>
    <col min="8692" max="8692" width="9.88671875" style="685" customWidth="1"/>
    <col min="8693" max="8693" width="9.109375" style="685"/>
    <col min="8694" max="8694" width="10" style="685" customWidth="1"/>
    <col min="8695" max="8695" width="10.109375" style="685" customWidth="1"/>
    <col min="8696" max="8696" width="9.109375" style="685"/>
    <col min="8697" max="8697" width="10" style="685" customWidth="1"/>
    <col min="8698" max="8698" width="9.6640625" style="685" customWidth="1"/>
    <col min="8699" max="8699" width="11.33203125" style="685" customWidth="1"/>
    <col min="8700" max="8700" width="9.6640625" style="685" customWidth="1"/>
    <col min="8701" max="8701" width="9.88671875" style="685" customWidth="1"/>
    <col min="8702" max="8702" width="9.109375" style="685"/>
    <col min="8703" max="8703" width="9.88671875" style="685" customWidth="1"/>
    <col min="8704" max="8704" width="9.5546875" style="685" customWidth="1"/>
    <col min="8705" max="8705" width="9.109375" style="685"/>
    <col min="8706" max="8706" width="10.109375" style="685" customWidth="1"/>
    <col min="8707" max="8707" width="9.5546875" style="685" customWidth="1"/>
    <col min="8708" max="8708" width="9.109375" style="685"/>
    <col min="8709" max="8710" width="9.88671875" style="685" customWidth="1"/>
    <col min="8711" max="8936" width="9.109375" style="685"/>
    <col min="8937" max="8937" width="32.88671875" style="685" customWidth="1"/>
    <col min="8938" max="8938" width="9.6640625" style="685" customWidth="1"/>
    <col min="8939" max="8939" width="10.109375" style="685" customWidth="1"/>
    <col min="8940" max="8940" width="9.109375" style="685" customWidth="1"/>
    <col min="8941" max="8941" width="10" style="685" customWidth="1"/>
    <col min="8942" max="8942" width="9.88671875" style="685" customWidth="1"/>
    <col min="8943" max="8943" width="9.109375" style="685" customWidth="1"/>
    <col min="8944" max="8944" width="9.5546875" style="685" customWidth="1"/>
    <col min="8945" max="8945" width="9.6640625" style="685" customWidth="1"/>
    <col min="8946" max="8946" width="9.5546875" style="685" bestFit="1" customWidth="1"/>
    <col min="8947" max="8947" width="10.5546875" style="685" customWidth="1"/>
    <col min="8948" max="8948" width="9.88671875" style="685" customWidth="1"/>
    <col min="8949" max="8949" width="9.109375" style="685"/>
    <col min="8950" max="8950" width="10" style="685" customWidth="1"/>
    <col min="8951" max="8951" width="10.109375" style="685" customWidth="1"/>
    <col min="8952" max="8952" width="9.109375" style="685"/>
    <col min="8953" max="8953" width="10" style="685" customWidth="1"/>
    <col min="8954" max="8954" width="9.6640625" style="685" customWidth="1"/>
    <col min="8955" max="8955" width="11.33203125" style="685" customWidth="1"/>
    <col min="8956" max="8956" width="9.6640625" style="685" customWidth="1"/>
    <col min="8957" max="8957" width="9.88671875" style="685" customWidth="1"/>
    <col min="8958" max="8958" width="9.109375" style="685"/>
    <col min="8959" max="8959" width="9.88671875" style="685" customWidth="1"/>
    <col min="8960" max="8960" width="9.5546875" style="685" customWidth="1"/>
    <col min="8961" max="8961" width="9.109375" style="685"/>
    <col min="8962" max="8962" width="10.109375" style="685" customWidth="1"/>
    <col min="8963" max="8963" width="9.5546875" style="685" customWidth="1"/>
    <col min="8964" max="8964" width="9.109375" style="685"/>
    <col min="8965" max="8966" width="9.88671875" style="685" customWidth="1"/>
    <col min="8967" max="9192" width="9.109375" style="685"/>
    <col min="9193" max="9193" width="32.88671875" style="685" customWidth="1"/>
    <col min="9194" max="9194" width="9.6640625" style="685" customWidth="1"/>
    <col min="9195" max="9195" width="10.109375" style="685" customWidth="1"/>
    <col min="9196" max="9196" width="9.109375" style="685" customWidth="1"/>
    <col min="9197" max="9197" width="10" style="685" customWidth="1"/>
    <col min="9198" max="9198" width="9.88671875" style="685" customWidth="1"/>
    <col min="9199" max="9199" width="9.109375" style="685" customWidth="1"/>
    <col min="9200" max="9200" width="9.5546875" style="685" customWidth="1"/>
    <col min="9201" max="9201" width="9.6640625" style="685" customWidth="1"/>
    <col min="9202" max="9202" width="9.5546875" style="685" bestFit="1" customWidth="1"/>
    <col min="9203" max="9203" width="10.5546875" style="685" customWidth="1"/>
    <col min="9204" max="9204" width="9.88671875" style="685" customWidth="1"/>
    <col min="9205" max="9205" width="9.109375" style="685"/>
    <col min="9206" max="9206" width="10" style="685" customWidth="1"/>
    <col min="9207" max="9207" width="10.109375" style="685" customWidth="1"/>
    <col min="9208" max="9208" width="9.109375" style="685"/>
    <col min="9209" max="9209" width="10" style="685" customWidth="1"/>
    <col min="9210" max="9210" width="9.6640625" style="685" customWidth="1"/>
    <col min="9211" max="9211" width="11.33203125" style="685" customWidth="1"/>
    <col min="9212" max="9212" width="9.6640625" style="685" customWidth="1"/>
    <col min="9213" max="9213" width="9.88671875" style="685" customWidth="1"/>
    <col min="9214" max="9214" width="9.109375" style="685"/>
    <col min="9215" max="9215" width="9.88671875" style="685" customWidth="1"/>
    <col min="9216" max="9216" width="9.5546875" style="685" customWidth="1"/>
    <col min="9217" max="9217" width="9.109375" style="685"/>
    <col min="9218" max="9218" width="10.109375" style="685" customWidth="1"/>
    <col min="9219" max="9219" width="9.5546875" style="685" customWidth="1"/>
    <col min="9220" max="9220" width="9.109375" style="685"/>
    <col min="9221" max="9222" width="9.88671875" style="685" customWidth="1"/>
    <col min="9223" max="9448" width="9.109375" style="685"/>
    <col min="9449" max="9449" width="32.88671875" style="685" customWidth="1"/>
    <col min="9450" max="9450" width="9.6640625" style="685" customWidth="1"/>
    <col min="9451" max="9451" width="10.109375" style="685" customWidth="1"/>
    <col min="9452" max="9452" width="9.109375" style="685" customWidth="1"/>
    <col min="9453" max="9453" width="10" style="685" customWidth="1"/>
    <col min="9454" max="9454" width="9.88671875" style="685" customWidth="1"/>
    <col min="9455" max="9455" width="9.109375" style="685" customWidth="1"/>
    <col min="9456" max="9456" width="9.5546875" style="685" customWidth="1"/>
    <col min="9457" max="9457" width="9.6640625" style="685" customWidth="1"/>
    <col min="9458" max="9458" width="9.5546875" style="685" bestFit="1" customWidth="1"/>
    <col min="9459" max="9459" width="10.5546875" style="685" customWidth="1"/>
    <col min="9460" max="9460" width="9.88671875" style="685" customWidth="1"/>
    <col min="9461" max="9461" width="9.109375" style="685"/>
    <col min="9462" max="9462" width="10" style="685" customWidth="1"/>
    <col min="9463" max="9463" width="10.109375" style="685" customWidth="1"/>
    <col min="9464" max="9464" width="9.109375" style="685"/>
    <col min="9465" max="9465" width="10" style="685" customWidth="1"/>
    <col min="9466" max="9466" width="9.6640625" style="685" customWidth="1"/>
    <col min="9467" max="9467" width="11.33203125" style="685" customWidth="1"/>
    <col min="9468" max="9468" width="9.6640625" style="685" customWidth="1"/>
    <col min="9469" max="9469" width="9.88671875" style="685" customWidth="1"/>
    <col min="9470" max="9470" width="9.109375" style="685"/>
    <col min="9471" max="9471" width="9.88671875" style="685" customWidth="1"/>
    <col min="9472" max="9472" width="9.5546875" style="685" customWidth="1"/>
    <col min="9473" max="9473" width="9.109375" style="685"/>
    <col min="9474" max="9474" width="10.109375" style="685" customWidth="1"/>
    <col min="9475" max="9475" width="9.5546875" style="685" customWidth="1"/>
    <col min="9476" max="9476" width="9.109375" style="685"/>
    <col min="9477" max="9478" width="9.88671875" style="685" customWidth="1"/>
    <col min="9479" max="9704" width="9.109375" style="685"/>
    <col min="9705" max="9705" width="32.88671875" style="685" customWidth="1"/>
    <col min="9706" max="9706" width="9.6640625" style="685" customWidth="1"/>
    <col min="9707" max="9707" width="10.109375" style="685" customWidth="1"/>
    <col min="9708" max="9708" width="9.109375" style="685" customWidth="1"/>
    <col min="9709" max="9709" width="10" style="685" customWidth="1"/>
    <col min="9710" max="9710" width="9.88671875" style="685" customWidth="1"/>
    <col min="9711" max="9711" width="9.109375" style="685" customWidth="1"/>
    <col min="9712" max="9712" width="9.5546875" style="685" customWidth="1"/>
    <col min="9713" max="9713" width="9.6640625" style="685" customWidth="1"/>
    <col min="9714" max="9714" width="9.5546875" style="685" bestFit="1" customWidth="1"/>
    <col min="9715" max="9715" width="10.5546875" style="685" customWidth="1"/>
    <col min="9716" max="9716" width="9.88671875" style="685" customWidth="1"/>
    <col min="9717" max="9717" width="9.109375" style="685"/>
    <col min="9718" max="9718" width="10" style="685" customWidth="1"/>
    <col min="9719" max="9719" width="10.109375" style="685" customWidth="1"/>
    <col min="9720" max="9720" width="9.109375" style="685"/>
    <col min="9721" max="9721" width="10" style="685" customWidth="1"/>
    <col min="9722" max="9722" width="9.6640625" style="685" customWidth="1"/>
    <col min="9723" max="9723" width="11.33203125" style="685" customWidth="1"/>
    <col min="9724" max="9724" width="9.6640625" style="685" customWidth="1"/>
    <col min="9725" max="9725" width="9.88671875" style="685" customWidth="1"/>
    <col min="9726" max="9726" width="9.109375" style="685"/>
    <col min="9727" max="9727" width="9.88671875" style="685" customWidth="1"/>
    <col min="9728" max="9728" width="9.5546875" style="685" customWidth="1"/>
    <col min="9729" max="9729" width="9.109375" style="685"/>
    <col min="9730" max="9730" width="10.109375" style="685" customWidth="1"/>
    <col min="9731" max="9731" width="9.5546875" style="685" customWidth="1"/>
    <col min="9732" max="9732" width="9.109375" style="685"/>
    <col min="9733" max="9734" width="9.88671875" style="685" customWidth="1"/>
    <col min="9735" max="9960" width="9.109375" style="685"/>
    <col min="9961" max="9961" width="32.88671875" style="685" customWidth="1"/>
    <col min="9962" max="9962" width="9.6640625" style="685" customWidth="1"/>
    <col min="9963" max="9963" width="10.109375" style="685" customWidth="1"/>
    <col min="9964" max="9964" width="9.109375" style="685" customWidth="1"/>
    <col min="9965" max="9965" width="10" style="685" customWidth="1"/>
    <col min="9966" max="9966" width="9.88671875" style="685" customWidth="1"/>
    <col min="9967" max="9967" width="9.109375" style="685" customWidth="1"/>
    <col min="9968" max="9968" width="9.5546875" style="685" customWidth="1"/>
    <col min="9969" max="9969" width="9.6640625" style="685" customWidth="1"/>
    <col min="9970" max="9970" width="9.5546875" style="685" bestFit="1" customWidth="1"/>
    <col min="9971" max="9971" width="10.5546875" style="685" customWidth="1"/>
    <col min="9972" max="9972" width="9.88671875" style="685" customWidth="1"/>
    <col min="9973" max="9973" width="9.109375" style="685"/>
    <col min="9974" max="9974" width="10" style="685" customWidth="1"/>
    <col min="9975" max="9975" width="10.109375" style="685" customWidth="1"/>
    <col min="9976" max="9976" width="9.109375" style="685"/>
    <col min="9977" max="9977" width="10" style="685" customWidth="1"/>
    <col min="9978" max="9978" width="9.6640625" style="685" customWidth="1"/>
    <col min="9979" max="9979" width="11.33203125" style="685" customWidth="1"/>
    <col min="9980" max="9980" width="9.6640625" style="685" customWidth="1"/>
    <col min="9981" max="9981" width="9.88671875" style="685" customWidth="1"/>
    <col min="9982" max="9982" width="9.109375" style="685"/>
    <col min="9983" max="9983" width="9.88671875" style="685" customWidth="1"/>
    <col min="9984" max="9984" width="9.5546875" style="685" customWidth="1"/>
    <col min="9985" max="9985" width="9.109375" style="685"/>
    <col min="9986" max="9986" width="10.109375" style="685" customWidth="1"/>
    <col min="9987" max="9987" width="9.5546875" style="685" customWidth="1"/>
    <col min="9988" max="9988" width="9.109375" style="685"/>
    <col min="9989" max="9990" width="9.88671875" style="685" customWidth="1"/>
    <col min="9991" max="10216" width="9.109375" style="685"/>
    <col min="10217" max="10217" width="32.88671875" style="685" customWidth="1"/>
    <col min="10218" max="10218" width="9.6640625" style="685" customWidth="1"/>
    <col min="10219" max="10219" width="10.109375" style="685" customWidth="1"/>
    <col min="10220" max="10220" width="9.109375" style="685" customWidth="1"/>
    <col min="10221" max="10221" width="10" style="685" customWidth="1"/>
    <col min="10222" max="10222" width="9.88671875" style="685" customWidth="1"/>
    <col min="10223" max="10223" width="9.109375" style="685" customWidth="1"/>
    <col min="10224" max="10224" width="9.5546875" style="685" customWidth="1"/>
    <col min="10225" max="10225" width="9.6640625" style="685" customWidth="1"/>
    <col min="10226" max="10226" width="9.5546875" style="685" bestFit="1" customWidth="1"/>
    <col min="10227" max="10227" width="10.5546875" style="685" customWidth="1"/>
    <col min="10228" max="10228" width="9.88671875" style="685" customWidth="1"/>
    <col min="10229" max="10229" width="9.109375" style="685"/>
    <col min="10230" max="10230" width="10" style="685" customWidth="1"/>
    <col min="10231" max="10231" width="10.109375" style="685" customWidth="1"/>
    <col min="10232" max="10232" width="9.109375" style="685"/>
    <col min="10233" max="10233" width="10" style="685" customWidth="1"/>
    <col min="10234" max="10234" width="9.6640625" style="685" customWidth="1"/>
    <col min="10235" max="10235" width="11.33203125" style="685" customWidth="1"/>
    <col min="10236" max="10236" width="9.6640625" style="685" customWidth="1"/>
    <col min="10237" max="10237" width="9.88671875" style="685" customWidth="1"/>
    <col min="10238" max="10238" width="9.109375" style="685"/>
    <col min="10239" max="10239" width="9.88671875" style="685" customWidth="1"/>
    <col min="10240" max="10240" width="9.5546875" style="685" customWidth="1"/>
    <col min="10241" max="10241" width="9.109375" style="685"/>
    <col min="10242" max="10242" width="10.109375" style="685" customWidth="1"/>
    <col min="10243" max="10243" width="9.5546875" style="685" customWidth="1"/>
    <col min="10244" max="10244" width="9.109375" style="685"/>
    <col min="10245" max="10246" width="9.88671875" style="685" customWidth="1"/>
    <col min="10247" max="10472" width="9.109375" style="685"/>
    <col min="10473" max="10473" width="32.88671875" style="685" customWidth="1"/>
    <col min="10474" max="10474" width="9.6640625" style="685" customWidth="1"/>
    <col min="10475" max="10475" width="10.109375" style="685" customWidth="1"/>
    <col min="10476" max="10476" width="9.109375" style="685" customWidth="1"/>
    <col min="10477" max="10477" width="10" style="685" customWidth="1"/>
    <col min="10478" max="10478" width="9.88671875" style="685" customWidth="1"/>
    <col min="10479" max="10479" width="9.109375" style="685" customWidth="1"/>
    <col min="10480" max="10480" width="9.5546875" style="685" customWidth="1"/>
    <col min="10481" max="10481" width="9.6640625" style="685" customWidth="1"/>
    <col min="10482" max="10482" width="9.5546875" style="685" bestFit="1" customWidth="1"/>
    <col min="10483" max="10483" width="10.5546875" style="685" customWidth="1"/>
    <col min="10484" max="10484" width="9.88671875" style="685" customWidth="1"/>
    <col min="10485" max="10485" width="9.109375" style="685"/>
    <col min="10486" max="10486" width="10" style="685" customWidth="1"/>
    <col min="10487" max="10487" width="10.109375" style="685" customWidth="1"/>
    <col min="10488" max="10488" width="9.109375" style="685"/>
    <col min="10489" max="10489" width="10" style="685" customWidth="1"/>
    <col min="10490" max="10490" width="9.6640625" style="685" customWidth="1"/>
    <col min="10491" max="10491" width="11.33203125" style="685" customWidth="1"/>
    <col min="10492" max="10492" width="9.6640625" style="685" customWidth="1"/>
    <col min="10493" max="10493" width="9.88671875" style="685" customWidth="1"/>
    <col min="10494" max="10494" width="9.109375" style="685"/>
    <col min="10495" max="10495" width="9.88671875" style="685" customWidth="1"/>
    <col min="10496" max="10496" width="9.5546875" style="685" customWidth="1"/>
    <col min="10497" max="10497" width="9.109375" style="685"/>
    <col min="10498" max="10498" width="10.109375" style="685" customWidth="1"/>
    <col min="10499" max="10499" width="9.5546875" style="685" customWidth="1"/>
    <col min="10500" max="10500" width="9.109375" style="685"/>
    <col min="10501" max="10502" width="9.88671875" style="685" customWidth="1"/>
    <col min="10503" max="10728" width="9.109375" style="685"/>
    <col min="10729" max="10729" width="32.88671875" style="685" customWidth="1"/>
    <col min="10730" max="10730" width="9.6640625" style="685" customWidth="1"/>
    <col min="10731" max="10731" width="10.109375" style="685" customWidth="1"/>
    <col min="10732" max="10732" width="9.109375" style="685" customWidth="1"/>
    <col min="10733" max="10733" width="10" style="685" customWidth="1"/>
    <col min="10734" max="10734" width="9.88671875" style="685" customWidth="1"/>
    <col min="10735" max="10735" width="9.109375" style="685" customWidth="1"/>
    <col min="10736" max="10736" width="9.5546875" style="685" customWidth="1"/>
    <col min="10737" max="10737" width="9.6640625" style="685" customWidth="1"/>
    <col min="10738" max="10738" width="9.5546875" style="685" bestFit="1" customWidth="1"/>
    <col min="10739" max="10739" width="10.5546875" style="685" customWidth="1"/>
    <col min="10740" max="10740" width="9.88671875" style="685" customWidth="1"/>
    <col min="10741" max="10741" width="9.109375" style="685"/>
    <col min="10742" max="10742" width="10" style="685" customWidth="1"/>
    <col min="10743" max="10743" width="10.109375" style="685" customWidth="1"/>
    <col min="10744" max="10744" width="9.109375" style="685"/>
    <col min="10745" max="10745" width="10" style="685" customWidth="1"/>
    <col min="10746" max="10746" width="9.6640625" style="685" customWidth="1"/>
    <col min="10747" max="10747" width="11.33203125" style="685" customWidth="1"/>
    <col min="10748" max="10748" width="9.6640625" style="685" customWidth="1"/>
    <col min="10749" max="10749" width="9.88671875" style="685" customWidth="1"/>
    <col min="10750" max="10750" width="9.109375" style="685"/>
    <col min="10751" max="10751" width="9.88671875" style="685" customWidth="1"/>
    <col min="10752" max="10752" width="9.5546875" style="685" customWidth="1"/>
    <col min="10753" max="10753" width="9.109375" style="685"/>
    <col min="10754" max="10754" width="10.109375" style="685" customWidth="1"/>
    <col min="10755" max="10755" width="9.5546875" style="685" customWidth="1"/>
    <col min="10756" max="10756" width="9.109375" style="685"/>
    <col min="10757" max="10758" width="9.88671875" style="685" customWidth="1"/>
    <col min="10759" max="10984" width="9.109375" style="685"/>
    <col min="10985" max="10985" width="32.88671875" style="685" customWidth="1"/>
    <col min="10986" max="10986" width="9.6640625" style="685" customWidth="1"/>
    <col min="10987" max="10987" width="10.109375" style="685" customWidth="1"/>
    <col min="10988" max="10988" width="9.109375" style="685" customWidth="1"/>
    <col min="10989" max="10989" width="10" style="685" customWidth="1"/>
    <col min="10990" max="10990" width="9.88671875" style="685" customWidth="1"/>
    <col min="10991" max="10991" width="9.109375" style="685" customWidth="1"/>
    <col min="10992" max="10992" width="9.5546875" style="685" customWidth="1"/>
    <col min="10993" max="10993" width="9.6640625" style="685" customWidth="1"/>
    <col min="10994" max="10994" width="9.5546875" style="685" bestFit="1" customWidth="1"/>
    <col min="10995" max="10995" width="10.5546875" style="685" customWidth="1"/>
    <col min="10996" max="10996" width="9.88671875" style="685" customWidth="1"/>
    <col min="10997" max="10997" width="9.109375" style="685"/>
    <col min="10998" max="10998" width="10" style="685" customWidth="1"/>
    <col min="10999" max="10999" width="10.109375" style="685" customWidth="1"/>
    <col min="11000" max="11000" width="9.109375" style="685"/>
    <col min="11001" max="11001" width="10" style="685" customWidth="1"/>
    <col min="11002" max="11002" width="9.6640625" style="685" customWidth="1"/>
    <col min="11003" max="11003" width="11.33203125" style="685" customWidth="1"/>
    <col min="11004" max="11004" width="9.6640625" style="685" customWidth="1"/>
    <col min="11005" max="11005" width="9.88671875" style="685" customWidth="1"/>
    <col min="11006" max="11006" width="9.109375" style="685"/>
    <col min="11007" max="11007" width="9.88671875" style="685" customWidth="1"/>
    <col min="11008" max="11008" width="9.5546875" style="685" customWidth="1"/>
    <col min="11009" max="11009" width="9.109375" style="685"/>
    <col min="11010" max="11010" width="10.109375" style="685" customWidth="1"/>
    <col min="11011" max="11011" width="9.5546875" style="685" customWidth="1"/>
    <col min="11012" max="11012" width="9.109375" style="685"/>
    <col min="11013" max="11014" width="9.88671875" style="685" customWidth="1"/>
    <col min="11015" max="11240" width="9.109375" style="685"/>
    <col min="11241" max="11241" width="32.88671875" style="685" customWidth="1"/>
    <col min="11242" max="11242" width="9.6640625" style="685" customWidth="1"/>
    <col min="11243" max="11243" width="10.109375" style="685" customWidth="1"/>
    <col min="11244" max="11244" width="9.109375" style="685" customWidth="1"/>
    <col min="11245" max="11245" width="10" style="685" customWidth="1"/>
    <col min="11246" max="11246" width="9.88671875" style="685" customWidth="1"/>
    <col min="11247" max="11247" width="9.109375" style="685" customWidth="1"/>
    <col min="11248" max="11248" width="9.5546875" style="685" customWidth="1"/>
    <col min="11249" max="11249" width="9.6640625" style="685" customWidth="1"/>
    <col min="11250" max="11250" width="9.5546875" style="685" bestFit="1" customWidth="1"/>
    <col min="11251" max="11251" width="10.5546875" style="685" customWidth="1"/>
    <col min="11252" max="11252" width="9.88671875" style="685" customWidth="1"/>
    <col min="11253" max="11253" width="9.109375" style="685"/>
    <col min="11254" max="11254" width="10" style="685" customWidth="1"/>
    <col min="11255" max="11255" width="10.109375" style="685" customWidth="1"/>
    <col min="11256" max="11256" width="9.109375" style="685"/>
    <col min="11257" max="11257" width="10" style="685" customWidth="1"/>
    <col min="11258" max="11258" width="9.6640625" style="685" customWidth="1"/>
    <col min="11259" max="11259" width="11.33203125" style="685" customWidth="1"/>
    <col min="11260" max="11260" width="9.6640625" style="685" customWidth="1"/>
    <col min="11261" max="11261" width="9.88671875" style="685" customWidth="1"/>
    <col min="11262" max="11262" width="9.109375" style="685"/>
    <col min="11263" max="11263" width="9.88671875" style="685" customWidth="1"/>
    <col min="11264" max="11264" width="9.5546875" style="685" customWidth="1"/>
    <col min="11265" max="11265" width="9.109375" style="685"/>
    <col min="11266" max="11266" width="10.109375" style="685" customWidth="1"/>
    <col min="11267" max="11267" width="9.5546875" style="685" customWidth="1"/>
    <col min="11268" max="11268" width="9.109375" style="685"/>
    <col min="11269" max="11270" width="9.88671875" style="685" customWidth="1"/>
    <col min="11271" max="11496" width="9.109375" style="685"/>
    <col min="11497" max="11497" width="32.88671875" style="685" customWidth="1"/>
    <col min="11498" max="11498" width="9.6640625" style="685" customWidth="1"/>
    <col min="11499" max="11499" width="10.109375" style="685" customWidth="1"/>
    <col min="11500" max="11500" width="9.109375" style="685" customWidth="1"/>
    <col min="11501" max="11501" width="10" style="685" customWidth="1"/>
    <col min="11502" max="11502" width="9.88671875" style="685" customWidth="1"/>
    <col min="11503" max="11503" width="9.109375" style="685" customWidth="1"/>
    <col min="11504" max="11504" width="9.5546875" style="685" customWidth="1"/>
    <col min="11505" max="11505" width="9.6640625" style="685" customWidth="1"/>
    <col min="11506" max="11506" width="9.5546875" style="685" bestFit="1" customWidth="1"/>
    <col min="11507" max="11507" width="10.5546875" style="685" customWidth="1"/>
    <col min="11508" max="11508" width="9.88671875" style="685" customWidth="1"/>
    <col min="11509" max="11509" width="9.109375" style="685"/>
    <col min="11510" max="11510" width="10" style="685" customWidth="1"/>
    <col min="11511" max="11511" width="10.109375" style="685" customWidth="1"/>
    <col min="11512" max="11512" width="9.109375" style="685"/>
    <col min="11513" max="11513" width="10" style="685" customWidth="1"/>
    <col min="11514" max="11514" width="9.6640625" style="685" customWidth="1"/>
    <col min="11515" max="11515" width="11.33203125" style="685" customWidth="1"/>
    <col min="11516" max="11516" width="9.6640625" style="685" customWidth="1"/>
    <col min="11517" max="11517" width="9.88671875" style="685" customWidth="1"/>
    <col min="11518" max="11518" width="9.109375" style="685"/>
    <col min="11519" max="11519" width="9.88671875" style="685" customWidth="1"/>
    <col min="11520" max="11520" width="9.5546875" style="685" customWidth="1"/>
    <col min="11521" max="11521" width="9.109375" style="685"/>
    <col min="11522" max="11522" width="10.109375" style="685" customWidth="1"/>
    <col min="11523" max="11523" width="9.5546875" style="685" customWidth="1"/>
    <col min="11524" max="11524" width="9.109375" style="685"/>
    <col min="11525" max="11526" width="9.88671875" style="685" customWidth="1"/>
    <col min="11527" max="11752" width="9.109375" style="685"/>
    <col min="11753" max="11753" width="32.88671875" style="685" customWidth="1"/>
    <col min="11754" max="11754" width="9.6640625" style="685" customWidth="1"/>
    <col min="11755" max="11755" width="10.109375" style="685" customWidth="1"/>
    <col min="11756" max="11756" width="9.109375" style="685" customWidth="1"/>
    <col min="11757" max="11757" width="10" style="685" customWidth="1"/>
    <col min="11758" max="11758" width="9.88671875" style="685" customWidth="1"/>
    <col min="11759" max="11759" width="9.109375" style="685" customWidth="1"/>
    <col min="11760" max="11760" width="9.5546875" style="685" customWidth="1"/>
    <col min="11761" max="11761" width="9.6640625" style="685" customWidth="1"/>
    <col min="11762" max="11762" width="9.5546875" style="685" bestFit="1" customWidth="1"/>
    <col min="11763" max="11763" width="10.5546875" style="685" customWidth="1"/>
    <col min="11764" max="11764" width="9.88671875" style="685" customWidth="1"/>
    <col min="11765" max="11765" width="9.109375" style="685"/>
    <col min="11766" max="11766" width="10" style="685" customWidth="1"/>
    <col min="11767" max="11767" width="10.109375" style="685" customWidth="1"/>
    <col min="11768" max="11768" width="9.109375" style="685"/>
    <col min="11769" max="11769" width="10" style="685" customWidth="1"/>
    <col min="11770" max="11770" width="9.6640625" style="685" customWidth="1"/>
    <col min="11771" max="11771" width="11.33203125" style="685" customWidth="1"/>
    <col min="11772" max="11772" width="9.6640625" style="685" customWidth="1"/>
    <col min="11773" max="11773" width="9.88671875" style="685" customWidth="1"/>
    <col min="11774" max="11774" width="9.109375" style="685"/>
    <col min="11775" max="11775" width="9.88671875" style="685" customWidth="1"/>
    <col min="11776" max="11776" width="9.5546875" style="685" customWidth="1"/>
    <col min="11777" max="11777" width="9.109375" style="685"/>
    <col min="11778" max="11778" width="10.109375" style="685" customWidth="1"/>
    <col min="11779" max="11779" width="9.5546875" style="685" customWidth="1"/>
    <col min="11780" max="11780" width="9.109375" style="685"/>
    <col min="11781" max="11782" width="9.88671875" style="685" customWidth="1"/>
    <col min="11783" max="12008" width="9.109375" style="685"/>
    <col min="12009" max="12009" width="32.88671875" style="685" customWidth="1"/>
    <col min="12010" max="12010" width="9.6640625" style="685" customWidth="1"/>
    <col min="12011" max="12011" width="10.109375" style="685" customWidth="1"/>
    <col min="12012" max="12012" width="9.109375" style="685" customWidth="1"/>
    <col min="12013" max="12013" width="10" style="685" customWidth="1"/>
    <col min="12014" max="12014" width="9.88671875" style="685" customWidth="1"/>
    <col min="12015" max="12015" width="9.109375" style="685" customWidth="1"/>
    <col min="12016" max="12016" width="9.5546875" style="685" customWidth="1"/>
    <col min="12017" max="12017" width="9.6640625" style="685" customWidth="1"/>
    <col min="12018" max="12018" width="9.5546875" style="685" bestFit="1" customWidth="1"/>
    <col min="12019" max="12019" width="10.5546875" style="685" customWidth="1"/>
    <col min="12020" max="12020" width="9.88671875" style="685" customWidth="1"/>
    <col min="12021" max="12021" width="9.109375" style="685"/>
    <col min="12022" max="12022" width="10" style="685" customWidth="1"/>
    <col min="12023" max="12023" width="10.109375" style="685" customWidth="1"/>
    <col min="12024" max="12024" width="9.109375" style="685"/>
    <col min="12025" max="12025" width="10" style="685" customWidth="1"/>
    <col min="12026" max="12026" width="9.6640625" style="685" customWidth="1"/>
    <col min="12027" max="12027" width="11.33203125" style="685" customWidth="1"/>
    <col min="12028" max="12028" width="9.6640625" style="685" customWidth="1"/>
    <col min="12029" max="12029" width="9.88671875" style="685" customWidth="1"/>
    <col min="12030" max="12030" width="9.109375" style="685"/>
    <col min="12031" max="12031" width="9.88671875" style="685" customWidth="1"/>
    <col min="12032" max="12032" width="9.5546875" style="685" customWidth="1"/>
    <col min="12033" max="12033" width="9.109375" style="685"/>
    <col min="12034" max="12034" width="10.109375" style="685" customWidth="1"/>
    <col min="12035" max="12035" width="9.5546875" style="685" customWidth="1"/>
    <col min="12036" max="12036" width="9.109375" style="685"/>
    <col min="12037" max="12038" width="9.88671875" style="685" customWidth="1"/>
    <col min="12039" max="12264" width="9.109375" style="685"/>
    <col min="12265" max="12265" width="32.88671875" style="685" customWidth="1"/>
    <col min="12266" max="12266" width="9.6640625" style="685" customWidth="1"/>
    <col min="12267" max="12267" width="10.109375" style="685" customWidth="1"/>
    <col min="12268" max="12268" width="9.109375" style="685" customWidth="1"/>
    <col min="12269" max="12269" width="10" style="685" customWidth="1"/>
    <col min="12270" max="12270" width="9.88671875" style="685" customWidth="1"/>
    <col min="12271" max="12271" width="9.109375" style="685" customWidth="1"/>
    <col min="12272" max="12272" width="9.5546875" style="685" customWidth="1"/>
    <col min="12273" max="12273" width="9.6640625" style="685" customWidth="1"/>
    <col min="12274" max="12274" width="9.5546875" style="685" bestFit="1" customWidth="1"/>
    <col min="12275" max="12275" width="10.5546875" style="685" customWidth="1"/>
    <col min="12276" max="12276" width="9.88671875" style="685" customWidth="1"/>
    <col min="12277" max="12277" width="9.109375" style="685"/>
    <col min="12278" max="12278" width="10" style="685" customWidth="1"/>
    <col min="12279" max="12279" width="10.109375" style="685" customWidth="1"/>
    <col min="12280" max="12280" width="9.109375" style="685"/>
    <col min="12281" max="12281" width="10" style="685" customWidth="1"/>
    <col min="12282" max="12282" width="9.6640625" style="685" customWidth="1"/>
    <col min="12283" max="12283" width="11.33203125" style="685" customWidth="1"/>
    <col min="12284" max="12284" width="9.6640625" style="685" customWidth="1"/>
    <col min="12285" max="12285" width="9.88671875" style="685" customWidth="1"/>
    <col min="12286" max="12286" width="9.109375" style="685"/>
    <col min="12287" max="12287" width="9.88671875" style="685" customWidth="1"/>
    <col min="12288" max="12288" width="9.5546875" style="685" customWidth="1"/>
    <col min="12289" max="12289" width="9.109375" style="685"/>
    <col min="12290" max="12290" width="10.109375" style="685" customWidth="1"/>
    <col min="12291" max="12291" width="9.5546875" style="685" customWidth="1"/>
    <col min="12292" max="12292" width="9.109375" style="685"/>
    <col min="12293" max="12294" width="9.88671875" style="685" customWidth="1"/>
    <col min="12295" max="12520" width="9.109375" style="685"/>
    <col min="12521" max="12521" width="32.88671875" style="685" customWidth="1"/>
    <col min="12522" max="12522" width="9.6640625" style="685" customWidth="1"/>
    <col min="12523" max="12523" width="10.109375" style="685" customWidth="1"/>
    <col min="12524" max="12524" width="9.109375" style="685" customWidth="1"/>
    <col min="12525" max="12525" width="10" style="685" customWidth="1"/>
    <col min="12526" max="12526" width="9.88671875" style="685" customWidth="1"/>
    <col min="12527" max="12527" width="9.109375" style="685" customWidth="1"/>
    <col min="12528" max="12528" width="9.5546875" style="685" customWidth="1"/>
    <col min="12529" max="12529" width="9.6640625" style="685" customWidth="1"/>
    <col min="12530" max="12530" width="9.5546875" style="685" bestFit="1" customWidth="1"/>
    <col min="12531" max="12531" width="10.5546875" style="685" customWidth="1"/>
    <col min="12532" max="12532" width="9.88671875" style="685" customWidth="1"/>
    <col min="12533" max="12533" width="9.109375" style="685"/>
    <col min="12534" max="12534" width="10" style="685" customWidth="1"/>
    <col min="12535" max="12535" width="10.109375" style="685" customWidth="1"/>
    <col min="12536" max="12536" width="9.109375" style="685"/>
    <col min="12537" max="12537" width="10" style="685" customWidth="1"/>
    <col min="12538" max="12538" width="9.6640625" style="685" customWidth="1"/>
    <col min="12539" max="12539" width="11.33203125" style="685" customWidth="1"/>
    <col min="12540" max="12540" width="9.6640625" style="685" customWidth="1"/>
    <col min="12541" max="12541" width="9.88671875" style="685" customWidth="1"/>
    <col min="12542" max="12542" width="9.109375" style="685"/>
    <col min="12543" max="12543" width="9.88671875" style="685" customWidth="1"/>
    <col min="12544" max="12544" width="9.5546875" style="685" customWidth="1"/>
    <col min="12545" max="12545" width="9.109375" style="685"/>
    <col min="12546" max="12546" width="10.109375" style="685" customWidth="1"/>
    <col min="12547" max="12547" width="9.5546875" style="685" customWidth="1"/>
    <col min="12548" max="12548" width="9.109375" style="685"/>
    <col min="12549" max="12550" width="9.88671875" style="685" customWidth="1"/>
    <col min="12551" max="12776" width="9.109375" style="685"/>
    <col min="12777" max="12777" width="32.88671875" style="685" customWidth="1"/>
    <col min="12778" max="12778" width="9.6640625" style="685" customWidth="1"/>
    <col min="12779" max="12779" width="10.109375" style="685" customWidth="1"/>
    <col min="12780" max="12780" width="9.109375" style="685" customWidth="1"/>
    <col min="12781" max="12781" width="10" style="685" customWidth="1"/>
    <col min="12782" max="12782" width="9.88671875" style="685" customWidth="1"/>
    <col min="12783" max="12783" width="9.109375" style="685" customWidth="1"/>
    <col min="12784" max="12784" width="9.5546875" style="685" customWidth="1"/>
    <col min="12785" max="12785" width="9.6640625" style="685" customWidth="1"/>
    <col min="12786" max="12786" width="9.5546875" style="685" bestFit="1" customWidth="1"/>
    <col min="12787" max="12787" width="10.5546875" style="685" customWidth="1"/>
    <col min="12788" max="12788" width="9.88671875" style="685" customWidth="1"/>
    <col min="12789" max="12789" width="9.109375" style="685"/>
    <col min="12790" max="12790" width="10" style="685" customWidth="1"/>
    <col min="12791" max="12791" width="10.109375" style="685" customWidth="1"/>
    <col min="12792" max="12792" width="9.109375" style="685"/>
    <col min="12793" max="12793" width="10" style="685" customWidth="1"/>
    <col min="12794" max="12794" width="9.6640625" style="685" customWidth="1"/>
    <col min="12795" max="12795" width="11.33203125" style="685" customWidth="1"/>
    <col min="12796" max="12796" width="9.6640625" style="685" customWidth="1"/>
    <col min="12797" max="12797" width="9.88671875" style="685" customWidth="1"/>
    <col min="12798" max="12798" width="9.109375" style="685"/>
    <col min="12799" max="12799" width="9.88671875" style="685" customWidth="1"/>
    <col min="12800" max="12800" width="9.5546875" style="685" customWidth="1"/>
    <col min="12801" max="12801" width="9.109375" style="685"/>
    <col min="12802" max="12802" width="10.109375" style="685" customWidth="1"/>
    <col min="12803" max="12803" width="9.5546875" style="685" customWidth="1"/>
    <col min="12804" max="12804" width="9.109375" style="685"/>
    <col min="12805" max="12806" width="9.88671875" style="685" customWidth="1"/>
    <col min="12807" max="13032" width="9.109375" style="685"/>
    <col min="13033" max="13033" width="32.88671875" style="685" customWidth="1"/>
    <col min="13034" max="13034" width="9.6640625" style="685" customWidth="1"/>
    <col min="13035" max="13035" width="10.109375" style="685" customWidth="1"/>
    <col min="13036" max="13036" width="9.109375" style="685" customWidth="1"/>
    <col min="13037" max="13037" width="10" style="685" customWidth="1"/>
    <col min="13038" max="13038" width="9.88671875" style="685" customWidth="1"/>
    <col min="13039" max="13039" width="9.109375" style="685" customWidth="1"/>
    <col min="13040" max="13040" width="9.5546875" style="685" customWidth="1"/>
    <col min="13041" max="13041" width="9.6640625" style="685" customWidth="1"/>
    <col min="13042" max="13042" width="9.5546875" style="685" bestFit="1" customWidth="1"/>
    <col min="13043" max="13043" width="10.5546875" style="685" customWidth="1"/>
    <col min="13044" max="13044" width="9.88671875" style="685" customWidth="1"/>
    <col min="13045" max="13045" width="9.109375" style="685"/>
    <col min="13046" max="13046" width="10" style="685" customWidth="1"/>
    <col min="13047" max="13047" width="10.109375" style="685" customWidth="1"/>
    <col min="13048" max="13048" width="9.109375" style="685"/>
    <col min="13049" max="13049" width="10" style="685" customWidth="1"/>
    <col min="13050" max="13050" width="9.6640625" style="685" customWidth="1"/>
    <col min="13051" max="13051" width="11.33203125" style="685" customWidth="1"/>
    <col min="13052" max="13052" width="9.6640625" style="685" customWidth="1"/>
    <col min="13053" max="13053" width="9.88671875" style="685" customWidth="1"/>
    <col min="13054" max="13054" width="9.109375" style="685"/>
    <col min="13055" max="13055" width="9.88671875" style="685" customWidth="1"/>
    <col min="13056" max="13056" width="9.5546875" style="685" customWidth="1"/>
    <col min="13057" max="13057" width="9.109375" style="685"/>
    <col min="13058" max="13058" width="10.109375" style="685" customWidth="1"/>
    <col min="13059" max="13059" width="9.5546875" style="685" customWidth="1"/>
    <col min="13060" max="13060" width="9.109375" style="685"/>
    <col min="13061" max="13062" width="9.88671875" style="685" customWidth="1"/>
    <col min="13063" max="13288" width="9.109375" style="685"/>
    <col min="13289" max="13289" width="32.88671875" style="685" customWidth="1"/>
    <col min="13290" max="13290" width="9.6640625" style="685" customWidth="1"/>
    <col min="13291" max="13291" width="10.109375" style="685" customWidth="1"/>
    <col min="13292" max="13292" width="9.109375" style="685" customWidth="1"/>
    <col min="13293" max="13293" width="10" style="685" customWidth="1"/>
    <col min="13294" max="13294" width="9.88671875" style="685" customWidth="1"/>
    <col min="13295" max="13295" width="9.109375" style="685" customWidth="1"/>
    <col min="13296" max="13296" width="9.5546875" style="685" customWidth="1"/>
    <col min="13297" max="13297" width="9.6640625" style="685" customWidth="1"/>
    <col min="13298" max="13298" width="9.5546875" style="685" bestFit="1" customWidth="1"/>
    <col min="13299" max="13299" width="10.5546875" style="685" customWidth="1"/>
    <col min="13300" max="13300" width="9.88671875" style="685" customWidth="1"/>
    <col min="13301" max="13301" width="9.109375" style="685"/>
    <col min="13302" max="13302" width="10" style="685" customWidth="1"/>
    <col min="13303" max="13303" width="10.109375" style="685" customWidth="1"/>
    <col min="13304" max="13304" width="9.109375" style="685"/>
    <col min="13305" max="13305" width="10" style="685" customWidth="1"/>
    <col min="13306" max="13306" width="9.6640625" style="685" customWidth="1"/>
    <col min="13307" max="13307" width="11.33203125" style="685" customWidth="1"/>
    <col min="13308" max="13308" width="9.6640625" style="685" customWidth="1"/>
    <col min="13309" max="13309" width="9.88671875" style="685" customWidth="1"/>
    <col min="13310" max="13310" width="9.109375" style="685"/>
    <col min="13311" max="13311" width="9.88671875" style="685" customWidth="1"/>
    <col min="13312" max="13312" width="9.5546875" style="685" customWidth="1"/>
    <col min="13313" max="13313" width="9.109375" style="685"/>
    <col min="13314" max="13314" width="10.109375" style="685" customWidth="1"/>
    <col min="13315" max="13315" width="9.5546875" style="685" customWidth="1"/>
    <col min="13316" max="13316" width="9.109375" style="685"/>
    <col min="13317" max="13318" width="9.88671875" style="685" customWidth="1"/>
    <col min="13319" max="13544" width="9.109375" style="685"/>
    <col min="13545" max="13545" width="32.88671875" style="685" customWidth="1"/>
    <col min="13546" max="13546" width="9.6640625" style="685" customWidth="1"/>
    <col min="13547" max="13547" width="10.109375" style="685" customWidth="1"/>
    <col min="13548" max="13548" width="9.109375" style="685" customWidth="1"/>
    <col min="13549" max="13549" width="10" style="685" customWidth="1"/>
    <col min="13550" max="13550" width="9.88671875" style="685" customWidth="1"/>
    <col min="13551" max="13551" width="9.109375" style="685" customWidth="1"/>
    <col min="13552" max="13552" width="9.5546875" style="685" customWidth="1"/>
    <col min="13553" max="13553" width="9.6640625" style="685" customWidth="1"/>
    <col min="13554" max="13554" width="9.5546875" style="685" bestFit="1" customWidth="1"/>
    <col min="13555" max="13555" width="10.5546875" style="685" customWidth="1"/>
    <col min="13556" max="13556" width="9.88671875" style="685" customWidth="1"/>
    <col min="13557" max="13557" width="9.109375" style="685"/>
    <col min="13558" max="13558" width="10" style="685" customWidth="1"/>
    <col min="13559" max="13559" width="10.109375" style="685" customWidth="1"/>
    <col min="13560" max="13560" width="9.109375" style="685"/>
    <col min="13561" max="13561" width="10" style="685" customWidth="1"/>
    <col min="13562" max="13562" width="9.6640625" style="685" customWidth="1"/>
    <col min="13563" max="13563" width="11.33203125" style="685" customWidth="1"/>
    <col min="13564" max="13564" width="9.6640625" style="685" customWidth="1"/>
    <col min="13565" max="13565" width="9.88671875" style="685" customWidth="1"/>
    <col min="13566" max="13566" width="9.109375" style="685"/>
    <col min="13567" max="13567" width="9.88671875" style="685" customWidth="1"/>
    <col min="13568" max="13568" width="9.5546875" style="685" customWidth="1"/>
    <col min="13569" max="13569" width="9.109375" style="685"/>
    <col min="13570" max="13570" width="10.109375" style="685" customWidth="1"/>
    <col min="13571" max="13571" width="9.5546875" style="685" customWidth="1"/>
    <col min="13572" max="13572" width="9.109375" style="685"/>
    <col min="13573" max="13574" width="9.88671875" style="685" customWidth="1"/>
    <col min="13575" max="13800" width="9.109375" style="685"/>
    <col min="13801" max="13801" width="32.88671875" style="685" customWidth="1"/>
    <col min="13802" max="13802" width="9.6640625" style="685" customWidth="1"/>
    <col min="13803" max="13803" width="10.109375" style="685" customWidth="1"/>
    <col min="13804" max="13804" width="9.109375" style="685" customWidth="1"/>
    <col min="13805" max="13805" width="10" style="685" customWidth="1"/>
    <col min="13806" max="13806" width="9.88671875" style="685" customWidth="1"/>
    <col min="13807" max="13807" width="9.109375" style="685" customWidth="1"/>
    <col min="13808" max="13808" width="9.5546875" style="685" customWidth="1"/>
    <col min="13809" max="13809" width="9.6640625" style="685" customWidth="1"/>
    <col min="13810" max="13810" width="9.5546875" style="685" bestFit="1" customWidth="1"/>
    <col min="13811" max="13811" width="10.5546875" style="685" customWidth="1"/>
    <col min="13812" max="13812" width="9.88671875" style="685" customWidth="1"/>
    <col min="13813" max="13813" width="9.109375" style="685"/>
    <col min="13814" max="13814" width="10" style="685" customWidth="1"/>
    <col min="13815" max="13815" width="10.109375" style="685" customWidth="1"/>
    <col min="13816" max="13816" width="9.109375" style="685"/>
    <col min="13817" max="13817" width="10" style="685" customWidth="1"/>
    <col min="13818" max="13818" width="9.6640625" style="685" customWidth="1"/>
    <col min="13819" max="13819" width="11.33203125" style="685" customWidth="1"/>
    <col min="13820" max="13820" width="9.6640625" style="685" customWidth="1"/>
    <col min="13821" max="13821" width="9.88671875" style="685" customWidth="1"/>
    <col min="13822" max="13822" width="9.109375" style="685"/>
    <col min="13823" max="13823" width="9.88671875" style="685" customWidth="1"/>
    <col min="13824" max="13824" width="9.5546875" style="685" customWidth="1"/>
    <col min="13825" max="13825" width="9.109375" style="685"/>
    <col min="13826" max="13826" width="10.109375" style="685" customWidth="1"/>
    <col min="13827" max="13827" width="9.5546875" style="685" customWidth="1"/>
    <col min="13828" max="13828" width="9.109375" style="685"/>
    <col min="13829" max="13830" width="9.88671875" style="685" customWidth="1"/>
    <col min="13831" max="14056" width="9.109375" style="685"/>
    <col min="14057" max="14057" width="32.88671875" style="685" customWidth="1"/>
    <col min="14058" max="14058" width="9.6640625" style="685" customWidth="1"/>
    <col min="14059" max="14059" width="10.109375" style="685" customWidth="1"/>
    <col min="14060" max="14060" width="9.109375" style="685" customWidth="1"/>
    <col min="14061" max="14061" width="10" style="685" customWidth="1"/>
    <col min="14062" max="14062" width="9.88671875" style="685" customWidth="1"/>
    <col min="14063" max="14063" width="9.109375" style="685" customWidth="1"/>
    <col min="14064" max="14064" width="9.5546875" style="685" customWidth="1"/>
    <col min="14065" max="14065" width="9.6640625" style="685" customWidth="1"/>
    <col min="14066" max="14066" width="9.5546875" style="685" bestFit="1" customWidth="1"/>
    <col min="14067" max="14067" width="10.5546875" style="685" customWidth="1"/>
    <col min="14068" max="14068" width="9.88671875" style="685" customWidth="1"/>
    <col min="14069" max="14069" width="9.109375" style="685"/>
    <col min="14070" max="14070" width="10" style="685" customWidth="1"/>
    <col min="14071" max="14071" width="10.109375" style="685" customWidth="1"/>
    <col min="14072" max="14072" width="9.109375" style="685"/>
    <col min="14073" max="14073" width="10" style="685" customWidth="1"/>
    <col min="14074" max="14074" width="9.6640625" style="685" customWidth="1"/>
    <col min="14075" max="14075" width="11.33203125" style="685" customWidth="1"/>
    <col min="14076" max="14076" width="9.6640625" style="685" customWidth="1"/>
    <col min="14077" max="14077" width="9.88671875" style="685" customWidth="1"/>
    <col min="14078" max="14078" width="9.109375" style="685"/>
    <col min="14079" max="14079" width="9.88671875" style="685" customWidth="1"/>
    <col min="14080" max="14080" width="9.5546875" style="685" customWidth="1"/>
    <col min="14081" max="14081" width="9.109375" style="685"/>
    <col min="14082" max="14082" width="10.109375" style="685" customWidth="1"/>
    <col min="14083" max="14083" width="9.5546875" style="685" customWidth="1"/>
    <col min="14084" max="14084" width="9.109375" style="685"/>
    <col min="14085" max="14086" width="9.88671875" style="685" customWidth="1"/>
    <col min="14087" max="14312" width="9.109375" style="685"/>
    <col min="14313" max="14313" width="32.88671875" style="685" customWidth="1"/>
    <col min="14314" max="14314" width="9.6640625" style="685" customWidth="1"/>
    <col min="14315" max="14315" width="10.109375" style="685" customWidth="1"/>
    <col min="14316" max="14316" width="9.109375" style="685" customWidth="1"/>
    <col min="14317" max="14317" width="10" style="685" customWidth="1"/>
    <col min="14318" max="14318" width="9.88671875" style="685" customWidth="1"/>
    <col min="14319" max="14319" width="9.109375" style="685" customWidth="1"/>
    <col min="14320" max="14320" width="9.5546875" style="685" customWidth="1"/>
    <col min="14321" max="14321" width="9.6640625" style="685" customWidth="1"/>
    <col min="14322" max="14322" width="9.5546875" style="685" bestFit="1" customWidth="1"/>
    <col min="14323" max="14323" width="10.5546875" style="685" customWidth="1"/>
    <col min="14324" max="14324" width="9.88671875" style="685" customWidth="1"/>
    <col min="14325" max="14325" width="9.109375" style="685"/>
    <col min="14326" max="14326" width="10" style="685" customWidth="1"/>
    <col min="14327" max="14327" width="10.109375" style="685" customWidth="1"/>
    <col min="14328" max="14328" width="9.109375" style="685"/>
    <col min="14329" max="14329" width="10" style="685" customWidth="1"/>
    <col min="14330" max="14330" width="9.6640625" style="685" customWidth="1"/>
    <col min="14331" max="14331" width="11.33203125" style="685" customWidth="1"/>
    <col min="14332" max="14332" width="9.6640625" style="685" customWidth="1"/>
    <col min="14333" max="14333" width="9.88671875" style="685" customWidth="1"/>
    <col min="14334" max="14334" width="9.109375" style="685"/>
    <col min="14335" max="14335" width="9.88671875" style="685" customWidth="1"/>
    <col min="14336" max="14336" width="9.5546875" style="685" customWidth="1"/>
    <col min="14337" max="14337" width="9.109375" style="685"/>
    <col min="14338" max="14338" width="10.109375" style="685" customWidth="1"/>
    <col min="14339" max="14339" width="9.5546875" style="685" customWidth="1"/>
    <col min="14340" max="14340" width="9.109375" style="685"/>
    <col min="14341" max="14342" width="9.88671875" style="685" customWidth="1"/>
    <col min="14343" max="14568" width="9.109375" style="685"/>
    <col min="14569" max="14569" width="32.88671875" style="685" customWidth="1"/>
    <col min="14570" max="14570" width="9.6640625" style="685" customWidth="1"/>
    <col min="14571" max="14571" width="10.109375" style="685" customWidth="1"/>
    <col min="14572" max="14572" width="9.109375" style="685" customWidth="1"/>
    <col min="14573" max="14573" width="10" style="685" customWidth="1"/>
    <col min="14574" max="14574" width="9.88671875" style="685" customWidth="1"/>
    <col min="14575" max="14575" width="9.109375" style="685" customWidth="1"/>
    <col min="14576" max="14576" width="9.5546875" style="685" customWidth="1"/>
    <col min="14577" max="14577" width="9.6640625" style="685" customWidth="1"/>
    <col min="14578" max="14578" width="9.5546875" style="685" bestFit="1" customWidth="1"/>
    <col min="14579" max="14579" width="10.5546875" style="685" customWidth="1"/>
    <col min="14580" max="14580" width="9.88671875" style="685" customWidth="1"/>
    <col min="14581" max="14581" width="9.109375" style="685"/>
    <col min="14582" max="14582" width="10" style="685" customWidth="1"/>
    <col min="14583" max="14583" width="10.109375" style="685" customWidth="1"/>
    <col min="14584" max="14584" width="9.109375" style="685"/>
    <col min="14585" max="14585" width="10" style="685" customWidth="1"/>
    <col min="14586" max="14586" width="9.6640625" style="685" customWidth="1"/>
    <col min="14587" max="14587" width="11.33203125" style="685" customWidth="1"/>
    <col min="14588" max="14588" width="9.6640625" style="685" customWidth="1"/>
    <col min="14589" max="14589" width="9.88671875" style="685" customWidth="1"/>
    <col min="14590" max="14590" width="9.109375" style="685"/>
    <col min="14591" max="14591" width="9.88671875" style="685" customWidth="1"/>
    <col min="14592" max="14592" width="9.5546875" style="685" customWidth="1"/>
    <col min="14593" max="14593" width="9.109375" style="685"/>
    <col min="14594" max="14594" width="10.109375" style="685" customWidth="1"/>
    <col min="14595" max="14595" width="9.5546875" style="685" customWidth="1"/>
    <col min="14596" max="14596" width="9.109375" style="685"/>
    <col min="14597" max="14598" width="9.88671875" style="685" customWidth="1"/>
    <col min="14599" max="14824" width="9.109375" style="685"/>
    <col min="14825" max="14825" width="32.88671875" style="685" customWidth="1"/>
    <col min="14826" max="14826" width="9.6640625" style="685" customWidth="1"/>
    <col min="14827" max="14827" width="10.109375" style="685" customWidth="1"/>
    <col min="14828" max="14828" width="9.109375" style="685" customWidth="1"/>
    <col min="14829" max="14829" width="10" style="685" customWidth="1"/>
    <col min="14830" max="14830" width="9.88671875" style="685" customWidth="1"/>
    <col min="14831" max="14831" width="9.109375" style="685" customWidth="1"/>
    <col min="14832" max="14832" width="9.5546875" style="685" customWidth="1"/>
    <col min="14833" max="14833" width="9.6640625" style="685" customWidth="1"/>
    <col min="14834" max="14834" width="9.5546875" style="685" bestFit="1" customWidth="1"/>
    <col min="14835" max="14835" width="10.5546875" style="685" customWidth="1"/>
    <col min="14836" max="14836" width="9.88671875" style="685" customWidth="1"/>
    <col min="14837" max="14837" width="9.109375" style="685"/>
    <col min="14838" max="14838" width="10" style="685" customWidth="1"/>
    <col min="14839" max="14839" width="10.109375" style="685" customWidth="1"/>
    <col min="14840" max="14840" width="9.109375" style="685"/>
    <col min="14841" max="14841" width="10" style="685" customWidth="1"/>
    <col min="14842" max="14842" width="9.6640625" style="685" customWidth="1"/>
    <col min="14843" max="14843" width="11.33203125" style="685" customWidth="1"/>
    <col min="14844" max="14844" width="9.6640625" style="685" customWidth="1"/>
    <col min="14845" max="14845" width="9.88671875" style="685" customWidth="1"/>
    <col min="14846" max="14846" width="9.109375" style="685"/>
    <col min="14847" max="14847" width="9.88671875" style="685" customWidth="1"/>
    <col min="14848" max="14848" width="9.5546875" style="685" customWidth="1"/>
    <col min="14849" max="14849" width="9.109375" style="685"/>
    <col min="14850" max="14850" width="10.109375" style="685" customWidth="1"/>
    <col min="14851" max="14851" width="9.5546875" style="685" customWidth="1"/>
    <col min="14852" max="14852" width="9.109375" style="685"/>
    <col min="14853" max="14854" width="9.88671875" style="685" customWidth="1"/>
    <col min="14855" max="15080" width="9.109375" style="685"/>
    <col min="15081" max="15081" width="32.88671875" style="685" customWidth="1"/>
    <col min="15082" max="15082" width="9.6640625" style="685" customWidth="1"/>
    <col min="15083" max="15083" width="10.109375" style="685" customWidth="1"/>
    <col min="15084" max="15084" width="9.109375" style="685" customWidth="1"/>
    <col min="15085" max="15085" width="10" style="685" customWidth="1"/>
    <col min="15086" max="15086" width="9.88671875" style="685" customWidth="1"/>
    <col min="15087" max="15087" width="9.109375" style="685" customWidth="1"/>
    <col min="15088" max="15088" width="9.5546875" style="685" customWidth="1"/>
    <col min="15089" max="15089" width="9.6640625" style="685" customWidth="1"/>
    <col min="15090" max="15090" width="9.5546875" style="685" bestFit="1" customWidth="1"/>
    <col min="15091" max="15091" width="10.5546875" style="685" customWidth="1"/>
    <col min="15092" max="15092" width="9.88671875" style="685" customWidth="1"/>
    <col min="15093" max="15093" width="9.109375" style="685"/>
    <col min="15094" max="15094" width="10" style="685" customWidth="1"/>
    <col min="15095" max="15095" width="10.109375" style="685" customWidth="1"/>
    <col min="15096" max="15096" width="9.109375" style="685"/>
    <col min="15097" max="15097" width="10" style="685" customWidth="1"/>
    <col min="15098" max="15098" width="9.6640625" style="685" customWidth="1"/>
    <col min="15099" max="15099" width="11.33203125" style="685" customWidth="1"/>
    <col min="15100" max="15100" width="9.6640625" style="685" customWidth="1"/>
    <col min="15101" max="15101" width="9.88671875" style="685" customWidth="1"/>
    <col min="15102" max="15102" width="9.109375" style="685"/>
    <col min="15103" max="15103" width="9.88671875" style="685" customWidth="1"/>
    <col min="15104" max="15104" width="9.5546875" style="685" customWidth="1"/>
    <col min="15105" max="15105" width="9.109375" style="685"/>
    <col min="15106" max="15106" width="10.109375" style="685" customWidth="1"/>
    <col min="15107" max="15107" width="9.5546875" style="685" customWidth="1"/>
    <col min="15108" max="15108" width="9.109375" style="685"/>
    <col min="15109" max="15110" width="9.88671875" style="685" customWidth="1"/>
    <col min="15111" max="15336" width="9.109375" style="685"/>
    <col min="15337" max="15337" width="32.88671875" style="685" customWidth="1"/>
    <col min="15338" max="15338" width="9.6640625" style="685" customWidth="1"/>
    <col min="15339" max="15339" width="10.109375" style="685" customWidth="1"/>
    <col min="15340" max="15340" width="9.109375" style="685" customWidth="1"/>
    <col min="15341" max="15341" width="10" style="685" customWidth="1"/>
    <col min="15342" max="15342" width="9.88671875" style="685" customWidth="1"/>
    <col min="15343" max="15343" width="9.109375" style="685" customWidth="1"/>
    <col min="15344" max="15344" width="9.5546875" style="685" customWidth="1"/>
    <col min="15345" max="15345" width="9.6640625" style="685" customWidth="1"/>
    <col min="15346" max="15346" width="9.5546875" style="685" bestFit="1" customWidth="1"/>
    <col min="15347" max="15347" width="10.5546875" style="685" customWidth="1"/>
    <col min="15348" max="15348" width="9.88671875" style="685" customWidth="1"/>
    <col min="15349" max="15349" width="9.109375" style="685"/>
    <col min="15350" max="15350" width="10" style="685" customWidth="1"/>
    <col min="15351" max="15351" width="10.109375" style="685" customWidth="1"/>
    <col min="15352" max="15352" width="9.109375" style="685"/>
    <col min="15353" max="15353" width="10" style="685" customWidth="1"/>
    <col min="15354" max="15354" width="9.6640625" style="685" customWidth="1"/>
    <col min="15355" max="15355" width="11.33203125" style="685" customWidth="1"/>
    <col min="15356" max="15356" width="9.6640625" style="685" customWidth="1"/>
    <col min="15357" max="15357" width="9.88671875" style="685" customWidth="1"/>
    <col min="15358" max="15358" width="9.109375" style="685"/>
    <col min="15359" max="15359" width="9.88671875" style="685" customWidth="1"/>
    <col min="15360" max="15360" width="9.5546875" style="685" customWidth="1"/>
    <col min="15361" max="15361" width="9.109375" style="685"/>
    <col min="15362" max="15362" width="10.109375" style="685" customWidth="1"/>
    <col min="15363" max="15363" width="9.5546875" style="685" customWidth="1"/>
    <col min="15364" max="15364" width="9.109375" style="685"/>
    <col min="15365" max="15366" width="9.88671875" style="685" customWidth="1"/>
    <col min="15367" max="15592" width="9.109375" style="685"/>
    <col min="15593" max="15593" width="32.88671875" style="685" customWidth="1"/>
    <col min="15594" max="15594" width="9.6640625" style="685" customWidth="1"/>
    <col min="15595" max="15595" width="10.109375" style="685" customWidth="1"/>
    <col min="15596" max="15596" width="9.109375" style="685" customWidth="1"/>
    <col min="15597" max="15597" width="10" style="685" customWidth="1"/>
    <col min="15598" max="15598" width="9.88671875" style="685" customWidth="1"/>
    <col min="15599" max="15599" width="9.109375" style="685" customWidth="1"/>
    <col min="15600" max="15600" width="9.5546875" style="685" customWidth="1"/>
    <col min="15601" max="15601" width="9.6640625" style="685" customWidth="1"/>
    <col min="15602" max="15602" width="9.5546875" style="685" bestFit="1" customWidth="1"/>
    <col min="15603" max="15603" width="10.5546875" style="685" customWidth="1"/>
    <col min="15604" max="15604" width="9.88671875" style="685" customWidth="1"/>
    <col min="15605" max="15605" width="9.109375" style="685"/>
    <col min="15606" max="15606" width="10" style="685" customWidth="1"/>
    <col min="15607" max="15607" width="10.109375" style="685" customWidth="1"/>
    <col min="15608" max="15608" width="9.109375" style="685"/>
    <col min="15609" max="15609" width="10" style="685" customWidth="1"/>
    <col min="15610" max="15610" width="9.6640625" style="685" customWidth="1"/>
    <col min="15611" max="15611" width="11.33203125" style="685" customWidth="1"/>
    <col min="15612" max="15612" width="9.6640625" style="685" customWidth="1"/>
    <col min="15613" max="15613" width="9.88671875" style="685" customWidth="1"/>
    <col min="15614" max="15614" width="9.109375" style="685"/>
    <col min="15615" max="15615" width="9.88671875" style="685" customWidth="1"/>
    <col min="15616" max="15616" width="9.5546875" style="685" customWidth="1"/>
    <col min="15617" max="15617" width="9.109375" style="685"/>
    <col min="15618" max="15618" width="10.109375" style="685" customWidth="1"/>
    <col min="15619" max="15619" width="9.5546875" style="685" customWidth="1"/>
    <col min="15620" max="15620" width="9.109375" style="685"/>
    <col min="15621" max="15622" width="9.88671875" style="685" customWidth="1"/>
    <col min="15623" max="15848" width="9.109375" style="685"/>
    <col min="15849" max="15849" width="32.88671875" style="685" customWidth="1"/>
    <col min="15850" max="15850" width="9.6640625" style="685" customWidth="1"/>
    <col min="15851" max="15851" width="10.109375" style="685" customWidth="1"/>
    <col min="15852" max="15852" width="9.109375" style="685" customWidth="1"/>
    <col min="15853" max="15853" width="10" style="685" customWidth="1"/>
    <col min="15854" max="15854" width="9.88671875" style="685" customWidth="1"/>
    <col min="15855" max="15855" width="9.109375" style="685" customWidth="1"/>
    <col min="15856" max="15856" width="9.5546875" style="685" customWidth="1"/>
    <col min="15857" max="15857" width="9.6640625" style="685" customWidth="1"/>
    <col min="15858" max="15858" width="9.5546875" style="685" bestFit="1" customWidth="1"/>
    <col min="15859" max="15859" width="10.5546875" style="685" customWidth="1"/>
    <col min="15860" max="15860" width="9.88671875" style="685" customWidth="1"/>
    <col min="15861" max="15861" width="9.109375" style="685"/>
    <col min="15862" max="15862" width="10" style="685" customWidth="1"/>
    <col min="15863" max="15863" width="10.109375" style="685" customWidth="1"/>
    <col min="15864" max="15864" width="9.109375" style="685"/>
    <col min="15865" max="15865" width="10" style="685" customWidth="1"/>
    <col min="15866" max="15866" width="9.6640625" style="685" customWidth="1"/>
    <col min="15867" max="15867" width="11.33203125" style="685" customWidth="1"/>
    <col min="15868" max="15868" width="9.6640625" style="685" customWidth="1"/>
    <col min="15869" max="15869" width="9.88671875" style="685" customWidth="1"/>
    <col min="15870" max="15870" width="9.109375" style="685"/>
    <col min="15871" max="15871" width="9.88671875" style="685" customWidth="1"/>
    <col min="15872" max="15872" width="9.5546875" style="685" customWidth="1"/>
    <col min="15873" max="15873" width="9.109375" style="685"/>
    <col min="15874" max="15874" width="10.109375" style="685" customWidth="1"/>
    <col min="15875" max="15875" width="9.5546875" style="685" customWidth="1"/>
    <col min="15876" max="15876" width="9.109375" style="685"/>
    <col min="15877" max="15878" width="9.88671875" style="685" customWidth="1"/>
    <col min="15879" max="16104" width="9.109375" style="685"/>
    <col min="16105" max="16105" width="32.88671875" style="685" customWidth="1"/>
    <col min="16106" max="16106" width="9.6640625" style="685" customWidth="1"/>
    <col min="16107" max="16107" width="10.109375" style="685" customWidth="1"/>
    <col min="16108" max="16108" width="9.109375" style="685" customWidth="1"/>
    <col min="16109" max="16109" width="10" style="685" customWidth="1"/>
    <col min="16110" max="16110" width="9.88671875" style="685" customWidth="1"/>
    <col min="16111" max="16111" width="9.109375" style="685" customWidth="1"/>
    <col min="16112" max="16112" width="9.5546875" style="685" customWidth="1"/>
    <col min="16113" max="16113" width="9.6640625" style="685" customWidth="1"/>
    <col min="16114" max="16114" width="9.5546875" style="685" bestFit="1" customWidth="1"/>
    <col min="16115" max="16115" width="10.5546875" style="685" customWidth="1"/>
    <col min="16116" max="16116" width="9.88671875" style="685" customWidth="1"/>
    <col min="16117" max="16117" width="9.109375" style="685"/>
    <col min="16118" max="16118" width="10" style="685" customWidth="1"/>
    <col min="16119" max="16119" width="10.109375" style="685" customWidth="1"/>
    <col min="16120" max="16120" width="9.109375" style="685"/>
    <col min="16121" max="16121" width="10" style="685" customWidth="1"/>
    <col min="16122" max="16122" width="9.6640625" style="685" customWidth="1"/>
    <col min="16123" max="16123" width="11.33203125" style="685" customWidth="1"/>
    <col min="16124" max="16124" width="9.6640625" style="685" customWidth="1"/>
    <col min="16125" max="16125" width="9.88671875" style="685" customWidth="1"/>
    <col min="16126" max="16126" width="9.109375" style="685"/>
    <col min="16127" max="16127" width="9.88671875" style="685" customWidth="1"/>
    <col min="16128" max="16128" width="9.5546875" style="685" customWidth="1"/>
    <col min="16129" max="16129" width="9.109375" style="685"/>
    <col min="16130" max="16130" width="10.109375" style="685" customWidth="1"/>
    <col min="16131" max="16131" width="9.5546875" style="685" customWidth="1"/>
    <col min="16132" max="16132" width="9.109375" style="685"/>
    <col min="16133" max="16134" width="9.88671875" style="685" customWidth="1"/>
    <col min="16135" max="16384" width="9.109375" style="685"/>
  </cols>
  <sheetData>
    <row r="1" spans="1:7" ht="15" thickBot="1" x14ac:dyDescent="0.35">
      <c r="A1" s="684"/>
      <c r="B1" s="684"/>
      <c r="C1" s="684"/>
      <c r="D1" s="684"/>
      <c r="E1" s="684"/>
      <c r="F1" s="684"/>
      <c r="G1" s="684"/>
    </row>
    <row r="2" spans="1:7" ht="30.75" customHeight="1" x14ac:dyDescent="0.3">
      <c r="A2" s="876" t="s">
        <v>608</v>
      </c>
      <c r="B2" s="2693" t="s">
        <v>881</v>
      </c>
      <c r="C2" s="2693"/>
      <c r="D2" s="2474" t="s">
        <v>2356</v>
      </c>
      <c r="E2" s="2474" t="s">
        <v>885</v>
      </c>
      <c r="F2" s="2474" t="s">
        <v>887</v>
      </c>
      <c r="G2" s="778" t="s">
        <v>886</v>
      </c>
    </row>
    <row r="3" spans="1:7" ht="42" thickBot="1" x14ac:dyDescent="0.35">
      <c r="A3" s="686"/>
      <c r="B3" s="693" t="s">
        <v>882</v>
      </c>
      <c r="C3" s="693" t="s">
        <v>883</v>
      </c>
      <c r="D3" s="693" t="s">
        <v>2354</v>
      </c>
      <c r="E3" s="693" t="s">
        <v>2355</v>
      </c>
      <c r="F3" s="693" t="s">
        <v>2355</v>
      </c>
      <c r="G3" s="694" t="s">
        <v>2355</v>
      </c>
    </row>
    <row r="4" spans="1:7" ht="45" customHeight="1" x14ac:dyDescent="0.3">
      <c r="A4" s="689" t="s">
        <v>878</v>
      </c>
      <c r="B4" s="695"/>
      <c r="C4" s="695"/>
      <c r="D4" s="695"/>
      <c r="E4" s="695"/>
      <c r="F4" s="695"/>
      <c r="G4" s="696"/>
    </row>
    <row r="5" spans="1:7" ht="30" customHeight="1" x14ac:dyDescent="0.3">
      <c r="A5" s="687" t="s">
        <v>879</v>
      </c>
      <c r="B5" s="697"/>
      <c r="C5" s="697"/>
      <c r="D5" s="697"/>
      <c r="E5" s="697"/>
      <c r="F5" s="697"/>
      <c r="G5" s="779"/>
    </row>
    <row r="6" spans="1:7" ht="25.2" customHeight="1" x14ac:dyDescent="0.3">
      <c r="A6" s="688" t="s">
        <v>752</v>
      </c>
      <c r="B6" s="719">
        <v>50</v>
      </c>
      <c r="C6" s="697">
        <v>602181</v>
      </c>
      <c r="D6" s="697">
        <v>590746</v>
      </c>
      <c r="E6" s="697"/>
      <c r="F6" s="697"/>
      <c r="G6" s="779">
        <v>11435</v>
      </c>
    </row>
    <row r="7" spans="1:7" ht="25.2" customHeight="1" x14ac:dyDescent="0.3">
      <c r="A7" s="688" t="s">
        <v>880</v>
      </c>
      <c r="B7" s="719">
        <v>50</v>
      </c>
      <c r="C7" s="697">
        <v>602181</v>
      </c>
      <c r="D7" s="697">
        <v>590746</v>
      </c>
      <c r="E7" s="697"/>
      <c r="F7" s="697"/>
      <c r="G7" s="779">
        <v>11435</v>
      </c>
    </row>
    <row r="8" spans="1:7" ht="25.2" customHeight="1" thickBot="1" x14ac:dyDescent="0.35">
      <c r="A8" s="690" t="s">
        <v>888</v>
      </c>
      <c r="B8" s="720"/>
      <c r="C8" s="698">
        <v>522842</v>
      </c>
      <c r="D8" s="698">
        <v>432842</v>
      </c>
      <c r="E8" s="698">
        <v>36749</v>
      </c>
      <c r="F8" s="698">
        <v>34251</v>
      </c>
      <c r="G8" s="2480">
        <v>19000</v>
      </c>
    </row>
    <row r="9" spans="1:7" ht="30" customHeight="1" thickBot="1" x14ac:dyDescent="0.35">
      <c r="A9" s="692" t="s">
        <v>581</v>
      </c>
      <c r="B9" s="721">
        <v>100</v>
      </c>
      <c r="C9" s="699">
        <f>SUM(C6:C8)</f>
        <v>1727204</v>
      </c>
      <c r="D9" s="699">
        <f>SUM(D6:D8)</f>
        <v>1614334</v>
      </c>
      <c r="E9" s="699">
        <f>SUM(E5:E8)</f>
        <v>36749</v>
      </c>
      <c r="F9" s="699">
        <f>SUM(F5:F8)</f>
        <v>34251</v>
      </c>
      <c r="G9" s="701">
        <f t="shared" ref="G9" si="0">SUM(G5:G8)</f>
        <v>41870</v>
      </c>
    </row>
    <row r="10" spans="1:7" ht="30" customHeight="1" thickBot="1" x14ac:dyDescent="0.35">
      <c r="A10" s="692" t="s">
        <v>2197</v>
      </c>
      <c r="B10" s="2488">
        <v>100</v>
      </c>
      <c r="C10" s="2491">
        <v>20000</v>
      </c>
      <c r="D10" s="2491"/>
      <c r="E10" s="2491">
        <v>20000</v>
      </c>
      <c r="F10" s="2491"/>
      <c r="G10" s="2492"/>
    </row>
    <row r="11" spans="1:7" ht="30" customHeight="1" x14ac:dyDescent="0.3">
      <c r="A11" s="691" t="s">
        <v>884</v>
      </c>
      <c r="B11" s="873"/>
      <c r="C11" s="874"/>
      <c r="D11" s="874"/>
      <c r="E11" s="874"/>
      <c r="F11" s="874"/>
      <c r="G11" s="875"/>
    </row>
    <row r="12" spans="1:7" ht="25.2" customHeight="1" x14ac:dyDescent="0.3">
      <c r="A12" s="688" t="s">
        <v>752</v>
      </c>
      <c r="B12" s="869">
        <v>50</v>
      </c>
      <c r="C12" s="870">
        <v>602181</v>
      </c>
      <c r="D12" s="870">
        <v>590746</v>
      </c>
      <c r="E12" s="870"/>
      <c r="F12" s="870"/>
      <c r="G12" s="871">
        <v>11435</v>
      </c>
    </row>
    <row r="13" spans="1:7" ht="25.2" customHeight="1" x14ac:dyDescent="0.3">
      <c r="A13" s="688" t="s">
        <v>880</v>
      </c>
      <c r="B13" s="869">
        <v>50</v>
      </c>
      <c r="C13" s="870">
        <v>602181</v>
      </c>
      <c r="D13" s="870">
        <v>590746</v>
      </c>
      <c r="E13" s="870"/>
      <c r="F13" s="870"/>
      <c r="G13" s="871">
        <v>11435</v>
      </c>
    </row>
    <row r="14" spans="1:7" ht="25.2" customHeight="1" thickBot="1" x14ac:dyDescent="0.35">
      <c r="A14" s="690" t="s">
        <v>888</v>
      </c>
      <c r="B14" s="872"/>
      <c r="C14" s="700">
        <v>522842</v>
      </c>
      <c r="D14" s="700">
        <v>432842</v>
      </c>
      <c r="E14" s="700">
        <v>36749</v>
      </c>
      <c r="F14" s="700">
        <v>34251</v>
      </c>
      <c r="G14" s="2481">
        <v>19000</v>
      </c>
    </row>
    <row r="15" spans="1:7" ht="30" customHeight="1" thickBot="1" x14ac:dyDescent="0.35">
      <c r="A15" s="2482" t="s">
        <v>581</v>
      </c>
      <c r="B15" s="2483">
        <v>100</v>
      </c>
      <c r="C15" s="2484">
        <f>SUM(C12:C14)</f>
        <v>1727204</v>
      </c>
      <c r="D15" s="2484">
        <f>SUM(D12:D14)</f>
        <v>1614334</v>
      </c>
      <c r="E15" s="2484">
        <f>SUM(E12:E14)</f>
        <v>36749</v>
      </c>
      <c r="F15" s="2484">
        <f>SUM(F12:F14)</f>
        <v>34251</v>
      </c>
      <c r="G15" s="2485">
        <f t="shared" ref="G15" si="1">SUM(G12:G14)</f>
        <v>41870</v>
      </c>
    </row>
    <row r="16" spans="1:7" ht="28.8" thickBot="1" x14ac:dyDescent="0.35">
      <c r="A16" s="2486" t="s">
        <v>2197</v>
      </c>
      <c r="B16" s="2487">
        <v>100</v>
      </c>
      <c r="C16" s="2489">
        <v>20000</v>
      </c>
      <c r="D16" s="2489"/>
      <c r="E16" s="2489">
        <v>20000</v>
      </c>
      <c r="F16" s="2489"/>
      <c r="G16" s="2490"/>
    </row>
  </sheetData>
  <mergeCells count="1">
    <mergeCell ref="B2:C2"/>
  </mergeCells>
  <printOptions horizontalCentered="1"/>
  <pageMargins left="0.70866141732283472" right="0.70866141732283472" top="0.74803149606299213" bottom="0.74803149606299213" header="0.31496062992125984" footer="0.31496062992125984"/>
  <pageSetup paperSize="9" scale="80" orientation="landscape" r:id="rId1"/>
  <headerFooter>
    <oddHeader>&amp;C&amp;"Times New Roman,Félkövér"Budapest Főváros VIII. kerület Józsefvárosi Önkormányzat Európai Uniós támogatással megvalósuló programok,  projektek 2020.&amp;R&amp;"Times New Roman,Félkövér dőlt"15. melléklet a /2020. ()
 önk.rendelethez
ezer forintban</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BV2423"/>
  <sheetViews>
    <sheetView zoomScaleNormal="100" workbookViewId="0">
      <pane xSplit="1" ySplit="6" topLeftCell="BM64" activePane="bottomRight" state="frozen"/>
      <selection pane="topRight" activeCell="B1" sqref="B1"/>
      <selection pane="bottomLeft" activeCell="A4" sqref="A4"/>
      <selection pane="bottomRight" activeCell="BP63" sqref="BP63"/>
    </sheetView>
  </sheetViews>
  <sheetFormatPr defaultColWidth="10.6640625" defaultRowHeight="13.2" x14ac:dyDescent="0.25"/>
  <cols>
    <col min="1" max="1" width="55.6640625" style="20" customWidth="1"/>
    <col min="2" max="2" width="13" style="27" customWidth="1"/>
    <col min="3" max="3" width="11.44140625" style="21" customWidth="1"/>
    <col min="4" max="27" width="13.33203125" style="21" customWidth="1"/>
    <col min="28" max="28" width="12.88671875" style="21" customWidth="1"/>
    <col min="29" max="41" width="13.33203125" style="21" customWidth="1"/>
    <col min="42" max="42" width="13.33203125" style="193" customWidth="1"/>
    <col min="43" max="43" width="13.33203125" style="22" customWidth="1"/>
    <col min="44" max="51" width="13.33203125" style="21" customWidth="1"/>
    <col min="52" max="52" width="14.109375" style="22" customWidth="1"/>
    <col min="53" max="53" width="13.33203125" style="22" customWidth="1"/>
    <col min="54" max="67" width="13.33203125" style="21" customWidth="1"/>
    <col min="68" max="71" width="13.33203125" style="22" customWidth="1"/>
    <col min="72" max="72" width="16.88671875" style="22" customWidth="1"/>
    <col min="73" max="76" width="14.6640625" style="9" customWidth="1"/>
    <col min="77" max="16384" width="10.6640625" style="9"/>
  </cols>
  <sheetData>
    <row r="1" spans="1:73" s="1" customFormat="1" x14ac:dyDescent="0.25">
      <c r="A1" s="204" t="s">
        <v>767</v>
      </c>
      <c r="B1" s="915">
        <v>11101</v>
      </c>
      <c r="C1" s="826">
        <v>11102</v>
      </c>
      <c r="D1" s="826">
        <v>11103</v>
      </c>
      <c r="E1" s="205">
        <v>11104</v>
      </c>
      <c r="F1" s="826">
        <v>11105</v>
      </c>
      <c r="G1" s="205" t="s">
        <v>1</v>
      </c>
      <c r="H1" s="826" t="s">
        <v>2</v>
      </c>
      <c r="I1" s="826" t="s">
        <v>3</v>
      </c>
      <c r="J1" s="826" t="s">
        <v>4</v>
      </c>
      <c r="K1" s="826" t="s">
        <v>5</v>
      </c>
      <c r="L1" s="826">
        <v>11201</v>
      </c>
      <c r="M1" s="205">
        <v>11301</v>
      </c>
      <c r="N1" s="826">
        <v>11303</v>
      </c>
      <c r="O1" s="826">
        <v>11401</v>
      </c>
      <c r="P1" s="826">
        <v>11402</v>
      </c>
      <c r="Q1" s="826" t="s">
        <v>6</v>
      </c>
      <c r="R1" s="826" t="s">
        <v>7</v>
      </c>
      <c r="S1" s="826">
        <v>11405</v>
      </c>
      <c r="T1" s="205">
        <v>11406</v>
      </c>
      <c r="U1" s="826">
        <v>11407</v>
      </c>
      <c r="V1" s="826">
        <v>11501</v>
      </c>
      <c r="W1" s="826">
        <v>11502</v>
      </c>
      <c r="X1" s="826">
        <v>11601</v>
      </c>
      <c r="Y1" s="826" t="s">
        <v>8</v>
      </c>
      <c r="Z1" s="205" t="s">
        <v>9</v>
      </c>
      <c r="AA1" s="826" t="s">
        <v>10</v>
      </c>
      <c r="AB1" s="826" t="s">
        <v>11</v>
      </c>
      <c r="AC1" s="826">
        <v>11602</v>
      </c>
      <c r="AD1" s="826">
        <v>11603</v>
      </c>
      <c r="AE1" s="826">
        <v>11604</v>
      </c>
      <c r="AF1" s="205">
        <v>11605</v>
      </c>
      <c r="AG1" s="205">
        <v>11701</v>
      </c>
      <c r="AH1" s="826">
        <v>11702</v>
      </c>
      <c r="AI1" s="826">
        <v>11703</v>
      </c>
      <c r="AJ1" s="826">
        <v>11704</v>
      </c>
      <c r="AK1" s="826">
        <v>11705</v>
      </c>
      <c r="AL1" s="205" t="s">
        <v>12</v>
      </c>
      <c r="AM1" s="826" t="s">
        <v>13</v>
      </c>
      <c r="AN1" s="826">
        <v>11803</v>
      </c>
      <c r="AO1" s="205">
        <v>11805</v>
      </c>
      <c r="AP1" s="2694" t="s">
        <v>1222</v>
      </c>
      <c r="AQ1" s="205">
        <v>20102</v>
      </c>
      <c r="AR1" s="205">
        <v>20103</v>
      </c>
      <c r="AS1" s="205">
        <v>20104</v>
      </c>
      <c r="AT1" s="826" t="s">
        <v>1182</v>
      </c>
      <c r="AU1" s="826" t="s">
        <v>1184</v>
      </c>
      <c r="AV1" s="205" t="s">
        <v>1185</v>
      </c>
      <c r="AW1" s="826" t="s">
        <v>1186</v>
      </c>
      <c r="AX1" s="205">
        <v>20202</v>
      </c>
      <c r="AY1" s="205">
        <v>20203</v>
      </c>
      <c r="AZ1" s="2694" t="s">
        <v>1223</v>
      </c>
      <c r="BA1" s="826">
        <v>40101</v>
      </c>
      <c r="BB1" s="826" t="s">
        <v>14</v>
      </c>
      <c r="BC1" s="826" t="s">
        <v>15</v>
      </c>
      <c r="BD1" s="205" t="s">
        <v>16</v>
      </c>
      <c r="BE1" s="938" t="s">
        <v>1197</v>
      </c>
      <c r="BF1" s="826">
        <v>40103</v>
      </c>
      <c r="BG1" s="826" t="s">
        <v>17</v>
      </c>
      <c r="BH1" s="826" t="s">
        <v>18</v>
      </c>
      <c r="BI1" s="826">
        <v>40105</v>
      </c>
      <c r="BJ1" s="826">
        <v>40106</v>
      </c>
      <c r="BK1" s="205">
        <v>40107</v>
      </c>
      <c r="BL1" s="826" t="s">
        <v>1206</v>
      </c>
      <c r="BM1" s="826" t="s">
        <v>1208</v>
      </c>
      <c r="BN1" s="826">
        <v>40109</v>
      </c>
      <c r="BO1" s="826">
        <v>40100</v>
      </c>
      <c r="BP1" s="826">
        <v>40200</v>
      </c>
      <c r="BQ1" s="828">
        <v>50100</v>
      </c>
      <c r="BR1" s="206">
        <v>70100</v>
      </c>
      <c r="BS1" s="2696" t="s">
        <v>81</v>
      </c>
      <c r="BT1" s="2698" t="s">
        <v>82</v>
      </c>
    </row>
    <row r="2" spans="1:73" s="3" customFormat="1" ht="92.4" x14ac:dyDescent="0.25">
      <c r="A2" s="832" t="s">
        <v>22</v>
      </c>
      <c r="B2" s="916" t="s">
        <v>23</v>
      </c>
      <c r="C2" s="827" t="s">
        <v>24</v>
      </c>
      <c r="D2" s="827" t="s">
        <v>25</v>
      </c>
      <c r="E2" s="89" t="s">
        <v>26</v>
      </c>
      <c r="F2" s="827" t="s">
        <v>27</v>
      </c>
      <c r="G2" s="89" t="s">
        <v>28</v>
      </c>
      <c r="H2" s="827" t="s">
        <v>29</v>
      </c>
      <c r="I2" s="827" t="s">
        <v>30</v>
      </c>
      <c r="J2" s="827" t="s">
        <v>1146</v>
      </c>
      <c r="K2" s="827" t="s">
        <v>31</v>
      </c>
      <c r="L2" s="827" t="s">
        <v>32</v>
      </c>
      <c r="M2" s="89" t="s">
        <v>33</v>
      </c>
      <c r="N2" s="827" t="s">
        <v>34</v>
      </c>
      <c r="O2" s="827" t="s">
        <v>35</v>
      </c>
      <c r="P2" s="827" t="s">
        <v>2239</v>
      </c>
      <c r="Q2" s="827" t="s">
        <v>36</v>
      </c>
      <c r="R2" s="827" t="s">
        <v>37</v>
      </c>
      <c r="S2" s="827" t="s">
        <v>38</v>
      </c>
      <c r="T2" s="89" t="s">
        <v>39</v>
      </c>
      <c r="U2" s="827" t="s">
        <v>40</v>
      </c>
      <c r="V2" s="827" t="s">
        <v>1165</v>
      </c>
      <c r="W2" s="827" t="s">
        <v>41</v>
      </c>
      <c r="X2" s="827" t="s">
        <v>42</v>
      </c>
      <c r="Y2" s="827" t="s">
        <v>43</v>
      </c>
      <c r="Z2" s="89" t="s">
        <v>44</v>
      </c>
      <c r="AA2" s="827" t="s">
        <v>45</v>
      </c>
      <c r="AB2" s="827" t="s">
        <v>44</v>
      </c>
      <c r="AC2" s="90" t="s">
        <v>46</v>
      </c>
      <c r="AD2" s="827" t="s">
        <v>47</v>
      </c>
      <c r="AE2" s="827" t="s">
        <v>562</v>
      </c>
      <c r="AF2" s="89" t="s">
        <v>989</v>
      </c>
      <c r="AG2" s="89" t="s">
        <v>44</v>
      </c>
      <c r="AH2" s="827" t="s">
        <v>50</v>
      </c>
      <c r="AI2" s="827" t="s">
        <v>231</v>
      </c>
      <c r="AJ2" s="827" t="s">
        <v>51</v>
      </c>
      <c r="AK2" s="827" t="s">
        <v>52</v>
      </c>
      <c r="AL2" s="89" t="s">
        <v>53</v>
      </c>
      <c r="AM2" s="827" t="s">
        <v>54</v>
      </c>
      <c r="AN2" s="827" t="s">
        <v>55</v>
      </c>
      <c r="AO2" s="91" t="s">
        <v>56</v>
      </c>
      <c r="AP2" s="2695"/>
      <c r="AQ2" s="89" t="s">
        <v>57</v>
      </c>
      <c r="AR2" s="89" t="s">
        <v>58</v>
      </c>
      <c r="AS2" s="89" t="s">
        <v>59</v>
      </c>
      <c r="AT2" s="827" t="s">
        <v>60</v>
      </c>
      <c r="AU2" s="827" t="s">
        <v>61</v>
      </c>
      <c r="AV2" s="89" t="s">
        <v>62</v>
      </c>
      <c r="AW2" s="827" t="s">
        <v>63</v>
      </c>
      <c r="AX2" s="89" t="s">
        <v>64</v>
      </c>
      <c r="AY2" s="827" t="s">
        <v>65</v>
      </c>
      <c r="AZ2" s="2695"/>
      <c r="BA2" s="827" t="s">
        <v>67</v>
      </c>
      <c r="BB2" s="827" t="s">
        <v>68</v>
      </c>
      <c r="BC2" s="827" t="s">
        <v>69</v>
      </c>
      <c r="BD2" s="89" t="s">
        <v>1194</v>
      </c>
      <c r="BE2" s="939" t="s">
        <v>1224</v>
      </c>
      <c r="BF2" s="827" t="s">
        <v>70</v>
      </c>
      <c r="BG2" s="827" t="s">
        <v>71</v>
      </c>
      <c r="BH2" s="827" t="s">
        <v>72</v>
      </c>
      <c r="BI2" s="827" t="s">
        <v>73</v>
      </c>
      <c r="BJ2" s="827" t="s">
        <v>74</v>
      </c>
      <c r="BK2" s="89" t="s">
        <v>75</v>
      </c>
      <c r="BL2" s="827" t="s">
        <v>76</v>
      </c>
      <c r="BM2" s="939" t="s">
        <v>485</v>
      </c>
      <c r="BN2" s="939" t="s">
        <v>77</v>
      </c>
      <c r="BO2" s="91" t="s">
        <v>78</v>
      </c>
      <c r="BP2" s="91" t="s">
        <v>79</v>
      </c>
      <c r="BQ2" s="91" t="s">
        <v>80</v>
      </c>
      <c r="BR2" s="830" t="s">
        <v>294</v>
      </c>
      <c r="BS2" s="2697"/>
      <c r="BT2" s="2699"/>
      <c r="BU2" s="2"/>
    </row>
    <row r="3" spans="1:73" s="3" customFormat="1" ht="15.6" x14ac:dyDescent="0.25">
      <c r="A3" s="832"/>
      <c r="B3" s="916"/>
      <c r="C3" s="827"/>
      <c r="D3" s="827"/>
      <c r="E3" s="89"/>
      <c r="F3" s="827"/>
      <c r="G3" s="89"/>
      <c r="H3" s="827"/>
      <c r="I3" s="827"/>
      <c r="J3" s="827"/>
      <c r="K3" s="827"/>
      <c r="L3" s="827"/>
      <c r="M3" s="89"/>
      <c r="N3" s="827"/>
      <c r="O3" s="827"/>
      <c r="P3" s="827"/>
      <c r="Q3" s="827"/>
      <c r="R3" s="827"/>
      <c r="S3" s="827"/>
      <c r="T3" s="89"/>
      <c r="U3" s="827"/>
      <c r="V3" s="827"/>
      <c r="W3" s="827"/>
      <c r="X3" s="827"/>
      <c r="Y3" s="827"/>
      <c r="Z3" s="89"/>
      <c r="AA3" s="827"/>
      <c r="AB3" s="827"/>
      <c r="AC3" s="90"/>
      <c r="AD3" s="827"/>
      <c r="AE3" s="827"/>
      <c r="AF3" s="89"/>
      <c r="AG3" s="89"/>
      <c r="AH3" s="827"/>
      <c r="AI3" s="827"/>
      <c r="AJ3" s="827"/>
      <c r="AK3" s="827"/>
      <c r="AL3" s="89"/>
      <c r="AM3" s="827"/>
      <c r="AN3" s="827"/>
      <c r="AO3" s="91"/>
      <c r="AP3" s="829"/>
      <c r="AQ3" s="89"/>
      <c r="AR3" s="89"/>
      <c r="AS3" s="89"/>
      <c r="AT3" s="827"/>
      <c r="AU3" s="827"/>
      <c r="AV3" s="89"/>
      <c r="AW3" s="827"/>
      <c r="AX3" s="89"/>
      <c r="AY3" s="827"/>
      <c r="AZ3" s="909"/>
      <c r="BA3" s="827"/>
      <c r="BB3" s="827"/>
      <c r="BC3" s="827"/>
      <c r="BD3" s="89"/>
      <c r="BE3" s="939"/>
      <c r="BF3" s="827"/>
      <c r="BG3" s="827"/>
      <c r="BH3" s="827"/>
      <c r="BI3" s="827"/>
      <c r="BJ3" s="827"/>
      <c r="BK3" s="89"/>
      <c r="BL3" s="827"/>
      <c r="BM3" s="827"/>
      <c r="BN3" s="827"/>
      <c r="BO3" s="91"/>
      <c r="BP3" s="91"/>
      <c r="BQ3" s="91"/>
      <c r="BR3" s="830"/>
      <c r="BS3" s="830"/>
      <c r="BT3" s="831"/>
      <c r="BU3" s="2"/>
    </row>
    <row r="4" spans="1:73" s="3" customFormat="1" ht="15.6" x14ac:dyDescent="0.25">
      <c r="A4" s="832"/>
      <c r="B4" s="916"/>
      <c r="C4" s="827"/>
      <c r="D4" s="827"/>
      <c r="E4" s="89"/>
      <c r="F4" s="827"/>
      <c r="G4" s="89"/>
      <c r="H4" s="827"/>
      <c r="I4" s="827"/>
      <c r="J4" s="827"/>
      <c r="K4" s="827"/>
      <c r="L4" s="827"/>
      <c r="M4" s="89"/>
      <c r="N4" s="827"/>
      <c r="O4" s="827"/>
      <c r="P4" s="827"/>
      <c r="Q4" s="827"/>
      <c r="R4" s="827"/>
      <c r="S4" s="827"/>
      <c r="T4" s="89"/>
      <c r="U4" s="827"/>
      <c r="V4" s="827"/>
      <c r="W4" s="827"/>
      <c r="X4" s="827"/>
      <c r="Y4" s="827"/>
      <c r="Z4" s="89"/>
      <c r="AA4" s="827"/>
      <c r="AB4" s="827"/>
      <c r="AC4" s="90"/>
      <c r="AD4" s="827"/>
      <c r="AE4" s="827"/>
      <c r="AF4" s="89"/>
      <c r="AG4" s="89"/>
      <c r="AH4" s="827"/>
      <c r="AI4" s="827"/>
      <c r="AJ4" s="827"/>
      <c r="AK4" s="827"/>
      <c r="AL4" s="89"/>
      <c r="AM4" s="827"/>
      <c r="AN4" s="827"/>
      <c r="AO4" s="91"/>
      <c r="AP4" s="829"/>
      <c r="AQ4" s="89"/>
      <c r="AR4" s="89"/>
      <c r="AS4" s="89"/>
      <c r="AT4" s="827"/>
      <c r="AU4" s="827"/>
      <c r="AV4" s="89"/>
      <c r="AW4" s="827"/>
      <c r="AX4" s="89"/>
      <c r="AY4" s="827"/>
      <c r="AZ4" s="909"/>
      <c r="BA4" s="827"/>
      <c r="BB4" s="827"/>
      <c r="BC4" s="827"/>
      <c r="BD4" s="89"/>
      <c r="BE4" s="939"/>
      <c r="BF4" s="827"/>
      <c r="BG4" s="827"/>
      <c r="BH4" s="827"/>
      <c r="BI4" s="827"/>
      <c r="BJ4" s="827"/>
      <c r="BK4" s="89"/>
      <c r="BL4" s="827"/>
      <c r="BM4" s="827"/>
      <c r="BN4" s="827"/>
      <c r="BO4" s="91"/>
      <c r="BP4" s="91"/>
      <c r="BQ4" s="91"/>
      <c r="BR4" s="830"/>
      <c r="BS4" s="830"/>
      <c r="BT4" s="831"/>
      <c r="BU4" s="2"/>
    </row>
    <row r="5" spans="1:73" s="3" customFormat="1" ht="16.2" thickBot="1" x14ac:dyDescent="0.3">
      <c r="A5" s="832"/>
      <c r="B5" s="916"/>
      <c r="C5" s="827"/>
      <c r="D5" s="827"/>
      <c r="E5" s="89"/>
      <c r="F5" s="827"/>
      <c r="G5" s="89"/>
      <c r="H5" s="827"/>
      <c r="I5" s="827"/>
      <c r="J5" s="827"/>
      <c r="K5" s="827"/>
      <c r="L5" s="827"/>
      <c r="M5" s="89"/>
      <c r="N5" s="827"/>
      <c r="O5" s="827"/>
      <c r="P5" s="827"/>
      <c r="Q5" s="827"/>
      <c r="R5" s="827"/>
      <c r="S5" s="827"/>
      <c r="T5" s="89"/>
      <c r="U5" s="827"/>
      <c r="V5" s="827"/>
      <c r="W5" s="827"/>
      <c r="X5" s="827"/>
      <c r="Y5" s="827"/>
      <c r="Z5" s="89"/>
      <c r="AA5" s="827"/>
      <c r="AB5" s="827"/>
      <c r="AC5" s="90"/>
      <c r="AD5" s="827"/>
      <c r="AE5" s="827"/>
      <c r="AF5" s="89"/>
      <c r="AG5" s="89"/>
      <c r="AH5" s="827"/>
      <c r="AI5" s="827"/>
      <c r="AJ5" s="827"/>
      <c r="AK5" s="827"/>
      <c r="AL5" s="89"/>
      <c r="AM5" s="827"/>
      <c r="AN5" s="827"/>
      <c r="AO5" s="91"/>
      <c r="AP5" s="829"/>
      <c r="AQ5" s="89"/>
      <c r="AR5" s="89"/>
      <c r="AS5" s="89"/>
      <c r="AT5" s="827"/>
      <c r="AU5" s="827"/>
      <c r="AV5" s="89"/>
      <c r="AW5" s="827"/>
      <c r="AX5" s="89"/>
      <c r="AY5" s="827"/>
      <c r="AZ5" s="909"/>
      <c r="BA5" s="827"/>
      <c r="BB5" s="827"/>
      <c r="BC5" s="827"/>
      <c r="BD5" s="89"/>
      <c r="BE5" s="939"/>
      <c r="BF5" s="827"/>
      <c r="BG5" s="827"/>
      <c r="BH5" s="827"/>
      <c r="BI5" s="827"/>
      <c r="BJ5" s="827"/>
      <c r="BK5" s="89"/>
      <c r="BL5" s="827"/>
      <c r="BM5" s="827"/>
      <c r="BN5" s="827"/>
      <c r="BO5" s="91"/>
      <c r="BP5" s="91"/>
      <c r="BQ5" s="91"/>
      <c r="BR5" s="830"/>
      <c r="BS5" s="830"/>
      <c r="BT5" s="831"/>
      <c r="BU5" s="2"/>
    </row>
    <row r="6" spans="1:73" s="3" customFormat="1" ht="16.2" thickBot="1" x14ac:dyDescent="0.3">
      <c r="A6" s="207" t="s">
        <v>333</v>
      </c>
      <c r="B6" s="80">
        <f>B26+B53</f>
        <v>62256</v>
      </c>
      <c r="C6" s="80">
        <f t="shared" ref="C6:AZ6" si="0">C26+C53</f>
        <v>0</v>
      </c>
      <c r="D6" s="80">
        <f t="shared" si="0"/>
        <v>0</v>
      </c>
      <c r="E6" s="80">
        <f t="shared" si="0"/>
        <v>0</v>
      </c>
      <c r="F6" s="80">
        <f t="shared" si="0"/>
        <v>44900</v>
      </c>
      <c r="G6" s="80">
        <f t="shared" si="0"/>
        <v>196759</v>
      </c>
      <c r="H6" s="80">
        <f t="shared" si="0"/>
        <v>0</v>
      </c>
      <c r="I6" s="80">
        <f>I26+I53</f>
        <v>5504</v>
      </c>
      <c r="J6" s="80">
        <f t="shared" si="0"/>
        <v>5968432</v>
      </c>
      <c r="K6" s="80">
        <f t="shared" si="0"/>
        <v>0</v>
      </c>
      <c r="L6" s="80">
        <f>L26+L53</f>
        <v>600</v>
      </c>
      <c r="M6" s="80">
        <f>M26+M53</f>
        <v>13300</v>
      </c>
      <c r="N6" s="80">
        <f>N26+N53</f>
        <v>67000</v>
      </c>
      <c r="O6" s="80">
        <f>O26+O53</f>
        <v>752333</v>
      </c>
      <c r="P6" s="80">
        <f t="shared" ref="P6:V6" si="1">P26+P53</f>
        <v>0</v>
      </c>
      <c r="Q6" s="80">
        <f>Q26+Q53</f>
        <v>185650</v>
      </c>
      <c r="R6" s="80">
        <f>R26+R53</f>
        <v>114780</v>
      </c>
      <c r="S6" s="80">
        <f t="shared" si="1"/>
        <v>0</v>
      </c>
      <c r="T6" s="80">
        <f>T26+T53</f>
        <v>300</v>
      </c>
      <c r="U6" s="80">
        <f>U26+U53</f>
        <v>167734</v>
      </c>
      <c r="V6" s="80">
        <f t="shared" si="1"/>
        <v>0</v>
      </c>
      <c r="W6" s="80">
        <f>W26+W53</f>
        <v>3800</v>
      </c>
      <c r="X6" s="80">
        <f t="shared" si="0"/>
        <v>33900</v>
      </c>
      <c r="Y6" s="80">
        <f>Y26+Y53</f>
        <v>122060</v>
      </c>
      <c r="Z6" s="80">
        <f t="shared" ref="Z6" si="2">Z26+Z53</f>
        <v>0</v>
      </c>
      <c r="AA6" s="80">
        <f>AA26+AA53</f>
        <v>777184</v>
      </c>
      <c r="AB6" s="80">
        <f t="shared" ref="AB6" si="3">AB26+AB53</f>
        <v>0</v>
      </c>
      <c r="AC6" s="80">
        <f t="shared" si="0"/>
        <v>3075091</v>
      </c>
      <c r="AD6" s="80">
        <f t="shared" si="0"/>
        <v>0</v>
      </c>
      <c r="AE6" s="80">
        <f t="shared" si="0"/>
        <v>0</v>
      </c>
      <c r="AF6" s="80">
        <f t="shared" si="0"/>
        <v>0</v>
      </c>
      <c r="AG6" s="80">
        <f t="shared" ref="AG6" si="4">AG26+AG53</f>
        <v>0</v>
      </c>
      <c r="AH6" s="80">
        <f t="shared" ref="AH6:AN6" si="5">AH26+AH53</f>
        <v>0</v>
      </c>
      <c r="AI6" s="80">
        <f>AI26+AI53</f>
        <v>0</v>
      </c>
      <c r="AJ6" s="80">
        <f>AJ26+AJ53</f>
        <v>22680</v>
      </c>
      <c r="AK6" s="80">
        <f t="shared" si="5"/>
        <v>0</v>
      </c>
      <c r="AL6" s="80">
        <f>AL26+AL53</f>
        <v>33090</v>
      </c>
      <c r="AM6" s="80">
        <f>AM26+AM53</f>
        <v>59930</v>
      </c>
      <c r="AN6" s="80">
        <f t="shared" si="5"/>
        <v>0</v>
      </c>
      <c r="AO6" s="80">
        <f>AO26+AO53</f>
        <v>161687</v>
      </c>
      <c r="AP6" s="194">
        <f t="shared" si="0"/>
        <v>11868970</v>
      </c>
      <c r="AQ6" s="80">
        <f t="shared" si="0"/>
        <v>0</v>
      </c>
      <c r="AR6" s="80">
        <f t="shared" ref="AR6:AU6" si="6">AR26+AR53</f>
        <v>0</v>
      </c>
      <c r="AS6" s="80">
        <f t="shared" si="6"/>
        <v>0</v>
      </c>
      <c r="AT6" s="80">
        <f t="shared" si="6"/>
        <v>247170</v>
      </c>
      <c r="AU6" s="80">
        <f t="shared" si="6"/>
        <v>76026</v>
      </c>
      <c r="AV6" s="80">
        <f t="shared" ref="AV6:AW6" si="7">AV26+AV53</f>
        <v>16825</v>
      </c>
      <c r="AW6" s="80">
        <f t="shared" si="7"/>
        <v>14264</v>
      </c>
      <c r="AX6" s="80">
        <f t="shared" ref="AX6:AY6" si="8">AX26+AX53</f>
        <v>1193328</v>
      </c>
      <c r="AY6" s="80">
        <f t="shared" si="8"/>
        <v>510265</v>
      </c>
      <c r="AZ6" s="194">
        <f t="shared" si="0"/>
        <v>2057878</v>
      </c>
      <c r="BA6" s="80">
        <f>BA26+BA53</f>
        <v>0</v>
      </c>
      <c r="BB6" s="80">
        <f t="shared" ref="BB6:BN6" si="9">BB26+BB53</f>
        <v>145921</v>
      </c>
      <c r="BC6" s="80">
        <f t="shared" si="9"/>
        <v>60970</v>
      </c>
      <c r="BD6" s="80">
        <f t="shared" si="9"/>
        <v>41696</v>
      </c>
      <c r="BE6" s="80">
        <f t="shared" ref="BE6" si="10">BE26+BE53</f>
        <v>39692</v>
      </c>
      <c r="BF6" s="80">
        <f t="shared" si="9"/>
        <v>119520</v>
      </c>
      <c r="BG6" s="80">
        <f t="shared" si="9"/>
        <v>196090</v>
      </c>
      <c r="BH6" s="80">
        <f t="shared" si="9"/>
        <v>100088</v>
      </c>
      <c r="BI6" s="80">
        <f t="shared" si="9"/>
        <v>153293</v>
      </c>
      <c r="BJ6" s="80">
        <f t="shared" si="9"/>
        <v>98111</v>
      </c>
      <c r="BK6" s="80">
        <f t="shared" si="9"/>
        <v>0</v>
      </c>
      <c r="BL6" s="80">
        <f t="shared" si="9"/>
        <v>52288</v>
      </c>
      <c r="BM6" s="80">
        <f t="shared" si="9"/>
        <v>65207</v>
      </c>
      <c r="BN6" s="80">
        <f t="shared" si="9"/>
        <v>794881</v>
      </c>
      <c r="BO6" s="80">
        <f>BO26+BO53</f>
        <v>1867757</v>
      </c>
      <c r="BP6" s="80">
        <f>BP26+BP53</f>
        <v>904875</v>
      </c>
      <c r="BQ6" s="80">
        <f t="shared" ref="BQ6:BR6" si="11">BQ26+BQ53</f>
        <v>1759112</v>
      </c>
      <c r="BR6" s="80">
        <f t="shared" si="11"/>
        <v>1212953</v>
      </c>
      <c r="BS6" s="80">
        <f>BS26+BS53</f>
        <v>5744697</v>
      </c>
      <c r="BT6" s="228">
        <f t="shared" ref="BT6:BT37" si="12">AP6+AZ6+BS6</f>
        <v>19671545</v>
      </c>
    </row>
    <row r="7" spans="1:73" x14ac:dyDescent="0.25">
      <c r="A7" s="208" t="s">
        <v>334</v>
      </c>
      <c r="B7" s="35">
        <f>B8+B9+B10+B11+B12</f>
        <v>62256</v>
      </c>
      <c r="C7" s="35">
        <f t="shared" ref="C7:AZ7" si="13">C8+C9+C10+C11+C12</f>
        <v>0</v>
      </c>
      <c r="D7" s="35">
        <f t="shared" si="13"/>
        <v>0</v>
      </c>
      <c r="E7" s="35">
        <f t="shared" si="13"/>
        <v>0</v>
      </c>
      <c r="F7" s="35">
        <f t="shared" si="13"/>
        <v>44900</v>
      </c>
      <c r="G7" s="35">
        <f t="shared" si="13"/>
        <v>196759</v>
      </c>
      <c r="H7" s="35">
        <f t="shared" si="13"/>
        <v>0</v>
      </c>
      <c r="I7" s="35">
        <f>I8+I9+I10+I11+I12</f>
        <v>5504</v>
      </c>
      <c r="J7" s="35">
        <f t="shared" si="13"/>
        <v>28722</v>
      </c>
      <c r="K7" s="35">
        <f t="shared" si="13"/>
        <v>0</v>
      </c>
      <c r="L7" s="35">
        <f>L8+L9+L10+L11+L12</f>
        <v>600</v>
      </c>
      <c r="M7" s="35">
        <f>M8+M9+M10+M11+M12</f>
        <v>13300</v>
      </c>
      <c r="N7" s="35">
        <f>N8+N9+N10+N11+N12</f>
        <v>67000</v>
      </c>
      <c r="O7" s="35">
        <f>O8+O9+O10+O11+O12</f>
        <v>752333</v>
      </c>
      <c r="P7" s="35">
        <f t="shared" ref="P7:V7" si="14">P8+P9+P10+P11+P12</f>
        <v>0</v>
      </c>
      <c r="Q7" s="35">
        <f>Q8+Q9+Q10+Q11+Q12</f>
        <v>167150</v>
      </c>
      <c r="R7" s="35">
        <f>R8+R9+R10+R11+R12</f>
        <v>114780</v>
      </c>
      <c r="S7" s="35">
        <f t="shared" si="14"/>
        <v>0</v>
      </c>
      <c r="T7" s="35">
        <f>T8+T9+T10+T11+T12</f>
        <v>300</v>
      </c>
      <c r="U7" s="35">
        <f>U8+U9+U10+U11+U12</f>
        <v>167734</v>
      </c>
      <c r="V7" s="35">
        <f t="shared" si="14"/>
        <v>0</v>
      </c>
      <c r="W7" s="35">
        <f>W8+W9+W10+W11+W12</f>
        <v>3800</v>
      </c>
      <c r="X7" s="35">
        <f t="shared" si="13"/>
        <v>33900</v>
      </c>
      <c r="Y7" s="35">
        <f>Y8+Y9+Y10+Y11+Y12</f>
        <v>122060</v>
      </c>
      <c r="Z7" s="35">
        <f t="shared" ref="Z7" si="15">Z8+Z9+Z10+Z11+Z12</f>
        <v>0</v>
      </c>
      <c r="AA7" s="35">
        <f>AA8+AA9+AA10+AA11+AA12</f>
        <v>777184</v>
      </c>
      <c r="AB7" s="35">
        <f t="shared" ref="AB7" si="16">AB8+AB9+AB10+AB11+AB12</f>
        <v>0</v>
      </c>
      <c r="AC7" s="35">
        <f t="shared" si="13"/>
        <v>2929791</v>
      </c>
      <c r="AD7" s="35">
        <f t="shared" si="13"/>
        <v>0</v>
      </c>
      <c r="AE7" s="35">
        <f t="shared" si="13"/>
        <v>0</v>
      </c>
      <c r="AF7" s="35">
        <f t="shared" si="13"/>
        <v>0</v>
      </c>
      <c r="AG7" s="35">
        <f t="shared" ref="AG7" si="17">AG8+AG9+AG10+AG11+AG12</f>
        <v>0</v>
      </c>
      <c r="AH7" s="35">
        <f t="shared" ref="AH7:AN7" si="18">AH8+AH9+AH10+AH11+AH12</f>
        <v>0</v>
      </c>
      <c r="AI7" s="35">
        <f>AI8+AI9+AI10+AI11+AI12</f>
        <v>0</v>
      </c>
      <c r="AJ7" s="35">
        <f>AJ8+AJ9+AJ10+AJ11+AJ12</f>
        <v>22680</v>
      </c>
      <c r="AK7" s="35">
        <f t="shared" si="18"/>
        <v>0</v>
      </c>
      <c r="AL7" s="35">
        <f>AL8+AL9+AL10+AL11+AL12</f>
        <v>33090</v>
      </c>
      <c r="AM7" s="35">
        <f>AM8+AM9+AM10+AM11+AM12</f>
        <v>59930</v>
      </c>
      <c r="AN7" s="35">
        <f t="shared" si="18"/>
        <v>0</v>
      </c>
      <c r="AO7" s="35">
        <f>AO8+AO9+AO10+AO11+AO12</f>
        <v>161687</v>
      </c>
      <c r="AP7" s="195">
        <f t="shared" si="13"/>
        <v>5765460</v>
      </c>
      <c r="AQ7" s="35">
        <f t="shared" si="13"/>
        <v>0</v>
      </c>
      <c r="AR7" s="35">
        <f t="shared" ref="AR7:AU7" si="19">AR8+AR9+AR10+AR11+AR12</f>
        <v>0</v>
      </c>
      <c r="AS7" s="35">
        <f t="shared" si="19"/>
        <v>0</v>
      </c>
      <c r="AT7" s="35">
        <f t="shared" si="19"/>
        <v>230789</v>
      </c>
      <c r="AU7" s="35">
        <f t="shared" si="19"/>
        <v>41026</v>
      </c>
      <c r="AV7" s="35">
        <f t="shared" ref="AV7:AW7" si="20">AV8+AV9+AV10+AV11+AV12</f>
        <v>16825</v>
      </c>
      <c r="AW7" s="35">
        <f t="shared" si="20"/>
        <v>14264</v>
      </c>
      <c r="AX7" s="35">
        <f t="shared" ref="AX7:AY7" si="21">AX8+AX9+AX10+AX11+AX12</f>
        <v>1193328</v>
      </c>
      <c r="AY7" s="35">
        <f t="shared" si="21"/>
        <v>507725</v>
      </c>
      <c r="AZ7" s="195">
        <f t="shared" si="13"/>
        <v>2003957</v>
      </c>
      <c r="BA7" s="35">
        <f>BA8+BA9+BA10+BA11+BA12</f>
        <v>0</v>
      </c>
      <c r="BB7" s="35">
        <f t="shared" ref="BB7:BN7" si="22">BB8+BB9+BB10+BB11+BB12</f>
        <v>145471</v>
      </c>
      <c r="BC7" s="35">
        <f t="shared" si="22"/>
        <v>60520</v>
      </c>
      <c r="BD7" s="35">
        <f t="shared" si="22"/>
        <v>41296</v>
      </c>
      <c r="BE7" s="35">
        <f t="shared" ref="BE7" si="23">BE8+BE9+BE10+BE11+BE12</f>
        <v>39692</v>
      </c>
      <c r="BF7" s="35">
        <f t="shared" si="22"/>
        <v>119020</v>
      </c>
      <c r="BG7" s="35">
        <f t="shared" si="22"/>
        <v>195890</v>
      </c>
      <c r="BH7" s="35">
        <f t="shared" si="22"/>
        <v>99688</v>
      </c>
      <c r="BI7" s="35">
        <f t="shared" si="22"/>
        <v>143743</v>
      </c>
      <c r="BJ7" s="35">
        <f t="shared" si="22"/>
        <v>95011</v>
      </c>
      <c r="BK7" s="35">
        <f t="shared" si="22"/>
        <v>0</v>
      </c>
      <c r="BL7" s="35">
        <f t="shared" si="22"/>
        <v>51838</v>
      </c>
      <c r="BM7" s="35">
        <f t="shared" si="22"/>
        <v>64907</v>
      </c>
      <c r="BN7" s="35">
        <f t="shared" si="22"/>
        <v>794481</v>
      </c>
      <c r="BO7" s="35">
        <f>BO8+BO9+BO10+BO11+BO12</f>
        <v>1851557</v>
      </c>
      <c r="BP7" s="35">
        <f>BP8+BP9+BP10+BP11+BP12</f>
        <v>901349</v>
      </c>
      <c r="BQ7" s="35">
        <f t="shared" ref="BQ7:BR7" si="24">BQ8+BQ9+BQ10+BQ11+BQ12</f>
        <v>1759112</v>
      </c>
      <c r="BR7" s="35">
        <f t="shared" si="24"/>
        <v>1207953</v>
      </c>
      <c r="BS7" s="35">
        <f>BS8+BS9+BS10+BS11+BS12</f>
        <v>5719971</v>
      </c>
      <c r="BT7" s="229">
        <f t="shared" si="12"/>
        <v>13489388</v>
      </c>
    </row>
    <row r="8" spans="1:73" x14ac:dyDescent="0.25">
      <c r="A8" s="210" t="s">
        <v>335</v>
      </c>
      <c r="B8" s="7">
        <f>SUM(Tervezőönkorm.!E31)</f>
        <v>48677</v>
      </c>
      <c r="C8" s="7"/>
      <c r="D8" s="7"/>
      <c r="E8" s="7"/>
      <c r="F8" s="7"/>
      <c r="G8" s="7"/>
      <c r="H8" s="7"/>
      <c r="I8" s="7">
        <f>SUM(Tervezőönkorm.!AN31)</f>
        <v>0</v>
      </c>
      <c r="J8" s="7">
        <f>SUM(Tervezőönkorm.!AR31)</f>
        <v>0</v>
      </c>
      <c r="K8" s="7"/>
      <c r="L8" s="7">
        <f>SUM(Tervezőönkorm.!S31)</f>
        <v>0</v>
      </c>
      <c r="M8" s="7">
        <f>SUM(Tervezőönkorm.!W31)</f>
        <v>0</v>
      </c>
      <c r="N8" s="7">
        <f>SUM(Tervezőönkorm.!BC31)</f>
        <v>0</v>
      </c>
      <c r="O8" s="7">
        <f>SUM(Tervezőönkorm.!BI31)</f>
        <v>0</v>
      </c>
      <c r="P8" s="7"/>
      <c r="Q8" s="7">
        <f>SUM(Tervezőönkorm.!CI31)</f>
        <v>0</v>
      </c>
      <c r="R8" s="7">
        <f>SUM(Tervezőönkorm.!BM31)</f>
        <v>0</v>
      </c>
      <c r="S8" s="7"/>
      <c r="T8" s="7">
        <f>SUM(Tervezőönkorm.!BR31)</f>
        <v>0</v>
      </c>
      <c r="U8" s="7">
        <f>SUM(Tervezőönkorm.!BU31)</f>
        <v>0</v>
      </c>
      <c r="V8" s="7"/>
      <c r="W8" s="7">
        <f>SUM(Tervezőönkorm.!CD31)</f>
        <v>0</v>
      </c>
      <c r="X8" s="7"/>
      <c r="Y8" s="7">
        <f>SUM(Tervezőönkorm.!CS31)</f>
        <v>0</v>
      </c>
      <c r="Z8" s="7"/>
      <c r="AA8" s="7">
        <f>SUM(Tervezőönkorm.!CW31)</f>
        <v>0</v>
      </c>
      <c r="AB8" s="7"/>
      <c r="AC8" s="7"/>
      <c r="AD8" s="7"/>
      <c r="AE8" s="7">
        <f>'kiadás 11604 '!B6</f>
        <v>0</v>
      </c>
      <c r="AF8" s="7"/>
      <c r="AG8" s="7"/>
      <c r="AH8" s="7"/>
      <c r="AI8" s="7">
        <f>SUM(Tervezőönkorm.!DU31)</f>
        <v>0</v>
      </c>
      <c r="AJ8" s="7">
        <f>SUM(Tervezőönkorm.!AA31)</f>
        <v>0</v>
      </c>
      <c r="AK8" s="7"/>
      <c r="AL8" s="7">
        <f>SUM(Tervezőönkorm.!DG31)</f>
        <v>0</v>
      </c>
      <c r="AM8" s="7">
        <f>SUM(Tervezőönkorm.!EA31)</f>
        <v>0</v>
      </c>
      <c r="AN8" s="7"/>
      <c r="AO8" s="7">
        <f>SUM(Tervezőönkorm.!EK31)</f>
        <v>0</v>
      </c>
      <c r="AP8" s="196">
        <f>SUM(B8:AO8)</f>
        <v>48677</v>
      </c>
      <c r="AQ8" s="8"/>
      <c r="AR8" s="8"/>
      <c r="AS8" s="8"/>
      <c r="AT8" s="7">
        <f>Tervezőhiv.!R59</f>
        <v>0</v>
      </c>
      <c r="AU8" s="7">
        <f>Tervezőhiv.!V59</f>
        <v>0</v>
      </c>
      <c r="AV8" s="7">
        <f>Tervezőhiv.!AE59</f>
        <v>1264</v>
      </c>
      <c r="AW8" s="7">
        <f>Tervezőhiv.!Z59</f>
        <v>8064</v>
      </c>
      <c r="AX8" s="7">
        <f>Tervezőhiv.!AL59</f>
        <v>989230</v>
      </c>
      <c r="AY8" s="7">
        <f>Tervezőhiv.!AS59</f>
        <v>346568</v>
      </c>
      <c r="AZ8" s="196">
        <f>SUM(AQ8:AY8)</f>
        <v>1345126</v>
      </c>
      <c r="BA8" s="7"/>
      <c r="BB8" s="7">
        <v>92768</v>
      </c>
      <c r="BC8" s="7">
        <v>43150</v>
      </c>
      <c r="BD8" s="7">
        <f>28474-2682</f>
        <v>25792</v>
      </c>
      <c r="BE8" s="7">
        <v>28529</v>
      </c>
      <c r="BF8" s="7">
        <v>84120</v>
      </c>
      <c r="BG8" s="7">
        <f>12624+546</f>
        <v>13170</v>
      </c>
      <c r="BH8" s="7">
        <v>75837</v>
      </c>
      <c r="BI8" s="7">
        <f>91620+410</f>
        <v>92030</v>
      </c>
      <c r="BJ8" s="7">
        <f>58678+1093</f>
        <v>59771</v>
      </c>
      <c r="BK8" s="7"/>
      <c r="BL8" s="7">
        <v>27638</v>
      </c>
      <c r="BM8" s="7">
        <v>35449</v>
      </c>
      <c r="BN8" s="7">
        <f>62292+279</f>
        <v>62571</v>
      </c>
      <c r="BO8" s="8">
        <f>SUM(BA8:BN8)</f>
        <v>640825</v>
      </c>
      <c r="BP8" s="8">
        <v>624628</v>
      </c>
      <c r="BQ8" s="8">
        <v>1198761</v>
      </c>
      <c r="BR8" s="8">
        <v>927150</v>
      </c>
      <c r="BS8" s="8">
        <f>BO8+BP8+BQ8+BR8</f>
        <v>3391364</v>
      </c>
      <c r="BT8" s="230">
        <f t="shared" si="12"/>
        <v>4785167</v>
      </c>
    </row>
    <row r="9" spans="1:73" x14ac:dyDescent="0.25">
      <c r="A9" s="210" t="s">
        <v>336</v>
      </c>
      <c r="B9" s="7">
        <f>SUM(Tervezőönkorm.!E36)</f>
        <v>8789</v>
      </c>
      <c r="C9" s="7"/>
      <c r="D9" s="7"/>
      <c r="E9" s="7"/>
      <c r="F9" s="7"/>
      <c r="G9" s="7"/>
      <c r="H9" s="7"/>
      <c r="I9" s="7">
        <f>SUM(Tervezőönkorm.!AN36)</f>
        <v>0</v>
      </c>
      <c r="J9" s="7">
        <f>SUM(Tervezőönkorm.!AR36)</f>
        <v>0</v>
      </c>
      <c r="K9" s="7"/>
      <c r="L9" s="7">
        <f>SUM(Tervezőönkorm.!S36)</f>
        <v>0</v>
      </c>
      <c r="M9" s="7">
        <f>SUM(Tervezőönkorm.!W36)</f>
        <v>0</v>
      </c>
      <c r="N9" s="7">
        <f>SUM(Tervezőönkorm.!BC36)</f>
        <v>0</v>
      </c>
      <c r="O9" s="7">
        <f>SUM(Tervezőönkorm.!BI36)</f>
        <v>0</v>
      </c>
      <c r="P9" s="7"/>
      <c r="Q9" s="7">
        <f>SUM(Tervezőönkorm.!CI36)</f>
        <v>0</v>
      </c>
      <c r="R9" s="7">
        <f>SUM(Tervezőönkorm.!BM36)</f>
        <v>0</v>
      </c>
      <c r="S9" s="7"/>
      <c r="T9" s="7">
        <f>SUM(Tervezőönkorm.!BR36)</f>
        <v>0</v>
      </c>
      <c r="U9" s="7">
        <f>SUM(Tervezőönkorm.!BU36)</f>
        <v>0</v>
      </c>
      <c r="V9" s="7"/>
      <c r="W9" s="7">
        <f>SUM(Tervezőönkorm.!CD36)</f>
        <v>0</v>
      </c>
      <c r="X9" s="7"/>
      <c r="Y9" s="7">
        <f>SUM(Tervezőönkorm.!CS36)</f>
        <v>0</v>
      </c>
      <c r="Z9" s="7"/>
      <c r="AA9" s="7">
        <f>SUM(Tervezőönkorm.!CW36)</f>
        <v>0</v>
      </c>
      <c r="AB9" s="7"/>
      <c r="AC9" s="7">
        <f>kiadás11602!B24</f>
        <v>0</v>
      </c>
      <c r="AD9" s="7"/>
      <c r="AE9" s="7">
        <f>'kiadás 11604 '!C6</f>
        <v>0</v>
      </c>
      <c r="AF9" s="7"/>
      <c r="AG9" s="7"/>
      <c r="AH9" s="7"/>
      <c r="AI9" s="7">
        <f>SUM(Tervezőönkorm.!DU36)</f>
        <v>0</v>
      </c>
      <c r="AJ9" s="7">
        <f>SUM(Tervezőönkorm.!AA36)</f>
        <v>0</v>
      </c>
      <c r="AK9" s="7"/>
      <c r="AL9" s="7">
        <f>SUM(Tervezőönkorm.!DG36)</f>
        <v>0</v>
      </c>
      <c r="AM9" s="7">
        <f>SUM(Tervezőönkorm.!EA36)</f>
        <v>0</v>
      </c>
      <c r="AN9" s="7"/>
      <c r="AO9" s="7">
        <f>SUM(Tervezőönkorm.!EK36)</f>
        <v>0</v>
      </c>
      <c r="AP9" s="196">
        <f>SUM(B9:AO9)</f>
        <v>8789</v>
      </c>
      <c r="AQ9" s="8"/>
      <c r="AR9" s="8"/>
      <c r="AS9" s="8"/>
      <c r="AT9" s="7">
        <f>Tervezőhiv.!R67</f>
        <v>0</v>
      </c>
      <c r="AU9" s="7">
        <f>Tervezőhiv.!V67</f>
        <v>0</v>
      </c>
      <c r="AV9" s="7">
        <f>Tervezőhiv.!AE67</f>
        <v>111</v>
      </c>
      <c r="AW9" s="7">
        <f>Tervezőhiv.!Z67</f>
        <v>1270</v>
      </c>
      <c r="AX9" s="7">
        <f>Tervezőhiv.!AL67</f>
        <v>194746</v>
      </c>
      <c r="AY9" s="7">
        <f>Tervezőhiv.!AS67</f>
        <v>61797</v>
      </c>
      <c r="AZ9" s="196">
        <f>SUM(AQ9:AY9)</f>
        <v>257924</v>
      </c>
      <c r="BA9" s="7"/>
      <c r="BB9" s="7">
        <v>33904</v>
      </c>
      <c r="BC9" s="7">
        <v>7420</v>
      </c>
      <c r="BD9" s="7">
        <f>4760-422</f>
        <v>4338</v>
      </c>
      <c r="BE9" s="7">
        <v>4960</v>
      </c>
      <c r="BF9" s="7">
        <v>14112</v>
      </c>
      <c r="BG9" s="7">
        <f>2125+96</f>
        <v>2221</v>
      </c>
      <c r="BH9" s="7">
        <v>13170</v>
      </c>
      <c r="BI9" s="7">
        <f>15630+106</f>
        <v>15736</v>
      </c>
      <c r="BJ9" s="7">
        <f>9941+191</f>
        <v>10132</v>
      </c>
      <c r="BK9" s="7"/>
      <c r="BL9" s="7">
        <v>4837</v>
      </c>
      <c r="BM9" s="7">
        <v>6054</v>
      </c>
      <c r="BN9" s="7">
        <f>10901+49</f>
        <v>10950</v>
      </c>
      <c r="BO9" s="8">
        <f>SUM(BA9:BN9)</f>
        <v>127834</v>
      </c>
      <c r="BP9" s="8">
        <v>121742</v>
      </c>
      <c r="BQ9" s="8">
        <v>217735</v>
      </c>
      <c r="BR9" s="8">
        <v>180295</v>
      </c>
      <c r="BS9" s="8">
        <f t="shared" ref="BS9:BS25" si="25">BO9+BP9+BQ9+BR9</f>
        <v>647606</v>
      </c>
      <c r="BT9" s="230">
        <f t="shared" si="12"/>
        <v>914319</v>
      </c>
    </row>
    <row r="10" spans="1:73" x14ac:dyDescent="0.25">
      <c r="A10" s="210" t="s">
        <v>337</v>
      </c>
      <c r="B10" s="7">
        <f>SUM(Tervezőönkorm.!E92)</f>
        <v>4790</v>
      </c>
      <c r="C10" s="7"/>
      <c r="D10" s="7"/>
      <c r="E10" s="7"/>
      <c r="F10" s="7"/>
      <c r="G10" s="7"/>
      <c r="H10" s="7"/>
      <c r="I10" s="7">
        <f>SUM(Tervezőönkorm.!AN92)</f>
        <v>0</v>
      </c>
      <c r="J10" s="7">
        <f>SUM(Tervezőönkorm.!AR92)</f>
        <v>5</v>
      </c>
      <c r="K10" s="7"/>
      <c r="L10" s="7">
        <f>SUM(Tervezőönkorm.!S92)</f>
        <v>600</v>
      </c>
      <c r="M10" s="7">
        <f>SUM(Tervezőönkorm.!W92)</f>
        <v>13300</v>
      </c>
      <c r="N10" s="7">
        <f>SUM(Tervezőönkorm.!BC92)</f>
        <v>0</v>
      </c>
      <c r="O10" s="7">
        <f>SUM(Tervezőönkorm.!BI92)</f>
        <v>752333</v>
      </c>
      <c r="P10" s="7"/>
      <c r="Q10" s="7">
        <f>SUM(Tervezőönkorm.!CI92)</f>
        <v>37150</v>
      </c>
      <c r="R10" s="7">
        <f>SUM(Tervezőönkorm.!BM92)</f>
        <v>114780</v>
      </c>
      <c r="S10" s="7"/>
      <c r="T10" s="7">
        <f>SUM(Tervezőönkorm.!BR92)</f>
        <v>300</v>
      </c>
      <c r="U10" s="7">
        <f>SUM(Tervezőönkorm.!BU92)</f>
        <v>167734</v>
      </c>
      <c r="V10" s="7"/>
      <c r="W10" s="7">
        <f>SUM(Tervezőönkorm.!CD92)</f>
        <v>3800</v>
      </c>
      <c r="X10" s="7">
        <f>'kiadás 11601'!B10</f>
        <v>33900</v>
      </c>
      <c r="Y10" s="7">
        <f>SUM(Tervezőönkorm.!CS92)</f>
        <v>0</v>
      </c>
      <c r="Z10" s="7"/>
      <c r="AA10" s="7">
        <f>SUM(Tervezőönkorm.!CW92)</f>
        <v>0</v>
      </c>
      <c r="AB10" s="7"/>
      <c r="AC10" s="7">
        <f>kiadás11602!C24</f>
        <v>2929791</v>
      </c>
      <c r="AD10" s="7"/>
      <c r="AE10" s="7">
        <f>'kiadás 11604 '!D6</f>
        <v>0</v>
      </c>
      <c r="AF10" s="7"/>
      <c r="AG10" s="7"/>
      <c r="AH10" s="7"/>
      <c r="AI10" s="7">
        <f>SUM(Tervezőönkorm.!DU92)</f>
        <v>0</v>
      </c>
      <c r="AJ10" s="7">
        <f>SUM(Tervezőönkorm.!AA92)</f>
        <v>22680</v>
      </c>
      <c r="AK10" s="7"/>
      <c r="AL10" s="7">
        <f>SUM(Tervezőönkorm.!DG92)</f>
        <v>33090</v>
      </c>
      <c r="AM10" s="7">
        <f>SUM(Tervezőönkorm.!EA92)</f>
        <v>59930</v>
      </c>
      <c r="AN10" s="7"/>
      <c r="AO10" s="7">
        <f>SUM(Tervezőönkorm.!EK92)</f>
        <v>0</v>
      </c>
      <c r="AP10" s="196">
        <f>SUM(B10:AO10)</f>
        <v>4174183</v>
      </c>
      <c r="AQ10" s="8"/>
      <c r="AR10" s="8"/>
      <c r="AS10" s="8"/>
      <c r="AT10" s="7">
        <f>Tervezőhiv.!R154</f>
        <v>230789</v>
      </c>
      <c r="AU10" s="7">
        <f>Tervezőhiv.!V154</f>
        <v>41026</v>
      </c>
      <c r="AV10" s="7">
        <f>Tervezőhiv.!AE154</f>
        <v>15450</v>
      </c>
      <c r="AW10" s="7">
        <f>Tervezőhiv.!Z154</f>
        <v>4930</v>
      </c>
      <c r="AX10" s="7">
        <f>Tervezőhiv.!AL154</f>
        <v>9352</v>
      </c>
      <c r="AY10" s="7">
        <f>Tervezőhiv.!AS154</f>
        <v>99360</v>
      </c>
      <c r="AZ10" s="196">
        <f>SUM(AQ10:AY10)</f>
        <v>400907</v>
      </c>
      <c r="BA10" s="7"/>
      <c r="BB10" s="7">
        <f>18954-155</f>
        <v>18799</v>
      </c>
      <c r="BC10" s="7">
        <f>10004-54</f>
        <v>9950</v>
      </c>
      <c r="BD10" s="7">
        <f>11402-236</f>
        <v>11166</v>
      </c>
      <c r="BE10" s="7">
        <f>6037+166</f>
        <v>6203</v>
      </c>
      <c r="BF10" s="7">
        <f>20867-79</f>
        <v>20788</v>
      </c>
      <c r="BG10" s="7">
        <v>180499</v>
      </c>
      <c r="BH10" s="7">
        <f>10758-77</f>
        <v>10681</v>
      </c>
      <c r="BI10" s="7">
        <f>36102-125</f>
        <v>35977</v>
      </c>
      <c r="BJ10" s="7">
        <f>25152-44</f>
        <v>25108</v>
      </c>
      <c r="BK10" s="7"/>
      <c r="BL10" s="7">
        <f>18192-58</f>
        <v>18134</v>
      </c>
      <c r="BM10" s="7">
        <f>24043-600-39</f>
        <v>23404</v>
      </c>
      <c r="BN10" s="7">
        <f>721015-55</f>
        <v>720960</v>
      </c>
      <c r="BO10" s="8">
        <f>SUM(BA10:BN10)</f>
        <v>1081669</v>
      </c>
      <c r="BP10" s="8">
        <f>147828+7151</f>
        <v>154979</v>
      </c>
      <c r="BQ10" s="8">
        <v>342616</v>
      </c>
      <c r="BR10" s="8">
        <v>100508</v>
      </c>
      <c r="BS10" s="8">
        <f t="shared" si="25"/>
        <v>1679772</v>
      </c>
      <c r="BT10" s="230">
        <f t="shared" si="12"/>
        <v>6254862</v>
      </c>
    </row>
    <row r="11" spans="1:73" x14ac:dyDescent="0.25">
      <c r="A11" s="210" t="s">
        <v>338</v>
      </c>
      <c r="B11" s="7">
        <f>SUM(Tervezőönkorm.!E109)</f>
        <v>0</v>
      </c>
      <c r="C11" s="7"/>
      <c r="D11" s="7"/>
      <c r="E11" s="7"/>
      <c r="F11" s="7"/>
      <c r="G11" s="7"/>
      <c r="H11" s="7"/>
      <c r="I11" s="7">
        <f>SUM(Tervezőönkorm.!AN109)</f>
        <v>0</v>
      </c>
      <c r="J11" s="7">
        <f>SUM(Tervezőönkorm.!AR109)</f>
        <v>0</v>
      </c>
      <c r="K11" s="7"/>
      <c r="L11" s="7">
        <f>SUM(Tervezőönkorm.!S109)</f>
        <v>0</v>
      </c>
      <c r="M11" s="7">
        <f>SUM(Tervezőönkorm.!W109)</f>
        <v>0</v>
      </c>
      <c r="N11" s="7">
        <f>SUM(Tervezőönkorm.!BC109)</f>
        <v>62000</v>
      </c>
      <c r="O11" s="7">
        <f>SUM(Tervezőönkorm.!BI109)</f>
        <v>0</v>
      </c>
      <c r="P11" s="7"/>
      <c r="Q11" s="7">
        <f>SUM(Tervezőönkorm.!CI109)</f>
        <v>0</v>
      </c>
      <c r="R11" s="7">
        <f>SUM(Tervezőönkorm.!BM109)</f>
        <v>0</v>
      </c>
      <c r="S11" s="7"/>
      <c r="T11" s="7">
        <f>SUM(Tervezőönkorm.!BR109)</f>
        <v>0</v>
      </c>
      <c r="U11" s="7">
        <f>SUM(Tervezőönkorm.!BU109)</f>
        <v>0</v>
      </c>
      <c r="V11" s="7"/>
      <c r="W11" s="7">
        <f>SUM(Tervezőönkorm.!CD109)</f>
        <v>0</v>
      </c>
      <c r="X11" s="7"/>
      <c r="Y11" s="7">
        <f>SUM(Tervezőönkorm.!CS109)</f>
        <v>0</v>
      </c>
      <c r="Z11" s="7"/>
      <c r="AA11" s="7">
        <f>SUM(Tervezőönkorm.!CW109)</f>
        <v>0</v>
      </c>
      <c r="AB11" s="7"/>
      <c r="AC11" s="7"/>
      <c r="AD11" s="7"/>
      <c r="AE11" s="7"/>
      <c r="AF11" s="7"/>
      <c r="AG11" s="7"/>
      <c r="AH11" s="7"/>
      <c r="AI11" s="7">
        <f>SUM(Tervezőönkorm.!DU109)</f>
        <v>0</v>
      </c>
      <c r="AJ11" s="7">
        <f>SUM(Tervezőönkorm.!AA109)</f>
        <v>0</v>
      </c>
      <c r="AK11" s="7"/>
      <c r="AL11" s="7">
        <f>SUM(Tervezőönkorm.!DG109)</f>
        <v>0</v>
      </c>
      <c r="AM11" s="7">
        <f>SUM(Tervezőönkorm.!EA109)</f>
        <v>0</v>
      </c>
      <c r="AN11" s="7"/>
      <c r="AO11" s="7">
        <f>SUM(Tervezőönkorm.!EK109)</f>
        <v>0</v>
      </c>
      <c r="AP11" s="196">
        <f>SUM(B11:AO11)</f>
        <v>62000</v>
      </c>
      <c r="AQ11" s="8"/>
      <c r="AR11" s="8"/>
      <c r="AS11" s="8"/>
      <c r="AT11" s="7">
        <f>Tervezőhiv.!R161</f>
        <v>0</v>
      </c>
      <c r="AU11" s="7">
        <f>Tervezőhiv.!V161</f>
        <v>0</v>
      </c>
      <c r="AV11" s="7">
        <f>Tervezőhiv.!AE161</f>
        <v>0</v>
      </c>
      <c r="AW11" s="7">
        <f>Tervezőhiv.!Z161</f>
        <v>0</v>
      </c>
      <c r="AX11" s="7">
        <f>Tervezőhiv.!AL161</f>
        <v>0</v>
      </c>
      <c r="AY11" s="7">
        <f>Tervezőhiv.!AS161</f>
        <v>0</v>
      </c>
      <c r="AZ11" s="196">
        <f>SUM(AQ11:AY11)</f>
        <v>0</v>
      </c>
      <c r="BA11" s="7"/>
      <c r="BB11" s="7"/>
      <c r="BC11" s="7"/>
      <c r="BD11" s="7"/>
      <c r="BE11" s="7"/>
      <c r="BF11" s="7"/>
      <c r="BG11" s="7"/>
      <c r="BH11" s="7"/>
      <c r="BI11" s="7"/>
      <c r="BJ11" s="7"/>
      <c r="BK11" s="7"/>
      <c r="BL11" s="7">
        <v>1229</v>
      </c>
      <c r="BM11" s="7"/>
      <c r="BN11" s="7"/>
      <c r="BO11" s="8">
        <f>SUM(BA11:BN11)</f>
        <v>1229</v>
      </c>
      <c r="BP11" s="8"/>
      <c r="BQ11" s="8"/>
      <c r="BR11" s="8"/>
      <c r="BS11" s="8">
        <f t="shared" si="25"/>
        <v>1229</v>
      </c>
      <c r="BT11" s="230">
        <f t="shared" si="12"/>
        <v>63229</v>
      </c>
    </row>
    <row r="12" spans="1:73" s="13" customFormat="1" x14ac:dyDescent="0.25">
      <c r="A12" s="212" t="s">
        <v>339</v>
      </c>
      <c r="B12" s="6">
        <f>B13+B14+B15+B16+B17</f>
        <v>0</v>
      </c>
      <c r="C12" s="6">
        <f t="shared" ref="C12:AZ12" si="26">C13+C14+C15+C16+C17</f>
        <v>0</v>
      </c>
      <c r="D12" s="6">
        <f t="shared" si="26"/>
        <v>0</v>
      </c>
      <c r="E12" s="6">
        <f t="shared" si="26"/>
        <v>0</v>
      </c>
      <c r="F12" s="6">
        <f t="shared" si="26"/>
        <v>44900</v>
      </c>
      <c r="G12" s="6">
        <f t="shared" si="26"/>
        <v>196759</v>
      </c>
      <c r="H12" s="6">
        <f t="shared" si="26"/>
        <v>0</v>
      </c>
      <c r="I12" s="6">
        <f>I13+I14+I15+I16+I17</f>
        <v>5504</v>
      </c>
      <c r="J12" s="6">
        <f t="shared" si="26"/>
        <v>28717</v>
      </c>
      <c r="K12" s="6">
        <f t="shared" si="26"/>
        <v>0</v>
      </c>
      <c r="L12" s="6">
        <f>L13+L14+L15+L16+L17</f>
        <v>0</v>
      </c>
      <c r="M12" s="6">
        <f>M13+M14+M15+M16+M17</f>
        <v>0</v>
      </c>
      <c r="N12" s="6">
        <f>N13+N14+N15+N16+N17</f>
        <v>5000</v>
      </c>
      <c r="O12" s="6">
        <f>O13+O14+O15+O16+O17</f>
        <v>0</v>
      </c>
      <c r="P12" s="6">
        <f t="shared" ref="P12:V12" si="27">P13+P14+P15+P16+P17</f>
        <v>0</v>
      </c>
      <c r="Q12" s="6">
        <f>Q13+Q14+Q15+Q16+Q17</f>
        <v>130000</v>
      </c>
      <c r="R12" s="6">
        <f>R13+R14+R15+R16+R17</f>
        <v>0</v>
      </c>
      <c r="S12" s="6">
        <f t="shared" si="27"/>
        <v>0</v>
      </c>
      <c r="T12" s="6">
        <f>T13+T14+T15+T16+T17</f>
        <v>0</v>
      </c>
      <c r="U12" s="6">
        <f>U13+U14+U15+U16+U17</f>
        <v>0</v>
      </c>
      <c r="V12" s="6">
        <f t="shared" si="27"/>
        <v>0</v>
      </c>
      <c r="W12" s="6">
        <f>W13+W14+W15+W16+W17</f>
        <v>0</v>
      </c>
      <c r="X12" s="6">
        <f t="shared" si="26"/>
        <v>0</v>
      </c>
      <c r="Y12" s="6">
        <f>Y13+Y14+Y15+Y16+Y17</f>
        <v>122060</v>
      </c>
      <c r="Z12" s="6">
        <f t="shared" ref="Z12" si="28">Z13+Z14+Z15+Z16+Z17</f>
        <v>0</v>
      </c>
      <c r="AA12" s="6">
        <f>AA13+AA14+AA15+AA16+AA17</f>
        <v>777184</v>
      </c>
      <c r="AB12" s="6">
        <f t="shared" ref="AB12" si="29">AB13+AB14+AB15+AB16+AB17</f>
        <v>0</v>
      </c>
      <c r="AC12" s="6">
        <f t="shared" si="26"/>
        <v>0</v>
      </c>
      <c r="AD12" s="6">
        <f t="shared" si="26"/>
        <v>0</v>
      </c>
      <c r="AE12" s="6">
        <f t="shared" si="26"/>
        <v>0</v>
      </c>
      <c r="AF12" s="6">
        <f t="shared" si="26"/>
        <v>0</v>
      </c>
      <c r="AG12" s="6">
        <f t="shared" ref="AG12" si="30">AG13+AG14+AG15+AG16+AG17</f>
        <v>0</v>
      </c>
      <c r="AH12" s="6">
        <f t="shared" ref="AH12:AN12" si="31">AH13+AH14+AH15+AH16+AH17</f>
        <v>0</v>
      </c>
      <c r="AI12" s="6">
        <f>AI13+AI14+AI15+AI16+AI17</f>
        <v>0</v>
      </c>
      <c r="AJ12" s="6">
        <f>AJ13+AJ14+AJ15+AJ16+AJ17</f>
        <v>0</v>
      </c>
      <c r="AK12" s="6">
        <f t="shared" si="31"/>
        <v>0</v>
      </c>
      <c r="AL12" s="6">
        <f>AL13+AL14+AL15+AL16+AL17</f>
        <v>0</v>
      </c>
      <c r="AM12" s="6">
        <f>AM13+AM14+AM15+AM16+AM17</f>
        <v>0</v>
      </c>
      <c r="AN12" s="6">
        <f t="shared" si="31"/>
        <v>0</v>
      </c>
      <c r="AO12" s="6">
        <f>AO13+AO14+AO15+AO16+AO17</f>
        <v>161687</v>
      </c>
      <c r="AP12" s="197">
        <f t="shared" si="26"/>
        <v>1471811</v>
      </c>
      <c r="AQ12" s="6">
        <f t="shared" si="26"/>
        <v>0</v>
      </c>
      <c r="AR12" s="6">
        <f t="shared" ref="AR12:AU12" si="32">AR13+AR14+AR15+AR16+AR17</f>
        <v>0</v>
      </c>
      <c r="AS12" s="6">
        <f t="shared" si="32"/>
        <v>0</v>
      </c>
      <c r="AT12" s="6">
        <f t="shared" si="32"/>
        <v>0</v>
      </c>
      <c r="AU12" s="6">
        <f t="shared" si="32"/>
        <v>0</v>
      </c>
      <c r="AV12" s="6">
        <f t="shared" ref="AV12:AW12" si="33">AV13+AV14+AV15+AV16+AV17</f>
        <v>0</v>
      </c>
      <c r="AW12" s="6">
        <f t="shared" si="33"/>
        <v>0</v>
      </c>
      <c r="AX12" s="6">
        <f t="shared" ref="AX12:AY12" si="34">AX13+AX14+AX15+AX16+AX17</f>
        <v>0</v>
      </c>
      <c r="AY12" s="6">
        <f t="shared" si="34"/>
        <v>0</v>
      </c>
      <c r="AZ12" s="197">
        <f t="shared" si="26"/>
        <v>0</v>
      </c>
      <c r="BA12" s="6">
        <f>BA13+BA14+BA15+BA16+BA17</f>
        <v>0</v>
      </c>
      <c r="BB12" s="6">
        <f t="shared" ref="BB12:BN12" si="35">BB13+BB14+BB15+BB16+BB17</f>
        <v>0</v>
      </c>
      <c r="BC12" s="6">
        <f t="shared" si="35"/>
        <v>0</v>
      </c>
      <c r="BD12" s="6">
        <f t="shared" si="35"/>
        <v>0</v>
      </c>
      <c r="BE12" s="6">
        <f t="shared" ref="BE12" si="36">BE13+BE14+BE15+BE16+BE17</f>
        <v>0</v>
      </c>
      <c r="BF12" s="6">
        <f t="shared" si="35"/>
        <v>0</v>
      </c>
      <c r="BG12" s="6">
        <f t="shared" si="35"/>
        <v>0</v>
      </c>
      <c r="BH12" s="6">
        <f t="shared" si="35"/>
        <v>0</v>
      </c>
      <c r="BI12" s="6">
        <f t="shared" si="35"/>
        <v>0</v>
      </c>
      <c r="BJ12" s="6">
        <f t="shared" si="35"/>
        <v>0</v>
      </c>
      <c r="BK12" s="6">
        <f t="shared" si="35"/>
        <v>0</v>
      </c>
      <c r="BL12" s="6">
        <f t="shared" si="35"/>
        <v>0</v>
      </c>
      <c r="BM12" s="6">
        <f t="shared" si="35"/>
        <v>0</v>
      </c>
      <c r="BN12" s="6">
        <f t="shared" si="35"/>
        <v>0</v>
      </c>
      <c r="BO12" s="6">
        <f>BO13+BO14+BO15+BO16+BO17</f>
        <v>0</v>
      </c>
      <c r="BP12" s="6">
        <f>BP13+BP14+BP15+BP16+BP17</f>
        <v>0</v>
      </c>
      <c r="BQ12" s="6">
        <f t="shared" ref="BQ12:BR12" si="37">BQ13+BQ14+BQ15+BQ16+BQ17</f>
        <v>0</v>
      </c>
      <c r="BR12" s="6">
        <f t="shared" si="37"/>
        <v>0</v>
      </c>
      <c r="BS12" s="6">
        <f>BS13+BS14+BS15+BS16+BS17</f>
        <v>0</v>
      </c>
      <c r="BT12" s="230">
        <f t="shared" si="12"/>
        <v>1471811</v>
      </c>
    </row>
    <row r="13" spans="1:73" x14ac:dyDescent="0.25">
      <c r="A13" s="210" t="s">
        <v>340</v>
      </c>
      <c r="B13" s="7"/>
      <c r="C13" s="7"/>
      <c r="D13" s="7"/>
      <c r="E13" s="7"/>
      <c r="F13" s="7"/>
      <c r="G13" s="7"/>
      <c r="H13" s="7"/>
      <c r="I13" s="7"/>
      <c r="J13" s="8">
        <f>Tervezőönkorm.!AR112+Tervezőönkorm.!AR113</f>
        <v>28717</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196">
        <f>SUM(B13:AO13)</f>
        <v>28717</v>
      </c>
      <c r="AQ13" s="8"/>
      <c r="AR13" s="8"/>
      <c r="AS13" s="8"/>
      <c r="AT13" s="7"/>
      <c r="AU13" s="7"/>
      <c r="AV13" s="7"/>
      <c r="AW13" s="7"/>
      <c r="AX13" s="7"/>
      <c r="AY13" s="7"/>
      <c r="AZ13" s="196">
        <f>SUM(AQ13:AY13)</f>
        <v>0</v>
      </c>
      <c r="BA13" s="7"/>
      <c r="BB13" s="7"/>
      <c r="BC13" s="7"/>
      <c r="BD13" s="7"/>
      <c r="BE13" s="7"/>
      <c r="BF13" s="7"/>
      <c r="BG13" s="7"/>
      <c r="BH13" s="7"/>
      <c r="BI13" s="7"/>
      <c r="BJ13" s="7"/>
      <c r="BK13" s="7"/>
      <c r="BL13" s="7"/>
      <c r="BM13" s="7"/>
      <c r="BN13" s="7"/>
      <c r="BO13" s="8">
        <f>SUM(BA13:BN13)</f>
        <v>0</v>
      </c>
      <c r="BP13" s="8"/>
      <c r="BQ13" s="8"/>
      <c r="BR13" s="8"/>
      <c r="BS13" s="8">
        <f t="shared" si="25"/>
        <v>0</v>
      </c>
      <c r="BT13" s="230">
        <f t="shared" si="12"/>
        <v>28717</v>
      </c>
    </row>
    <row r="14" spans="1:73" x14ac:dyDescent="0.25">
      <c r="A14" s="210" t="s">
        <v>341</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196">
        <f>SUM(B14:AO14)</f>
        <v>0</v>
      </c>
      <c r="AQ14" s="8"/>
      <c r="AR14" s="8"/>
      <c r="AS14" s="8"/>
      <c r="AT14" s="7"/>
      <c r="AU14" s="7"/>
      <c r="AV14" s="7"/>
      <c r="AW14" s="7"/>
      <c r="AX14" s="7"/>
      <c r="AY14" s="7"/>
      <c r="AZ14" s="196">
        <f>SUM(AQ14:AY14)</f>
        <v>0</v>
      </c>
      <c r="BA14" s="7"/>
      <c r="BB14" s="7"/>
      <c r="BC14" s="7"/>
      <c r="BD14" s="7"/>
      <c r="BE14" s="7"/>
      <c r="BF14" s="7"/>
      <c r="BG14" s="7"/>
      <c r="BH14" s="7"/>
      <c r="BI14" s="7"/>
      <c r="BJ14" s="7"/>
      <c r="BK14" s="7"/>
      <c r="BL14" s="7"/>
      <c r="BM14" s="7"/>
      <c r="BN14" s="7"/>
      <c r="BO14" s="8">
        <f>SUM(BA14:BN14)</f>
        <v>0</v>
      </c>
      <c r="BP14" s="8"/>
      <c r="BQ14" s="8"/>
      <c r="BR14" s="8"/>
      <c r="BS14" s="8">
        <f t="shared" si="25"/>
        <v>0</v>
      </c>
      <c r="BT14" s="230">
        <f t="shared" si="12"/>
        <v>0</v>
      </c>
    </row>
    <row r="15" spans="1:73" x14ac:dyDescent="0.25">
      <c r="A15" s="210" t="s">
        <v>342</v>
      </c>
      <c r="B15" s="7">
        <f>SUM(Tervezőönkorm.!E116)</f>
        <v>0</v>
      </c>
      <c r="C15" s="7"/>
      <c r="D15" s="7"/>
      <c r="E15" s="7"/>
      <c r="F15" s="7"/>
      <c r="G15" s="7"/>
      <c r="H15" s="7"/>
      <c r="I15" s="7">
        <f>SUM(Tervezőönkorm.!AN116)</f>
        <v>5504</v>
      </c>
      <c r="J15" s="7"/>
      <c r="K15" s="7"/>
      <c r="L15" s="7">
        <f>SUM(Tervezőönkorm.!S116)</f>
        <v>0</v>
      </c>
      <c r="M15" s="7">
        <f>SUM(Tervezőönkorm.!W116)</f>
        <v>0</v>
      </c>
      <c r="N15" s="7">
        <f>SUM(Tervezőönkorm.!BC116)</f>
        <v>5000</v>
      </c>
      <c r="O15" s="7">
        <f>SUM(Tervezőönkorm.!BI116)</f>
        <v>0</v>
      </c>
      <c r="P15" s="7"/>
      <c r="Q15" s="7">
        <f>SUM(Tervezőönkorm.!CI116)</f>
        <v>130000</v>
      </c>
      <c r="R15" s="7">
        <f>SUM(Tervezőönkorm.!BM116)</f>
        <v>0</v>
      </c>
      <c r="S15" s="7"/>
      <c r="T15" s="7">
        <f>SUM(Tervezőönkorm.!BR116)</f>
        <v>0</v>
      </c>
      <c r="U15" s="7">
        <f>SUM(Tervezőönkorm.!BU116)</f>
        <v>0</v>
      </c>
      <c r="V15" s="7"/>
      <c r="W15" s="7">
        <f>SUM(Tervezőönkorm.!CD116)</f>
        <v>0</v>
      </c>
      <c r="X15" s="7"/>
      <c r="Y15" s="7">
        <f>SUM(Tervezőönkorm.!CS116)</f>
        <v>0</v>
      </c>
      <c r="Z15" s="7"/>
      <c r="AA15" s="7">
        <f>SUM(Tervezőönkorm.!CW116)</f>
        <v>0</v>
      </c>
      <c r="AB15" s="7"/>
      <c r="AC15" s="7"/>
      <c r="AD15" s="7"/>
      <c r="AE15" s="7"/>
      <c r="AF15" s="7"/>
      <c r="AG15" s="7"/>
      <c r="AH15" s="7"/>
      <c r="AI15" s="7">
        <f>SUM(Tervezőönkorm.!DU116)</f>
        <v>0</v>
      </c>
      <c r="AJ15" s="7">
        <f>SUM(Tervezőönkorm.!AA116)</f>
        <v>0</v>
      </c>
      <c r="AK15" s="7"/>
      <c r="AL15" s="7">
        <f>SUM(Tervezőönkorm.!DG116)</f>
        <v>0</v>
      </c>
      <c r="AM15" s="7">
        <f>SUM(Tervezőönkorm.!EA116)</f>
        <v>0</v>
      </c>
      <c r="AN15" s="7"/>
      <c r="AO15" s="7">
        <f>SUM(Tervezőönkorm.!EK116)</f>
        <v>0</v>
      </c>
      <c r="AP15" s="196">
        <f>SUM(B15:AO15)</f>
        <v>140504</v>
      </c>
      <c r="AQ15" s="8"/>
      <c r="AR15" s="8"/>
      <c r="AS15" s="8"/>
      <c r="AT15" s="7">
        <f>Tervezőhiv.!R182</f>
        <v>0</v>
      </c>
      <c r="AU15" s="7">
        <f>Tervezőhiv.!V182</f>
        <v>0</v>
      </c>
      <c r="AV15" s="7">
        <f>Tervezőhiv.!AE182</f>
        <v>0</v>
      </c>
      <c r="AW15" s="7">
        <f>Tervezőhiv.!Z182</f>
        <v>0</v>
      </c>
      <c r="AX15" s="7">
        <f>Tervezőhiv.!AL182</f>
        <v>0</v>
      </c>
      <c r="AY15" s="7">
        <f>Tervezőhiv.!AS182</f>
        <v>0</v>
      </c>
      <c r="AZ15" s="196">
        <f>SUM(AQ15:AY15)</f>
        <v>0</v>
      </c>
      <c r="BA15" s="7"/>
      <c r="BB15" s="7"/>
      <c r="BC15" s="7"/>
      <c r="BD15" s="7"/>
      <c r="BE15" s="7"/>
      <c r="BF15" s="7"/>
      <c r="BG15" s="7"/>
      <c r="BH15" s="7"/>
      <c r="BI15" s="7"/>
      <c r="BJ15" s="7"/>
      <c r="BK15" s="7"/>
      <c r="BL15" s="7"/>
      <c r="BM15" s="7"/>
      <c r="BN15" s="7"/>
      <c r="BO15" s="8">
        <f>SUM(BA15:BN15)</f>
        <v>0</v>
      </c>
      <c r="BP15" s="8"/>
      <c r="BQ15" s="8"/>
      <c r="BR15" s="8"/>
      <c r="BS15" s="8">
        <f t="shared" si="25"/>
        <v>0</v>
      </c>
      <c r="BT15" s="230">
        <f t="shared" si="12"/>
        <v>140504</v>
      </c>
    </row>
    <row r="16" spans="1:73" x14ac:dyDescent="0.25">
      <c r="A16" s="210" t="s">
        <v>343</v>
      </c>
      <c r="B16" s="7">
        <f>SUM(Tervezőönkorm.!E126)</f>
        <v>0</v>
      </c>
      <c r="C16" s="7"/>
      <c r="D16" s="7"/>
      <c r="E16" s="7"/>
      <c r="F16" s="7">
        <v>44900</v>
      </c>
      <c r="G16" s="7"/>
      <c r="H16" s="7"/>
      <c r="I16" s="7">
        <f>SUM(Tervezőönkorm.!AN126)</f>
        <v>0</v>
      </c>
      <c r="J16" s="7">
        <f>SUM(Tervezőönkorm.!AR126)</f>
        <v>0</v>
      </c>
      <c r="K16" s="7"/>
      <c r="L16" s="7">
        <f>SUM(Tervezőönkorm.!S126)</f>
        <v>0</v>
      </c>
      <c r="M16" s="7">
        <f>SUM(Tervezőönkorm.!W126)</f>
        <v>0</v>
      </c>
      <c r="N16" s="7">
        <f>SUM(Tervezőönkorm.!BC126)</f>
        <v>0</v>
      </c>
      <c r="O16" s="7">
        <f>SUM(Tervezőönkorm.!BI126)</f>
        <v>0</v>
      </c>
      <c r="P16" s="7"/>
      <c r="Q16" s="7">
        <f>SUM(Tervezőönkorm.!CI126)</f>
        <v>0</v>
      </c>
      <c r="R16" s="7">
        <f>SUM(Tervezőönkorm.!BM126)</f>
        <v>0</v>
      </c>
      <c r="S16" s="7"/>
      <c r="T16" s="7">
        <f>SUM(Tervezőönkorm.!BR126)</f>
        <v>0</v>
      </c>
      <c r="U16" s="7">
        <f>SUM(Tervezőönkorm.!BU126)</f>
        <v>0</v>
      </c>
      <c r="V16" s="7"/>
      <c r="W16" s="7">
        <f>SUM(Tervezőönkorm.!CD126)</f>
        <v>0</v>
      </c>
      <c r="X16" s="7"/>
      <c r="Y16" s="7">
        <f>SUM(Tervezőönkorm.!CS126)</f>
        <v>122060</v>
      </c>
      <c r="Z16" s="7"/>
      <c r="AA16" s="7">
        <f>SUM(Tervezőönkorm.!CW126)</f>
        <v>777184</v>
      </c>
      <c r="AB16" s="7"/>
      <c r="AC16" s="7"/>
      <c r="AD16" s="7"/>
      <c r="AE16" s="7">
        <f>'kiadás 11604 '!E6</f>
        <v>0</v>
      </c>
      <c r="AF16" s="7"/>
      <c r="AG16" s="7"/>
      <c r="AH16" s="7"/>
      <c r="AI16" s="7">
        <f>SUM(Tervezőönkorm.!DU126)</f>
        <v>0</v>
      </c>
      <c r="AJ16" s="7">
        <f>SUM(Tervezőönkorm.!AA126)</f>
        <v>0</v>
      </c>
      <c r="AK16" s="7"/>
      <c r="AL16" s="7">
        <f>SUM(Tervezőönkorm.!DG126)</f>
        <v>0</v>
      </c>
      <c r="AM16" s="7">
        <f>SUM(Tervezőönkorm.!EA126)</f>
        <v>0</v>
      </c>
      <c r="AN16" s="7"/>
      <c r="AO16" s="7">
        <f>SUM(Tervezőönkorm.!EK126)</f>
        <v>161687</v>
      </c>
      <c r="AP16" s="196">
        <f>SUM(B16:AO16)</f>
        <v>1105831</v>
      </c>
      <c r="AQ16" s="8"/>
      <c r="AR16" s="8"/>
      <c r="AS16" s="8"/>
      <c r="AT16" s="7">
        <f>Tervezőhiv.!R189</f>
        <v>0</v>
      </c>
      <c r="AU16" s="7">
        <f>Tervezőhiv.!V189</f>
        <v>0</v>
      </c>
      <c r="AV16" s="7">
        <f>Tervezőhiv.!AE189</f>
        <v>0</v>
      </c>
      <c r="AW16" s="7">
        <f>Tervezőhiv.!Z189</f>
        <v>0</v>
      </c>
      <c r="AX16" s="7">
        <f>Tervezőhiv.!AL189</f>
        <v>0</v>
      </c>
      <c r="AY16" s="7">
        <f>Tervezőhiv.!AS189</f>
        <v>0</v>
      </c>
      <c r="AZ16" s="196">
        <f>SUM(AQ16:AY16)</f>
        <v>0</v>
      </c>
      <c r="BA16" s="7"/>
      <c r="BB16" s="7"/>
      <c r="BC16" s="7"/>
      <c r="BD16" s="7"/>
      <c r="BE16" s="7"/>
      <c r="BF16" s="7"/>
      <c r="BG16" s="7"/>
      <c r="BH16" s="7"/>
      <c r="BI16" s="7"/>
      <c r="BJ16" s="7"/>
      <c r="BK16" s="7"/>
      <c r="BL16" s="7"/>
      <c r="BM16" s="7"/>
      <c r="BN16" s="7"/>
      <c r="BO16" s="8">
        <f>SUM(BA16:BN16)</f>
        <v>0</v>
      </c>
      <c r="BP16" s="8"/>
      <c r="BQ16" s="8"/>
      <c r="BR16" s="8"/>
      <c r="BS16" s="8">
        <f t="shared" si="25"/>
        <v>0</v>
      </c>
      <c r="BT16" s="230">
        <f t="shared" si="12"/>
        <v>1105831</v>
      </c>
    </row>
    <row r="17" spans="1:74" x14ac:dyDescent="0.25">
      <c r="A17" s="210" t="s">
        <v>344</v>
      </c>
      <c r="B17" s="7"/>
      <c r="C17" s="7"/>
      <c r="D17" s="7"/>
      <c r="E17" s="7"/>
      <c r="F17" s="7"/>
      <c r="G17" s="7">
        <f>tartalékok!B18</f>
        <v>196759</v>
      </c>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196">
        <f>SUM(B17:AO17)</f>
        <v>196759</v>
      </c>
      <c r="AQ17" s="8"/>
      <c r="AR17" s="8"/>
      <c r="AS17" s="8"/>
      <c r="AT17" s="7"/>
      <c r="AU17" s="7"/>
      <c r="AV17" s="7"/>
      <c r="AW17" s="7"/>
      <c r="AX17" s="7"/>
      <c r="AY17" s="7"/>
      <c r="AZ17" s="196">
        <f>SUM(AQ17:AY17)</f>
        <v>0</v>
      </c>
      <c r="BA17" s="7"/>
      <c r="BB17" s="7"/>
      <c r="BC17" s="7"/>
      <c r="BD17" s="7"/>
      <c r="BE17" s="7"/>
      <c r="BF17" s="7"/>
      <c r="BG17" s="7"/>
      <c r="BH17" s="7"/>
      <c r="BI17" s="7"/>
      <c r="BJ17" s="7"/>
      <c r="BK17" s="7"/>
      <c r="BL17" s="7"/>
      <c r="BM17" s="7"/>
      <c r="BN17" s="7"/>
      <c r="BO17" s="8">
        <f>SUM(BA17:BN17)</f>
        <v>0</v>
      </c>
      <c r="BP17" s="8"/>
      <c r="BQ17" s="8"/>
      <c r="BR17" s="8"/>
      <c r="BS17" s="8">
        <f t="shared" si="25"/>
        <v>0</v>
      </c>
      <c r="BT17" s="230">
        <f t="shared" si="12"/>
        <v>196759</v>
      </c>
    </row>
    <row r="18" spans="1:74" s="13" customFormat="1" x14ac:dyDescent="0.25">
      <c r="A18" s="212" t="s">
        <v>345</v>
      </c>
      <c r="B18" s="6">
        <f>B19+B20+B21</f>
        <v>0</v>
      </c>
      <c r="C18" s="6">
        <f t="shared" ref="C18:AZ18" si="38">C19+C20+C21</f>
        <v>0</v>
      </c>
      <c r="D18" s="6">
        <f t="shared" si="38"/>
        <v>0</v>
      </c>
      <c r="E18" s="6">
        <f t="shared" si="38"/>
        <v>0</v>
      </c>
      <c r="F18" s="6">
        <f t="shared" si="38"/>
        <v>0</v>
      </c>
      <c r="G18" s="6">
        <f t="shared" si="38"/>
        <v>0</v>
      </c>
      <c r="H18" s="6">
        <f t="shared" si="38"/>
        <v>0</v>
      </c>
      <c r="I18" s="6">
        <f>I19+I20+I21</f>
        <v>0</v>
      </c>
      <c r="J18" s="6">
        <f t="shared" si="38"/>
        <v>0</v>
      </c>
      <c r="K18" s="6">
        <f t="shared" si="38"/>
        <v>0</v>
      </c>
      <c r="L18" s="6">
        <f>L19+L20+L21</f>
        <v>0</v>
      </c>
      <c r="M18" s="6">
        <f>M19+M20+M21</f>
        <v>0</v>
      </c>
      <c r="N18" s="6">
        <f>N19+N20+N21</f>
        <v>0</v>
      </c>
      <c r="O18" s="6">
        <f>O19+O20+O21</f>
        <v>0</v>
      </c>
      <c r="P18" s="6">
        <f t="shared" ref="P18:V18" si="39">P19+P20+P21</f>
        <v>0</v>
      </c>
      <c r="Q18" s="6">
        <f>Q19+Q20+Q21</f>
        <v>18500</v>
      </c>
      <c r="R18" s="6">
        <f>R19+R20+R21</f>
        <v>0</v>
      </c>
      <c r="S18" s="6">
        <f t="shared" si="39"/>
        <v>0</v>
      </c>
      <c r="T18" s="6">
        <f>T19+T20+T21</f>
        <v>0</v>
      </c>
      <c r="U18" s="6">
        <f>U19+U20+U21</f>
        <v>0</v>
      </c>
      <c r="V18" s="6">
        <f t="shared" si="39"/>
        <v>0</v>
      </c>
      <c r="W18" s="6">
        <f>W19+W20+W21</f>
        <v>0</v>
      </c>
      <c r="X18" s="6">
        <f t="shared" si="38"/>
        <v>0</v>
      </c>
      <c r="Y18" s="6">
        <f>Y19+Y20+Y21</f>
        <v>0</v>
      </c>
      <c r="Z18" s="6">
        <f t="shared" ref="Z18" si="40">Z19+Z20+Z21</f>
        <v>0</v>
      </c>
      <c r="AA18" s="6">
        <f>AA19+AA20+AA21</f>
        <v>0</v>
      </c>
      <c r="AB18" s="6">
        <f t="shared" ref="AB18" si="41">AB19+AB20+AB21</f>
        <v>0</v>
      </c>
      <c r="AC18" s="6">
        <f t="shared" si="38"/>
        <v>145300</v>
      </c>
      <c r="AD18" s="6">
        <f t="shared" si="38"/>
        <v>0</v>
      </c>
      <c r="AE18" s="6">
        <f t="shared" si="38"/>
        <v>0</v>
      </c>
      <c r="AF18" s="6">
        <f t="shared" si="38"/>
        <v>0</v>
      </c>
      <c r="AG18" s="6">
        <f t="shared" ref="AG18" si="42">AG19+AG20+AG21</f>
        <v>0</v>
      </c>
      <c r="AH18" s="6">
        <f t="shared" ref="AH18:AN18" si="43">AH19+AH20+AH21</f>
        <v>0</v>
      </c>
      <c r="AI18" s="6">
        <f>AI19+AI20+AI21</f>
        <v>0</v>
      </c>
      <c r="AJ18" s="6">
        <f>AJ19+AJ20+AJ21</f>
        <v>0</v>
      </c>
      <c r="AK18" s="6">
        <f t="shared" si="43"/>
        <v>0</v>
      </c>
      <c r="AL18" s="6">
        <f>AL19+AL20+AL21</f>
        <v>0</v>
      </c>
      <c r="AM18" s="6">
        <f>AM19+AM20+AM21</f>
        <v>0</v>
      </c>
      <c r="AN18" s="6">
        <f t="shared" si="43"/>
        <v>0</v>
      </c>
      <c r="AO18" s="6">
        <f>AO19+AO20+AO21</f>
        <v>0</v>
      </c>
      <c r="AP18" s="197">
        <f t="shared" si="38"/>
        <v>163800</v>
      </c>
      <c r="AQ18" s="6">
        <f t="shared" si="38"/>
        <v>0</v>
      </c>
      <c r="AR18" s="6">
        <f t="shared" ref="AR18:AU18" si="44">AR19+AR20+AR21</f>
        <v>0</v>
      </c>
      <c r="AS18" s="6">
        <f t="shared" si="44"/>
        <v>0</v>
      </c>
      <c r="AT18" s="6">
        <f t="shared" si="44"/>
        <v>16381</v>
      </c>
      <c r="AU18" s="6">
        <f t="shared" si="44"/>
        <v>35000</v>
      </c>
      <c r="AV18" s="6">
        <f t="shared" ref="AV18:AW18" si="45">AV19+AV20+AV21</f>
        <v>0</v>
      </c>
      <c r="AW18" s="6">
        <f t="shared" si="45"/>
        <v>0</v>
      </c>
      <c r="AX18" s="6">
        <f t="shared" ref="AX18:AY18" si="46">AX19+AX20+AX21</f>
        <v>0</v>
      </c>
      <c r="AY18" s="6">
        <f t="shared" si="46"/>
        <v>2540</v>
      </c>
      <c r="AZ18" s="197">
        <f t="shared" si="38"/>
        <v>53921</v>
      </c>
      <c r="BA18" s="6">
        <f>BA19+BA20+BA21</f>
        <v>0</v>
      </c>
      <c r="BB18" s="6">
        <f t="shared" ref="BB18:BN18" si="47">BB19+BB20+BB21</f>
        <v>450</v>
      </c>
      <c r="BC18" s="6">
        <f t="shared" si="47"/>
        <v>450</v>
      </c>
      <c r="BD18" s="6">
        <f t="shared" si="47"/>
        <v>400</v>
      </c>
      <c r="BE18" s="6">
        <f t="shared" ref="BE18" si="48">BE19+BE20+BE21</f>
        <v>0</v>
      </c>
      <c r="BF18" s="6">
        <f t="shared" si="47"/>
        <v>500</v>
      </c>
      <c r="BG18" s="6">
        <f t="shared" si="47"/>
        <v>200</v>
      </c>
      <c r="BH18" s="6">
        <f t="shared" si="47"/>
        <v>400</v>
      </c>
      <c r="BI18" s="6">
        <f t="shared" si="47"/>
        <v>9550</v>
      </c>
      <c r="BJ18" s="6">
        <f t="shared" si="47"/>
        <v>3100</v>
      </c>
      <c r="BK18" s="6">
        <f t="shared" si="47"/>
        <v>0</v>
      </c>
      <c r="BL18" s="6">
        <f t="shared" si="47"/>
        <v>450</v>
      </c>
      <c r="BM18" s="6">
        <f t="shared" si="47"/>
        <v>300</v>
      </c>
      <c r="BN18" s="6">
        <f t="shared" si="47"/>
        <v>400</v>
      </c>
      <c r="BO18" s="6">
        <f>BO19+BO20+BO21</f>
        <v>16200</v>
      </c>
      <c r="BP18" s="6">
        <f>BP19+BP20+BP21</f>
        <v>3526</v>
      </c>
      <c r="BQ18" s="6">
        <f t="shared" ref="BQ18:BR18" si="49">BQ19+BQ20+BQ21</f>
        <v>0</v>
      </c>
      <c r="BR18" s="6">
        <f t="shared" si="49"/>
        <v>5000</v>
      </c>
      <c r="BS18" s="6">
        <f>BS19+BS20+BS21</f>
        <v>24726</v>
      </c>
      <c r="BT18" s="230">
        <f t="shared" si="12"/>
        <v>242447</v>
      </c>
    </row>
    <row r="19" spans="1:74" x14ac:dyDescent="0.25">
      <c r="A19" s="210" t="s">
        <v>346</v>
      </c>
      <c r="B19" s="7">
        <f>SUM(Tervezőönkorm.!E183)</f>
        <v>0</v>
      </c>
      <c r="C19" s="7"/>
      <c r="D19" s="7"/>
      <c r="E19" s="7"/>
      <c r="F19" s="7"/>
      <c r="G19" s="7"/>
      <c r="H19" s="7"/>
      <c r="I19" s="7">
        <f>SUM(Tervezőönkorm.!AN183)</f>
        <v>0</v>
      </c>
      <c r="J19" s="7">
        <f>SUM(Tervezőönkorm.!AR183)</f>
        <v>0</v>
      </c>
      <c r="K19" s="7"/>
      <c r="L19" s="7">
        <f>SUM(Tervezőönkorm.!S183)</f>
        <v>0</v>
      </c>
      <c r="M19" s="7">
        <f>SUM(Tervezőönkorm.!W183)</f>
        <v>0</v>
      </c>
      <c r="N19" s="7">
        <f>SUM(Tervezőönkorm.!BC183)</f>
        <v>0</v>
      </c>
      <c r="O19" s="7">
        <f>SUM(Tervezőönkorm.!BI183)</f>
        <v>0</v>
      </c>
      <c r="P19" s="7"/>
      <c r="Q19" s="7">
        <f>SUM(Tervezőönkorm.!CI183)</f>
        <v>18500</v>
      </c>
      <c r="R19" s="7">
        <f>SUM(Tervezőönkorm.!BM183)</f>
        <v>0</v>
      </c>
      <c r="S19" s="7"/>
      <c r="T19" s="7">
        <f>SUM(Tervezőönkorm.!BR183)</f>
        <v>0</v>
      </c>
      <c r="U19" s="7">
        <f>SUM(Tervezőönkorm.!BU183)</f>
        <v>0</v>
      </c>
      <c r="V19" s="7"/>
      <c r="W19" s="7">
        <f>SUM(Tervezőönkorm.!CD183)</f>
        <v>0</v>
      </c>
      <c r="X19" s="7">
        <f>'kiadás 11601'!D10</f>
        <v>0</v>
      </c>
      <c r="Y19" s="7">
        <f>SUM(Tervezőönkorm.!CS183)</f>
        <v>0</v>
      </c>
      <c r="Z19" s="7"/>
      <c r="AA19" s="7">
        <f>SUM(Tervezőönkorm.!CW183)</f>
        <v>0</v>
      </c>
      <c r="AB19" s="7"/>
      <c r="AC19" s="7">
        <f>kiadás11602!E24</f>
        <v>0</v>
      </c>
      <c r="AD19" s="7"/>
      <c r="AE19" s="7">
        <f>'kiadás 11604 '!G6</f>
        <v>0</v>
      </c>
      <c r="AF19" s="7"/>
      <c r="AG19" s="7"/>
      <c r="AH19" s="7"/>
      <c r="AI19" s="7">
        <f>SUM(Tervezőönkorm.!DU183)</f>
        <v>0</v>
      </c>
      <c r="AJ19" s="7">
        <f>SUM(Tervezőönkorm.!AA183)</f>
        <v>0</v>
      </c>
      <c r="AK19" s="7"/>
      <c r="AL19" s="7">
        <f>SUM(Tervezőönkorm.!DG183)</f>
        <v>0</v>
      </c>
      <c r="AM19" s="7">
        <f>SUM(Tervezőönkorm.!EA183)</f>
        <v>0</v>
      </c>
      <c r="AN19" s="7"/>
      <c r="AO19" s="7">
        <f>SUM(Tervezőönkorm.!EK183)</f>
        <v>0</v>
      </c>
      <c r="AP19" s="196">
        <f>SUM(B19:AO19)</f>
        <v>18500</v>
      </c>
      <c r="AQ19" s="8"/>
      <c r="AR19" s="8"/>
      <c r="AS19" s="8"/>
      <c r="AT19" s="7">
        <f>Tervezőhiv.!R232</f>
        <v>16381</v>
      </c>
      <c r="AU19" s="7">
        <f>Tervezőhiv.!V232</f>
        <v>35000</v>
      </c>
      <c r="AV19" s="7">
        <f>Tervezőhiv.!AE232</f>
        <v>0</v>
      </c>
      <c r="AW19" s="7">
        <f>Tervezőhiv.!Z232</f>
        <v>0</v>
      </c>
      <c r="AX19" s="7">
        <f>Tervezőhiv.!AL232</f>
        <v>0</v>
      </c>
      <c r="AY19" s="7">
        <f>Tervezőhiv.!AS232</f>
        <v>2540</v>
      </c>
      <c r="AZ19" s="196">
        <f>SUM(AQ19:AY19)</f>
        <v>53921</v>
      </c>
      <c r="BA19" s="7"/>
      <c r="BB19" s="7">
        <v>450</v>
      </c>
      <c r="BC19" s="7">
        <v>450</v>
      </c>
      <c r="BD19" s="7">
        <v>400</v>
      </c>
      <c r="BE19" s="7">
        <v>0</v>
      </c>
      <c r="BF19" s="7">
        <v>500</v>
      </c>
      <c r="BG19" s="7">
        <v>200</v>
      </c>
      <c r="BH19" s="7">
        <v>400</v>
      </c>
      <c r="BI19" s="7">
        <v>550</v>
      </c>
      <c r="BJ19" s="7">
        <v>500</v>
      </c>
      <c r="BK19" s="7">
        <v>0</v>
      </c>
      <c r="BL19" s="7">
        <v>450</v>
      </c>
      <c r="BM19" s="7">
        <v>300</v>
      </c>
      <c r="BN19" s="7">
        <v>400</v>
      </c>
      <c r="BO19" s="8">
        <f>SUM(BA19:BN19)</f>
        <v>4600</v>
      </c>
      <c r="BP19" s="8">
        <v>3526</v>
      </c>
      <c r="BQ19" s="8"/>
      <c r="BR19" s="8">
        <v>5000</v>
      </c>
      <c r="BS19" s="8">
        <f t="shared" si="25"/>
        <v>13126</v>
      </c>
      <c r="BT19" s="230">
        <f t="shared" si="12"/>
        <v>85547</v>
      </c>
    </row>
    <row r="20" spans="1:74" x14ac:dyDescent="0.25">
      <c r="A20" s="210" t="s">
        <v>347</v>
      </c>
      <c r="B20" s="7">
        <f>SUM(Tervezőönkorm.!E202)</f>
        <v>0</v>
      </c>
      <c r="C20" s="7"/>
      <c r="D20" s="7"/>
      <c r="E20" s="7"/>
      <c r="F20" s="7"/>
      <c r="G20" s="7"/>
      <c r="H20" s="7"/>
      <c r="I20" s="7">
        <f>SUM(Tervezőönkorm.!AN202)</f>
        <v>0</v>
      </c>
      <c r="J20" s="7">
        <f>SUM(Tervezőönkorm.!AR202)</f>
        <v>0</v>
      </c>
      <c r="K20" s="7"/>
      <c r="L20" s="7">
        <f>SUM(Tervezőönkorm.!S202)</f>
        <v>0</v>
      </c>
      <c r="M20" s="7">
        <f>SUM(Tervezőönkorm.!W202)</f>
        <v>0</v>
      </c>
      <c r="N20" s="7">
        <f>SUM(Tervezőönkorm.!BC202)</f>
        <v>0</v>
      </c>
      <c r="O20" s="7">
        <f>SUM(Tervezőönkorm.!BI202)</f>
        <v>0</v>
      </c>
      <c r="P20" s="7"/>
      <c r="Q20" s="7">
        <f>SUM(Tervezőönkorm.!CI202)</f>
        <v>0</v>
      </c>
      <c r="R20" s="7">
        <f>SUM(Tervezőönkorm.!BM202)</f>
        <v>0</v>
      </c>
      <c r="S20" s="7"/>
      <c r="T20" s="7">
        <f>SUM(Tervezőönkorm.!BR202)</f>
        <v>0</v>
      </c>
      <c r="U20" s="7">
        <f>SUM(Tervezőönkorm.!BU202)</f>
        <v>0</v>
      </c>
      <c r="V20" s="7"/>
      <c r="W20" s="7">
        <f>SUM(Tervezőönkorm.!CD202)</f>
        <v>0</v>
      </c>
      <c r="X20" s="7">
        <f>'kiadás 11601'!E10</f>
        <v>0</v>
      </c>
      <c r="Y20" s="7">
        <f>SUM(Tervezőönkorm.!CS202)</f>
        <v>0</v>
      </c>
      <c r="Z20" s="7"/>
      <c r="AA20" s="7">
        <f>SUM(Tervezőönkorm.!CW202)</f>
        <v>0</v>
      </c>
      <c r="AB20" s="7"/>
      <c r="AC20" s="7">
        <f>kiadás11602!F24</f>
        <v>0</v>
      </c>
      <c r="AD20" s="7"/>
      <c r="AE20" s="7">
        <f>'kiadás 11604 '!H6</f>
        <v>0</v>
      </c>
      <c r="AF20" s="7"/>
      <c r="AG20" s="7"/>
      <c r="AH20" s="7"/>
      <c r="AI20" s="7">
        <f>SUM(Tervezőönkorm.!DU202)</f>
        <v>0</v>
      </c>
      <c r="AJ20" s="7">
        <f>SUM(Tervezőönkorm.!AA202)</f>
        <v>0</v>
      </c>
      <c r="AK20" s="7"/>
      <c r="AL20" s="7">
        <f>SUM(Tervezőönkorm.!DG202)</f>
        <v>0</v>
      </c>
      <c r="AM20" s="7">
        <f>SUM(Tervezőönkorm.!EA202)</f>
        <v>0</v>
      </c>
      <c r="AN20" s="7"/>
      <c r="AO20" s="7">
        <f>SUM(Tervezőönkorm.!EK202)</f>
        <v>0</v>
      </c>
      <c r="AP20" s="196">
        <f>SUM(B20:AO20)</f>
        <v>0</v>
      </c>
      <c r="AQ20" s="8"/>
      <c r="AR20" s="8"/>
      <c r="AS20" s="8"/>
      <c r="AT20" s="7">
        <f>Tervezőhiv.!R239</f>
        <v>0</v>
      </c>
      <c r="AU20" s="7">
        <f>Tervezőhiv.!V239</f>
        <v>0</v>
      </c>
      <c r="AV20" s="7">
        <f>Tervezőhiv.!AE239</f>
        <v>0</v>
      </c>
      <c r="AW20" s="7">
        <f>Tervezőhiv.!Z239</f>
        <v>0</v>
      </c>
      <c r="AX20" s="7">
        <f>Tervezőhiv.!AL239</f>
        <v>0</v>
      </c>
      <c r="AY20" s="7">
        <f>Tervezőhiv.!AS239</f>
        <v>0</v>
      </c>
      <c r="AZ20" s="196">
        <f>SUM(AQ20:AY20)</f>
        <v>0</v>
      </c>
      <c r="BA20" s="7"/>
      <c r="BB20" s="7"/>
      <c r="BC20" s="7"/>
      <c r="BD20" s="7"/>
      <c r="BE20" s="7"/>
      <c r="BF20" s="7"/>
      <c r="BG20" s="7"/>
      <c r="BH20" s="7"/>
      <c r="BI20" s="7">
        <v>9000</v>
      </c>
      <c r="BJ20" s="7">
        <v>2600</v>
      </c>
      <c r="BK20" s="7"/>
      <c r="BL20" s="7"/>
      <c r="BM20" s="7"/>
      <c r="BN20" s="7"/>
      <c r="BO20" s="8">
        <f>SUM(BA20:BN20)</f>
        <v>11600</v>
      </c>
      <c r="BP20" s="8"/>
      <c r="BQ20" s="8"/>
      <c r="BR20" s="8"/>
      <c r="BS20" s="8">
        <f t="shared" si="25"/>
        <v>11600</v>
      </c>
      <c r="BT20" s="230">
        <f t="shared" si="12"/>
        <v>11600</v>
      </c>
    </row>
    <row r="21" spans="1:74" s="13" customFormat="1" x14ac:dyDescent="0.25">
      <c r="A21" s="212" t="s">
        <v>348</v>
      </c>
      <c r="B21" s="6">
        <f>B22+B23+B24+B25</f>
        <v>0</v>
      </c>
      <c r="C21" s="6">
        <f t="shared" ref="C21:AZ21" si="50">C22+C23+C24+C25</f>
        <v>0</v>
      </c>
      <c r="D21" s="6">
        <f t="shared" si="50"/>
        <v>0</v>
      </c>
      <c r="E21" s="6">
        <f t="shared" si="50"/>
        <v>0</v>
      </c>
      <c r="F21" s="6">
        <f t="shared" si="50"/>
        <v>0</v>
      </c>
      <c r="G21" s="6">
        <f t="shared" si="50"/>
        <v>0</v>
      </c>
      <c r="H21" s="6">
        <f t="shared" si="50"/>
        <v>0</v>
      </c>
      <c r="I21" s="6">
        <f>I22+I23+I24+I25</f>
        <v>0</v>
      </c>
      <c r="J21" s="6">
        <f t="shared" si="50"/>
        <v>0</v>
      </c>
      <c r="K21" s="6">
        <f t="shared" si="50"/>
        <v>0</v>
      </c>
      <c r="L21" s="6">
        <f>L22+L23+L24+L25</f>
        <v>0</v>
      </c>
      <c r="M21" s="6">
        <f>M22+M23+M24+M25</f>
        <v>0</v>
      </c>
      <c r="N21" s="6">
        <f>N22+N23+N24+N25</f>
        <v>0</v>
      </c>
      <c r="O21" s="6">
        <f>O22+O23+O24+O25</f>
        <v>0</v>
      </c>
      <c r="P21" s="6">
        <f t="shared" ref="P21:V21" si="51">P22+P23+P24+P25</f>
        <v>0</v>
      </c>
      <c r="Q21" s="6">
        <f>Q22+Q23+Q24+Q25</f>
        <v>0</v>
      </c>
      <c r="R21" s="6">
        <f>R22+R23+R24+R25</f>
        <v>0</v>
      </c>
      <c r="S21" s="6">
        <f t="shared" si="51"/>
        <v>0</v>
      </c>
      <c r="T21" s="6">
        <f>T22+T23+T24+T25</f>
        <v>0</v>
      </c>
      <c r="U21" s="6">
        <f>U22+U23+U24+U25</f>
        <v>0</v>
      </c>
      <c r="V21" s="6">
        <f t="shared" si="51"/>
        <v>0</v>
      </c>
      <c r="W21" s="6">
        <f>W22+W23+W24+W25</f>
        <v>0</v>
      </c>
      <c r="X21" s="6">
        <f t="shared" si="50"/>
        <v>0</v>
      </c>
      <c r="Y21" s="6">
        <f>Y22+Y23+Y24+Y25</f>
        <v>0</v>
      </c>
      <c r="Z21" s="6">
        <f t="shared" ref="Z21" si="52">Z22+Z23+Z24+Z25</f>
        <v>0</v>
      </c>
      <c r="AA21" s="6">
        <f>AA22+AA23+AA24+AA25</f>
        <v>0</v>
      </c>
      <c r="AB21" s="6">
        <f t="shared" ref="AB21" si="53">AB22+AB23+AB24+AB25</f>
        <v>0</v>
      </c>
      <c r="AC21" s="6">
        <f t="shared" si="50"/>
        <v>145300</v>
      </c>
      <c r="AD21" s="6">
        <f t="shared" si="50"/>
        <v>0</v>
      </c>
      <c r="AE21" s="6">
        <f t="shared" si="50"/>
        <v>0</v>
      </c>
      <c r="AF21" s="6">
        <f t="shared" si="50"/>
        <v>0</v>
      </c>
      <c r="AG21" s="6">
        <f t="shared" ref="AG21" si="54">AG22+AG23+AG24+AG25</f>
        <v>0</v>
      </c>
      <c r="AH21" s="6">
        <f t="shared" ref="AH21:AN21" si="55">AH22+AH23+AH24+AH25</f>
        <v>0</v>
      </c>
      <c r="AI21" s="6">
        <f>AI22+AI23+AI24+AI25</f>
        <v>0</v>
      </c>
      <c r="AJ21" s="6">
        <f>AJ22+AJ23+AJ24+AJ25</f>
        <v>0</v>
      </c>
      <c r="AK21" s="6">
        <f t="shared" si="55"/>
        <v>0</v>
      </c>
      <c r="AL21" s="6">
        <f>AL22+AL23+AL24+AL25</f>
        <v>0</v>
      </c>
      <c r="AM21" s="6">
        <f>AM22+AM23+AM24+AM25</f>
        <v>0</v>
      </c>
      <c r="AN21" s="6">
        <f t="shared" si="55"/>
        <v>0</v>
      </c>
      <c r="AO21" s="6">
        <f>AO22+AO23+AO24+AO25</f>
        <v>0</v>
      </c>
      <c r="AP21" s="197">
        <f t="shared" si="50"/>
        <v>145300</v>
      </c>
      <c r="AQ21" s="6">
        <f t="shared" si="50"/>
        <v>0</v>
      </c>
      <c r="AR21" s="6">
        <f t="shared" ref="AR21:AU21" si="56">AR22+AR23+AR24+AR25</f>
        <v>0</v>
      </c>
      <c r="AS21" s="6">
        <f t="shared" si="56"/>
        <v>0</v>
      </c>
      <c r="AT21" s="6">
        <f t="shared" si="56"/>
        <v>0</v>
      </c>
      <c r="AU21" s="6">
        <f t="shared" si="56"/>
        <v>0</v>
      </c>
      <c r="AV21" s="6">
        <f t="shared" ref="AV21:AW21" si="57">AV22+AV23+AV24+AV25</f>
        <v>0</v>
      </c>
      <c r="AW21" s="6">
        <f t="shared" si="57"/>
        <v>0</v>
      </c>
      <c r="AX21" s="6">
        <f t="shared" ref="AX21:AY21" si="58">AX22+AX23+AX24+AX25</f>
        <v>0</v>
      </c>
      <c r="AY21" s="6">
        <f t="shared" si="58"/>
        <v>0</v>
      </c>
      <c r="AZ21" s="197">
        <f t="shared" si="50"/>
        <v>0</v>
      </c>
      <c r="BA21" s="6">
        <f>BA22+BA23+BA24+BA25</f>
        <v>0</v>
      </c>
      <c r="BB21" s="6">
        <f t="shared" ref="BB21:BN21" si="59">BB22+BB23+BB24+BB25</f>
        <v>0</v>
      </c>
      <c r="BC21" s="6">
        <f t="shared" si="59"/>
        <v>0</v>
      </c>
      <c r="BD21" s="6">
        <f t="shared" si="59"/>
        <v>0</v>
      </c>
      <c r="BE21" s="6">
        <f t="shared" ref="BE21" si="60">BE22+BE23+BE24+BE25</f>
        <v>0</v>
      </c>
      <c r="BF21" s="6">
        <f t="shared" si="59"/>
        <v>0</v>
      </c>
      <c r="BG21" s="6">
        <f t="shared" si="59"/>
        <v>0</v>
      </c>
      <c r="BH21" s="6">
        <f t="shared" si="59"/>
        <v>0</v>
      </c>
      <c r="BI21" s="6">
        <f t="shared" si="59"/>
        <v>0</v>
      </c>
      <c r="BJ21" s="6">
        <f t="shared" si="59"/>
        <v>0</v>
      </c>
      <c r="BK21" s="6">
        <f t="shared" si="59"/>
        <v>0</v>
      </c>
      <c r="BL21" s="6">
        <f t="shared" si="59"/>
        <v>0</v>
      </c>
      <c r="BM21" s="6">
        <f t="shared" si="59"/>
        <v>0</v>
      </c>
      <c r="BN21" s="6">
        <f t="shared" si="59"/>
        <v>0</v>
      </c>
      <c r="BO21" s="6">
        <f>BO22+BO23+BO24+BO25</f>
        <v>0</v>
      </c>
      <c r="BP21" s="6">
        <f>BP22+BP23+BP24+BP25</f>
        <v>0</v>
      </c>
      <c r="BQ21" s="6">
        <f t="shared" ref="BQ21:BR21" si="61">BQ22+BQ23+BQ24+BQ25</f>
        <v>0</v>
      </c>
      <c r="BR21" s="6">
        <f t="shared" si="61"/>
        <v>0</v>
      </c>
      <c r="BS21" s="6">
        <f>BS22+BS23+BS24+BS25</f>
        <v>0</v>
      </c>
      <c r="BT21" s="230">
        <f t="shared" si="12"/>
        <v>145300</v>
      </c>
    </row>
    <row r="22" spans="1:74" x14ac:dyDescent="0.25">
      <c r="A22" s="210" t="s">
        <v>349</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196">
        <f>SUM(B22:AO22)</f>
        <v>0</v>
      </c>
      <c r="AQ22" s="8"/>
      <c r="AR22" s="8"/>
      <c r="AS22" s="8"/>
      <c r="AT22" s="7"/>
      <c r="AU22" s="7"/>
      <c r="AV22" s="7"/>
      <c r="AW22" s="7"/>
      <c r="AX22" s="7"/>
      <c r="AY22" s="7"/>
      <c r="AZ22" s="196">
        <f>SUM(AQ22:AY22)</f>
        <v>0</v>
      </c>
      <c r="BA22" s="7"/>
      <c r="BB22" s="7"/>
      <c r="BC22" s="7"/>
      <c r="BD22" s="7"/>
      <c r="BE22" s="7"/>
      <c r="BF22" s="7"/>
      <c r="BG22" s="7"/>
      <c r="BH22" s="7"/>
      <c r="BI22" s="7"/>
      <c r="BJ22" s="7"/>
      <c r="BK22" s="7"/>
      <c r="BL22" s="7"/>
      <c r="BM22" s="7"/>
      <c r="BN22" s="7"/>
      <c r="BO22" s="8">
        <f>SUM(BA22:BN22)</f>
        <v>0</v>
      </c>
      <c r="BP22" s="8"/>
      <c r="BQ22" s="8"/>
      <c r="BR22" s="8"/>
      <c r="BS22" s="8">
        <f t="shared" si="25"/>
        <v>0</v>
      </c>
      <c r="BT22" s="230">
        <f t="shared" si="12"/>
        <v>0</v>
      </c>
    </row>
    <row r="23" spans="1:74" x14ac:dyDescent="0.25">
      <c r="A23" s="210" t="s">
        <v>350</v>
      </c>
      <c r="B23" s="7">
        <f>SUM(Tervezőönkorm.!E215)</f>
        <v>0</v>
      </c>
      <c r="C23" s="7"/>
      <c r="D23" s="7"/>
      <c r="E23" s="7"/>
      <c r="F23" s="7"/>
      <c r="G23" s="7"/>
      <c r="H23" s="7"/>
      <c r="I23" s="7">
        <f>SUM(Tervezőönkorm.!AN215)</f>
        <v>0</v>
      </c>
      <c r="J23" s="7">
        <f>SUM(Tervezőönkorm.!AR215)</f>
        <v>0</v>
      </c>
      <c r="K23" s="7"/>
      <c r="L23" s="7">
        <f>SUM(Tervezőönkorm.!S215)</f>
        <v>0</v>
      </c>
      <c r="M23" s="7">
        <f>SUM(Tervezőönkorm.!W215)</f>
        <v>0</v>
      </c>
      <c r="N23" s="7">
        <f>SUM(Tervezőönkorm.!BC215)</f>
        <v>0</v>
      </c>
      <c r="O23" s="7">
        <f>SUM(Tervezőönkorm.!BI215)</f>
        <v>0</v>
      </c>
      <c r="P23" s="7"/>
      <c r="Q23" s="7">
        <f>SUM(Tervezőönkorm.!CI215)</f>
        <v>0</v>
      </c>
      <c r="R23" s="7">
        <f>SUM(Tervezőönkorm.!BM215)</f>
        <v>0</v>
      </c>
      <c r="S23" s="7"/>
      <c r="T23" s="7">
        <f>SUM(Tervezőönkorm.!BR215)</f>
        <v>0</v>
      </c>
      <c r="U23" s="7">
        <f>SUM(Tervezőönkorm.!BU215)</f>
        <v>0</v>
      </c>
      <c r="V23" s="7"/>
      <c r="W23" s="7">
        <f>SUM(Tervezőönkorm.!CD215)</f>
        <v>0</v>
      </c>
      <c r="X23" s="7">
        <f>'kiadás 11601'!F10</f>
        <v>0</v>
      </c>
      <c r="Y23" s="7">
        <f>SUM(Tervezőönkorm.!CS215)</f>
        <v>0</v>
      </c>
      <c r="Z23" s="7"/>
      <c r="AA23" s="7">
        <f>SUM(Tervezőönkorm.!CW215)</f>
        <v>0</v>
      </c>
      <c r="AB23" s="7"/>
      <c r="AC23" s="7">
        <f>kiadás11602!G24</f>
        <v>15300</v>
      </c>
      <c r="AD23" s="7"/>
      <c r="AE23" s="7">
        <f>'kiadás 11604 '!I6</f>
        <v>0</v>
      </c>
      <c r="AF23" s="7"/>
      <c r="AG23" s="7"/>
      <c r="AH23" s="7"/>
      <c r="AI23" s="7">
        <f>SUM(Tervezőönkorm.!DU215)</f>
        <v>0</v>
      </c>
      <c r="AJ23" s="7">
        <f>SUM(Tervezőönkorm.!AA215)</f>
        <v>0</v>
      </c>
      <c r="AK23" s="7"/>
      <c r="AL23" s="7">
        <f>SUM(Tervezőönkorm.!DG215)</f>
        <v>0</v>
      </c>
      <c r="AM23" s="7">
        <f>SUM(Tervezőönkorm.!EA215)</f>
        <v>0</v>
      </c>
      <c r="AN23" s="7"/>
      <c r="AO23" s="7">
        <f>SUM(Tervezőönkorm.!EK215)</f>
        <v>0</v>
      </c>
      <c r="AP23" s="196">
        <f>SUM(B23:AO23)</f>
        <v>15300</v>
      </c>
      <c r="AQ23" s="8"/>
      <c r="AR23" s="8"/>
      <c r="AS23" s="8"/>
      <c r="AT23" s="7">
        <f>Tervezőhiv.!R245</f>
        <v>0</v>
      </c>
      <c r="AU23" s="7">
        <f>Tervezőhiv.!V245</f>
        <v>0</v>
      </c>
      <c r="AV23" s="7">
        <f>Tervezőhiv.!AE245</f>
        <v>0</v>
      </c>
      <c r="AW23" s="7">
        <f>Tervezőhiv.!Z245</f>
        <v>0</v>
      </c>
      <c r="AX23" s="7">
        <f>Tervezőhiv.!AL245</f>
        <v>0</v>
      </c>
      <c r="AY23" s="7">
        <f>Tervezőhiv.!AS245</f>
        <v>0</v>
      </c>
      <c r="AZ23" s="196">
        <f>SUM(AQ23:AY23)</f>
        <v>0</v>
      </c>
      <c r="BA23" s="7"/>
      <c r="BB23" s="7"/>
      <c r="BC23" s="7"/>
      <c r="BD23" s="7"/>
      <c r="BE23" s="7"/>
      <c r="BF23" s="7"/>
      <c r="BG23" s="7"/>
      <c r="BH23" s="7"/>
      <c r="BI23" s="7"/>
      <c r="BJ23" s="7"/>
      <c r="BK23" s="7"/>
      <c r="BL23" s="7"/>
      <c r="BM23" s="7"/>
      <c r="BN23" s="7"/>
      <c r="BO23" s="8">
        <f>SUM(BA23:BN23)</f>
        <v>0</v>
      </c>
      <c r="BP23" s="8"/>
      <c r="BQ23" s="8"/>
      <c r="BR23" s="8"/>
      <c r="BS23" s="8">
        <f t="shared" si="25"/>
        <v>0</v>
      </c>
      <c r="BT23" s="230">
        <f t="shared" si="12"/>
        <v>15300</v>
      </c>
    </row>
    <row r="24" spans="1:74" x14ac:dyDescent="0.25">
      <c r="A24" s="210" t="s">
        <v>351</v>
      </c>
      <c r="B24" s="7">
        <f>SUM(Tervezőönkorm.!E226)</f>
        <v>0</v>
      </c>
      <c r="C24" s="7"/>
      <c r="D24" s="7"/>
      <c r="E24" s="7"/>
      <c r="F24" s="7"/>
      <c r="G24" s="7"/>
      <c r="H24" s="7"/>
      <c r="I24" s="7">
        <f>SUM(Tervezőönkorm.!AN226)</f>
        <v>0</v>
      </c>
      <c r="J24" s="7">
        <f>SUM(Tervezőönkorm.!AR226)</f>
        <v>0</v>
      </c>
      <c r="K24" s="7"/>
      <c r="L24" s="7">
        <f>SUM(Tervezőönkorm.!S226)</f>
        <v>0</v>
      </c>
      <c r="M24" s="7">
        <f>SUM(Tervezőönkorm.!W226)</f>
        <v>0</v>
      </c>
      <c r="N24" s="7">
        <f>SUM(Tervezőönkorm.!BC226)</f>
        <v>0</v>
      </c>
      <c r="O24" s="7">
        <f>SUM(Tervezőönkorm.!BI226)</f>
        <v>0</v>
      </c>
      <c r="P24" s="7"/>
      <c r="Q24" s="7">
        <f>SUM(Tervezőönkorm.!CI226)</f>
        <v>0</v>
      </c>
      <c r="R24" s="7">
        <f>SUM(Tervezőönkorm.!BM226)</f>
        <v>0</v>
      </c>
      <c r="S24" s="7"/>
      <c r="T24" s="7">
        <f>SUM(Tervezőönkorm.!BR226)</f>
        <v>0</v>
      </c>
      <c r="U24" s="7">
        <f>SUM(Tervezőönkorm.!BU226)</f>
        <v>0</v>
      </c>
      <c r="V24" s="7"/>
      <c r="W24" s="7">
        <f>SUM(Tervezőönkorm.!CD226)</f>
        <v>0</v>
      </c>
      <c r="X24" s="7">
        <f>'kiadás 11601'!G10</f>
        <v>0</v>
      </c>
      <c r="Y24" s="7">
        <f>SUM(Tervezőönkorm.!CS226)</f>
        <v>0</v>
      </c>
      <c r="Z24" s="7"/>
      <c r="AA24" s="7">
        <f>SUM(Tervezőönkorm.!CW226)</f>
        <v>0</v>
      </c>
      <c r="AB24" s="7"/>
      <c r="AC24" s="7">
        <f>kiadás11602!H24</f>
        <v>130000</v>
      </c>
      <c r="AD24" s="7"/>
      <c r="AE24" s="7">
        <f>'kiadás 11604 '!J6</f>
        <v>0</v>
      </c>
      <c r="AF24" s="7"/>
      <c r="AG24" s="7"/>
      <c r="AH24" s="7"/>
      <c r="AI24" s="7">
        <f>SUM(Tervezőönkorm.!DU226)</f>
        <v>0</v>
      </c>
      <c r="AJ24" s="7">
        <f>SUM(Tervezőönkorm.!AA226)</f>
        <v>0</v>
      </c>
      <c r="AK24" s="7"/>
      <c r="AL24" s="7">
        <f>SUM(Tervezőönkorm.!DG226)</f>
        <v>0</v>
      </c>
      <c r="AM24" s="7">
        <f>SUM(Tervezőönkorm.!EA226)</f>
        <v>0</v>
      </c>
      <c r="AN24" s="7"/>
      <c r="AO24" s="7">
        <f>SUM(Tervezőönkorm.!EK226)</f>
        <v>0</v>
      </c>
      <c r="AP24" s="196">
        <f>SUM(B24:AO24)</f>
        <v>130000</v>
      </c>
      <c r="AQ24" s="8"/>
      <c r="AR24" s="8"/>
      <c r="AS24" s="8"/>
      <c r="AT24" s="7">
        <f>Tervezőhiv.!R250</f>
        <v>0</v>
      </c>
      <c r="AU24" s="7">
        <f>Tervezőhiv.!V250</f>
        <v>0</v>
      </c>
      <c r="AV24" s="7">
        <f>Tervezőhiv.!AE250</f>
        <v>0</v>
      </c>
      <c r="AW24" s="7">
        <f>Tervezőhiv.!Z250</f>
        <v>0</v>
      </c>
      <c r="AX24" s="7">
        <f>Tervezőhiv.!AL250</f>
        <v>0</v>
      </c>
      <c r="AY24" s="7">
        <f>Tervezőhiv.!AS250</f>
        <v>0</v>
      </c>
      <c r="AZ24" s="196">
        <f>SUM(AQ24:AY24)</f>
        <v>0</v>
      </c>
      <c r="BA24" s="7"/>
      <c r="BB24" s="7"/>
      <c r="BC24" s="7"/>
      <c r="BD24" s="7"/>
      <c r="BE24" s="7"/>
      <c r="BF24" s="7"/>
      <c r="BG24" s="7"/>
      <c r="BH24" s="7"/>
      <c r="BI24" s="7"/>
      <c r="BJ24" s="7"/>
      <c r="BK24" s="7"/>
      <c r="BL24" s="7"/>
      <c r="BM24" s="7"/>
      <c r="BN24" s="7"/>
      <c r="BO24" s="8">
        <f>SUM(BA24:BN24)</f>
        <v>0</v>
      </c>
      <c r="BP24" s="8"/>
      <c r="BQ24" s="8"/>
      <c r="BR24" s="8"/>
      <c r="BS24" s="8">
        <f t="shared" si="25"/>
        <v>0</v>
      </c>
      <c r="BT24" s="230">
        <f t="shared" si="12"/>
        <v>130000</v>
      </c>
    </row>
    <row r="25" spans="1:74" x14ac:dyDescent="0.25">
      <c r="A25" s="210" t="s">
        <v>352</v>
      </c>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196">
        <f>SUM(B25:AO25)</f>
        <v>0</v>
      </c>
      <c r="AQ25" s="8"/>
      <c r="AR25" s="8"/>
      <c r="AS25" s="8"/>
      <c r="AT25" s="7"/>
      <c r="AU25" s="7"/>
      <c r="AV25" s="7"/>
      <c r="AW25" s="7"/>
      <c r="AX25" s="7"/>
      <c r="AY25" s="7"/>
      <c r="AZ25" s="196">
        <f>SUM(AQ25:AY25)</f>
        <v>0</v>
      </c>
      <c r="BA25" s="7"/>
      <c r="BB25" s="7"/>
      <c r="BC25" s="7"/>
      <c r="BD25" s="7"/>
      <c r="BE25" s="7"/>
      <c r="BF25" s="7"/>
      <c r="BG25" s="7"/>
      <c r="BH25" s="7"/>
      <c r="BI25" s="7"/>
      <c r="BJ25" s="7"/>
      <c r="BK25" s="7"/>
      <c r="BL25" s="7"/>
      <c r="BM25" s="7"/>
      <c r="BN25" s="7"/>
      <c r="BO25" s="8">
        <f>SUM(BA25:BN25)</f>
        <v>0</v>
      </c>
      <c r="BP25" s="8"/>
      <c r="BQ25" s="8"/>
      <c r="BR25" s="8"/>
      <c r="BS25" s="8">
        <f t="shared" si="25"/>
        <v>0</v>
      </c>
      <c r="BT25" s="230">
        <f t="shared" si="12"/>
        <v>0</v>
      </c>
    </row>
    <row r="26" spans="1:74" s="13" customFormat="1" ht="13.8" thickBot="1" x14ac:dyDescent="0.3">
      <c r="A26" s="214" t="s">
        <v>353</v>
      </c>
      <c r="B26" s="36">
        <f>B7+B18</f>
        <v>62256</v>
      </c>
      <c r="C26" s="36">
        <f t="shared" ref="C26:AZ26" si="62">C7+C18</f>
        <v>0</v>
      </c>
      <c r="D26" s="36">
        <f t="shared" si="62"/>
        <v>0</v>
      </c>
      <c r="E26" s="36">
        <f t="shared" si="62"/>
        <v>0</v>
      </c>
      <c r="F26" s="36">
        <f t="shared" si="62"/>
        <v>44900</v>
      </c>
      <c r="G26" s="36">
        <f t="shared" si="62"/>
        <v>196759</v>
      </c>
      <c r="H26" s="36">
        <f t="shared" si="62"/>
        <v>0</v>
      </c>
      <c r="I26" s="36">
        <f>I7+I18</f>
        <v>5504</v>
      </c>
      <c r="J26" s="36">
        <f t="shared" si="62"/>
        <v>28722</v>
      </c>
      <c r="K26" s="36">
        <f t="shared" si="62"/>
        <v>0</v>
      </c>
      <c r="L26" s="36">
        <f>L7+L18</f>
        <v>600</v>
      </c>
      <c r="M26" s="36">
        <f>M7+M18</f>
        <v>13300</v>
      </c>
      <c r="N26" s="36">
        <f>N7+N18</f>
        <v>67000</v>
      </c>
      <c r="O26" s="36">
        <f>O7+O18</f>
        <v>752333</v>
      </c>
      <c r="P26" s="36">
        <f t="shared" ref="P26:V26" si="63">P7+P18</f>
        <v>0</v>
      </c>
      <c r="Q26" s="36">
        <f>Q7+Q18</f>
        <v>185650</v>
      </c>
      <c r="R26" s="36">
        <f>R7+R18</f>
        <v>114780</v>
      </c>
      <c r="S26" s="36">
        <f t="shared" si="63"/>
        <v>0</v>
      </c>
      <c r="T26" s="36">
        <f>T7+T18</f>
        <v>300</v>
      </c>
      <c r="U26" s="36">
        <f>U7+U18</f>
        <v>167734</v>
      </c>
      <c r="V26" s="36">
        <f t="shared" si="63"/>
        <v>0</v>
      </c>
      <c r="W26" s="36">
        <f>W7+W18</f>
        <v>3800</v>
      </c>
      <c r="X26" s="36">
        <f t="shared" si="62"/>
        <v>33900</v>
      </c>
      <c r="Y26" s="36">
        <f>Y7+Y18</f>
        <v>122060</v>
      </c>
      <c r="Z26" s="36">
        <f t="shared" ref="Z26" si="64">Z7+Z18</f>
        <v>0</v>
      </c>
      <c r="AA26" s="36">
        <f>AA7+AA18</f>
        <v>777184</v>
      </c>
      <c r="AB26" s="36">
        <f t="shared" ref="AB26" si="65">AB7+AB18</f>
        <v>0</v>
      </c>
      <c r="AC26" s="36">
        <f t="shared" si="62"/>
        <v>3075091</v>
      </c>
      <c r="AD26" s="36">
        <f t="shared" si="62"/>
        <v>0</v>
      </c>
      <c r="AE26" s="36">
        <f t="shared" si="62"/>
        <v>0</v>
      </c>
      <c r="AF26" s="36">
        <f t="shared" si="62"/>
        <v>0</v>
      </c>
      <c r="AG26" s="36">
        <f t="shared" ref="AG26" si="66">AG7+AG18</f>
        <v>0</v>
      </c>
      <c r="AH26" s="36">
        <f t="shared" ref="AH26:AN26" si="67">AH7+AH18</f>
        <v>0</v>
      </c>
      <c r="AI26" s="36">
        <f>AI7+AI18</f>
        <v>0</v>
      </c>
      <c r="AJ26" s="36">
        <f>AJ7+AJ18</f>
        <v>22680</v>
      </c>
      <c r="AK26" s="36">
        <f t="shared" si="67"/>
        <v>0</v>
      </c>
      <c r="AL26" s="36">
        <f>AL7+AL18</f>
        <v>33090</v>
      </c>
      <c r="AM26" s="36">
        <f>AM7+AM18</f>
        <v>59930</v>
      </c>
      <c r="AN26" s="36">
        <f t="shared" si="67"/>
        <v>0</v>
      </c>
      <c r="AO26" s="36">
        <f>AO7+AO18</f>
        <v>161687</v>
      </c>
      <c r="AP26" s="198">
        <f t="shared" si="62"/>
        <v>5929260</v>
      </c>
      <c r="AQ26" s="36">
        <f t="shared" si="62"/>
        <v>0</v>
      </c>
      <c r="AR26" s="36">
        <f t="shared" ref="AR26:AU26" si="68">AR7+AR18</f>
        <v>0</v>
      </c>
      <c r="AS26" s="36">
        <f t="shared" si="68"/>
        <v>0</v>
      </c>
      <c r="AT26" s="36">
        <f t="shared" si="68"/>
        <v>247170</v>
      </c>
      <c r="AU26" s="36">
        <f t="shared" si="68"/>
        <v>76026</v>
      </c>
      <c r="AV26" s="36">
        <f t="shared" ref="AV26:AW26" si="69">AV7+AV18</f>
        <v>16825</v>
      </c>
      <c r="AW26" s="36">
        <f t="shared" si="69"/>
        <v>14264</v>
      </c>
      <c r="AX26" s="36">
        <f t="shared" ref="AX26:AY26" si="70">AX7+AX18</f>
        <v>1193328</v>
      </c>
      <c r="AY26" s="36">
        <f t="shared" si="70"/>
        <v>510265</v>
      </c>
      <c r="AZ26" s="198">
        <f t="shared" si="62"/>
        <v>2057878</v>
      </c>
      <c r="BA26" s="36">
        <f>BA7+BA18</f>
        <v>0</v>
      </c>
      <c r="BB26" s="36">
        <f t="shared" ref="BB26:BN26" si="71">BB7+BB18</f>
        <v>145921</v>
      </c>
      <c r="BC26" s="36">
        <f t="shared" si="71"/>
        <v>60970</v>
      </c>
      <c r="BD26" s="36">
        <f t="shared" si="71"/>
        <v>41696</v>
      </c>
      <c r="BE26" s="36">
        <f t="shared" ref="BE26" si="72">BE7+BE18</f>
        <v>39692</v>
      </c>
      <c r="BF26" s="36">
        <f t="shared" si="71"/>
        <v>119520</v>
      </c>
      <c r="BG26" s="36">
        <f t="shared" si="71"/>
        <v>196090</v>
      </c>
      <c r="BH26" s="36">
        <f t="shared" si="71"/>
        <v>100088</v>
      </c>
      <c r="BI26" s="36">
        <f t="shared" si="71"/>
        <v>153293</v>
      </c>
      <c r="BJ26" s="36">
        <f t="shared" si="71"/>
        <v>98111</v>
      </c>
      <c r="BK26" s="36">
        <f t="shared" si="71"/>
        <v>0</v>
      </c>
      <c r="BL26" s="36">
        <f t="shared" si="71"/>
        <v>52288</v>
      </c>
      <c r="BM26" s="36">
        <f t="shared" si="71"/>
        <v>65207</v>
      </c>
      <c r="BN26" s="36">
        <f t="shared" si="71"/>
        <v>794881</v>
      </c>
      <c r="BO26" s="36">
        <f>BO7+BO18</f>
        <v>1867757</v>
      </c>
      <c r="BP26" s="36">
        <f>BP7+BP18</f>
        <v>904875</v>
      </c>
      <c r="BQ26" s="36">
        <f t="shared" ref="BQ26:BR26" si="73">BQ7+BQ18</f>
        <v>1759112</v>
      </c>
      <c r="BR26" s="36">
        <f t="shared" si="73"/>
        <v>1212953</v>
      </c>
      <c r="BS26" s="36">
        <f>BS7+BS18</f>
        <v>5744697</v>
      </c>
      <c r="BT26" s="231">
        <f t="shared" si="12"/>
        <v>13731835</v>
      </c>
    </row>
    <row r="27" spans="1:74" s="13" customFormat="1" ht="16.2" thickBot="1" x14ac:dyDescent="0.3">
      <c r="A27" s="207" t="s">
        <v>489</v>
      </c>
      <c r="B27" s="37">
        <f>B52+B61</f>
        <v>0</v>
      </c>
      <c r="C27" s="37">
        <f t="shared" ref="C27:AZ27" si="74">C52+C61</f>
        <v>0</v>
      </c>
      <c r="D27" s="37">
        <f t="shared" si="74"/>
        <v>0</v>
      </c>
      <c r="E27" s="37">
        <f t="shared" si="74"/>
        <v>0</v>
      </c>
      <c r="F27" s="37">
        <f t="shared" si="74"/>
        <v>0</v>
      </c>
      <c r="G27" s="37">
        <f t="shared" si="74"/>
        <v>0</v>
      </c>
      <c r="H27" s="37">
        <f t="shared" si="74"/>
        <v>0</v>
      </c>
      <c r="I27" s="37">
        <f>I52+I61</f>
        <v>8835936</v>
      </c>
      <c r="J27" s="37">
        <f t="shared" si="74"/>
        <v>2020372.764</v>
      </c>
      <c r="K27" s="37">
        <f t="shared" si="74"/>
        <v>621074</v>
      </c>
      <c r="L27" s="37">
        <f>L52+L61</f>
        <v>0</v>
      </c>
      <c r="M27" s="37">
        <f>M52+M61</f>
        <v>5698</v>
      </c>
      <c r="N27" s="37">
        <f>N52+N61</f>
        <v>4000</v>
      </c>
      <c r="O27" s="37">
        <f>O52+O61</f>
        <v>1315610</v>
      </c>
      <c r="P27" s="37">
        <f t="shared" ref="P27:V27" si="75">P52+P61</f>
        <v>0</v>
      </c>
      <c r="Q27" s="37">
        <f>Q52+Q61</f>
        <v>0</v>
      </c>
      <c r="R27" s="37">
        <f>R52+R61</f>
        <v>300000</v>
      </c>
      <c r="S27" s="37">
        <f t="shared" si="75"/>
        <v>0</v>
      </c>
      <c r="T27" s="37">
        <f>T52+T61</f>
        <v>0</v>
      </c>
      <c r="U27" s="37">
        <f>U52+U61</f>
        <v>71954</v>
      </c>
      <c r="V27" s="37">
        <f t="shared" si="75"/>
        <v>0</v>
      </c>
      <c r="W27" s="37">
        <f>W52+W61</f>
        <v>0</v>
      </c>
      <c r="X27" s="37">
        <f t="shared" si="74"/>
        <v>86583</v>
      </c>
      <c r="Y27" s="37">
        <f>Y52+Y61</f>
        <v>25000</v>
      </c>
      <c r="Z27" s="37">
        <f t="shared" ref="Z27" si="76">Z52+Z61</f>
        <v>0</v>
      </c>
      <c r="AA27" s="37">
        <f>AA52+AA61</f>
        <v>110000</v>
      </c>
      <c r="AB27" s="37">
        <f t="shared" ref="AB27" si="77">AB52+AB61</f>
        <v>0</v>
      </c>
      <c r="AC27" s="37">
        <f t="shared" si="74"/>
        <v>1940600</v>
      </c>
      <c r="AD27" s="37">
        <f t="shared" si="74"/>
        <v>0</v>
      </c>
      <c r="AE27" s="37">
        <f t="shared" si="74"/>
        <v>0</v>
      </c>
      <c r="AF27" s="37">
        <f t="shared" si="74"/>
        <v>0</v>
      </c>
      <c r="AG27" s="37">
        <f t="shared" ref="AG27" si="78">AG52+AG61</f>
        <v>0</v>
      </c>
      <c r="AH27" s="37">
        <f t="shared" ref="AH27:AN27" si="79">AH52+AH61</f>
        <v>0</v>
      </c>
      <c r="AI27" s="37">
        <f>AI52+AI61</f>
        <v>0</v>
      </c>
      <c r="AJ27" s="37">
        <f>AJ52+AJ61</f>
        <v>0</v>
      </c>
      <c r="AK27" s="37">
        <f t="shared" si="79"/>
        <v>0</v>
      </c>
      <c r="AL27" s="37">
        <f>AL52+AL61</f>
        <v>0</v>
      </c>
      <c r="AM27" s="37">
        <f>AM52+AM61</f>
        <v>76446</v>
      </c>
      <c r="AN27" s="37">
        <f t="shared" si="79"/>
        <v>0</v>
      </c>
      <c r="AO27" s="37">
        <f>AO52+AO61</f>
        <v>0</v>
      </c>
      <c r="AP27" s="199">
        <f t="shared" si="74"/>
        <v>15413273.764</v>
      </c>
      <c r="AQ27" s="37">
        <f t="shared" si="74"/>
        <v>0</v>
      </c>
      <c r="AR27" s="37">
        <f t="shared" ref="AR27:AU27" si="80">AR52+AR61</f>
        <v>0</v>
      </c>
      <c r="AS27" s="37">
        <f t="shared" si="80"/>
        <v>0</v>
      </c>
      <c r="AT27" s="37">
        <f t="shared" si="80"/>
        <v>247170</v>
      </c>
      <c r="AU27" s="37">
        <f t="shared" si="80"/>
        <v>76026</v>
      </c>
      <c r="AV27" s="37">
        <f t="shared" ref="AV27:AW27" si="81">AV52+AV61</f>
        <v>16825</v>
      </c>
      <c r="AW27" s="37">
        <f t="shared" si="81"/>
        <v>14264</v>
      </c>
      <c r="AX27" s="37">
        <f t="shared" ref="AX27:AY27" si="82">AX52+AX61</f>
        <v>1193328</v>
      </c>
      <c r="AY27" s="37">
        <f t="shared" si="82"/>
        <v>510265</v>
      </c>
      <c r="AZ27" s="199">
        <f t="shared" si="74"/>
        <v>2057878</v>
      </c>
      <c r="BA27" s="37">
        <f>BA52+BA61</f>
        <v>0</v>
      </c>
      <c r="BB27" s="37">
        <f t="shared" ref="BB27:BN27" si="83">BB52+BB61</f>
        <v>145921</v>
      </c>
      <c r="BC27" s="37">
        <f t="shared" si="83"/>
        <v>60970</v>
      </c>
      <c r="BD27" s="37">
        <f t="shared" si="83"/>
        <v>41696</v>
      </c>
      <c r="BE27" s="37">
        <f t="shared" ref="BE27" si="84">BE52+BE61</f>
        <v>39692</v>
      </c>
      <c r="BF27" s="37">
        <f t="shared" si="83"/>
        <v>119520</v>
      </c>
      <c r="BG27" s="37">
        <f t="shared" si="83"/>
        <v>196090</v>
      </c>
      <c r="BH27" s="37">
        <f t="shared" si="83"/>
        <v>100088</v>
      </c>
      <c r="BI27" s="37">
        <f t="shared" si="83"/>
        <v>153293</v>
      </c>
      <c r="BJ27" s="37">
        <f t="shared" si="83"/>
        <v>98111</v>
      </c>
      <c r="BK27" s="37">
        <f t="shared" si="83"/>
        <v>0</v>
      </c>
      <c r="BL27" s="37">
        <f t="shared" si="83"/>
        <v>52288</v>
      </c>
      <c r="BM27" s="37">
        <f t="shared" si="83"/>
        <v>65207</v>
      </c>
      <c r="BN27" s="37">
        <f t="shared" si="83"/>
        <v>794881</v>
      </c>
      <c r="BO27" s="37">
        <f>BO52+BO61</f>
        <v>1867757</v>
      </c>
      <c r="BP27" s="37">
        <f>BP52+BP61</f>
        <v>904875</v>
      </c>
      <c r="BQ27" s="37">
        <f t="shared" ref="BQ27:BR27" si="85">BQ52+BQ61</f>
        <v>1759112</v>
      </c>
      <c r="BR27" s="37">
        <f t="shared" si="85"/>
        <v>1212953</v>
      </c>
      <c r="BS27" s="37">
        <f>BS52+BS61</f>
        <v>5744697</v>
      </c>
      <c r="BT27" s="228">
        <f t="shared" si="12"/>
        <v>23215848.763999999</v>
      </c>
    </row>
    <row r="28" spans="1:74" s="13" customFormat="1" x14ac:dyDescent="0.25">
      <c r="A28" s="208" t="s">
        <v>354</v>
      </c>
      <c r="B28" s="35">
        <f>B29+B35+B36+B37</f>
        <v>0</v>
      </c>
      <c r="C28" s="35">
        <f t="shared" ref="C28:AZ28" si="86">C29+C35+C36+C37</f>
        <v>0</v>
      </c>
      <c r="D28" s="35">
        <f t="shared" si="86"/>
        <v>0</v>
      </c>
      <c r="E28" s="35">
        <f t="shared" si="86"/>
        <v>0</v>
      </c>
      <c r="F28" s="35">
        <f t="shared" si="86"/>
        <v>0</v>
      </c>
      <c r="G28" s="35">
        <f t="shared" si="86"/>
        <v>0</v>
      </c>
      <c r="H28" s="35">
        <f t="shared" si="86"/>
        <v>0</v>
      </c>
      <c r="I28" s="35">
        <f>I29+I35+I36+I37</f>
        <v>8835936</v>
      </c>
      <c r="J28" s="35">
        <f t="shared" si="86"/>
        <v>2020372.764</v>
      </c>
      <c r="K28" s="35">
        <f t="shared" si="86"/>
        <v>0</v>
      </c>
      <c r="L28" s="35">
        <f>L29+L35+L36+L37</f>
        <v>0</v>
      </c>
      <c r="M28" s="35">
        <f>M29+M35+M36+M37</f>
        <v>5698</v>
      </c>
      <c r="N28" s="35">
        <f>N29+N35+N36+N37</f>
        <v>4000</v>
      </c>
      <c r="O28" s="35">
        <f>O29+O35+O36+O37</f>
        <v>1315610</v>
      </c>
      <c r="P28" s="35">
        <f t="shared" ref="P28:V28" si="87">P29+P35+P36+P37</f>
        <v>0</v>
      </c>
      <c r="Q28" s="35">
        <f>Q29+Q35+Q36+Q37</f>
        <v>0</v>
      </c>
      <c r="R28" s="35">
        <f>R29+R35+R36+R37</f>
        <v>300000</v>
      </c>
      <c r="S28" s="35">
        <f t="shared" si="87"/>
        <v>0</v>
      </c>
      <c r="T28" s="35">
        <f>T29+T35+T36+T37</f>
        <v>0</v>
      </c>
      <c r="U28" s="35">
        <f>U29+U35+U36+U37</f>
        <v>71954</v>
      </c>
      <c r="V28" s="35">
        <f t="shared" si="87"/>
        <v>0</v>
      </c>
      <c r="W28" s="35">
        <f>W29+W35+W36+W37</f>
        <v>0</v>
      </c>
      <c r="X28" s="35">
        <f t="shared" si="86"/>
        <v>86583</v>
      </c>
      <c r="Y28" s="35">
        <f>Y29+Y35+Y36+Y37</f>
        <v>25000</v>
      </c>
      <c r="Z28" s="35">
        <f t="shared" ref="Z28" si="88">Z29+Z35+Z36+Z37</f>
        <v>0</v>
      </c>
      <c r="AA28" s="35">
        <f>AA29+AA35+AA36+AA37</f>
        <v>110000</v>
      </c>
      <c r="AB28" s="35">
        <f t="shared" ref="AB28" si="89">AB29+AB35+AB36+AB37</f>
        <v>0</v>
      </c>
      <c r="AC28" s="35">
        <f t="shared" si="86"/>
        <v>1940600</v>
      </c>
      <c r="AD28" s="35">
        <f t="shared" si="86"/>
        <v>0</v>
      </c>
      <c r="AE28" s="35">
        <f t="shared" si="86"/>
        <v>0</v>
      </c>
      <c r="AF28" s="35">
        <f t="shared" si="86"/>
        <v>0</v>
      </c>
      <c r="AG28" s="35">
        <f t="shared" ref="AG28" si="90">AG29+AG35+AG36+AG37</f>
        <v>0</v>
      </c>
      <c r="AH28" s="35">
        <f t="shared" ref="AH28:AN28" si="91">AH29+AH35+AH36+AH37</f>
        <v>0</v>
      </c>
      <c r="AI28" s="35">
        <f>AI29+AI35+AI36+AI37</f>
        <v>0</v>
      </c>
      <c r="AJ28" s="35">
        <f>AJ29+AJ35+AJ36+AJ37</f>
        <v>0</v>
      </c>
      <c r="AK28" s="35">
        <f t="shared" si="91"/>
        <v>0</v>
      </c>
      <c r="AL28" s="35">
        <f>AL29+AL35+AL36+AL37</f>
        <v>0</v>
      </c>
      <c r="AM28" s="35">
        <f>AM29+AM35+AM36+AM37</f>
        <v>76446</v>
      </c>
      <c r="AN28" s="35">
        <f t="shared" si="91"/>
        <v>0</v>
      </c>
      <c r="AO28" s="35">
        <f>AO29+AO35+AO36+AO37</f>
        <v>0</v>
      </c>
      <c r="AP28" s="195">
        <f t="shared" si="86"/>
        <v>14792199.764</v>
      </c>
      <c r="AQ28" s="35">
        <f t="shared" si="86"/>
        <v>0</v>
      </c>
      <c r="AR28" s="35">
        <f t="shared" ref="AR28:AU28" si="92">AR29+AR35+AR36+AR37</f>
        <v>0</v>
      </c>
      <c r="AS28" s="35">
        <f t="shared" si="92"/>
        <v>0</v>
      </c>
      <c r="AT28" s="35">
        <f t="shared" si="92"/>
        <v>4000</v>
      </c>
      <c r="AU28" s="35">
        <f t="shared" si="92"/>
        <v>0</v>
      </c>
      <c r="AV28" s="35">
        <f t="shared" ref="AV28:AW28" si="93">AV29+AV35+AV36+AV37</f>
        <v>0</v>
      </c>
      <c r="AW28" s="35">
        <f t="shared" si="93"/>
        <v>0</v>
      </c>
      <c r="AX28" s="35">
        <f t="shared" ref="AX28:AY28" si="94">AX29+AX35+AX36+AX37</f>
        <v>0</v>
      </c>
      <c r="AY28" s="35">
        <f t="shared" si="94"/>
        <v>35000</v>
      </c>
      <c r="AZ28" s="195">
        <f t="shared" si="86"/>
        <v>39000</v>
      </c>
      <c r="BA28" s="35">
        <f>BA29+BA35+BA36+BA37</f>
        <v>0</v>
      </c>
      <c r="BB28" s="35">
        <f t="shared" ref="BB28:BN28" si="95">BB29+BB35+BB36+BB37</f>
        <v>40000</v>
      </c>
      <c r="BC28" s="35">
        <f t="shared" si="95"/>
        <v>0</v>
      </c>
      <c r="BD28" s="35">
        <f t="shared" si="95"/>
        <v>0</v>
      </c>
      <c r="BE28" s="35">
        <f t="shared" ref="BE28" si="96">BE29+BE35+BE36+BE37</f>
        <v>0</v>
      </c>
      <c r="BF28" s="35">
        <f t="shared" si="95"/>
        <v>0</v>
      </c>
      <c r="BG28" s="35">
        <f t="shared" si="95"/>
        <v>24616</v>
      </c>
      <c r="BH28" s="35">
        <f t="shared" si="95"/>
        <v>6121</v>
      </c>
      <c r="BI28" s="35">
        <f t="shared" si="95"/>
        <v>2262</v>
      </c>
      <c r="BJ28" s="35">
        <f t="shared" si="95"/>
        <v>13640</v>
      </c>
      <c r="BK28" s="35">
        <f t="shared" si="95"/>
        <v>0</v>
      </c>
      <c r="BL28" s="35">
        <f t="shared" si="95"/>
        <v>0</v>
      </c>
      <c r="BM28" s="35">
        <f t="shared" si="95"/>
        <v>0</v>
      </c>
      <c r="BN28" s="35">
        <f t="shared" si="95"/>
        <v>73174</v>
      </c>
      <c r="BO28" s="35">
        <f>BO29+BO35+BO36+BO37</f>
        <v>159813</v>
      </c>
      <c r="BP28" s="35">
        <f>BP29+BP35+BP36+BP37</f>
        <v>48830</v>
      </c>
      <c r="BQ28" s="35">
        <f t="shared" ref="BQ28:BR28" si="97">BQ29+BQ35+BQ36+BQ37</f>
        <v>1603622</v>
      </c>
      <c r="BR28" s="35">
        <f t="shared" si="97"/>
        <v>0</v>
      </c>
      <c r="BS28" s="35">
        <f>BS29+BS35+BS36+BS37</f>
        <v>1812265</v>
      </c>
      <c r="BT28" s="229">
        <f t="shared" si="12"/>
        <v>16643464.764</v>
      </c>
    </row>
    <row r="29" spans="1:74" s="13" customFormat="1" ht="26.4" x14ac:dyDescent="0.25">
      <c r="A29" s="219" t="s">
        <v>355</v>
      </c>
      <c r="B29" s="6">
        <f>B30+B31+B32+B33+B34</f>
        <v>0</v>
      </c>
      <c r="C29" s="6">
        <f t="shared" ref="C29:AZ29" si="98">C30+C31+C32+C33+C34</f>
        <v>0</v>
      </c>
      <c r="D29" s="6">
        <f t="shared" si="98"/>
        <v>0</v>
      </c>
      <c r="E29" s="6">
        <f t="shared" si="98"/>
        <v>0</v>
      </c>
      <c r="F29" s="6">
        <f t="shared" si="98"/>
        <v>0</v>
      </c>
      <c r="G29" s="6">
        <f t="shared" si="98"/>
        <v>0</v>
      </c>
      <c r="H29" s="6">
        <f t="shared" si="98"/>
        <v>0</v>
      </c>
      <c r="I29" s="6">
        <f>I30+I31+I32+I33+I34</f>
        <v>0</v>
      </c>
      <c r="J29" s="6">
        <f t="shared" si="98"/>
        <v>2020372.764</v>
      </c>
      <c r="K29" s="6">
        <f t="shared" si="98"/>
        <v>0</v>
      </c>
      <c r="L29" s="6">
        <f>L30+L31+L32+L33+L34</f>
        <v>0</v>
      </c>
      <c r="M29" s="6">
        <f>M30+M31+M32+M33+M34</f>
        <v>0</v>
      </c>
      <c r="N29" s="6">
        <f>N30+N31+N32+N33+N34</f>
        <v>4000</v>
      </c>
      <c r="O29" s="6">
        <f>O30+O31+O32+O33+O34</f>
        <v>0</v>
      </c>
      <c r="P29" s="6">
        <f t="shared" ref="P29:V29" si="99">P30+P31+P32+P33+P34</f>
        <v>0</v>
      </c>
      <c r="Q29" s="6">
        <f>Q30+Q31+Q32+Q33+Q34</f>
        <v>0</v>
      </c>
      <c r="R29" s="6">
        <f>R30+R31+R32+R33+R34</f>
        <v>0</v>
      </c>
      <c r="S29" s="6">
        <f t="shared" si="99"/>
        <v>0</v>
      </c>
      <c r="T29" s="6">
        <f>T30+T31+T32+T33+T34</f>
        <v>0</v>
      </c>
      <c r="U29" s="6">
        <f>U30+U31+U32+U33+U34</f>
        <v>0</v>
      </c>
      <c r="V29" s="6">
        <f t="shared" si="99"/>
        <v>0</v>
      </c>
      <c r="W29" s="6">
        <f>W30+W31+W32+W33+W34</f>
        <v>0</v>
      </c>
      <c r="X29" s="6">
        <f t="shared" si="98"/>
        <v>0</v>
      </c>
      <c r="Y29" s="6">
        <f>Y30+Y31+Y32+Y33+Y34</f>
        <v>0</v>
      </c>
      <c r="Z29" s="6">
        <f t="shared" ref="Z29" si="100">Z30+Z31+Z32+Z33+Z34</f>
        <v>0</v>
      </c>
      <c r="AA29" s="6">
        <f>AA30+AA31+AA32+AA33+AA34</f>
        <v>0</v>
      </c>
      <c r="AB29" s="6">
        <f t="shared" ref="AB29" si="101">AB30+AB31+AB32+AB33+AB34</f>
        <v>0</v>
      </c>
      <c r="AC29" s="6">
        <f t="shared" si="98"/>
        <v>0</v>
      </c>
      <c r="AD29" s="6">
        <f t="shared" si="98"/>
        <v>0</v>
      </c>
      <c r="AE29" s="6">
        <f t="shared" si="98"/>
        <v>0</v>
      </c>
      <c r="AF29" s="6">
        <f t="shared" si="98"/>
        <v>0</v>
      </c>
      <c r="AG29" s="6">
        <f t="shared" ref="AG29" si="102">AG30+AG31+AG32+AG33+AG34</f>
        <v>0</v>
      </c>
      <c r="AH29" s="6">
        <f t="shared" ref="AH29:AN29" si="103">AH30+AH31+AH32+AH33+AH34</f>
        <v>0</v>
      </c>
      <c r="AI29" s="6">
        <f>AI30+AI31+AI32+AI33+AI34</f>
        <v>0</v>
      </c>
      <c r="AJ29" s="6">
        <f>AJ30+AJ31+AJ32+AJ33+AJ34</f>
        <v>0</v>
      </c>
      <c r="AK29" s="6">
        <f t="shared" si="103"/>
        <v>0</v>
      </c>
      <c r="AL29" s="6">
        <f>AL30+AL31+AL32+AL33+AL34</f>
        <v>0</v>
      </c>
      <c r="AM29" s="6">
        <f>AM30+AM31+AM32+AM33+AM34</f>
        <v>0</v>
      </c>
      <c r="AN29" s="6">
        <f t="shared" si="103"/>
        <v>0</v>
      </c>
      <c r="AO29" s="6">
        <f>AO30+AO31+AO32+AO33+AO34</f>
        <v>0</v>
      </c>
      <c r="AP29" s="197">
        <f t="shared" si="98"/>
        <v>2024372.764</v>
      </c>
      <c r="AQ29" s="6">
        <f t="shared" si="98"/>
        <v>0</v>
      </c>
      <c r="AR29" s="6">
        <f t="shared" ref="AR29:AU29" si="104">AR30+AR31+AR32+AR33+AR34</f>
        <v>0</v>
      </c>
      <c r="AS29" s="6">
        <f t="shared" si="104"/>
        <v>0</v>
      </c>
      <c r="AT29" s="6">
        <f t="shared" si="104"/>
        <v>0</v>
      </c>
      <c r="AU29" s="6">
        <f t="shared" si="104"/>
        <v>0</v>
      </c>
      <c r="AV29" s="6">
        <f t="shared" ref="AV29:AW29" si="105">AV30+AV31+AV32+AV33+AV34</f>
        <v>0</v>
      </c>
      <c r="AW29" s="6">
        <f t="shared" si="105"/>
        <v>0</v>
      </c>
      <c r="AX29" s="6">
        <f t="shared" ref="AX29:AY29" si="106">AX30+AX31+AX32+AX33+AX34</f>
        <v>0</v>
      </c>
      <c r="AY29" s="6">
        <f t="shared" si="106"/>
        <v>0</v>
      </c>
      <c r="AZ29" s="197">
        <f t="shared" si="98"/>
        <v>0</v>
      </c>
      <c r="BA29" s="6">
        <f>BA30+BA31+BA32+BA33+BA34</f>
        <v>0</v>
      </c>
      <c r="BB29" s="6">
        <f t="shared" ref="BB29:BN29" si="107">BB30+BB31+BB32+BB33+BB34</f>
        <v>0</v>
      </c>
      <c r="BC29" s="6">
        <f t="shared" si="107"/>
        <v>0</v>
      </c>
      <c r="BD29" s="6">
        <f t="shared" si="107"/>
        <v>0</v>
      </c>
      <c r="BE29" s="6">
        <f t="shared" ref="BE29" si="108">BE30+BE31+BE32+BE33+BE34</f>
        <v>0</v>
      </c>
      <c r="BF29" s="6">
        <f t="shared" si="107"/>
        <v>0</v>
      </c>
      <c r="BG29" s="6">
        <f t="shared" si="107"/>
        <v>0</v>
      </c>
      <c r="BH29" s="6">
        <f t="shared" si="107"/>
        <v>0</v>
      </c>
      <c r="BI29" s="6">
        <f t="shared" si="107"/>
        <v>0</v>
      </c>
      <c r="BJ29" s="6">
        <f t="shared" si="107"/>
        <v>0</v>
      </c>
      <c r="BK29" s="6">
        <f t="shared" si="107"/>
        <v>0</v>
      </c>
      <c r="BL29" s="6">
        <f t="shared" si="107"/>
        <v>0</v>
      </c>
      <c r="BM29" s="6">
        <f t="shared" si="107"/>
        <v>0</v>
      </c>
      <c r="BN29" s="6">
        <f t="shared" si="107"/>
        <v>0</v>
      </c>
      <c r="BO29" s="6">
        <f>BO30+BO31+BO32+BO33+BO34</f>
        <v>0</v>
      </c>
      <c r="BP29" s="6">
        <f>BP30+BP31+BP32+BP33+BP34</f>
        <v>0</v>
      </c>
      <c r="BQ29" s="6">
        <f t="shared" ref="BQ29:BR29" si="109">BQ30+BQ31+BQ32+BQ33+BQ34</f>
        <v>1596807</v>
      </c>
      <c r="BR29" s="6">
        <f t="shared" si="109"/>
        <v>0</v>
      </c>
      <c r="BS29" s="6">
        <f>BS30+BS31+BS32+BS33+BS34</f>
        <v>1596807</v>
      </c>
      <c r="BT29" s="230">
        <f t="shared" si="12"/>
        <v>3621179.764</v>
      </c>
    </row>
    <row r="30" spans="1:74" x14ac:dyDescent="0.25">
      <c r="A30" s="218" t="s">
        <v>356</v>
      </c>
      <c r="B30" s="7"/>
      <c r="C30" s="7"/>
      <c r="D30" s="7"/>
      <c r="E30" s="7"/>
      <c r="F30" s="7"/>
      <c r="G30" s="7"/>
      <c r="H30" s="7"/>
      <c r="I30" s="7"/>
      <c r="J30" s="7">
        <f>előterjállamitám!D3</f>
        <v>2019674.764</v>
      </c>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196">
        <f t="shared" ref="AP30:AP36" si="110">SUM(B30:AO30)</f>
        <v>2019674.764</v>
      </c>
      <c r="AQ30" s="8"/>
      <c r="AR30" s="8"/>
      <c r="AS30" s="8"/>
      <c r="AT30" s="7"/>
      <c r="AU30" s="7"/>
      <c r="AV30" s="7"/>
      <c r="AW30" s="7"/>
      <c r="AX30" s="7"/>
      <c r="AY30" s="7"/>
      <c r="AZ30" s="196">
        <f t="shared" ref="AZ30:AZ36" si="111">SUM(AQ30:AY30)</f>
        <v>0</v>
      </c>
      <c r="BA30" s="7"/>
      <c r="BB30" s="7"/>
      <c r="BC30" s="7"/>
      <c r="BD30" s="7"/>
      <c r="BE30" s="7"/>
      <c r="BF30" s="7"/>
      <c r="BG30" s="7"/>
      <c r="BH30" s="7"/>
      <c r="BI30" s="7"/>
      <c r="BJ30" s="7"/>
      <c r="BK30" s="7"/>
      <c r="BL30" s="7"/>
      <c r="BM30" s="7"/>
      <c r="BN30" s="7"/>
      <c r="BO30" s="8">
        <f t="shared" ref="BO30:BO36" si="112">SUM(BA30:BN30)</f>
        <v>0</v>
      </c>
      <c r="BP30" s="8"/>
      <c r="BQ30" s="8"/>
      <c r="BR30" s="8"/>
      <c r="BS30" s="8">
        <f t="shared" ref="BS30:BS36" si="113">BO30+BP30+BQ30+BR30</f>
        <v>0</v>
      </c>
      <c r="BT30" s="230">
        <f t="shared" si="12"/>
        <v>2019674.764</v>
      </c>
      <c r="BU30" s="17"/>
      <c r="BV30" s="17"/>
    </row>
    <row r="31" spans="1:74" x14ac:dyDescent="0.25">
      <c r="A31" s="218" t="s">
        <v>357</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196">
        <f t="shared" si="110"/>
        <v>0</v>
      </c>
      <c r="AQ31" s="8"/>
      <c r="AR31" s="8"/>
      <c r="AS31" s="8"/>
      <c r="AT31" s="7"/>
      <c r="AU31" s="7"/>
      <c r="AV31" s="7"/>
      <c r="AW31" s="7"/>
      <c r="AX31" s="7"/>
      <c r="AY31" s="7"/>
      <c r="AZ31" s="196">
        <f t="shared" si="111"/>
        <v>0</v>
      </c>
      <c r="BA31" s="7"/>
      <c r="BB31" s="7"/>
      <c r="BC31" s="7"/>
      <c r="BD31" s="7"/>
      <c r="BE31" s="7"/>
      <c r="BF31" s="7"/>
      <c r="BG31" s="7"/>
      <c r="BH31" s="7"/>
      <c r="BI31" s="7"/>
      <c r="BJ31" s="7"/>
      <c r="BK31" s="7"/>
      <c r="BL31" s="7"/>
      <c r="BM31" s="7"/>
      <c r="BN31" s="7"/>
      <c r="BO31" s="8">
        <f t="shared" si="112"/>
        <v>0</v>
      </c>
      <c r="BP31" s="8"/>
      <c r="BQ31" s="8"/>
      <c r="BR31" s="8"/>
      <c r="BS31" s="8">
        <f t="shared" si="113"/>
        <v>0</v>
      </c>
      <c r="BT31" s="230">
        <f t="shared" si="12"/>
        <v>0</v>
      </c>
    </row>
    <row r="32" spans="1:74" x14ac:dyDescent="0.25">
      <c r="A32" s="218" t="s">
        <v>358</v>
      </c>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196">
        <f t="shared" si="110"/>
        <v>0</v>
      </c>
      <c r="AQ32" s="8"/>
      <c r="AR32" s="8"/>
      <c r="AS32" s="8"/>
      <c r="AT32" s="7"/>
      <c r="AU32" s="7"/>
      <c r="AV32" s="7"/>
      <c r="AW32" s="7"/>
      <c r="AX32" s="7"/>
      <c r="AY32" s="7"/>
      <c r="AZ32" s="196">
        <f t="shared" si="111"/>
        <v>0</v>
      </c>
      <c r="BA32" s="7"/>
      <c r="BB32" s="7"/>
      <c r="BC32" s="7"/>
      <c r="BD32" s="7"/>
      <c r="BE32" s="7"/>
      <c r="BF32" s="7"/>
      <c r="BG32" s="7"/>
      <c r="BH32" s="7"/>
      <c r="BI32" s="7"/>
      <c r="BJ32" s="7"/>
      <c r="BK32" s="7"/>
      <c r="BL32" s="7"/>
      <c r="BM32" s="7"/>
      <c r="BN32" s="7"/>
      <c r="BO32" s="8">
        <f t="shared" si="112"/>
        <v>0</v>
      </c>
      <c r="BP32" s="8"/>
      <c r="BQ32" s="8"/>
      <c r="BR32" s="8"/>
      <c r="BS32" s="8">
        <f t="shared" si="113"/>
        <v>0</v>
      </c>
      <c r="BT32" s="230">
        <f t="shared" si="12"/>
        <v>0</v>
      </c>
    </row>
    <row r="33" spans="1:72" x14ac:dyDescent="0.25">
      <c r="A33" s="218" t="s">
        <v>359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196">
        <f t="shared" si="110"/>
        <v>0</v>
      </c>
      <c r="AQ33" s="8"/>
      <c r="AR33" s="8"/>
      <c r="AS33" s="8"/>
      <c r="AT33" s="7"/>
      <c r="AU33" s="7"/>
      <c r="AV33" s="7"/>
      <c r="AW33" s="7"/>
      <c r="AX33" s="7"/>
      <c r="AY33" s="7"/>
      <c r="AZ33" s="196">
        <f t="shared" si="111"/>
        <v>0</v>
      </c>
      <c r="BA33" s="7"/>
      <c r="BB33" s="7"/>
      <c r="BC33" s="7"/>
      <c r="BD33" s="7"/>
      <c r="BE33" s="7"/>
      <c r="BF33" s="7"/>
      <c r="BG33" s="7"/>
      <c r="BH33" s="7"/>
      <c r="BI33" s="7"/>
      <c r="BJ33" s="7"/>
      <c r="BK33" s="7"/>
      <c r="BL33" s="7"/>
      <c r="BM33" s="7"/>
      <c r="BN33" s="7"/>
      <c r="BO33" s="8">
        <f t="shared" si="112"/>
        <v>0</v>
      </c>
      <c r="BP33" s="8"/>
      <c r="BQ33" s="8"/>
      <c r="BR33" s="8"/>
      <c r="BS33" s="8">
        <f t="shared" si="113"/>
        <v>0</v>
      </c>
      <c r="BT33" s="230">
        <f t="shared" si="12"/>
        <v>0</v>
      </c>
    </row>
    <row r="34" spans="1:72" x14ac:dyDescent="0.25">
      <c r="A34" s="218" t="s">
        <v>360</v>
      </c>
      <c r="B34" s="7">
        <f>SUM(Tervezőönkorm.!E263)</f>
        <v>0</v>
      </c>
      <c r="C34" s="7"/>
      <c r="D34" s="7"/>
      <c r="E34" s="7"/>
      <c r="F34" s="7"/>
      <c r="G34" s="7"/>
      <c r="H34" s="7"/>
      <c r="I34" s="7">
        <f>SUM(Tervezőönkorm.!AN263)</f>
        <v>0</v>
      </c>
      <c r="J34" s="7">
        <f>SUM(Tervezőönkorm.!AR263)</f>
        <v>698</v>
      </c>
      <c r="K34" s="7"/>
      <c r="L34" s="7">
        <f>SUM(Tervezőönkorm.!S263)</f>
        <v>0</v>
      </c>
      <c r="M34" s="7">
        <f>SUM(Tervezőönkorm.!W263)</f>
        <v>0</v>
      </c>
      <c r="N34" s="7">
        <f>SUM(Tervezőönkorm.!BC263)</f>
        <v>4000</v>
      </c>
      <c r="O34" s="7">
        <f>SUM(Tervezőönkorm.!BI263)</f>
        <v>0</v>
      </c>
      <c r="P34" s="7"/>
      <c r="Q34" s="7">
        <f>SUM(Tervezőönkorm.!CI263)</f>
        <v>0</v>
      </c>
      <c r="R34" s="7">
        <f>SUM(Tervezőönkorm.!BM263)</f>
        <v>0</v>
      </c>
      <c r="S34" s="7"/>
      <c r="T34" s="7">
        <f>SUM(Tervezőönkorm.!BR263)</f>
        <v>0</v>
      </c>
      <c r="U34" s="7">
        <f>SUM(Tervezőönkorm.!BU263)</f>
        <v>0</v>
      </c>
      <c r="V34" s="7"/>
      <c r="W34" s="7">
        <f>SUM(Tervezőönkorm.!CD263)</f>
        <v>0</v>
      </c>
      <c r="X34" s="7"/>
      <c r="Y34" s="7">
        <f>SUM(Tervezőönkorm.!CS263)</f>
        <v>0</v>
      </c>
      <c r="Z34" s="7"/>
      <c r="AA34" s="7">
        <f>SUM(Tervezőönkorm.!CW263)</f>
        <v>0</v>
      </c>
      <c r="AB34" s="7"/>
      <c r="AC34" s="7">
        <v>0</v>
      </c>
      <c r="AD34" s="7"/>
      <c r="AE34" s="7"/>
      <c r="AF34" s="7"/>
      <c r="AG34" s="7"/>
      <c r="AH34" s="7"/>
      <c r="AI34" s="7">
        <f>SUM(Tervezőönkorm.!DU263)</f>
        <v>0</v>
      </c>
      <c r="AJ34" s="7">
        <f>SUM(Tervezőönkorm.!AA263)</f>
        <v>0</v>
      </c>
      <c r="AK34" s="7"/>
      <c r="AL34" s="7">
        <f>SUM(Tervezőönkorm.!DG263)</f>
        <v>0</v>
      </c>
      <c r="AM34" s="7">
        <f>SUM(Tervezőönkorm.!EA263)</f>
        <v>0</v>
      </c>
      <c r="AN34" s="7"/>
      <c r="AO34" s="7">
        <f>SUM(Tervezőönkorm.!EK263)</f>
        <v>0</v>
      </c>
      <c r="AP34" s="196">
        <f t="shared" si="110"/>
        <v>4698</v>
      </c>
      <c r="AQ34" s="8"/>
      <c r="AR34" s="8"/>
      <c r="AS34" s="8"/>
      <c r="AT34" s="7">
        <f>Tervezőhiv.!R278</f>
        <v>0</v>
      </c>
      <c r="AU34" s="7">
        <f>Tervezőhiv.!V278</f>
        <v>0</v>
      </c>
      <c r="AV34" s="7">
        <f>Tervezőhiv.!AE278</f>
        <v>0</v>
      </c>
      <c r="AW34" s="7">
        <f>Tervezőhiv.!Z278</f>
        <v>0</v>
      </c>
      <c r="AX34" s="7">
        <f>Tervezőhiv.!AL278</f>
        <v>0</v>
      </c>
      <c r="AY34" s="7">
        <f>Tervezőhiv.!AS278</f>
        <v>0</v>
      </c>
      <c r="AZ34" s="196">
        <f t="shared" si="111"/>
        <v>0</v>
      </c>
      <c r="BA34" s="7"/>
      <c r="BB34" s="7"/>
      <c r="BC34" s="7"/>
      <c r="BD34" s="7"/>
      <c r="BE34" s="7"/>
      <c r="BF34" s="7"/>
      <c r="BG34" s="7"/>
      <c r="BH34" s="7"/>
      <c r="BI34" s="7"/>
      <c r="BJ34" s="7"/>
      <c r="BK34" s="7"/>
      <c r="BL34" s="7"/>
      <c r="BM34" s="7"/>
      <c r="BN34" s="7"/>
      <c r="BO34" s="8">
        <f t="shared" si="112"/>
        <v>0</v>
      </c>
      <c r="BP34" s="8"/>
      <c r="BQ34" s="8">
        <v>1596807</v>
      </c>
      <c r="BR34" s="8"/>
      <c r="BS34" s="8">
        <f t="shared" si="113"/>
        <v>1596807</v>
      </c>
      <c r="BT34" s="230">
        <f t="shared" si="12"/>
        <v>1601505</v>
      </c>
    </row>
    <row r="35" spans="1:72" x14ac:dyDescent="0.25">
      <c r="A35" s="218" t="s">
        <v>361</v>
      </c>
      <c r="B35" s="7">
        <f>SUM(Tervezőönkorm.!E274)</f>
        <v>0</v>
      </c>
      <c r="C35" s="7"/>
      <c r="D35" s="7"/>
      <c r="E35" s="7"/>
      <c r="F35" s="7"/>
      <c r="G35" s="7"/>
      <c r="H35" s="7"/>
      <c r="I35" s="7">
        <f>SUM(Tervezőönkorm.!AN274)</f>
        <v>8835936</v>
      </c>
      <c r="J35" s="7">
        <f>SUM(Tervezőönkorm.!AR274)</f>
        <v>0</v>
      </c>
      <c r="K35" s="7"/>
      <c r="L35" s="7">
        <f>SUM(Tervezőönkorm.!S274)</f>
        <v>0</v>
      </c>
      <c r="M35" s="7">
        <f>SUM(Tervezőönkorm.!W274)</f>
        <v>0</v>
      </c>
      <c r="N35" s="7">
        <f>SUM(Tervezőönkorm.!BC274)</f>
        <v>0</v>
      </c>
      <c r="O35" s="7">
        <f>SUM(Tervezőönkorm.!BI274)</f>
        <v>0</v>
      </c>
      <c r="P35" s="7"/>
      <c r="Q35" s="7">
        <f>SUM(Tervezőönkorm.!CI274)</f>
        <v>0</v>
      </c>
      <c r="R35" s="7">
        <f>SUM(Tervezőönkorm.!BM274)</f>
        <v>0</v>
      </c>
      <c r="S35" s="7"/>
      <c r="T35" s="7">
        <f>SUM(Tervezőönkorm.!BR274)</f>
        <v>0</v>
      </c>
      <c r="U35" s="7">
        <f>SUM(Tervezőönkorm.!BU274)</f>
        <v>0</v>
      </c>
      <c r="V35" s="7"/>
      <c r="W35" s="7">
        <f>SUM(Tervezőönkorm.!CD274)</f>
        <v>0</v>
      </c>
      <c r="X35" s="7"/>
      <c r="Y35" s="7">
        <f>SUM(Tervezőönkorm.!CS274)</f>
        <v>0</v>
      </c>
      <c r="Z35" s="7"/>
      <c r="AA35" s="7">
        <f>SUM(Tervezőönkorm.!CW274)</f>
        <v>0</v>
      </c>
      <c r="AB35" s="7"/>
      <c r="AC35" s="7"/>
      <c r="AD35" s="7"/>
      <c r="AE35" s="7"/>
      <c r="AF35" s="7"/>
      <c r="AG35" s="7"/>
      <c r="AH35" s="7"/>
      <c r="AI35" s="7">
        <f>SUM(Tervezőönkorm.!DU274)</f>
        <v>0</v>
      </c>
      <c r="AJ35" s="7">
        <f>SUM(Tervezőönkorm.!AA274)</f>
        <v>0</v>
      </c>
      <c r="AK35" s="7"/>
      <c r="AL35" s="7">
        <f>SUM(Tervezőönkorm.!DG274)</f>
        <v>0</v>
      </c>
      <c r="AM35" s="7">
        <f>SUM(Tervezőönkorm.!EA274)</f>
        <v>0</v>
      </c>
      <c r="AN35" s="7"/>
      <c r="AO35" s="7">
        <f>SUM(Tervezőönkorm.!EK274)</f>
        <v>0</v>
      </c>
      <c r="AP35" s="196">
        <f t="shared" si="110"/>
        <v>8835936</v>
      </c>
      <c r="AQ35" s="8"/>
      <c r="AR35" s="8"/>
      <c r="AS35" s="8"/>
      <c r="AT35" s="7">
        <f>Tervezőhiv.!R285</f>
        <v>0</v>
      </c>
      <c r="AU35" s="7">
        <f>Tervezőhiv.!V285</f>
        <v>0</v>
      </c>
      <c r="AV35" s="7">
        <f>Tervezőhiv.!AE285</f>
        <v>0</v>
      </c>
      <c r="AW35" s="7">
        <f>Tervezőhiv.!Z285</f>
        <v>0</v>
      </c>
      <c r="AX35" s="7">
        <f>Tervezőhiv.!AL285</f>
        <v>0</v>
      </c>
      <c r="AY35" s="7">
        <f>Tervezőhiv.!AS285</f>
        <v>35000</v>
      </c>
      <c r="AZ35" s="196">
        <f t="shared" si="111"/>
        <v>35000</v>
      </c>
      <c r="BA35" s="7"/>
      <c r="BB35" s="7"/>
      <c r="BC35" s="7"/>
      <c r="BD35" s="7"/>
      <c r="BE35" s="7"/>
      <c r="BF35" s="7"/>
      <c r="BG35" s="7"/>
      <c r="BH35" s="7"/>
      <c r="BI35" s="7"/>
      <c r="BJ35" s="7"/>
      <c r="BK35" s="7"/>
      <c r="BL35" s="7"/>
      <c r="BM35" s="7"/>
      <c r="BN35" s="7"/>
      <c r="BO35" s="8">
        <f t="shared" si="112"/>
        <v>0</v>
      </c>
      <c r="BP35" s="8"/>
      <c r="BQ35" s="8"/>
      <c r="BR35" s="8"/>
      <c r="BS35" s="8">
        <f t="shared" si="113"/>
        <v>0</v>
      </c>
      <c r="BT35" s="230">
        <f t="shared" si="12"/>
        <v>8870936</v>
      </c>
    </row>
    <row r="36" spans="1:72" x14ac:dyDescent="0.25">
      <c r="A36" s="218" t="s">
        <v>362</v>
      </c>
      <c r="B36" s="7">
        <f>SUM(Tervezőönkorm.!E312)</f>
        <v>0</v>
      </c>
      <c r="C36" s="7"/>
      <c r="D36" s="7"/>
      <c r="E36" s="7"/>
      <c r="F36" s="7"/>
      <c r="G36" s="7"/>
      <c r="H36" s="7"/>
      <c r="I36" s="7">
        <f>SUM(Tervezőönkorm.!AN312)</f>
        <v>0</v>
      </c>
      <c r="J36" s="7">
        <f>SUM(Tervezőönkorm.!AR312)</f>
        <v>0</v>
      </c>
      <c r="K36" s="7"/>
      <c r="L36" s="7">
        <f>SUM(Tervezőönkorm.!S312)</f>
        <v>0</v>
      </c>
      <c r="M36" s="7">
        <f>SUM(Tervezőönkorm.!W312)</f>
        <v>5698</v>
      </c>
      <c r="N36" s="7">
        <f>SUM(Tervezőönkorm.!BC312)</f>
        <v>0</v>
      </c>
      <c r="O36" s="7">
        <f>SUM(Tervezőönkorm.!BI312)</f>
        <v>1315610</v>
      </c>
      <c r="P36" s="7"/>
      <c r="Q36" s="7">
        <f>SUM(Tervezőönkorm.!CI312)</f>
        <v>0</v>
      </c>
      <c r="R36" s="7">
        <f>SUM(Tervezőönkorm.!BM312)</f>
        <v>300000</v>
      </c>
      <c r="S36" s="7"/>
      <c r="T36" s="7">
        <f>SUM(Tervezőönkorm.!BR312)</f>
        <v>0</v>
      </c>
      <c r="U36" s="7">
        <f>SUM(Tervezőönkorm.!BU312)</f>
        <v>71954</v>
      </c>
      <c r="V36" s="7"/>
      <c r="W36" s="7">
        <f>SUM(Tervezőönkorm.!CD312)</f>
        <v>0</v>
      </c>
      <c r="X36" s="7">
        <f>'bevétel 11601 cím '!B9</f>
        <v>86583</v>
      </c>
      <c r="Y36" s="7">
        <f>SUM(Tervezőönkorm.!CS312)</f>
        <v>0</v>
      </c>
      <c r="Z36" s="7"/>
      <c r="AA36" s="7">
        <f>SUM(Tervezőönkorm.!CW312)</f>
        <v>0</v>
      </c>
      <c r="AB36" s="7"/>
      <c r="AC36" s="7">
        <f>'bevétel 11602'!B24</f>
        <v>1940600</v>
      </c>
      <c r="AD36" s="7"/>
      <c r="AE36" s="7"/>
      <c r="AF36" s="7"/>
      <c r="AG36" s="7"/>
      <c r="AH36" s="7"/>
      <c r="AI36" s="7">
        <f>SUM(Tervezőönkorm.!DU312)</f>
        <v>0</v>
      </c>
      <c r="AJ36" s="7">
        <f>SUM(Tervezőönkorm.!AA312)</f>
        <v>0</v>
      </c>
      <c r="AK36" s="7"/>
      <c r="AL36" s="7">
        <f>SUM(Tervezőönkorm.!DG312)</f>
        <v>0</v>
      </c>
      <c r="AM36" s="7">
        <f>SUM(Tervezőönkorm.!EA312)</f>
        <v>76446</v>
      </c>
      <c r="AN36" s="7"/>
      <c r="AO36" s="7">
        <f>SUM(Tervezőönkorm.!EK312)</f>
        <v>0</v>
      </c>
      <c r="AP36" s="196">
        <f t="shared" si="110"/>
        <v>3796891</v>
      </c>
      <c r="AQ36" s="8"/>
      <c r="AR36" s="8"/>
      <c r="AS36" s="8"/>
      <c r="AT36" s="7">
        <f>Tervezőhiv.!R292</f>
        <v>4000</v>
      </c>
      <c r="AU36" s="7">
        <f>Tervezőhiv.!V292</f>
        <v>0</v>
      </c>
      <c r="AV36" s="7">
        <f>Tervezőhiv.!AE292</f>
        <v>0</v>
      </c>
      <c r="AW36" s="7">
        <f>Tervezőhiv.!Z292</f>
        <v>0</v>
      </c>
      <c r="AX36" s="7">
        <f>Tervezőhiv.!AL292</f>
        <v>0</v>
      </c>
      <c r="AY36" s="7">
        <f>Tervezőhiv.!AS292</f>
        <v>0</v>
      </c>
      <c r="AZ36" s="196">
        <f t="shared" si="111"/>
        <v>4000</v>
      </c>
      <c r="BA36" s="7"/>
      <c r="BB36" s="7">
        <v>40000</v>
      </c>
      <c r="BC36" s="7"/>
      <c r="BD36" s="7"/>
      <c r="BE36" s="7"/>
      <c r="BF36" s="7"/>
      <c r="BG36" s="7">
        <v>24616</v>
      </c>
      <c r="BH36" s="7">
        <v>6121</v>
      </c>
      <c r="BI36" s="7">
        <v>2262</v>
      </c>
      <c r="BJ36" s="7">
        <v>13640</v>
      </c>
      <c r="BK36" s="7"/>
      <c r="BL36" s="7"/>
      <c r="BM36" s="7"/>
      <c r="BN36" s="7">
        <v>73174</v>
      </c>
      <c r="BO36" s="8">
        <f t="shared" si="112"/>
        <v>159813</v>
      </c>
      <c r="BP36" s="8">
        <v>48830</v>
      </c>
      <c r="BQ36" s="8">
        <v>6815</v>
      </c>
      <c r="BR36" s="8"/>
      <c r="BS36" s="8">
        <f t="shared" si="113"/>
        <v>215458</v>
      </c>
      <c r="BT36" s="230">
        <f t="shared" si="12"/>
        <v>4016349</v>
      </c>
    </row>
    <row r="37" spans="1:72" s="13" customFormat="1" x14ac:dyDescent="0.25">
      <c r="A37" s="219" t="s">
        <v>363</v>
      </c>
      <c r="B37" s="6">
        <f>B38+B39</f>
        <v>0</v>
      </c>
      <c r="C37" s="6">
        <f t="shared" ref="C37:AZ37" si="114">C38+C39</f>
        <v>0</v>
      </c>
      <c r="D37" s="6">
        <f t="shared" si="114"/>
        <v>0</v>
      </c>
      <c r="E37" s="6">
        <f t="shared" si="114"/>
        <v>0</v>
      </c>
      <c r="F37" s="6">
        <f t="shared" si="114"/>
        <v>0</v>
      </c>
      <c r="G37" s="6">
        <f t="shared" si="114"/>
        <v>0</v>
      </c>
      <c r="H37" s="6">
        <f t="shared" si="114"/>
        <v>0</v>
      </c>
      <c r="I37" s="6">
        <f>I38+I39</f>
        <v>0</v>
      </c>
      <c r="J37" s="6">
        <f t="shared" si="114"/>
        <v>0</v>
      </c>
      <c r="K37" s="6">
        <f t="shared" si="114"/>
        <v>0</v>
      </c>
      <c r="L37" s="6">
        <f>L38+L39</f>
        <v>0</v>
      </c>
      <c r="M37" s="6">
        <f>M38+M39</f>
        <v>0</v>
      </c>
      <c r="N37" s="6">
        <f>N38+N39</f>
        <v>0</v>
      </c>
      <c r="O37" s="6">
        <f>O38+O39</f>
        <v>0</v>
      </c>
      <c r="P37" s="6">
        <f t="shared" ref="P37:V37" si="115">P38+P39</f>
        <v>0</v>
      </c>
      <c r="Q37" s="6">
        <f>Q38+Q39</f>
        <v>0</v>
      </c>
      <c r="R37" s="6">
        <f>R38+R39</f>
        <v>0</v>
      </c>
      <c r="S37" s="6">
        <f t="shared" si="115"/>
        <v>0</v>
      </c>
      <c r="T37" s="6">
        <f>T38+T39</f>
        <v>0</v>
      </c>
      <c r="U37" s="6">
        <f>U38+U39</f>
        <v>0</v>
      </c>
      <c r="V37" s="6">
        <f t="shared" si="115"/>
        <v>0</v>
      </c>
      <c r="W37" s="6">
        <f>W38+W39</f>
        <v>0</v>
      </c>
      <c r="X37" s="6">
        <f t="shared" si="114"/>
        <v>0</v>
      </c>
      <c r="Y37" s="6">
        <f>Y38+Y39</f>
        <v>25000</v>
      </c>
      <c r="Z37" s="6">
        <f t="shared" ref="Z37" si="116">Z38+Z39</f>
        <v>0</v>
      </c>
      <c r="AA37" s="6">
        <f>AA38+AA39</f>
        <v>110000</v>
      </c>
      <c r="AB37" s="6">
        <f t="shared" ref="AB37" si="117">AB38+AB39</f>
        <v>0</v>
      </c>
      <c r="AC37" s="6">
        <f t="shared" si="114"/>
        <v>0</v>
      </c>
      <c r="AD37" s="6">
        <f t="shared" si="114"/>
        <v>0</v>
      </c>
      <c r="AE37" s="6">
        <f t="shared" si="114"/>
        <v>0</v>
      </c>
      <c r="AF37" s="6">
        <f t="shared" si="114"/>
        <v>0</v>
      </c>
      <c r="AG37" s="6">
        <f t="shared" ref="AG37" si="118">AG38+AG39</f>
        <v>0</v>
      </c>
      <c r="AH37" s="6">
        <f t="shared" ref="AH37:AN37" si="119">AH38+AH39</f>
        <v>0</v>
      </c>
      <c r="AI37" s="6">
        <f>AI38+AI39</f>
        <v>0</v>
      </c>
      <c r="AJ37" s="6">
        <f>AJ38+AJ39</f>
        <v>0</v>
      </c>
      <c r="AK37" s="6">
        <f t="shared" si="119"/>
        <v>0</v>
      </c>
      <c r="AL37" s="6">
        <f>AL38+AL39</f>
        <v>0</v>
      </c>
      <c r="AM37" s="6">
        <f>AM38+AM39</f>
        <v>0</v>
      </c>
      <c r="AN37" s="6">
        <f t="shared" si="119"/>
        <v>0</v>
      </c>
      <c r="AO37" s="6">
        <f>AO38+AO39</f>
        <v>0</v>
      </c>
      <c r="AP37" s="197">
        <f t="shared" si="114"/>
        <v>135000</v>
      </c>
      <c r="AQ37" s="6">
        <f t="shared" si="114"/>
        <v>0</v>
      </c>
      <c r="AR37" s="6">
        <f t="shared" ref="AR37:AU37" si="120">AR38+AR39</f>
        <v>0</v>
      </c>
      <c r="AS37" s="6">
        <f t="shared" si="120"/>
        <v>0</v>
      </c>
      <c r="AT37" s="6">
        <f t="shared" si="120"/>
        <v>0</v>
      </c>
      <c r="AU37" s="6">
        <f t="shared" si="120"/>
        <v>0</v>
      </c>
      <c r="AV37" s="6">
        <f t="shared" ref="AV37:AW37" si="121">AV38+AV39</f>
        <v>0</v>
      </c>
      <c r="AW37" s="6">
        <f t="shared" si="121"/>
        <v>0</v>
      </c>
      <c r="AX37" s="6">
        <f t="shared" ref="AX37:AY37" si="122">AX38+AX39</f>
        <v>0</v>
      </c>
      <c r="AY37" s="6">
        <f t="shared" si="122"/>
        <v>0</v>
      </c>
      <c r="AZ37" s="197">
        <f t="shared" si="114"/>
        <v>0</v>
      </c>
      <c r="BA37" s="6">
        <f>BA38+BA39</f>
        <v>0</v>
      </c>
      <c r="BB37" s="6">
        <f t="shared" ref="BB37:BN37" si="123">BB38+BB39</f>
        <v>0</v>
      </c>
      <c r="BC37" s="6">
        <f t="shared" si="123"/>
        <v>0</v>
      </c>
      <c r="BD37" s="6">
        <f t="shared" si="123"/>
        <v>0</v>
      </c>
      <c r="BE37" s="6">
        <f t="shared" ref="BE37" si="124">BE38+BE39</f>
        <v>0</v>
      </c>
      <c r="BF37" s="6">
        <f t="shared" si="123"/>
        <v>0</v>
      </c>
      <c r="BG37" s="6">
        <f t="shared" si="123"/>
        <v>0</v>
      </c>
      <c r="BH37" s="6">
        <f t="shared" si="123"/>
        <v>0</v>
      </c>
      <c r="BI37" s="6">
        <f t="shared" si="123"/>
        <v>0</v>
      </c>
      <c r="BJ37" s="6">
        <f t="shared" si="123"/>
        <v>0</v>
      </c>
      <c r="BK37" s="6">
        <f t="shared" si="123"/>
        <v>0</v>
      </c>
      <c r="BL37" s="6">
        <f t="shared" si="123"/>
        <v>0</v>
      </c>
      <c r="BM37" s="6">
        <f t="shared" si="123"/>
        <v>0</v>
      </c>
      <c r="BN37" s="6">
        <f t="shared" si="123"/>
        <v>0</v>
      </c>
      <c r="BO37" s="6">
        <f>BO38+BO39</f>
        <v>0</v>
      </c>
      <c r="BP37" s="6">
        <f>BP38+BP39</f>
        <v>0</v>
      </c>
      <c r="BQ37" s="6">
        <f t="shared" ref="BQ37:BR37" si="125">BQ38+BQ39</f>
        <v>0</v>
      </c>
      <c r="BR37" s="6">
        <f t="shared" si="125"/>
        <v>0</v>
      </c>
      <c r="BS37" s="6">
        <f>BS38+BS39</f>
        <v>0</v>
      </c>
      <c r="BT37" s="230">
        <f t="shared" si="12"/>
        <v>135000</v>
      </c>
    </row>
    <row r="38" spans="1:72" x14ac:dyDescent="0.25">
      <c r="A38" s="218" t="s">
        <v>364</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196">
        <f>SUM(B38:AO38)</f>
        <v>0</v>
      </c>
      <c r="AQ38" s="8"/>
      <c r="AR38" s="8"/>
      <c r="AS38" s="8"/>
      <c r="AT38" s="7"/>
      <c r="AU38" s="7"/>
      <c r="AV38" s="7"/>
      <c r="AW38" s="7"/>
      <c r="AX38" s="7"/>
      <c r="AY38" s="7"/>
      <c r="AZ38" s="196">
        <f>SUM(AQ38:AY38)</f>
        <v>0</v>
      </c>
      <c r="BA38" s="7"/>
      <c r="BB38" s="7"/>
      <c r="BC38" s="7"/>
      <c r="BD38" s="7"/>
      <c r="BE38" s="7"/>
      <c r="BF38" s="7"/>
      <c r="BG38" s="7"/>
      <c r="BH38" s="7"/>
      <c r="BI38" s="7"/>
      <c r="BJ38" s="7"/>
      <c r="BK38" s="7"/>
      <c r="BL38" s="7"/>
      <c r="BM38" s="7"/>
      <c r="BN38" s="7"/>
      <c r="BO38" s="8">
        <f>SUM(BA38:BN38)</f>
        <v>0</v>
      </c>
      <c r="BP38" s="8"/>
      <c r="BQ38" s="8"/>
      <c r="BR38" s="8"/>
      <c r="BS38" s="8">
        <f>BO38+BP38+BQ38+BR38</f>
        <v>0</v>
      </c>
      <c r="BT38" s="230">
        <f t="shared" ref="BT38:BT69" si="126">AP38+AZ38+BS38</f>
        <v>0</v>
      </c>
    </row>
    <row r="39" spans="1:72" x14ac:dyDescent="0.25">
      <c r="A39" s="218" t="s">
        <v>365</v>
      </c>
      <c r="B39" s="7">
        <f>SUM(Tervezőönkorm.!E317)</f>
        <v>0</v>
      </c>
      <c r="C39" s="7"/>
      <c r="D39" s="7"/>
      <c r="E39" s="7"/>
      <c r="F39" s="7"/>
      <c r="G39" s="7"/>
      <c r="H39" s="7"/>
      <c r="I39" s="7">
        <f>SUM(Tervezőönkorm.!AN317)</f>
        <v>0</v>
      </c>
      <c r="J39" s="7">
        <f>SUM(Tervezőönkorm.!AR317)</f>
        <v>0</v>
      </c>
      <c r="K39" s="7"/>
      <c r="L39" s="7">
        <f>SUM(Tervezőönkorm.!S317)</f>
        <v>0</v>
      </c>
      <c r="M39" s="7">
        <f>SUM(Tervezőönkorm.!W317)</f>
        <v>0</v>
      </c>
      <c r="N39" s="7">
        <f>SUM(Tervezőönkorm.!BC317)</f>
        <v>0</v>
      </c>
      <c r="O39" s="7">
        <f>SUM(Tervezőönkorm.!BI317)</f>
        <v>0</v>
      </c>
      <c r="P39" s="7"/>
      <c r="Q39" s="7">
        <f>SUM(Tervezőönkorm.!CI317)</f>
        <v>0</v>
      </c>
      <c r="R39" s="7">
        <f>SUM(Tervezőönkorm.!BM317)</f>
        <v>0</v>
      </c>
      <c r="S39" s="7"/>
      <c r="T39" s="7">
        <f>SUM(Tervezőönkorm.!BR317)</f>
        <v>0</v>
      </c>
      <c r="U39" s="7">
        <f>SUM(Tervezőönkorm.!BU317)</f>
        <v>0</v>
      </c>
      <c r="V39" s="7"/>
      <c r="W39" s="7">
        <f>SUM(Tervezőönkorm.!CD317)</f>
        <v>0</v>
      </c>
      <c r="X39" s="7"/>
      <c r="Y39" s="7">
        <f>SUM(Tervezőönkorm.!CS317)</f>
        <v>25000</v>
      </c>
      <c r="Z39" s="7"/>
      <c r="AA39" s="7">
        <f>SUM(Tervezőönkorm.!CW317)</f>
        <v>110000</v>
      </c>
      <c r="AB39" s="7"/>
      <c r="AC39" s="7"/>
      <c r="AD39" s="7"/>
      <c r="AE39" s="7"/>
      <c r="AF39" s="7"/>
      <c r="AG39" s="7"/>
      <c r="AH39" s="7"/>
      <c r="AI39" s="7">
        <f>SUM(Tervezőönkorm.!DU317)</f>
        <v>0</v>
      </c>
      <c r="AJ39" s="7">
        <f>SUM(Tervezőönkorm.!AA317)</f>
        <v>0</v>
      </c>
      <c r="AK39" s="7"/>
      <c r="AL39" s="7">
        <f>SUM(Tervezőönkorm.!DG317)</f>
        <v>0</v>
      </c>
      <c r="AM39" s="7">
        <f>SUM(Tervezőönkorm.!EA317)</f>
        <v>0</v>
      </c>
      <c r="AN39" s="7"/>
      <c r="AO39" s="7">
        <f>SUM(Tervezőönkorm.!EK317)</f>
        <v>0</v>
      </c>
      <c r="AP39" s="196">
        <f>SUM(B39:AO39)</f>
        <v>135000</v>
      </c>
      <c r="AQ39" s="8"/>
      <c r="AR39" s="8"/>
      <c r="AS39" s="8"/>
      <c r="AT39" s="7">
        <f>Tervezőhiv.!R299</f>
        <v>0</v>
      </c>
      <c r="AU39" s="7">
        <f>Tervezőhiv.!V299</f>
        <v>0</v>
      </c>
      <c r="AV39" s="7">
        <f>Tervezőhiv.!AE299</f>
        <v>0</v>
      </c>
      <c r="AW39" s="7">
        <f>Tervezőhiv.!Z299</f>
        <v>0</v>
      </c>
      <c r="AX39" s="7">
        <f>Tervezőhiv.!AL299</f>
        <v>0</v>
      </c>
      <c r="AY39" s="7">
        <f>Tervezőhiv.!AS299</f>
        <v>0</v>
      </c>
      <c r="AZ39" s="196">
        <f>SUM(AQ39:AY39)</f>
        <v>0</v>
      </c>
      <c r="BA39" s="7"/>
      <c r="BB39" s="7"/>
      <c r="BC39" s="7"/>
      <c r="BD39" s="7"/>
      <c r="BE39" s="7"/>
      <c r="BF39" s="7"/>
      <c r="BG39" s="7"/>
      <c r="BH39" s="7"/>
      <c r="BI39" s="7"/>
      <c r="BJ39" s="7"/>
      <c r="BK39" s="7"/>
      <c r="BL39" s="7"/>
      <c r="BM39" s="7"/>
      <c r="BN39" s="7"/>
      <c r="BO39" s="8">
        <f>SUM(BA39:BN39)</f>
        <v>0</v>
      </c>
      <c r="BP39" s="8"/>
      <c r="BQ39" s="8"/>
      <c r="BR39" s="8"/>
      <c r="BS39" s="8">
        <f>BO39+BP39+BQ39+BR39</f>
        <v>0</v>
      </c>
      <c r="BT39" s="230">
        <f t="shared" si="126"/>
        <v>135000</v>
      </c>
    </row>
    <row r="40" spans="1:72" s="13" customFormat="1" x14ac:dyDescent="0.25">
      <c r="A40" s="219" t="s">
        <v>366</v>
      </c>
      <c r="B40" s="6">
        <f>B41+B46+B47+B48+B49</f>
        <v>0</v>
      </c>
      <c r="C40" s="6">
        <f t="shared" ref="C40:AZ40" si="127">C41+C46+C47+C48+C49</f>
        <v>0</v>
      </c>
      <c r="D40" s="6">
        <f t="shared" si="127"/>
        <v>0</v>
      </c>
      <c r="E40" s="6">
        <f t="shared" si="127"/>
        <v>0</v>
      </c>
      <c r="F40" s="6">
        <f t="shared" si="127"/>
        <v>0</v>
      </c>
      <c r="G40" s="6">
        <f t="shared" si="127"/>
        <v>0</v>
      </c>
      <c r="H40" s="6">
        <f t="shared" si="127"/>
        <v>0</v>
      </c>
      <c r="I40" s="6">
        <f>I41+I46+I47+I48+I49</f>
        <v>0</v>
      </c>
      <c r="J40" s="6">
        <f t="shared" si="127"/>
        <v>0</v>
      </c>
      <c r="K40" s="6">
        <f t="shared" si="127"/>
        <v>0</v>
      </c>
      <c r="L40" s="6">
        <f>L41+L46+L47+L48+L49</f>
        <v>0</v>
      </c>
      <c r="M40" s="6">
        <f>M41+M46+M47+M48+M49</f>
        <v>0</v>
      </c>
      <c r="N40" s="6">
        <f>N41+N46+N47+N48+N49</f>
        <v>0</v>
      </c>
      <c r="O40" s="6">
        <f>O41+O46+O47+O48+O49</f>
        <v>0</v>
      </c>
      <c r="P40" s="6">
        <f t="shared" ref="P40:V40" si="128">P41+P46+P47+P48+P49</f>
        <v>0</v>
      </c>
      <c r="Q40" s="6">
        <f>Q41+Q46+Q47+Q48+Q49</f>
        <v>0</v>
      </c>
      <c r="R40" s="6">
        <f>R41+R46+R47+R48+R49</f>
        <v>0</v>
      </c>
      <c r="S40" s="6">
        <f t="shared" si="128"/>
        <v>0</v>
      </c>
      <c r="T40" s="6">
        <f>T41+T46+T47+T48+T49</f>
        <v>0</v>
      </c>
      <c r="U40" s="6">
        <f>U41+U46+U47+U48+U49</f>
        <v>0</v>
      </c>
      <c r="V40" s="6">
        <f t="shared" si="128"/>
        <v>0</v>
      </c>
      <c r="W40" s="6">
        <f>W41+W46+W47+W48+W49</f>
        <v>0</v>
      </c>
      <c r="X40" s="6">
        <f t="shared" si="127"/>
        <v>0</v>
      </c>
      <c r="Y40" s="6">
        <f>Y41+Y46+Y47+Y48+Y49</f>
        <v>0</v>
      </c>
      <c r="Z40" s="6">
        <f t="shared" ref="Z40" si="129">Z41+Z46+Z47+Z48+Z49</f>
        <v>0</v>
      </c>
      <c r="AA40" s="6">
        <f>AA41+AA46+AA47+AA48+AA49</f>
        <v>0</v>
      </c>
      <c r="AB40" s="6">
        <f t="shared" ref="AB40" si="130">AB41+AB46+AB47+AB48+AB49</f>
        <v>0</v>
      </c>
      <c r="AC40" s="6">
        <f t="shared" si="127"/>
        <v>0</v>
      </c>
      <c r="AD40" s="6">
        <f t="shared" si="127"/>
        <v>0</v>
      </c>
      <c r="AE40" s="6">
        <f t="shared" si="127"/>
        <v>0</v>
      </c>
      <c r="AF40" s="6">
        <f t="shared" si="127"/>
        <v>0</v>
      </c>
      <c r="AG40" s="6">
        <f t="shared" ref="AG40" si="131">AG41+AG46+AG47+AG48+AG49</f>
        <v>0</v>
      </c>
      <c r="AH40" s="6">
        <f t="shared" ref="AH40:AN40" si="132">AH41+AH46+AH47+AH48+AH49</f>
        <v>0</v>
      </c>
      <c r="AI40" s="6">
        <f>AI41+AI46+AI47+AI48+AI49</f>
        <v>0</v>
      </c>
      <c r="AJ40" s="6">
        <f>AJ41+AJ46+AJ47+AJ48+AJ49</f>
        <v>0</v>
      </c>
      <c r="AK40" s="6">
        <f t="shared" si="132"/>
        <v>0</v>
      </c>
      <c r="AL40" s="6">
        <f>AL41+AL46+AL47+AL48+AL49</f>
        <v>0</v>
      </c>
      <c r="AM40" s="6">
        <f>AM41+AM46+AM47+AM48+AM49</f>
        <v>0</v>
      </c>
      <c r="AN40" s="6">
        <f t="shared" si="132"/>
        <v>0</v>
      </c>
      <c r="AO40" s="6">
        <f>AO41+AO46+AO47+AO48+AO49</f>
        <v>0</v>
      </c>
      <c r="AP40" s="197">
        <f t="shared" si="127"/>
        <v>0</v>
      </c>
      <c r="AQ40" s="6">
        <f t="shared" si="127"/>
        <v>0</v>
      </c>
      <c r="AR40" s="6">
        <f t="shared" ref="AR40:AU40" si="133">AR41+AR46+AR47+AR48+AR49</f>
        <v>0</v>
      </c>
      <c r="AS40" s="6">
        <f t="shared" si="133"/>
        <v>0</v>
      </c>
      <c r="AT40" s="6">
        <f t="shared" si="133"/>
        <v>0</v>
      </c>
      <c r="AU40" s="6">
        <f t="shared" si="133"/>
        <v>0</v>
      </c>
      <c r="AV40" s="6">
        <f t="shared" ref="AV40:AW40" si="134">AV41+AV46+AV47+AV48+AV49</f>
        <v>0</v>
      </c>
      <c r="AW40" s="6">
        <f t="shared" si="134"/>
        <v>0</v>
      </c>
      <c r="AX40" s="6">
        <f t="shared" ref="AX40:AY40" si="135">AX41+AX46+AX47+AX48+AX49</f>
        <v>0</v>
      </c>
      <c r="AY40" s="6">
        <f t="shared" si="135"/>
        <v>0</v>
      </c>
      <c r="AZ40" s="197">
        <f t="shared" si="127"/>
        <v>0</v>
      </c>
      <c r="BA40" s="6">
        <f>BA41+BA46+BA47+BA48+BA49</f>
        <v>0</v>
      </c>
      <c r="BB40" s="6">
        <f t="shared" ref="BB40:BN40" si="136">BB41+BB46+BB47+BB48+BB49</f>
        <v>0</v>
      </c>
      <c r="BC40" s="6">
        <f t="shared" si="136"/>
        <v>0</v>
      </c>
      <c r="BD40" s="6">
        <f t="shared" si="136"/>
        <v>0</v>
      </c>
      <c r="BE40" s="6">
        <f t="shared" ref="BE40" si="137">BE41+BE46+BE47+BE48+BE49</f>
        <v>0</v>
      </c>
      <c r="BF40" s="6">
        <f t="shared" si="136"/>
        <v>0</v>
      </c>
      <c r="BG40" s="6">
        <f t="shared" si="136"/>
        <v>0</v>
      </c>
      <c r="BH40" s="6">
        <f t="shared" si="136"/>
        <v>0</v>
      </c>
      <c r="BI40" s="6">
        <f t="shared" si="136"/>
        <v>0</v>
      </c>
      <c r="BJ40" s="6">
        <f t="shared" si="136"/>
        <v>0</v>
      </c>
      <c r="BK40" s="6">
        <f t="shared" si="136"/>
        <v>0</v>
      </c>
      <c r="BL40" s="6">
        <f t="shared" si="136"/>
        <v>0</v>
      </c>
      <c r="BM40" s="6">
        <f t="shared" si="136"/>
        <v>0</v>
      </c>
      <c r="BN40" s="6">
        <f t="shared" si="136"/>
        <v>0</v>
      </c>
      <c r="BO40" s="6">
        <f>BO41+BO46+BO47+BO48+BO49</f>
        <v>0</v>
      </c>
      <c r="BP40" s="6">
        <f>BP41+BP46+BP47+BP48+BP49</f>
        <v>0</v>
      </c>
      <c r="BQ40" s="6">
        <f t="shared" ref="BQ40:BR40" si="138">BQ41+BQ46+BQ47+BQ48+BQ49</f>
        <v>0</v>
      </c>
      <c r="BR40" s="6">
        <f t="shared" si="138"/>
        <v>0</v>
      </c>
      <c r="BS40" s="6">
        <f>BS41+BS46+BS47+BS48+BS49</f>
        <v>0</v>
      </c>
      <c r="BT40" s="230">
        <f t="shared" si="126"/>
        <v>0</v>
      </c>
    </row>
    <row r="41" spans="1:72" s="13" customFormat="1" ht="26.4" x14ac:dyDescent="0.25">
      <c r="A41" s="219" t="s">
        <v>367</v>
      </c>
      <c r="B41" s="6">
        <f>B42+B43+B44+B45</f>
        <v>0</v>
      </c>
      <c r="C41" s="6">
        <f t="shared" ref="C41:AZ41" si="139">C42+C43+C44+C45</f>
        <v>0</v>
      </c>
      <c r="D41" s="6">
        <f t="shared" si="139"/>
        <v>0</v>
      </c>
      <c r="E41" s="6">
        <f t="shared" si="139"/>
        <v>0</v>
      </c>
      <c r="F41" s="6">
        <f t="shared" si="139"/>
        <v>0</v>
      </c>
      <c r="G41" s="6">
        <f t="shared" si="139"/>
        <v>0</v>
      </c>
      <c r="H41" s="6">
        <f t="shared" si="139"/>
        <v>0</v>
      </c>
      <c r="I41" s="6">
        <f>I42+I43+I44+I45</f>
        <v>0</v>
      </c>
      <c r="J41" s="6">
        <f t="shared" si="139"/>
        <v>0</v>
      </c>
      <c r="K41" s="6">
        <f t="shared" si="139"/>
        <v>0</v>
      </c>
      <c r="L41" s="6">
        <f>L42+L43+L44+L45</f>
        <v>0</v>
      </c>
      <c r="M41" s="6">
        <f>M42+M43+M44+M45</f>
        <v>0</v>
      </c>
      <c r="N41" s="6">
        <f>N42+N43+N44+N45</f>
        <v>0</v>
      </c>
      <c r="O41" s="6">
        <f>O42+O43+O44+O45</f>
        <v>0</v>
      </c>
      <c r="P41" s="6">
        <f t="shared" ref="P41:V41" si="140">P42+P43+P44+P45</f>
        <v>0</v>
      </c>
      <c r="Q41" s="6">
        <f>Q42+Q43+Q44+Q45</f>
        <v>0</v>
      </c>
      <c r="R41" s="6">
        <f>R42+R43+R44+R45</f>
        <v>0</v>
      </c>
      <c r="S41" s="6">
        <f t="shared" si="140"/>
        <v>0</v>
      </c>
      <c r="T41" s="6">
        <f>T42+T43+T44+T45</f>
        <v>0</v>
      </c>
      <c r="U41" s="6">
        <f>U42+U43+U44+U45</f>
        <v>0</v>
      </c>
      <c r="V41" s="6">
        <f t="shared" si="140"/>
        <v>0</v>
      </c>
      <c r="W41" s="6">
        <f>W42+W43+W44+W45</f>
        <v>0</v>
      </c>
      <c r="X41" s="6">
        <f t="shared" si="139"/>
        <v>0</v>
      </c>
      <c r="Y41" s="6">
        <f>Y42+Y43+Y44+Y45</f>
        <v>0</v>
      </c>
      <c r="Z41" s="6">
        <f t="shared" ref="Z41" si="141">Z42+Z43+Z44+Z45</f>
        <v>0</v>
      </c>
      <c r="AA41" s="6">
        <f>AA42+AA43+AA44+AA45</f>
        <v>0</v>
      </c>
      <c r="AB41" s="6">
        <f t="shared" ref="AB41" si="142">AB42+AB43+AB44+AB45</f>
        <v>0</v>
      </c>
      <c r="AC41" s="6">
        <f t="shared" si="139"/>
        <v>0</v>
      </c>
      <c r="AD41" s="6">
        <f t="shared" si="139"/>
        <v>0</v>
      </c>
      <c r="AE41" s="6">
        <f t="shared" si="139"/>
        <v>0</v>
      </c>
      <c r="AF41" s="6">
        <f t="shared" si="139"/>
        <v>0</v>
      </c>
      <c r="AG41" s="6">
        <f t="shared" ref="AG41" si="143">AG42+AG43+AG44+AG45</f>
        <v>0</v>
      </c>
      <c r="AH41" s="6">
        <f t="shared" ref="AH41:AN41" si="144">AH42+AH43+AH44+AH45</f>
        <v>0</v>
      </c>
      <c r="AI41" s="6">
        <f>AI42+AI43+AI44+AI45</f>
        <v>0</v>
      </c>
      <c r="AJ41" s="6">
        <f>AJ42+AJ43+AJ44+AJ45</f>
        <v>0</v>
      </c>
      <c r="AK41" s="6">
        <f t="shared" si="144"/>
        <v>0</v>
      </c>
      <c r="AL41" s="6">
        <f>AL42+AL43+AL44+AL45</f>
        <v>0</v>
      </c>
      <c r="AM41" s="6">
        <f>AM42+AM43+AM44+AM45</f>
        <v>0</v>
      </c>
      <c r="AN41" s="6">
        <f t="shared" si="144"/>
        <v>0</v>
      </c>
      <c r="AO41" s="6">
        <f>AO42+AO43+AO44+AO45</f>
        <v>0</v>
      </c>
      <c r="AP41" s="197">
        <f t="shared" si="139"/>
        <v>0</v>
      </c>
      <c r="AQ41" s="6">
        <f t="shared" si="139"/>
        <v>0</v>
      </c>
      <c r="AR41" s="6">
        <f t="shared" ref="AR41:AU41" si="145">AR42+AR43+AR44+AR45</f>
        <v>0</v>
      </c>
      <c r="AS41" s="6">
        <f t="shared" si="145"/>
        <v>0</v>
      </c>
      <c r="AT41" s="6">
        <f t="shared" si="145"/>
        <v>0</v>
      </c>
      <c r="AU41" s="6">
        <f t="shared" si="145"/>
        <v>0</v>
      </c>
      <c r="AV41" s="6">
        <f t="shared" ref="AV41:AW41" si="146">AV42+AV43+AV44+AV45</f>
        <v>0</v>
      </c>
      <c r="AW41" s="6">
        <f t="shared" si="146"/>
        <v>0</v>
      </c>
      <c r="AX41" s="6">
        <f t="shared" ref="AX41:AY41" si="147">AX42+AX43+AX44+AX45</f>
        <v>0</v>
      </c>
      <c r="AY41" s="6">
        <f t="shared" si="147"/>
        <v>0</v>
      </c>
      <c r="AZ41" s="197">
        <f t="shared" si="139"/>
        <v>0</v>
      </c>
      <c r="BA41" s="6">
        <f>BA42+BA43+BA44+BA45</f>
        <v>0</v>
      </c>
      <c r="BB41" s="6">
        <f t="shared" ref="BB41:BN41" si="148">BB42+BB43+BB44+BB45</f>
        <v>0</v>
      </c>
      <c r="BC41" s="6">
        <f t="shared" si="148"/>
        <v>0</v>
      </c>
      <c r="BD41" s="6">
        <f t="shared" si="148"/>
        <v>0</v>
      </c>
      <c r="BE41" s="6">
        <f t="shared" ref="BE41" si="149">BE42+BE43+BE44+BE45</f>
        <v>0</v>
      </c>
      <c r="BF41" s="6">
        <f t="shared" si="148"/>
        <v>0</v>
      </c>
      <c r="BG41" s="6">
        <f t="shared" si="148"/>
        <v>0</v>
      </c>
      <c r="BH41" s="6">
        <f t="shared" si="148"/>
        <v>0</v>
      </c>
      <c r="BI41" s="6">
        <f t="shared" si="148"/>
        <v>0</v>
      </c>
      <c r="BJ41" s="6">
        <f t="shared" si="148"/>
        <v>0</v>
      </c>
      <c r="BK41" s="6">
        <f t="shared" si="148"/>
        <v>0</v>
      </c>
      <c r="BL41" s="6">
        <f t="shared" si="148"/>
        <v>0</v>
      </c>
      <c r="BM41" s="6">
        <f t="shared" si="148"/>
        <v>0</v>
      </c>
      <c r="BN41" s="6">
        <f t="shared" si="148"/>
        <v>0</v>
      </c>
      <c r="BO41" s="6">
        <f>BO42+BO43+BO44+BO45</f>
        <v>0</v>
      </c>
      <c r="BP41" s="6">
        <f>BP42+BP43+BP44+BP45</f>
        <v>0</v>
      </c>
      <c r="BQ41" s="6">
        <f t="shared" ref="BQ41:BR41" si="150">BQ42+BQ43+BQ44+BQ45</f>
        <v>0</v>
      </c>
      <c r="BR41" s="6">
        <f t="shared" si="150"/>
        <v>0</v>
      </c>
      <c r="BS41" s="6">
        <f>BS42+BS43+BS44+BS45</f>
        <v>0</v>
      </c>
      <c r="BT41" s="230">
        <f t="shared" si="126"/>
        <v>0</v>
      </c>
    </row>
    <row r="42" spans="1:72" x14ac:dyDescent="0.25">
      <c r="A42" s="218" t="s">
        <v>368</v>
      </c>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196">
        <f t="shared" ref="AP42:AP48" si="151">SUM(B42:AO42)</f>
        <v>0</v>
      </c>
      <c r="AQ42" s="8"/>
      <c r="AR42" s="8"/>
      <c r="AS42" s="8"/>
      <c r="AT42" s="7"/>
      <c r="AU42" s="7"/>
      <c r="AV42" s="7"/>
      <c r="AW42" s="7"/>
      <c r="AX42" s="7"/>
      <c r="AY42" s="7"/>
      <c r="AZ42" s="196">
        <f t="shared" ref="AZ42:AZ48" si="152">SUM(AQ42:AY42)</f>
        <v>0</v>
      </c>
      <c r="BA42" s="7"/>
      <c r="BB42" s="7"/>
      <c r="BC42" s="7"/>
      <c r="BD42" s="7"/>
      <c r="BE42" s="7"/>
      <c r="BF42" s="7"/>
      <c r="BG42" s="7"/>
      <c r="BH42" s="7"/>
      <c r="BI42" s="7"/>
      <c r="BJ42" s="7"/>
      <c r="BK42" s="7"/>
      <c r="BL42" s="7"/>
      <c r="BM42" s="7"/>
      <c r="BN42" s="7"/>
      <c r="BO42" s="8">
        <f t="shared" ref="BO42:BO48" si="153">SUM(BA42:BN42)</f>
        <v>0</v>
      </c>
      <c r="BP42" s="8"/>
      <c r="BQ42" s="8"/>
      <c r="BR42" s="8"/>
      <c r="BS42" s="8">
        <f t="shared" ref="BS42:BS48" si="154">BO42+BP42+BQ42+BR42</f>
        <v>0</v>
      </c>
      <c r="BT42" s="230">
        <f t="shared" si="126"/>
        <v>0</v>
      </c>
    </row>
    <row r="43" spans="1:72" ht="26.4" x14ac:dyDescent="0.25">
      <c r="A43" s="218" t="s">
        <v>369</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196">
        <f t="shared" si="151"/>
        <v>0</v>
      </c>
      <c r="AQ43" s="8"/>
      <c r="AR43" s="8"/>
      <c r="AS43" s="8"/>
      <c r="AT43" s="7"/>
      <c r="AU43" s="7"/>
      <c r="AV43" s="7"/>
      <c r="AW43" s="7"/>
      <c r="AX43" s="7"/>
      <c r="AY43" s="7"/>
      <c r="AZ43" s="196">
        <f t="shared" si="152"/>
        <v>0</v>
      </c>
      <c r="BA43" s="7"/>
      <c r="BB43" s="7"/>
      <c r="BC43" s="7"/>
      <c r="BD43" s="7"/>
      <c r="BE43" s="7"/>
      <c r="BF43" s="7"/>
      <c r="BG43" s="7"/>
      <c r="BH43" s="7"/>
      <c r="BI43" s="7"/>
      <c r="BJ43" s="7"/>
      <c r="BK43" s="7"/>
      <c r="BL43" s="7"/>
      <c r="BM43" s="7"/>
      <c r="BN43" s="7"/>
      <c r="BO43" s="8">
        <f t="shared" si="153"/>
        <v>0</v>
      </c>
      <c r="BP43" s="8"/>
      <c r="BQ43" s="8"/>
      <c r="BR43" s="8"/>
      <c r="BS43" s="8">
        <f t="shared" si="154"/>
        <v>0</v>
      </c>
      <c r="BT43" s="230">
        <f t="shared" si="126"/>
        <v>0</v>
      </c>
    </row>
    <row r="44" spans="1:72" x14ac:dyDescent="0.25">
      <c r="A44" s="218" t="s">
        <v>370</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196">
        <f t="shared" si="151"/>
        <v>0</v>
      </c>
      <c r="AQ44" s="8"/>
      <c r="AR44" s="8"/>
      <c r="AS44" s="8"/>
      <c r="AT44" s="7"/>
      <c r="AU44" s="7"/>
      <c r="AV44" s="7"/>
      <c r="AW44" s="7"/>
      <c r="AX44" s="7"/>
      <c r="AY44" s="7"/>
      <c r="AZ44" s="196">
        <f t="shared" si="152"/>
        <v>0</v>
      </c>
      <c r="BA44" s="7"/>
      <c r="BB44" s="7"/>
      <c r="BC44" s="7"/>
      <c r="BD44" s="7"/>
      <c r="BE44" s="7"/>
      <c r="BF44" s="7"/>
      <c r="BG44" s="7"/>
      <c r="BH44" s="7"/>
      <c r="BI44" s="7"/>
      <c r="BJ44" s="7"/>
      <c r="BK44" s="7"/>
      <c r="BL44" s="7"/>
      <c r="BM44" s="7"/>
      <c r="BN44" s="7"/>
      <c r="BO44" s="8">
        <f t="shared" si="153"/>
        <v>0</v>
      </c>
      <c r="BP44" s="8"/>
      <c r="BQ44" s="8"/>
      <c r="BR44" s="8"/>
      <c r="BS44" s="8">
        <f t="shared" si="154"/>
        <v>0</v>
      </c>
      <c r="BT44" s="230">
        <f t="shared" si="126"/>
        <v>0</v>
      </c>
    </row>
    <row r="45" spans="1:72" x14ac:dyDescent="0.25">
      <c r="A45" s="218" t="s">
        <v>371</v>
      </c>
      <c r="B45" s="7">
        <f>SUM(Tervezőönkorm.!E346)</f>
        <v>0</v>
      </c>
      <c r="C45" s="7"/>
      <c r="D45" s="7"/>
      <c r="E45" s="7"/>
      <c r="F45" s="7"/>
      <c r="G45" s="7"/>
      <c r="H45" s="7"/>
      <c r="I45" s="7">
        <f>SUM(Tervezőönkorm.!AN346)</f>
        <v>0</v>
      </c>
      <c r="J45" s="7">
        <f>SUM(Tervezőönkorm.!AR346)</f>
        <v>0</v>
      </c>
      <c r="K45" s="7"/>
      <c r="L45" s="7">
        <f>SUM(Tervezőönkorm.!S346)</f>
        <v>0</v>
      </c>
      <c r="M45" s="7">
        <f>SUM(Tervezőönkorm.!W346)</f>
        <v>0</v>
      </c>
      <c r="N45" s="7">
        <f>SUM(Tervezőönkorm.!BC346)</f>
        <v>0</v>
      </c>
      <c r="O45" s="7">
        <f>SUM(Tervezőönkorm.!BI346)</f>
        <v>0</v>
      </c>
      <c r="P45" s="7"/>
      <c r="Q45" s="7">
        <f>SUM(Tervezőönkorm.!CI346)</f>
        <v>0</v>
      </c>
      <c r="R45" s="7">
        <f>SUM(Tervezőönkorm.!BM346)</f>
        <v>0</v>
      </c>
      <c r="S45" s="7"/>
      <c r="T45" s="7">
        <f>SUM(Tervezőönkorm.!BR346)</f>
        <v>0</v>
      </c>
      <c r="U45" s="7">
        <f>SUM(Tervezőönkorm.!BU346)</f>
        <v>0</v>
      </c>
      <c r="V45" s="7"/>
      <c r="W45" s="7">
        <f>SUM(Tervezőönkorm.!CD346)</f>
        <v>0</v>
      </c>
      <c r="X45" s="7"/>
      <c r="Y45" s="7">
        <f>SUM(Tervezőönkorm.!CS346)</f>
        <v>0</v>
      </c>
      <c r="Z45" s="7"/>
      <c r="AA45" s="7">
        <f>SUM(Tervezőönkorm.!CW346)</f>
        <v>0</v>
      </c>
      <c r="AB45" s="7"/>
      <c r="AC45" s="7">
        <f>'bevétel 11602'!D24</f>
        <v>0</v>
      </c>
      <c r="AD45" s="7"/>
      <c r="AE45" s="7"/>
      <c r="AF45" s="7"/>
      <c r="AG45" s="7"/>
      <c r="AH45" s="7"/>
      <c r="AI45" s="7">
        <f>SUM(Tervezőönkorm.!DU346)</f>
        <v>0</v>
      </c>
      <c r="AJ45" s="7">
        <f>SUM(Tervezőönkorm.!AA346)</f>
        <v>0</v>
      </c>
      <c r="AK45" s="7"/>
      <c r="AL45" s="7">
        <f>SUM(Tervezőönkorm.!DG346)</f>
        <v>0</v>
      </c>
      <c r="AM45" s="7">
        <f>SUM(Tervezőönkorm.!EA346)</f>
        <v>0</v>
      </c>
      <c r="AN45" s="7"/>
      <c r="AO45" s="7">
        <f>SUM(Tervezőönkorm.!EK346)</f>
        <v>0</v>
      </c>
      <c r="AP45" s="196">
        <f t="shared" si="151"/>
        <v>0</v>
      </c>
      <c r="AQ45" s="8"/>
      <c r="AR45" s="8"/>
      <c r="AS45" s="8"/>
      <c r="AT45" s="7">
        <f>Tervezőhiv.!R322</f>
        <v>0</v>
      </c>
      <c r="AU45" s="7">
        <f>Tervezőhiv.!V322</f>
        <v>0</v>
      </c>
      <c r="AV45" s="7">
        <f>Tervezőhiv.!AE322</f>
        <v>0</v>
      </c>
      <c r="AW45" s="7">
        <f>Tervezőhiv.!Z322</f>
        <v>0</v>
      </c>
      <c r="AX45" s="7">
        <f>Tervezőhiv.!AL322</f>
        <v>0</v>
      </c>
      <c r="AY45" s="7">
        <f>Tervezőhiv.!AS322</f>
        <v>0</v>
      </c>
      <c r="AZ45" s="196">
        <f t="shared" si="152"/>
        <v>0</v>
      </c>
      <c r="BA45" s="7"/>
      <c r="BB45" s="7"/>
      <c r="BC45" s="7"/>
      <c r="BD45" s="7"/>
      <c r="BE45" s="7"/>
      <c r="BF45" s="7"/>
      <c r="BG45" s="7"/>
      <c r="BH45" s="7"/>
      <c r="BI45" s="7"/>
      <c r="BJ45" s="7"/>
      <c r="BK45" s="7"/>
      <c r="BL45" s="7"/>
      <c r="BM45" s="7"/>
      <c r="BN45" s="7"/>
      <c r="BO45" s="8">
        <f t="shared" si="153"/>
        <v>0</v>
      </c>
      <c r="BP45" s="8"/>
      <c r="BQ45" s="8"/>
      <c r="BR45" s="8"/>
      <c r="BS45" s="8">
        <f t="shared" si="154"/>
        <v>0</v>
      </c>
      <c r="BT45" s="230">
        <f t="shared" si="126"/>
        <v>0</v>
      </c>
    </row>
    <row r="46" spans="1:72" x14ac:dyDescent="0.25">
      <c r="A46" s="218" t="s">
        <v>372</v>
      </c>
      <c r="B46" s="7">
        <f>SUM(Tervezőönkorm.!E368)</f>
        <v>0</v>
      </c>
      <c r="C46" s="7"/>
      <c r="D46" s="7"/>
      <c r="E46" s="7"/>
      <c r="F46" s="7"/>
      <c r="G46" s="7"/>
      <c r="H46" s="7"/>
      <c r="I46" s="7">
        <f>SUM(Tervezőönkorm.!AN368)</f>
        <v>0</v>
      </c>
      <c r="J46" s="7">
        <f>SUM(Tervezőönkorm.!AR368)</f>
        <v>0</v>
      </c>
      <c r="K46" s="7"/>
      <c r="L46" s="7">
        <f>SUM(Tervezőönkorm.!S368)</f>
        <v>0</v>
      </c>
      <c r="M46" s="7">
        <f>SUM(Tervezőönkorm.!W368)</f>
        <v>0</v>
      </c>
      <c r="N46" s="7">
        <f>SUM(Tervezőönkorm.!BC368)</f>
        <v>0</v>
      </c>
      <c r="O46" s="7">
        <f>SUM(Tervezőönkorm.!BI368)</f>
        <v>0</v>
      </c>
      <c r="P46" s="7"/>
      <c r="Q46" s="7">
        <f>SUM(Tervezőönkorm.!CI368)</f>
        <v>0</v>
      </c>
      <c r="R46" s="7">
        <f>SUM(Tervezőönkorm.!BM368)</f>
        <v>0</v>
      </c>
      <c r="S46" s="7"/>
      <c r="T46" s="7">
        <f>SUM(Tervezőönkorm.!BR368)</f>
        <v>0</v>
      </c>
      <c r="U46" s="7">
        <f>SUM(Tervezőönkorm.!BU368)</f>
        <v>0</v>
      </c>
      <c r="V46" s="7"/>
      <c r="W46" s="7">
        <f>SUM(Tervezőönkorm.!CD368)</f>
        <v>0</v>
      </c>
      <c r="X46" s="7"/>
      <c r="Y46" s="7">
        <f>SUM(Tervezőönkorm.!CS368)</f>
        <v>0</v>
      </c>
      <c r="Z46" s="7"/>
      <c r="AA46" s="7">
        <f>SUM(Tervezőönkorm.!CW368)</f>
        <v>0</v>
      </c>
      <c r="AB46" s="7"/>
      <c r="AC46" s="7">
        <f>'bevétel 11602'!E24</f>
        <v>0</v>
      </c>
      <c r="AD46" s="7"/>
      <c r="AE46" s="7"/>
      <c r="AF46" s="7"/>
      <c r="AG46" s="7"/>
      <c r="AH46" s="7"/>
      <c r="AI46" s="7">
        <f>SUM(Tervezőönkorm.!DU368)</f>
        <v>0</v>
      </c>
      <c r="AJ46" s="7">
        <f>SUM(Tervezőönkorm.!AA368)</f>
        <v>0</v>
      </c>
      <c r="AK46" s="7"/>
      <c r="AL46" s="7">
        <f>SUM(Tervezőönkorm.!DG368)</f>
        <v>0</v>
      </c>
      <c r="AM46" s="7">
        <f>SUM(Tervezőönkorm.!EA368)</f>
        <v>0</v>
      </c>
      <c r="AN46" s="7"/>
      <c r="AO46" s="7">
        <f>SUM(Tervezőönkorm.!EK368)</f>
        <v>0</v>
      </c>
      <c r="AP46" s="196">
        <f t="shared" si="151"/>
        <v>0</v>
      </c>
      <c r="AQ46" s="8"/>
      <c r="AR46" s="8"/>
      <c r="AS46" s="8"/>
      <c r="AT46" s="7">
        <f>Tervezőhiv.!R327</f>
        <v>0</v>
      </c>
      <c r="AU46" s="7">
        <f>Tervezőhiv.!V327</f>
        <v>0</v>
      </c>
      <c r="AV46" s="7">
        <f>Tervezőhiv.!AE327</f>
        <v>0</v>
      </c>
      <c r="AW46" s="7">
        <f>Tervezőhiv.!Z327</f>
        <v>0</v>
      </c>
      <c r="AX46" s="7">
        <f>Tervezőhiv.!AL327</f>
        <v>0</v>
      </c>
      <c r="AY46" s="7">
        <f>Tervezőhiv.!AS327</f>
        <v>0</v>
      </c>
      <c r="AZ46" s="196">
        <f t="shared" si="152"/>
        <v>0</v>
      </c>
      <c r="BA46" s="7"/>
      <c r="BB46" s="7"/>
      <c r="BC46" s="7"/>
      <c r="BD46" s="7"/>
      <c r="BE46" s="7"/>
      <c r="BF46" s="7"/>
      <c r="BG46" s="7"/>
      <c r="BH46" s="7"/>
      <c r="BI46" s="7"/>
      <c r="BJ46" s="7"/>
      <c r="BK46" s="7"/>
      <c r="BL46" s="7"/>
      <c r="BM46" s="7"/>
      <c r="BN46" s="7"/>
      <c r="BO46" s="8">
        <f t="shared" si="153"/>
        <v>0</v>
      </c>
      <c r="BP46" s="8"/>
      <c r="BQ46" s="8"/>
      <c r="BR46" s="8"/>
      <c r="BS46" s="8">
        <f t="shared" si="154"/>
        <v>0</v>
      </c>
      <c r="BT46" s="230">
        <f t="shared" si="126"/>
        <v>0</v>
      </c>
    </row>
    <row r="47" spans="1:72" x14ac:dyDescent="0.25">
      <c r="A47" s="218" t="s">
        <v>373</v>
      </c>
      <c r="B47" s="7">
        <f>SUM(Tervezőönkorm.!E374)</f>
        <v>0</v>
      </c>
      <c r="C47" s="7"/>
      <c r="D47" s="7"/>
      <c r="E47" s="7"/>
      <c r="F47" s="7"/>
      <c r="G47" s="7"/>
      <c r="H47" s="7"/>
      <c r="I47" s="7">
        <f>SUM(Tervezőönkorm.!AN374)</f>
        <v>0</v>
      </c>
      <c r="J47" s="7">
        <f>SUM(Tervezőönkorm.!AR374)</f>
        <v>0</v>
      </c>
      <c r="K47" s="7"/>
      <c r="L47" s="7">
        <f>SUM(Tervezőönkorm.!S374)</f>
        <v>0</v>
      </c>
      <c r="M47" s="7">
        <f>SUM(Tervezőönkorm.!W374)</f>
        <v>0</v>
      </c>
      <c r="N47" s="7">
        <f>SUM(Tervezőönkorm.!BC374)</f>
        <v>0</v>
      </c>
      <c r="O47" s="7">
        <f>SUM(Tervezőönkorm.!BI374)</f>
        <v>0</v>
      </c>
      <c r="P47" s="7"/>
      <c r="Q47" s="7">
        <f>SUM(Tervezőönkorm.!CI374)</f>
        <v>0</v>
      </c>
      <c r="R47" s="7">
        <f>SUM(Tervezőönkorm.!BM374)</f>
        <v>0</v>
      </c>
      <c r="S47" s="7"/>
      <c r="T47" s="7">
        <f>SUM(Tervezőönkorm.!BR374)</f>
        <v>0</v>
      </c>
      <c r="U47" s="7">
        <f>SUM(Tervezőönkorm.!BU374)</f>
        <v>0</v>
      </c>
      <c r="V47" s="7"/>
      <c r="W47" s="7">
        <f>SUM(Tervezőönkorm.!CD374)</f>
        <v>0</v>
      </c>
      <c r="X47" s="7"/>
      <c r="Y47" s="7">
        <f>SUM(Tervezőönkorm.!CS374)</f>
        <v>0</v>
      </c>
      <c r="Z47" s="7"/>
      <c r="AA47" s="7">
        <f>SUM(Tervezőönkorm.!CW374)</f>
        <v>0</v>
      </c>
      <c r="AB47" s="7"/>
      <c r="AC47" s="7"/>
      <c r="AD47" s="7"/>
      <c r="AE47" s="7"/>
      <c r="AF47" s="7"/>
      <c r="AG47" s="7"/>
      <c r="AH47" s="7"/>
      <c r="AI47" s="7">
        <f>SUM(Tervezőönkorm.!DU374)</f>
        <v>0</v>
      </c>
      <c r="AJ47" s="7">
        <f>SUM(Tervezőönkorm.!AA374)</f>
        <v>0</v>
      </c>
      <c r="AK47" s="7"/>
      <c r="AL47" s="7">
        <f>SUM(Tervezőönkorm.!DG374)</f>
        <v>0</v>
      </c>
      <c r="AM47" s="7">
        <f>SUM(Tervezőönkorm.!EA374)</f>
        <v>0</v>
      </c>
      <c r="AN47" s="7"/>
      <c r="AO47" s="7">
        <f>SUM(Tervezőönkorm.!EK374)</f>
        <v>0</v>
      </c>
      <c r="AP47" s="196">
        <f t="shared" si="151"/>
        <v>0</v>
      </c>
      <c r="AQ47" s="8"/>
      <c r="AR47" s="8"/>
      <c r="AS47" s="8"/>
      <c r="AT47" s="7">
        <f>Tervezőhiv.!R333</f>
        <v>0</v>
      </c>
      <c r="AU47" s="7">
        <f>Tervezőhiv.!V333</f>
        <v>0</v>
      </c>
      <c r="AV47" s="7">
        <f>Tervezőhiv.!AE333</f>
        <v>0</v>
      </c>
      <c r="AW47" s="7">
        <f>Tervezőhiv.!Z333</f>
        <v>0</v>
      </c>
      <c r="AX47" s="7">
        <f>Tervezőhiv.!AL333</f>
        <v>0</v>
      </c>
      <c r="AY47" s="7">
        <f>Tervezőhiv.!AS333</f>
        <v>0</v>
      </c>
      <c r="AZ47" s="196">
        <f t="shared" si="152"/>
        <v>0</v>
      </c>
      <c r="BA47" s="7"/>
      <c r="BB47" s="7"/>
      <c r="BC47" s="7"/>
      <c r="BD47" s="7"/>
      <c r="BE47" s="7"/>
      <c r="BF47" s="7"/>
      <c r="BG47" s="7"/>
      <c r="BH47" s="7"/>
      <c r="BI47" s="7"/>
      <c r="BJ47" s="7"/>
      <c r="BK47" s="7"/>
      <c r="BL47" s="7"/>
      <c r="BM47" s="7"/>
      <c r="BN47" s="7"/>
      <c r="BO47" s="8">
        <f t="shared" si="153"/>
        <v>0</v>
      </c>
      <c r="BP47" s="8"/>
      <c r="BQ47" s="8"/>
      <c r="BR47" s="8"/>
      <c r="BS47" s="8">
        <f t="shared" si="154"/>
        <v>0</v>
      </c>
      <c r="BT47" s="230">
        <f t="shared" si="126"/>
        <v>0</v>
      </c>
    </row>
    <row r="48" spans="1:72" ht="26.4" x14ac:dyDescent="0.25">
      <c r="A48" s="218" t="s">
        <v>374</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196">
        <f t="shared" si="151"/>
        <v>0</v>
      </c>
      <c r="AQ48" s="8"/>
      <c r="AR48" s="8"/>
      <c r="AS48" s="8"/>
      <c r="AT48" s="7"/>
      <c r="AU48" s="7"/>
      <c r="AV48" s="7"/>
      <c r="AW48" s="7"/>
      <c r="AX48" s="7"/>
      <c r="AY48" s="7"/>
      <c r="AZ48" s="196">
        <f t="shared" si="152"/>
        <v>0</v>
      </c>
      <c r="BA48" s="7"/>
      <c r="BB48" s="7"/>
      <c r="BC48" s="7"/>
      <c r="BD48" s="7"/>
      <c r="BE48" s="7"/>
      <c r="BF48" s="7"/>
      <c r="BG48" s="7"/>
      <c r="BH48" s="7"/>
      <c r="BI48" s="7"/>
      <c r="BJ48" s="7"/>
      <c r="BK48" s="7"/>
      <c r="BL48" s="7"/>
      <c r="BM48" s="7"/>
      <c r="BN48" s="7"/>
      <c r="BO48" s="8">
        <f t="shared" si="153"/>
        <v>0</v>
      </c>
      <c r="BP48" s="8"/>
      <c r="BQ48" s="8"/>
      <c r="BR48" s="8"/>
      <c r="BS48" s="8">
        <f t="shared" si="154"/>
        <v>0</v>
      </c>
      <c r="BT48" s="230">
        <f t="shared" si="126"/>
        <v>0</v>
      </c>
    </row>
    <row r="49" spans="1:72" s="13" customFormat="1" x14ac:dyDescent="0.25">
      <c r="A49" s="219" t="s">
        <v>375</v>
      </c>
      <c r="B49" s="6">
        <f>B50+B51</f>
        <v>0</v>
      </c>
      <c r="C49" s="6">
        <f t="shared" ref="C49:AZ49" si="155">C50+C51</f>
        <v>0</v>
      </c>
      <c r="D49" s="6">
        <f t="shared" si="155"/>
        <v>0</v>
      </c>
      <c r="E49" s="6">
        <f t="shared" si="155"/>
        <v>0</v>
      </c>
      <c r="F49" s="6">
        <f t="shared" si="155"/>
        <v>0</v>
      </c>
      <c r="G49" s="6">
        <f t="shared" si="155"/>
        <v>0</v>
      </c>
      <c r="H49" s="6">
        <f t="shared" si="155"/>
        <v>0</v>
      </c>
      <c r="I49" s="6">
        <f>I50+I51</f>
        <v>0</v>
      </c>
      <c r="J49" s="6">
        <f t="shared" si="155"/>
        <v>0</v>
      </c>
      <c r="K49" s="6">
        <f t="shared" si="155"/>
        <v>0</v>
      </c>
      <c r="L49" s="6">
        <f>L50+L51</f>
        <v>0</v>
      </c>
      <c r="M49" s="6">
        <f>M50+M51</f>
        <v>0</v>
      </c>
      <c r="N49" s="6">
        <f>N50+N51</f>
        <v>0</v>
      </c>
      <c r="O49" s="6">
        <f>O50+O51</f>
        <v>0</v>
      </c>
      <c r="P49" s="6">
        <f t="shared" ref="P49:V49" si="156">P50+P51</f>
        <v>0</v>
      </c>
      <c r="Q49" s="6">
        <f>Q50+Q51</f>
        <v>0</v>
      </c>
      <c r="R49" s="6">
        <f>R50+R51</f>
        <v>0</v>
      </c>
      <c r="S49" s="6">
        <f t="shared" si="156"/>
        <v>0</v>
      </c>
      <c r="T49" s="6">
        <f>T50+T51</f>
        <v>0</v>
      </c>
      <c r="U49" s="6">
        <f>U50+U51</f>
        <v>0</v>
      </c>
      <c r="V49" s="6">
        <f t="shared" si="156"/>
        <v>0</v>
      </c>
      <c r="W49" s="6">
        <f>W50+W51</f>
        <v>0</v>
      </c>
      <c r="X49" s="6">
        <f t="shared" si="155"/>
        <v>0</v>
      </c>
      <c r="Y49" s="6">
        <f>Y50+Y51</f>
        <v>0</v>
      </c>
      <c r="Z49" s="6">
        <f t="shared" ref="Z49" si="157">Z50+Z51</f>
        <v>0</v>
      </c>
      <c r="AA49" s="6">
        <f>AA50+AA51</f>
        <v>0</v>
      </c>
      <c r="AB49" s="6">
        <f t="shared" ref="AB49" si="158">AB50+AB51</f>
        <v>0</v>
      </c>
      <c r="AC49" s="6">
        <f t="shared" si="155"/>
        <v>0</v>
      </c>
      <c r="AD49" s="6">
        <f t="shared" si="155"/>
        <v>0</v>
      </c>
      <c r="AE49" s="6">
        <f t="shared" si="155"/>
        <v>0</v>
      </c>
      <c r="AF49" s="6">
        <f t="shared" si="155"/>
        <v>0</v>
      </c>
      <c r="AG49" s="6">
        <f t="shared" ref="AG49" si="159">AG50+AG51</f>
        <v>0</v>
      </c>
      <c r="AH49" s="6">
        <f t="shared" ref="AH49:AN49" si="160">AH50+AH51</f>
        <v>0</v>
      </c>
      <c r="AI49" s="6">
        <f>AI50+AI51</f>
        <v>0</v>
      </c>
      <c r="AJ49" s="6">
        <f>AJ50+AJ51</f>
        <v>0</v>
      </c>
      <c r="AK49" s="6">
        <f t="shared" si="160"/>
        <v>0</v>
      </c>
      <c r="AL49" s="6">
        <f>AL50+AL51</f>
        <v>0</v>
      </c>
      <c r="AM49" s="6">
        <f>AM50+AM51</f>
        <v>0</v>
      </c>
      <c r="AN49" s="6">
        <f t="shared" si="160"/>
        <v>0</v>
      </c>
      <c r="AO49" s="6">
        <f>AO50+AO51</f>
        <v>0</v>
      </c>
      <c r="AP49" s="197">
        <f t="shared" si="155"/>
        <v>0</v>
      </c>
      <c r="AQ49" s="6">
        <f t="shared" si="155"/>
        <v>0</v>
      </c>
      <c r="AR49" s="6">
        <f t="shared" ref="AR49:AU49" si="161">AR50+AR51</f>
        <v>0</v>
      </c>
      <c r="AS49" s="6">
        <f t="shared" si="161"/>
        <v>0</v>
      </c>
      <c r="AT49" s="6">
        <f t="shared" si="161"/>
        <v>0</v>
      </c>
      <c r="AU49" s="6">
        <f t="shared" si="161"/>
        <v>0</v>
      </c>
      <c r="AV49" s="6">
        <f t="shared" ref="AV49:AW49" si="162">AV50+AV51</f>
        <v>0</v>
      </c>
      <c r="AW49" s="6">
        <f t="shared" si="162"/>
        <v>0</v>
      </c>
      <c r="AX49" s="6">
        <f t="shared" ref="AX49:AY49" si="163">AX50+AX51</f>
        <v>0</v>
      </c>
      <c r="AY49" s="6">
        <f t="shared" si="163"/>
        <v>0</v>
      </c>
      <c r="AZ49" s="197">
        <f t="shared" si="155"/>
        <v>0</v>
      </c>
      <c r="BA49" s="6">
        <f>BA50+BA51</f>
        <v>0</v>
      </c>
      <c r="BB49" s="6">
        <f t="shared" ref="BB49:BN49" si="164">BB50+BB51</f>
        <v>0</v>
      </c>
      <c r="BC49" s="6">
        <f t="shared" si="164"/>
        <v>0</v>
      </c>
      <c r="BD49" s="6">
        <f t="shared" si="164"/>
        <v>0</v>
      </c>
      <c r="BE49" s="6">
        <f t="shared" ref="BE49" si="165">BE50+BE51</f>
        <v>0</v>
      </c>
      <c r="BF49" s="6">
        <f t="shared" si="164"/>
        <v>0</v>
      </c>
      <c r="BG49" s="6">
        <f t="shared" si="164"/>
        <v>0</v>
      </c>
      <c r="BH49" s="6">
        <f t="shared" si="164"/>
        <v>0</v>
      </c>
      <c r="BI49" s="6">
        <f t="shared" si="164"/>
        <v>0</v>
      </c>
      <c r="BJ49" s="6">
        <f t="shared" si="164"/>
        <v>0</v>
      </c>
      <c r="BK49" s="6">
        <f t="shared" si="164"/>
        <v>0</v>
      </c>
      <c r="BL49" s="6">
        <f t="shared" si="164"/>
        <v>0</v>
      </c>
      <c r="BM49" s="6">
        <f t="shared" si="164"/>
        <v>0</v>
      </c>
      <c r="BN49" s="6">
        <f t="shared" si="164"/>
        <v>0</v>
      </c>
      <c r="BO49" s="6">
        <f>BO50+BO51</f>
        <v>0</v>
      </c>
      <c r="BP49" s="6">
        <f>BP50+BP51</f>
        <v>0</v>
      </c>
      <c r="BQ49" s="6">
        <f t="shared" ref="BQ49:BR49" si="166">BQ50+BQ51</f>
        <v>0</v>
      </c>
      <c r="BR49" s="6">
        <f t="shared" si="166"/>
        <v>0</v>
      </c>
      <c r="BS49" s="6">
        <f>BS50+BS51</f>
        <v>0</v>
      </c>
      <c r="BT49" s="230">
        <f t="shared" si="126"/>
        <v>0</v>
      </c>
    </row>
    <row r="50" spans="1:72" ht="26.4" x14ac:dyDescent="0.25">
      <c r="A50" s="218" t="s">
        <v>376</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196">
        <f>SUM(B50:AO50)</f>
        <v>0</v>
      </c>
      <c r="AQ50" s="8"/>
      <c r="AR50" s="8"/>
      <c r="AS50" s="8"/>
      <c r="AT50" s="7"/>
      <c r="AU50" s="7"/>
      <c r="AV50" s="7"/>
      <c r="AW50" s="7"/>
      <c r="AX50" s="7"/>
      <c r="AY50" s="7"/>
      <c r="AZ50" s="196">
        <f>SUM(AQ50:AY50)</f>
        <v>0</v>
      </c>
      <c r="BA50" s="7"/>
      <c r="BB50" s="7"/>
      <c r="BC50" s="7"/>
      <c r="BD50" s="7"/>
      <c r="BE50" s="7"/>
      <c r="BF50" s="7"/>
      <c r="BG50" s="7"/>
      <c r="BH50" s="7"/>
      <c r="BI50" s="7"/>
      <c r="BJ50" s="7"/>
      <c r="BK50" s="7"/>
      <c r="BL50" s="7"/>
      <c r="BM50" s="7"/>
      <c r="BN50" s="7"/>
      <c r="BO50" s="8">
        <f>SUM(BA50:BN50)</f>
        <v>0</v>
      </c>
      <c r="BP50" s="8"/>
      <c r="BQ50" s="8"/>
      <c r="BR50" s="8"/>
      <c r="BS50" s="8">
        <f>BO50+BP50+BQ50+BR50</f>
        <v>0</v>
      </c>
      <c r="BT50" s="230">
        <f t="shared" si="126"/>
        <v>0</v>
      </c>
    </row>
    <row r="51" spans="1:72" x14ac:dyDescent="0.25">
      <c r="A51" s="218" t="s">
        <v>377</v>
      </c>
      <c r="B51" s="7">
        <f>SUM(Tervezőönkorm.!E389)</f>
        <v>0</v>
      </c>
      <c r="C51" s="7"/>
      <c r="D51" s="7"/>
      <c r="E51" s="7"/>
      <c r="F51" s="7"/>
      <c r="G51" s="7"/>
      <c r="H51" s="7"/>
      <c r="I51" s="7">
        <f>SUM(Tervezőönkorm.!AN389)</f>
        <v>0</v>
      </c>
      <c r="J51" s="7">
        <f>SUM(Tervezőönkorm.!AR389)</f>
        <v>0</v>
      </c>
      <c r="K51" s="7"/>
      <c r="L51" s="7">
        <f>SUM(Tervezőönkorm.!S389)</f>
        <v>0</v>
      </c>
      <c r="M51" s="7">
        <f>SUM(Tervezőönkorm.!W389)</f>
        <v>0</v>
      </c>
      <c r="N51" s="7">
        <f>SUM(Tervezőönkorm.!BC389)</f>
        <v>0</v>
      </c>
      <c r="O51" s="7">
        <f>SUM(Tervezőönkorm.!BI389)</f>
        <v>0</v>
      </c>
      <c r="P51" s="7"/>
      <c r="Q51" s="7">
        <f>SUM(Tervezőönkorm.!CI389)</f>
        <v>0</v>
      </c>
      <c r="R51" s="7">
        <f>SUM(Tervezőönkorm.!BM389)</f>
        <v>0</v>
      </c>
      <c r="S51" s="7"/>
      <c r="T51" s="7">
        <f>SUM(Tervezőönkorm.!BR389)</f>
        <v>0</v>
      </c>
      <c r="U51" s="7">
        <f>SUM(Tervezőönkorm.!BU389)</f>
        <v>0</v>
      </c>
      <c r="V51" s="7"/>
      <c r="W51" s="7">
        <f>SUM(Tervezőönkorm.!CD389)</f>
        <v>0</v>
      </c>
      <c r="X51" s="7"/>
      <c r="Y51" s="7">
        <f>SUM(Tervezőönkorm.!CS389)</f>
        <v>0</v>
      </c>
      <c r="Z51" s="7"/>
      <c r="AA51" s="7">
        <f>SUM(Tervezőönkorm.!CW389)</f>
        <v>0</v>
      </c>
      <c r="AB51" s="7"/>
      <c r="AC51" s="7"/>
      <c r="AD51" s="7"/>
      <c r="AE51" s="7"/>
      <c r="AF51" s="7"/>
      <c r="AG51" s="7"/>
      <c r="AH51" s="7"/>
      <c r="AI51" s="7">
        <f>SUM(Tervezőönkorm.!DU389)</f>
        <v>0</v>
      </c>
      <c r="AJ51" s="7">
        <f>SUM(Tervezőönkorm.!AA389)</f>
        <v>0</v>
      </c>
      <c r="AK51" s="7"/>
      <c r="AL51" s="7">
        <f>SUM(Tervezőönkorm.!DG389)</f>
        <v>0</v>
      </c>
      <c r="AM51" s="7">
        <f>SUM(Tervezőönkorm.!EA389)</f>
        <v>0</v>
      </c>
      <c r="AN51" s="7"/>
      <c r="AO51" s="7">
        <f>SUM(Tervezőönkorm.!EK389)</f>
        <v>0</v>
      </c>
      <c r="AP51" s="196">
        <f>SUM(B51:AO51)</f>
        <v>0</v>
      </c>
      <c r="AQ51" s="8"/>
      <c r="AR51" s="8"/>
      <c r="AS51" s="8"/>
      <c r="AT51" s="7">
        <f>Tervezőhiv.!R338</f>
        <v>0</v>
      </c>
      <c r="AU51" s="7">
        <f>Tervezőhiv.!V338</f>
        <v>0</v>
      </c>
      <c r="AV51" s="7">
        <f>Tervezőhiv.!AE338</f>
        <v>0</v>
      </c>
      <c r="AW51" s="7">
        <f>Tervezőhiv.!Z338</f>
        <v>0</v>
      </c>
      <c r="AX51" s="7">
        <f>Tervezőhiv.!AL338</f>
        <v>0</v>
      </c>
      <c r="AY51" s="7">
        <f>Tervezőhiv.!AS338</f>
        <v>0</v>
      </c>
      <c r="AZ51" s="196">
        <f>SUM(AQ51:AY51)</f>
        <v>0</v>
      </c>
      <c r="BA51" s="7"/>
      <c r="BB51" s="7"/>
      <c r="BC51" s="7"/>
      <c r="BD51" s="7"/>
      <c r="BE51" s="7"/>
      <c r="BF51" s="7"/>
      <c r="BG51" s="7"/>
      <c r="BH51" s="7"/>
      <c r="BI51" s="7"/>
      <c r="BJ51" s="7"/>
      <c r="BK51" s="7"/>
      <c r="BL51" s="7"/>
      <c r="BM51" s="7"/>
      <c r="BN51" s="7"/>
      <c r="BO51" s="8">
        <f>SUM(BA51:BN51)</f>
        <v>0</v>
      </c>
      <c r="BP51" s="8"/>
      <c r="BQ51" s="8"/>
      <c r="BR51" s="8"/>
      <c r="BS51" s="8">
        <f>BO51+BP51+BQ51+BR51</f>
        <v>0</v>
      </c>
      <c r="BT51" s="230">
        <f t="shared" si="126"/>
        <v>0</v>
      </c>
    </row>
    <row r="52" spans="1:72" s="13" customFormat="1" x14ac:dyDescent="0.25">
      <c r="A52" s="219" t="s">
        <v>378</v>
      </c>
      <c r="B52" s="6">
        <f>B28+B40</f>
        <v>0</v>
      </c>
      <c r="C52" s="6">
        <f t="shared" ref="C52:AZ52" si="167">C28+C40</f>
        <v>0</v>
      </c>
      <c r="D52" s="6">
        <f t="shared" si="167"/>
        <v>0</v>
      </c>
      <c r="E52" s="6">
        <f t="shared" si="167"/>
        <v>0</v>
      </c>
      <c r="F52" s="6">
        <f t="shared" si="167"/>
        <v>0</v>
      </c>
      <c r="G52" s="6">
        <f t="shared" si="167"/>
        <v>0</v>
      </c>
      <c r="H52" s="6">
        <f t="shared" si="167"/>
        <v>0</v>
      </c>
      <c r="I52" s="6">
        <f>I28+I40</f>
        <v>8835936</v>
      </c>
      <c r="J52" s="6">
        <f t="shared" si="167"/>
        <v>2020372.764</v>
      </c>
      <c r="K52" s="6">
        <f t="shared" si="167"/>
        <v>0</v>
      </c>
      <c r="L52" s="6">
        <f>L28+L40</f>
        <v>0</v>
      </c>
      <c r="M52" s="6">
        <f>M28+M40</f>
        <v>5698</v>
      </c>
      <c r="N52" s="6">
        <f>N28+N40</f>
        <v>4000</v>
      </c>
      <c r="O52" s="6">
        <f>O28+O40</f>
        <v>1315610</v>
      </c>
      <c r="P52" s="6">
        <f t="shared" ref="P52:V52" si="168">P28+P40</f>
        <v>0</v>
      </c>
      <c r="Q52" s="6">
        <f>Q28+Q40</f>
        <v>0</v>
      </c>
      <c r="R52" s="6">
        <f>R28+R40</f>
        <v>300000</v>
      </c>
      <c r="S52" s="6">
        <f t="shared" si="168"/>
        <v>0</v>
      </c>
      <c r="T52" s="6">
        <f>T28+T40</f>
        <v>0</v>
      </c>
      <c r="U52" s="6">
        <f>U28+U40</f>
        <v>71954</v>
      </c>
      <c r="V52" s="6">
        <f t="shared" si="168"/>
        <v>0</v>
      </c>
      <c r="W52" s="6">
        <f>W28+W40</f>
        <v>0</v>
      </c>
      <c r="X52" s="6">
        <f t="shared" si="167"/>
        <v>86583</v>
      </c>
      <c r="Y52" s="6">
        <f>Y28+Y40</f>
        <v>25000</v>
      </c>
      <c r="Z52" s="6">
        <f t="shared" ref="Z52" si="169">Z28+Z40</f>
        <v>0</v>
      </c>
      <c r="AA52" s="6">
        <f>AA28+AA40</f>
        <v>110000</v>
      </c>
      <c r="AB52" s="6">
        <f t="shared" ref="AB52" si="170">AB28+AB40</f>
        <v>0</v>
      </c>
      <c r="AC52" s="6">
        <f t="shared" si="167"/>
        <v>1940600</v>
      </c>
      <c r="AD52" s="6">
        <f t="shared" si="167"/>
        <v>0</v>
      </c>
      <c r="AE52" s="6">
        <f t="shared" si="167"/>
        <v>0</v>
      </c>
      <c r="AF52" s="6">
        <f t="shared" si="167"/>
        <v>0</v>
      </c>
      <c r="AG52" s="6">
        <f t="shared" ref="AG52" si="171">AG28+AG40</f>
        <v>0</v>
      </c>
      <c r="AH52" s="6">
        <f t="shared" ref="AH52:AN52" si="172">AH28+AH40</f>
        <v>0</v>
      </c>
      <c r="AI52" s="6">
        <f>AI28+AI40</f>
        <v>0</v>
      </c>
      <c r="AJ52" s="6">
        <f>AJ28+AJ40</f>
        <v>0</v>
      </c>
      <c r="AK52" s="6">
        <f t="shared" si="172"/>
        <v>0</v>
      </c>
      <c r="AL52" s="6">
        <f>AL28+AL40</f>
        <v>0</v>
      </c>
      <c r="AM52" s="6">
        <f>AM28+AM40</f>
        <v>76446</v>
      </c>
      <c r="AN52" s="6">
        <f t="shared" si="172"/>
        <v>0</v>
      </c>
      <c r="AO52" s="6">
        <f>AO28+AO40</f>
        <v>0</v>
      </c>
      <c r="AP52" s="197">
        <f t="shared" si="167"/>
        <v>14792199.764</v>
      </c>
      <c r="AQ52" s="6">
        <f t="shared" si="167"/>
        <v>0</v>
      </c>
      <c r="AR52" s="6">
        <f t="shared" ref="AR52:AU52" si="173">AR28+AR40</f>
        <v>0</v>
      </c>
      <c r="AS52" s="6">
        <f t="shared" si="173"/>
        <v>0</v>
      </c>
      <c r="AT52" s="6">
        <f t="shared" si="173"/>
        <v>4000</v>
      </c>
      <c r="AU52" s="6">
        <f t="shared" si="173"/>
        <v>0</v>
      </c>
      <c r="AV52" s="6">
        <f t="shared" ref="AV52:AW52" si="174">AV28+AV40</f>
        <v>0</v>
      </c>
      <c r="AW52" s="6">
        <f t="shared" si="174"/>
        <v>0</v>
      </c>
      <c r="AX52" s="6">
        <f t="shared" ref="AX52:AY52" si="175">AX28+AX40</f>
        <v>0</v>
      </c>
      <c r="AY52" s="6">
        <f t="shared" si="175"/>
        <v>35000</v>
      </c>
      <c r="AZ52" s="197">
        <f t="shared" si="167"/>
        <v>39000</v>
      </c>
      <c r="BA52" s="6">
        <f>BA28+BA40</f>
        <v>0</v>
      </c>
      <c r="BB52" s="6">
        <f t="shared" ref="BB52:BN52" si="176">BB28+BB40</f>
        <v>40000</v>
      </c>
      <c r="BC52" s="6">
        <f t="shared" si="176"/>
        <v>0</v>
      </c>
      <c r="BD52" s="6">
        <f t="shared" si="176"/>
        <v>0</v>
      </c>
      <c r="BE52" s="6">
        <f t="shared" ref="BE52" si="177">BE28+BE40</f>
        <v>0</v>
      </c>
      <c r="BF52" s="6">
        <f t="shared" si="176"/>
        <v>0</v>
      </c>
      <c r="BG52" s="6">
        <f t="shared" si="176"/>
        <v>24616</v>
      </c>
      <c r="BH52" s="6">
        <f t="shared" si="176"/>
        <v>6121</v>
      </c>
      <c r="BI52" s="6">
        <f t="shared" si="176"/>
        <v>2262</v>
      </c>
      <c r="BJ52" s="6">
        <f t="shared" si="176"/>
        <v>13640</v>
      </c>
      <c r="BK52" s="6">
        <f t="shared" si="176"/>
        <v>0</v>
      </c>
      <c r="BL52" s="6">
        <f t="shared" si="176"/>
        <v>0</v>
      </c>
      <c r="BM52" s="6">
        <f t="shared" si="176"/>
        <v>0</v>
      </c>
      <c r="BN52" s="6">
        <f t="shared" si="176"/>
        <v>73174</v>
      </c>
      <c r="BO52" s="6">
        <f>BO28+BO40</f>
        <v>159813</v>
      </c>
      <c r="BP52" s="6">
        <f>BP28+BP40</f>
        <v>48830</v>
      </c>
      <c r="BQ52" s="6">
        <f t="shared" ref="BQ52:BR52" si="178">BQ28+BQ40</f>
        <v>1603622</v>
      </c>
      <c r="BR52" s="6">
        <f t="shared" si="178"/>
        <v>0</v>
      </c>
      <c r="BS52" s="6">
        <f>BS28+BS40</f>
        <v>1812265</v>
      </c>
      <c r="BT52" s="230">
        <f t="shared" si="126"/>
        <v>16643464.764</v>
      </c>
    </row>
    <row r="53" spans="1:72" s="13" customFormat="1" x14ac:dyDescent="0.25">
      <c r="A53" s="219" t="s">
        <v>379</v>
      </c>
      <c r="B53" s="6">
        <f>B54+B58</f>
        <v>0</v>
      </c>
      <c r="C53" s="6">
        <f t="shared" ref="C53:AZ53" si="179">C54+C58</f>
        <v>0</v>
      </c>
      <c r="D53" s="6">
        <f t="shared" si="179"/>
        <v>0</v>
      </c>
      <c r="E53" s="6">
        <f t="shared" si="179"/>
        <v>0</v>
      </c>
      <c r="F53" s="6">
        <f t="shared" si="179"/>
        <v>0</v>
      </c>
      <c r="G53" s="6">
        <f t="shared" si="179"/>
        <v>0</v>
      </c>
      <c r="H53" s="6">
        <f t="shared" si="179"/>
        <v>0</v>
      </c>
      <c r="I53" s="6">
        <f>I54+I58</f>
        <v>0</v>
      </c>
      <c r="J53" s="6">
        <f t="shared" si="179"/>
        <v>5939710</v>
      </c>
      <c r="K53" s="6">
        <f t="shared" si="179"/>
        <v>0</v>
      </c>
      <c r="L53" s="6">
        <f>L54+L58</f>
        <v>0</v>
      </c>
      <c r="M53" s="6">
        <f>M54+M58</f>
        <v>0</v>
      </c>
      <c r="N53" s="6">
        <f>N54+N58</f>
        <v>0</v>
      </c>
      <c r="O53" s="6">
        <f>O54+O58</f>
        <v>0</v>
      </c>
      <c r="P53" s="6">
        <f t="shared" ref="P53:V53" si="180">P54+P58</f>
        <v>0</v>
      </c>
      <c r="Q53" s="6">
        <f>Q54+Q58</f>
        <v>0</v>
      </c>
      <c r="R53" s="6">
        <f>R54+R58</f>
        <v>0</v>
      </c>
      <c r="S53" s="6">
        <f t="shared" si="180"/>
        <v>0</v>
      </c>
      <c r="T53" s="6">
        <f>T54+T58</f>
        <v>0</v>
      </c>
      <c r="U53" s="6">
        <f>U54+U58</f>
        <v>0</v>
      </c>
      <c r="V53" s="6">
        <f t="shared" si="180"/>
        <v>0</v>
      </c>
      <c r="W53" s="6">
        <f>W54+W58</f>
        <v>0</v>
      </c>
      <c r="X53" s="6">
        <f t="shared" si="179"/>
        <v>0</v>
      </c>
      <c r="Y53" s="6">
        <f>Y54+Y58</f>
        <v>0</v>
      </c>
      <c r="Z53" s="6">
        <f t="shared" ref="Z53" si="181">Z54+Z58</f>
        <v>0</v>
      </c>
      <c r="AA53" s="6">
        <f>AA54+AA58</f>
        <v>0</v>
      </c>
      <c r="AB53" s="6">
        <f t="shared" ref="AB53" si="182">AB54+AB58</f>
        <v>0</v>
      </c>
      <c r="AC53" s="6">
        <f t="shared" si="179"/>
        <v>0</v>
      </c>
      <c r="AD53" s="6">
        <f t="shared" si="179"/>
        <v>0</v>
      </c>
      <c r="AE53" s="6">
        <f t="shared" si="179"/>
        <v>0</v>
      </c>
      <c r="AF53" s="6">
        <f t="shared" si="179"/>
        <v>0</v>
      </c>
      <c r="AG53" s="6">
        <f t="shared" ref="AG53" si="183">AG54+AG58</f>
        <v>0</v>
      </c>
      <c r="AH53" s="6">
        <f t="shared" ref="AH53:AN53" si="184">AH54+AH58</f>
        <v>0</v>
      </c>
      <c r="AI53" s="6">
        <f>AI54+AI58</f>
        <v>0</v>
      </c>
      <c r="AJ53" s="6">
        <f>AJ54+AJ58</f>
        <v>0</v>
      </c>
      <c r="AK53" s="6">
        <f t="shared" si="184"/>
        <v>0</v>
      </c>
      <c r="AL53" s="6">
        <f>AL54+AL58</f>
        <v>0</v>
      </c>
      <c r="AM53" s="6">
        <f>AM54+AM58</f>
        <v>0</v>
      </c>
      <c r="AN53" s="6">
        <f t="shared" si="184"/>
        <v>0</v>
      </c>
      <c r="AO53" s="6">
        <f>AO54+AO58</f>
        <v>0</v>
      </c>
      <c r="AP53" s="197">
        <f t="shared" si="179"/>
        <v>5939710</v>
      </c>
      <c r="AQ53" s="6">
        <f t="shared" si="179"/>
        <v>0</v>
      </c>
      <c r="AR53" s="6">
        <f t="shared" ref="AR53:AU53" si="185">AR54+AR58</f>
        <v>0</v>
      </c>
      <c r="AS53" s="6">
        <f t="shared" si="185"/>
        <v>0</v>
      </c>
      <c r="AT53" s="6">
        <f t="shared" si="185"/>
        <v>0</v>
      </c>
      <c r="AU53" s="6">
        <f t="shared" si="185"/>
        <v>0</v>
      </c>
      <c r="AV53" s="6">
        <f t="shared" ref="AV53:AW53" si="186">AV54+AV58</f>
        <v>0</v>
      </c>
      <c r="AW53" s="6">
        <f t="shared" si="186"/>
        <v>0</v>
      </c>
      <c r="AX53" s="6">
        <f t="shared" ref="AX53:AY53" si="187">AX54+AX58</f>
        <v>0</v>
      </c>
      <c r="AY53" s="6">
        <f t="shared" si="187"/>
        <v>0</v>
      </c>
      <c r="AZ53" s="197">
        <f t="shared" si="179"/>
        <v>0</v>
      </c>
      <c r="BA53" s="6">
        <f>BA54+BA58</f>
        <v>0</v>
      </c>
      <c r="BB53" s="6">
        <f t="shared" ref="BB53:BN53" si="188">BB54+BB58</f>
        <v>0</v>
      </c>
      <c r="BC53" s="6">
        <f t="shared" si="188"/>
        <v>0</v>
      </c>
      <c r="BD53" s="6">
        <f t="shared" si="188"/>
        <v>0</v>
      </c>
      <c r="BE53" s="6">
        <f t="shared" ref="BE53" si="189">BE54+BE58</f>
        <v>0</v>
      </c>
      <c r="BF53" s="6">
        <f t="shared" si="188"/>
        <v>0</v>
      </c>
      <c r="BG53" s="6">
        <f t="shared" si="188"/>
        <v>0</v>
      </c>
      <c r="BH53" s="6">
        <f t="shared" si="188"/>
        <v>0</v>
      </c>
      <c r="BI53" s="6">
        <f t="shared" si="188"/>
        <v>0</v>
      </c>
      <c r="BJ53" s="6">
        <f t="shared" si="188"/>
        <v>0</v>
      </c>
      <c r="BK53" s="6">
        <f t="shared" si="188"/>
        <v>0</v>
      </c>
      <c r="BL53" s="6">
        <f t="shared" si="188"/>
        <v>0</v>
      </c>
      <c r="BM53" s="6">
        <f t="shared" si="188"/>
        <v>0</v>
      </c>
      <c r="BN53" s="6">
        <f t="shared" si="188"/>
        <v>0</v>
      </c>
      <c r="BO53" s="6">
        <f>BO54+BO58</f>
        <v>0</v>
      </c>
      <c r="BP53" s="6">
        <f>BP54+BP58</f>
        <v>0</v>
      </c>
      <c r="BQ53" s="6">
        <f t="shared" ref="BQ53:BR53" si="190">BQ54+BQ58</f>
        <v>0</v>
      </c>
      <c r="BR53" s="6">
        <f t="shared" si="190"/>
        <v>0</v>
      </c>
      <c r="BS53" s="6">
        <f>BS54+BS58</f>
        <v>0</v>
      </c>
      <c r="BT53" s="230">
        <f t="shared" si="126"/>
        <v>5939710</v>
      </c>
    </row>
    <row r="54" spans="1:72" s="13" customFormat="1" x14ac:dyDescent="0.25">
      <c r="A54" s="219" t="s">
        <v>380</v>
      </c>
      <c r="B54" s="6">
        <f>B55+B56+B57</f>
        <v>0</v>
      </c>
      <c r="C54" s="6">
        <f t="shared" ref="C54:AZ54" si="191">C55+C56+C57</f>
        <v>0</v>
      </c>
      <c r="D54" s="6">
        <f t="shared" si="191"/>
        <v>0</v>
      </c>
      <c r="E54" s="6">
        <f t="shared" si="191"/>
        <v>0</v>
      </c>
      <c r="F54" s="6">
        <f t="shared" si="191"/>
        <v>0</v>
      </c>
      <c r="G54" s="6">
        <f t="shared" si="191"/>
        <v>0</v>
      </c>
      <c r="H54" s="6">
        <f t="shared" si="191"/>
        <v>0</v>
      </c>
      <c r="I54" s="6">
        <f>I55+I56+I57</f>
        <v>0</v>
      </c>
      <c r="J54" s="6">
        <f t="shared" si="191"/>
        <v>5872663</v>
      </c>
      <c r="K54" s="6">
        <f t="shared" si="191"/>
        <v>0</v>
      </c>
      <c r="L54" s="6">
        <f>L55+L56+L57</f>
        <v>0</v>
      </c>
      <c r="M54" s="6">
        <f>M55+M56+M57</f>
        <v>0</v>
      </c>
      <c r="N54" s="6">
        <f>N55+N56+N57</f>
        <v>0</v>
      </c>
      <c r="O54" s="6">
        <f>O55+O56+O57</f>
        <v>0</v>
      </c>
      <c r="P54" s="6">
        <f t="shared" ref="P54:V54" si="192">P55+P56+P57</f>
        <v>0</v>
      </c>
      <c r="Q54" s="6">
        <f>Q55+Q56+Q57</f>
        <v>0</v>
      </c>
      <c r="R54" s="6">
        <f>R55+R56+R57</f>
        <v>0</v>
      </c>
      <c r="S54" s="6">
        <f t="shared" si="192"/>
        <v>0</v>
      </c>
      <c r="T54" s="6">
        <f>T55+T56+T57</f>
        <v>0</v>
      </c>
      <c r="U54" s="6">
        <f>U55+U56+U57</f>
        <v>0</v>
      </c>
      <c r="V54" s="6">
        <f t="shared" si="192"/>
        <v>0</v>
      </c>
      <c r="W54" s="6">
        <f>W55+W56+W57</f>
        <v>0</v>
      </c>
      <c r="X54" s="6">
        <f t="shared" si="191"/>
        <v>0</v>
      </c>
      <c r="Y54" s="6">
        <f>Y55+Y56+Y57</f>
        <v>0</v>
      </c>
      <c r="Z54" s="6">
        <f t="shared" ref="Z54" si="193">Z55+Z56+Z57</f>
        <v>0</v>
      </c>
      <c r="AA54" s="6">
        <f>AA55+AA56+AA57</f>
        <v>0</v>
      </c>
      <c r="AB54" s="6">
        <f t="shared" ref="AB54" si="194">AB55+AB56+AB57</f>
        <v>0</v>
      </c>
      <c r="AC54" s="6">
        <f t="shared" si="191"/>
        <v>0</v>
      </c>
      <c r="AD54" s="6">
        <f t="shared" si="191"/>
        <v>0</v>
      </c>
      <c r="AE54" s="6">
        <f t="shared" si="191"/>
        <v>0</v>
      </c>
      <c r="AF54" s="6">
        <f t="shared" si="191"/>
        <v>0</v>
      </c>
      <c r="AG54" s="6">
        <f t="shared" ref="AG54" si="195">AG55+AG56+AG57</f>
        <v>0</v>
      </c>
      <c r="AH54" s="6">
        <f t="shared" ref="AH54:AN54" si="196">AH55+AH56+AH57</f>
        <v>0</v>
      </c>
      <c r="AI54" s="6">
        <f>AI55+AI56+AI57</f>
        <v>0</v>
      </c>
      <c r="AJ54" s="6">
        <f>AJ55+AJ56+AJ57</f>
        <v>0</v>
      </c>
      <c r="AK54" s="6">
        <f t="shared" si="196"/>
        <v>0</v>
      </c>
      <c r="AL54" s="6">
        <f>AL55+AL56+AL57</f>
        <v>0</v>
      </c>
      <c r="AM54" s="6">
        <f>AM55+AM56+AM57</f>
        <v>0</v>
      </c>
      <c r="AN54" s="6">
        <f t="shared" si="196"/>
        <v>0</v>
      </c>
      <c r="AO54" s="6">
        <f>AO55+AO56+AO57</f>
        <v>0</v>
      </c>
      <c r="AP54" s="197">
        <f t="shared" si="191"/>
        <v>5872663</v>
      </c>
      <c r="AQ54" s="6">
        <f t="shared" si="191"/>
        <v>0</v>
      </c>
      <c r="AR54" s="6">
        <f t="shared" ref="AR54:AU54" si="197">AR55+AR56+AR57</f>
        <v>0</v>
      </c>
      <c r="AS54" s="6">
        <f t="shared" si="197"/>
        <v>0</v>
      </c>
      <c r="AT54" s="6">
        <f t="shared" si="197"/>
        <v>0</v>
      </c>
      <c r="AU54" s="6">
        <f t="shared" si="197"/>
        <v>0</v>
      </c>
      <c r="AV54" s="6">
        <f t="shared" ref="AV54:AW54" si="198">AV55+AV56+AV57</f>
        <v>0</v>
      </c>
      <c r="AW54" s="6">
        <f t="shared" si="198"/>
        <v>0</v>
      </c>
      <c r="AX54" s="6">
        <f t="shared" ref="AX54:AY54" si="199">AX55+AX56+AX57</f>
        <v>0</v>
      </c>
      <c r="AY54" s="6">
        <f t="shared" si="199"/>
        <v>0</v>
      </c>
      <c r="AZ54" s="197">
        <f t="shared" si="191"/>
        <v>0</v>
      </c>
      <c r="BA54" s="6">
        <f>BA55+BA56+BA57</f>
        <v>0</v>
      </c>
      <c r="BB54" s="6">
        <f t="shared" ref="BB54:BN54" si="200">BB55+BB56+BB57</f>
        <v>0</v>
      </c>
      <c r="BC54" s="6">
        <f t="shared" si="200"/>
        <v>0</v>
      </c>
      <c r="BD54" s="6">
        <f t="shared" si="200"/>
        <v>0</v>
      </c>
      <c r="BE54" s="6">
        <f t="shared" ref="BE54" si="201">BE55+BE56+BE57</f>
        <v>0</v>
      </c>
      <c r="BF54" s="6">
        <f t="shared" si="200"/>
        <v>0</v>
      </c>
      <c r="BG54" s="6">
        <f t="shared" si="200"/>
        <v>0</v>
      </c>
      <c r="BH54" s="6">
        <f t="shared" si="200"/>
        <v>0</v>
      </c>
      <c r="BI54" s="6">
        <f t="shared" si="200"/>
        <v>0</v>
      </c>
      <c r="BJ54" s="6">
        <f t="shared" si="200"/>
        <v>0</v>
      </c>
      <c r="BK54" s="6">
        <f t="shared" si="200"/>
        <v>0</v>
      </c>
      <c r="BL54" s="6">
        <f t="shared" si="200"/>
        <v>0</v>
      </c>
      <c r="BM54" s="6">
        <f t="shared" si="200"/>
        <v>0</v>
      </c>
      <c r="BN54" s="6">
        <f t="shared" si="200"/>
        <v>0</v>
      </c>
      <c r="BO54" s="6">
        <f>BO55+BO56+BO57</f>
        <v>0</v>
      </c>
      <c r="BP54" s="6">
        <f>BP55+BP56+BP57</f>
        <v>0</v>
      </c>
      <c r="BQ54" s="6">
        <f t="shared" ref="BQ54:BR54" si="202">BQ55+BQ56+BQ57</f>
        <v>0</v>
      </c>
      <c r="BR54" s="6">
        <f t="shared" si="202"/>
        <v>0</v>
      </c>
      <c r="BS54" s="6">
        <f>BS55+BS56+BS57</f>
        <v>0</v>
      </c>
      <c r="BT54" s="230">
        <f t="shared" si="126"/>
        <v>5872663</v>
      </c>
    </row>
    <row r="55" spans="1:72" s="13" customFormat="1" x14ac:dyDescent="0.25">
      <c r="A55" s="218" t="s">
        <v>381</v>
      </c>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196">
        <f>SUM(B55:AO55)</f>
        <v>0</v>
      </c>
      <c r="AQ55" s="8"/>
      <c r="AR55" s="8"/>
      <c r="AS55" s="8"/>
      <c r="AT55" s="7"/>
      <c r="AU55" s="7"/>
      <c r="AV55" s="7"/>
      <c r="AW55" s="7"/>
      <c r="AX55" s="7"/>
      <c r="AY55" s="7"/>
      <c r="AZ55" s="196">
        <f>SUM(AQ55:AY55)</f>
        <v>0</v>
      </c>
      <c r="BA55" s="7"/>
      <c r="BB55" s="7"/>
      <c r="BC55" s="7"/>
      <c r="BD55" s="7"/>
      <c r="BE55" s="7"/>
      <c r="BF55" s="7"/>
      <c r="BG55" s="7"/>
      <c r="BH55" s="7"/>
      <c r="BI55" s="7"/>
      <c r="BJ55" s="7"/>
      <c r="BK55" s="7"/>
      <c r="BL55" s="7"/>
      <c r="BM55" s="7"/>
      <c r="BN55" s="7"/>
      <c r="BO55" s="8">
        <f>SUM(BA55:BN55)</f>
        <v>0</v>
      </c>
      <c r="BP55" s="8"/>
      <c r="BQ55" s="8"/>
      <c r="BR55" s="8"/>
      <c r="BS55" s="8">
        <f>BO55+BP55+BQ55+BR55</f>
        <v>0</v>
      </c>
      <c r="BT55" s="230">
        <f t="shared" si="126"/>
        <v>0</v>
      </c>
    </row>
    <row r="56" spans="1:72" s="13" customFormat="1" x14ac:dyDescent="0.25">
      <c r="A56" s="218" t="s">
        <v>382</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196">
        <f>SUM(B56:AO56)</f>
        <v>0</v>
      </c>
      <c r="AQ56" s="8"/>
      <c r="AR56" s="8"/>
      <c r="AS56" s="8"/>
      <c r="AT56" s="7"/>
      <c r="AU56" s="7"/>
      <c r="AV56" s="7"/>
      <c r="AW56" s="7"/>
      <c r="AX56" s="7"/>
      <c r="AY56" s="7"/>
      <c r="AZ56" s="196">
        <f>SUM(AQ56:AY56)</f>
        <v>0</v>
      </c>
      <c r="BA56" s="7"/>
      <c r="BB56" s="7"/>
      <c r="BC56" s="7"/>
      <c r="BD56" s="7"/>
      <c r="BE56" s="7"/>
      <c r="BF56" s="7"/>
      <c r="BG56" s="7"/>
      <c r="BH56" s="7"/>
      <c r="BI56" s="7"/>
      <c r="BJ56" s="7"/>
      <c r="BK56" s="7"/>
      <c r="BL56" s="7"/>
      <c r="BM56" s="7"/>
      <c r="BN56" s="7"/>
      <c r="BO56" s="8">
        <f>SUM(BA56:BN56)</f>
        <v>0</v>
      </c>
      <c r="BP56" s="8"/>
      <c r="BQ56" s="8"/>
      <c r="BR56" s="8"/>
      <c r="BS56" s="8">
        <f>BO56+BP56+BQ56+BR56</f>
        <v>0</v>
      </c>
      <c r="BT56" s="230">
        <f t="shared" si="126"/>
        <v>0</v>
      </c>
    </row>
    <row r="57" spans="1:72" x14ac:dyDescent="0.25">
      <c r="A57" s="220" t="s">
        <v>383</v>
      </c>
      <c r="B57" s="7"/>
      <c r="C57" s="7"/>
      <c r="D57" s="7"/>
      <c r="E57" s="7"/>
      <c r="F57" s="7"/>
      <c r="G57" s="7"/>
      <c r="H57" s="7"/>
      <c r="I57" s="7"/>
      <c r="J57" s="7">
        <f>AZ63+BS63</f>
        <v>5872663</v>
      </c>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196">
        <f>SUM(B57:AO57)</f>
        <v>5872663</v>
      </c>
      <c r="AQ57" s="8"/>
      <c r="AR57" s="8"/>
      <c r="AS57" s="8"/>
      <c r="AT57" s="7"/>
      <c r="AU57" s="7"/>
      <c r="AV57" s="7"/>
      <c r="AW57" s="7"/>
      <c r="AX57" s="7"/>
      <c r="AY57" s="7"/>
      <c r="AZ57" s="196"/>
      <c r="BA57" s="7"/>
      <c r="BB57" s="7"/>
      <c r="BC57" s="7"/>
      <c r="BD57" s="7"/>
      <c r="BE57" s="7"/>
      <c r="BF57" s="7"/>
      <c r="BG57" s="7"/>
      <c r="BH57" s="7"/>
      <c r="BI57" s="7"/>
      <c r="BJ57" s="7"/>
      <c r="BK57" s="7"/>
      <c r="BL57" s="7"/>
      <c r="BM57" s="7"/>
      <c r="BN57" s="7"/>
      <c r="BO57" s="8">
        <f>SUM(BA57:BN57)</f>
        <v>0</v>
      </c>
      <c r="BP57" s="8"/>
      <c r="BQ57" s="8"/>
      <c r="BR57" s="8"/>
      <c r="BS57" s="8">
        <f>BO57+BP57+BQ57+BR57</f>
        <v>0</v>
      </c>
      <c r="BT57" s="230">
        <f t="shared" si="126"/>
        <v>5872663</v>
      </c>
    </row>
    <row r="58" spans="1:72" s="13" customFormat="1" x14ac:dyDescent="0.25">
      <c r="A58" s="219" t="s">
        <v>384</v>
      </c>
      <c r="B58" s="6">
        <f>B59+B60</f>
        <v>0</v>
      </c>
      <c r="C58" s="6">
        <f t="shared" ref="C58:AZ58" si="203">C59+C60</f>
        <v>0</v>
      </c>
      <c r="D58" s="6">
        <f t="shared" si="203"/>
        <v>0</v>
      </c>
      <c r="E58" s="6">
        <f t="shared" si="203"/>
        <v>0</v>
      </c>
      <c r="F58" s="6">
        <f t="shared" si="203"/>
        <v>0</v>
      </c>
      <c r="G58" s="6">
        <f t="shared" si="203"/>
        <v>0</v>
      </c>
      <c r="H58" s="6">
        <f t="shared" si="203"/>
        <v>0</v>
      </c>
      <c r="I58" s="6">
        <f>I59+I60</f>
        <v>0</v>
      </c>
      <c r="J58" s="6">
        <f t="shared" si="203"/>
        <v>67047</v>
      </c>
      <c r="K58" s="6">
        <f t="shared" si="203"/>
        <v>0</v>
      </c>
      <c r="L58" s="6">
        <f>L59+L60</f>
        <v>0</v>
      </c>
      <c r="M58" s="6">
        <f>M59+M60</f>
        <v>0</v>
      </c>
      <c r="N58" s="6">
        <f>N59+N60</f>
        <v>0</v>
      </c>
      <c r="O58" s="6">
        <f>O59+O60</f>
        <v>0</v>
      </c>
      <c r="P58" s="6">
        <f t="shared" ref="P58:V58" si="204">P59+P60</f>
        <v>0</v>
      </c>
      <c r="Q58" s="6">
        <f>Q59+Q60</f>
        <v>0</v>
      </c>
      <c r="R58" s="6">
        <f>R59+R60</f>
        <v>0</v>
      </c>
      <c r="S58" s="6">
        <f t="shared" si="204"/>
        <v>0</v>
      </c>
      <c r="T58" s="6">
        <f>T59+T60</f>
        <v>0</v>
      </c>
      <c r="U58" s="6">
        <f>U59+U60</f>
        <v>0</v>
      </c>
      <c r="V58" s="6">
        <f t="shared" si="204"/>
        <v>0</v>
      </c>
      <c r="W58" s="6">
        <f>W59+W60</f>
        <v>0</v>
      </c>
      <c r="X58" s="6">
        <f t="shared" si="203"/>
        <v>0</v>
      </c>
      <c r="Y58" s="6">
        <f>Y59+Y60</f>
        <v>0</v>
      </c>
      <c r="Z58" s="6">
        <f t="shared" ref="Z58" si="205">Z59+Z60</f>
        <v>0</v>
      </c>
      <c r="AA58" s="6">
        <f>AA59+AA60</f>
        <v>0</v>
      </c>
      <c r="AB58" s="6">
        <f t="shared" ref="AB58" si="206">AB59+AB60</f>
        <v>0</v>
      </c>
      <c r="AC58" s="6">
        <f t="shared" si="203"/>
        <v>0</v>
      </c>
      <c r="AD58" s="6">
        <f t="shared" si="203"/>
        <v>0</v>
      </c>
      <c r="AE58" s="6">
        <f t="shared" si="203"/>
        <v>0</v>
      </c>
      <c r="AF58" s="6">
        <f t="shared" si="203"/>
        <v>0</v>
      </c>
      <c r="AG58" s="6">
        <f t="shared" ref="AG58" si="207">AG59+AG60</f>
        <v>0</v>
      </c>
      <c r="AH58" s="6">
        <f t="shared" ref="AH58:AN58" si="208">AH59+AH60</f>
        <v>0</v>
      </c>
      <c r="AI58" s="6">
        <f>AI59+AI60</f>
        <v>0</v>
      </c>
      <c r="AJ58" s="6">
        <f>AJ59+AJ60</f>
        <v>0</v>
      </c>
      <c r="AK58" s="6">
        <f t="shared" si="208"/>
        <v>0</v>
      </c>
      <c r="AL58" s="6">
        <f>AL59+AL60</f>
        <v>0</v>
      </c>
      <c r="AM58" s="6">
        <f>AM59+AM60</f>
        <v>0</v>
      </c>
      <c r="AN58" s="6">
        <f t="shared" si="208"/>
        <v>0</v>
      </c>
      <c r="AO58" s="6">
        <f>AO59+AO60</f>
        <v>0</v>
      </c>
      <c r="AP58" s="197">
        <f t="shared" si="203"/>
        <v>67047</v>
      </c>
      <c r="AQ58" s="6">
        <f t="shared" si="203"/>
        <v>0</v>
      </c>
      <c r="AR58" s="6">
        <f t="shared" ref="AR58:AU58" si="209">AR59+AR60</f>
        <v>0</v>
      </c>
      <c r="AS58" s="6">
        <f t="shared" si="209"/>
        <v>0</v>
      </c>
      <c r="AT58" s="6">
        <f t="shared" si="209"/>
        <v>0</v>
      </c>
      <c r="AU58" s="6">
        <f t="shared" si="209"/>
        <v>0</v>
      </c>
      <c r="AV58" s="6">
        <f t="shared" ref="AV58:AW58" si="210">AV59+AV60</f>
        <v>0</v>
      </c>
      <c r="AW58" s="6">
        <f t="shared" si="210"/>
        <v>0</v>
      </c>
      <c r="AX58" s="6">
        <f t="shared" ref="AX58:AY58" si="211">AX59+AX60</f>
        <v>0</v>
      </c>
      <c r="AY58" s="6">
        <f t="shared" si="211"/>
        <v>0</v>
      </c>
      <c r="AZ58" s="197">
        <f t="shared" si="203"/>
        <v>0</v>
      </c>
      <c r="BA58" s="6">
        <f>BA59+BA60</f>
        <v>0</v>
      </c>
      <c r="BB58" s="6">
        <f t="shared" ref="BB58:BN58" si="212">BB59+BB60</f>
        <v>0</v>
      </c>
      <c r="BC58" s="6">
        <f t="shared" si="212"/>
        <v>0</v>
      </c>
      <c r="BD58" s="6">
        <f t="shared" si="212"/>
        <v>0</v>
      </c>
      <c r="BE58" s="6">
        <f t="shared" ref="BE58" si="213">BE59+BE60</f>
        <v>0</v>
      </c>
      <c r="BF58" s="6">
        <f t="shared" si="212"/>
        <v>0</v>
      </c>
      <c r="BG58" s="6">
        <f t="shared" si="212"/>
        <v>0</v>
      </c>
      <c r="BH58" s="6">
        <f t="shared" si="212"/>
        <v>0</v>
      </c>
      <c r="BI58" s="6">
        <f t="shared" si="212"/>
        <v>0</v>
      </c>
      <c r="BJ58" s="6">
        <f t="shared" si="212"/>
        <v>0</v>
      </c>
      <c r="BK58" s="6">
        <f t="shared" si="212"/>
        <v>0</v>
      </c>
      <c r="BL58" s="6">
        <f t="shared" si="212"/>
        <v>0</v>
      </c>
      <c r="BM58" s="6">
        <f t="shared" si="212"/>
        <v>0</v>
      </c>
      <c r="BN58" s="6">
        <f t="shared" si="212"/>
        <v>0</v>
      </c>
      <c r="BO58" s="6">
        <f>BO59+BO60</f>
        <v>0</v>
      </c>
      <c r="BP58" s="6">
        <f>BP59+BP60</f>
        <v>0</v>
      </c>
      <c r="BQ58" s="6">
        <f t="shared" ref="BQ58:BR58" si="214">BQ59+BQ60</f>
        <v>0</v>
      </c>
      <c r="BR58" s="6">
        <f t="shared" si="214"/>
        <v>0</v>
      </c>
      <c r="BS58" s="6">
        <f>BS59+BS60</f>
        <v>0</v>
      </c>
      <c r="BT58" s="230">
        <f t="shared" si="126"/>
        <v>67047</v>
      </c>
    </row>
    <row r="59" spans="1:72" x14ac:dyDescent="0.25">
      <c r="A59" s="220" t="s">
        <v>385</v>
      </c>
      <c r="B59" s="7"/>
      <c r="C59" s="7"/>
      <c r="D59" s="7"/>
      <c r="E59" s="7"/>
      <c r="F59" s="7"/>
      <c r="G59" s="7"/>
      <c r="H59" s="7"/>
      <c r="I59" s="7"/>
      <c r="J59" s="7">
        <f>AZ68+BS68</f>
        <v>67047</v>
      </c>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196">
        <f>SUM(B59:AO59)</f>
        <v>67047</v>
      </c>
      <c r="AQ59" s="8"/>
      <c r="AR59" s="8"/>
      <c r="AS59" s="8"/>
      <c r="AT59" s="7"/>
      <c r="AU59" s="7"/>
      <c r="AV59" s="7"/>
      <c r="AW59" s="7"/>
      <c r="AX59" s="7"/>
      <c r="AY59" s="7"/>
      <c r="AZ59" s="196">
        <f>SUM(AQ59:AY59)</f>
        <v>0</v>
      </c>
      <c r="BA59" s="7"/>
      <c r="BB59" s="7"/>
      <c r="BC59" s="7"/>
      <c r="BD59" s="7"/>
      <c r="BE59" s="7"/>
      <c r="BF59" s="7"/>
      <c r="BG59" s="7"/>
      <c r="BH59" s="7"/>
      <c r="BI59" s="7"/>
      <c r="BJ59" s="7"/>
      <c r="BK59" s="7"/>
      <c r="BL59" s="7"/>
      <c r="BM59" s="7"/>
      <c r="BN59" s="7"/>
      <c r="BO59" s="8">
        <f>SUM(BA59:BN59)</f>
        <v>0</v>
      </c>
      <c r="BP59" s="8"/>
      <c r="BQ59" s="8"/>
      <c r="BR59" s="8"/>
      <c r="BS59" s="8">
        <f>BO59+BP59+BQ59+BR59</f>
        <v>0</v>
      </c>
      <c r="BT59" s="230">
        <f t="shared" si="126"/>
        <v>67047</v>
      </c>
    </row>
    <row r="60" spans="1:72" x14ac:dyDescent="0.25">
      <c r="A60" s="218" t="s">
        <v>386</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196">
        <f>SUM(B60:AO60)</f>
        <v>0</v>
      </c>
      <c r="AQ60" s="8"/>
      <c r="AR60" s="8"/>
      <c r="AS60" s="8"/>
      <c r="AT60" s="7"/>
      <c r="AU60" s="7"/>
      <c r="AV60" s="7"/>
      <c r="AW60" s="7"/>
      <c r="AX60" s="7"/>
      <c r="AY60" s="7"/>
      <c r="AZ60" s="196">
        <f>SUM(AQ60:AY60)</f>
        <v>0</v>
      </c>
      <c r="BA60" s="7"/>
      <c r="BB60" s="7"/>
      <c r="BC60" s="7"/>
      <c r="BD60" s="7"/>
      <c r="BE60" s="7"/>
      <c r="BF60" s="7"/>
      <c r="BG60" s="7"/>
      <c r="BH60" s="7"/>
      <c r="BI60" s="7"/>
      <c r="BJ60" s="7"/>
      <c r="BK60" s="7"/>
      <c r="BL60" s="7"/>
      <c r="BM60" s="7"/>
      <c r="BN60" s="7"/>
      <c r="BO60" s="8">
        <f>SUM(BA60:BN60)</f>
        <v>0</v>
      </c>
      <c r="BP60" s="8"/>
      <c r="BQ60" s="8"/>
      <c r="BR60" s="8"/>
      <c r="BS60" s="8">
        <f>BO60+BP60+BQ60+BR60</f>
        <v>0</v>
      </c>
      <c r="BT60" s="230">
        <f t="shared" si="126"/>
        <v>0</v>
      </c>
    </row>
    <row r="61" spans="1:72" s="13" customFormat="1" x14ac:dyDescent="0.25">
      <c r="A61" s="219" t="s">
        <v>387</v>
      </c>
      <c r="B61" s="6">
        <f>B62+B67</f>
        <v>0</v>
      </c>
      <c r="C61" s="6">
        <f t="shared" ref="C61:AZ61" si="215">C62+C67</f>
        <v>0</v>
      </c>
      <c r="D61" s="6">
        <f t="shared" si="215"/>
        <v>0</v>
      </c>
      <c r="E61" s="6">
        <f t="shared" si="215"/>
        <v>0</v>
      </c>
      <c r="F61" s="6">
        <f t="shared" si="215"/>
        <v>0</v>
      </c>
      <c r="G61" s="6">
        <f t="shared" si="215"/>
        <v>0</v>
      </c>
      <c r="H61" s="6">
        <f t="shared" si="215"/>
        <v>0</v>
      </c>
      <c r="I61" s="6">
        <f>I62+I67</f>
        <v>0</v>
      </c>
      <c r="J61" s="6">
        <f t="shared" si="215"/>
        <v>0</v>
      </c>
      <c r="K61" s="6">
        <f t="shared" si="215"/>
        <v>621074</v>
      </c>
      <c r="L61" s="6">
        <f>L62+L67</f>
        <v>0</v>
      </c>
      <c r="M61" s="6">
        <f>M62+M67</f>
        <v>0</v>
      </c>
      <c r="N61" s="6">
        <f>N62+N67</f>
        <v>0</v>
      </c>
      <c r="O61" s="6">
        <f>O62+O67</f>
        <v>0</v>
      </c>
      <c r="P61" s="6">
        <f t="shared" ref="P61:V61" si="216">P62+P67</f>
        <v>0</v>
      </c>
      <c r="Q61" s="6">
        <f>Q62+Q67</f>
        <v>0</v>
      </c>
      <c r="R61" s="6">
        <f>R62+R67</f>
        <v>0</v>
      </c>
      <c r="S61" s="6">
        <f t="shared" si="216"/>
        <v>0</v>
      </c>
      <c r="T61" s="6">
        <f>T62+T67</f>
        <v>0</v>
      </c>
      <c r="U61" s="6">
        <f>U62+U67</f>
        <v>0</v>
      </c>
      <c r="V61" s="6">
        <f t="shared" si="216"/>
        <v>0</v>
      </c>
      <c r="W61" s="6">
        <f>W62+W67</f>
        <v>0</v>
      </c>
      <c r="X61" s="6">
        <f t="shared" si="215"/>
        <v>0</v>
      </c>
      <c r="Y61" s="6">
        <f>Y62+Y67</f>
        <v>0</v>
      </c>
      <c r="Z61" s="6">
        <f t="shared" ref="Z61" si="217">Z62+Z67</f>
        <v>0</v>
      </c>
      <c r="AA61" s="6">
        <f>AA62+AA67</f>
        <v>0</v>
      </c>
      <c r="AB61" s="6">
        <f t="shared" ref="AB61" si="218">AB62+AB67</f>
        <v>0</v>
      </c>
      <c r="AC61" s="6">
        <f t="shared" si="215"/>
        <v>0</v>
      </c>
      <c r="AD61" s="6">
        <f t="shared" si="215"/>
        <v>0</v>
      </c>
      <c r="AE61" s="6">
        <f t="shared" si="215"/>
        <v>0</v>
      </c>
      <c r="AF61" s="6">
        <f t="shared" si="215"/>
        <v>0</v>
      </c>
      <c r="AG61" s="6">
        <f t="shared" ref="AG61" si="219">AG62+AG67</f>
        <v>0</v>
      </c>
      <c r="AH61" s="6">
        <f t="shared" ref="AH61:AN61" si="220">AH62+AH67</f>
        <v>0</v>
      </c>
      <c r="AI61" s="6">
        <f>AI62+AI67</f>
        <v>0</v>
      </c>
      <c r="AJ61" s="6">
        <f>AJ62+AJ67</f>
        <v>0</v>
      </c>
      <c r="AK61" s="6">
        <f t="shared" si="220"/>
        <v>0</v>
      </c>
      <c r="AL61" s="6">
        <f>AL62+AL67</f>
        <v>0</v>
      </c>
      <c r="AM61" s="6">
        <f>AM62+AM67</f>
        <v>0</v>
      </c>
      <c r="AN61" s="6">
        <f t="shared" si="220"/>
        <v>0</v>
      </c>
      <c r="AO61" s="6">
        <f>AO62+AO67</f>
        <v>0</v>
      </c>
      <c r="AP61" s="197">
        <f t="shared" si="215"/>
        <v>621074</v>
      </c>
      <c r="AQ61" s="6">
        <f t="shared" si="215"/>
        <v>0</v>
      </c>
      <c r="AR61" s="6">
        <f t="shared" ref="AR61:AU61" si="221">AR62+AR67</f>
        <v>0</v>
      </c>
      <c r="AS61" s="6">
        <f t="shared" si="221"/>
        <v>0</v>
      </c>
      <c r="AT61" s="6">
        <f t="shared" si="221"/>
        <v>243170</v>
      </c>
      <c r="AU61" s="6">
        <f t="shared" si="221"/>
        <v>76026</v>
      </c>
      <c r="AV61" s="6">
        <f t="shared" ref="AV61:AW61" si="222">AV62+AV67</f>
        <v>16825</v>
      </c>
      <c r="AW61" s="6">
        <f t="shared" si="222"/>
        <v>14264</v>
      </c>
      <c r="AX61" s="6">
        <f t="shared" ref="AX61:AY61" si="223">AX62+AX67</f>
        <v>1193328</v>
      </c>
      <c r="AY61" s="6">
        <f t="shared" si="223"/>
        <v>475265</v>
      </c>
      <c r="AZ61" s="197">
        <f t="shared" si="215"/>
        <v>2018878</v>
      </c>
      <c r="BA61" s="6">
        <f>BA62+BA67</f>
        <v>0</v>
      </c>
      <c r="BB61" s="6">
        <f t="shared" ref="BB61:BN61" si="224">BB62+BB67</f>
        <v>105921</v>
      </c>
      <c r="BC61" s="6">
        <f t="shared" si="224"/>
        <v>60970</v>
      </c>
      <c r="BD61" s="6">
        <f t="shared" si="224"/>
        <v>41696</v>
      </c>
      <c r="BE61" s="6">
        <f t="shared" ref="BE61" si="225">BE62+BE67</f>
        <v>39692</v>
      </c>
      <c r="BF61" s="6">
        <f t="shared" si="224"/>
        <v>119520</v>
      </c>
      <c r="BG61" s="6">
        <f t="shared" si="224"/>
        <v>171474</v>
      </c>
      <c r="BH61" s="6">
        <f t="shared" si="224"/>
        <v>93967</v>
      </c>
      <c r="BI61" s="6">
        <f t="shared" si="224"/>
        <v>151031</v>
      </c>
      <c r="BJ61" s="6">
        <f t="shared" si="224"/>
        <v>84471</v>
      </c>
      <c r="BK61" s="6">
        <f t="shared" si="224"/>
        <v>0</v>
      </c>
      <c r="BL61" s="6">
        <f t="shared" si="224"/>
        <v>52288</v>
      </c>
      <c r="BM61" s="6">
        <f t="shared" si="224"/>
        <v>65207</v>
      </c>
      <c r="BN61" s="6">
        <f t="shared" si="224"/>
        <v>721707</v>
      </c>
      <c r="BO61" s="6">
        <f>BO62+BO67</f>
        <v>1707944</v>
      </c>
      <c r="BP61" s="6">
        <f>BP62+BP67</f>
        <v>856045</v>
      </c>
      <c r="BQ61" s="6">
        <f t="shared" ref="BQ61:BR61" si="226">BQ62+BQ67</f>
        <v>155490</v>
      </c>
      <c r="BR61" s="6">
        <f t="shared" si="226"/>
        <v>1212953</v>
      </c>
      <c r="BS61" s="6">
        <f>BS62+BS67</f>
        <v>3932432</v>
      </c>
      <c r="BT61" s="230">
        <f t="shared" si="126"/>
        <v>6572384</v>
      </c>
    </row>
    <row r="62" spans="1:72" s="13" customFormat="1" x14ac:dyDescent="0.25">
      <c r="A62" s="219" t="s">
        <v>388</v>
      </c>
      <c r="B62" s="6">
        <f>B63+B64+B65+B66</f>
        <v>0</v>
      </c>
      <c r="C62" s="6">
        <f t="shared" ref="C62:AZ62" si="227">C63+C64+C65+C66</f>
        <v>0</v>
      </c>
      <c r="D62" s="6">
        <f t="shared" si="227"/>
        <v>0</v>
      </c>
      <c r="E62" s="6">
        <f t="shared" si="227"/>
        <v>0</v>
      </c>
      <c r="F62" s="6">
        <f t="shared" si="227"/>
        <v>0</v>
      </c>
      <c r="G62" s="6">
        <f t="shared" si="227"/>
        <v>0</v>
      </c>
      <c r="H62" s="6">
        <f t="shared" si="227"/>
        <v>0</v>
      </c>
      <c r="I62" s="6">
        <f>I63+I64+I65+I66</f>
        <v>0</v>
      </c>
      <c r="J62" s="6">
        <f t="shared" si="227"/>
        <v>0</v>
      </c>
      <c r="K62" s="6">
        <f t="shared" si="227"/>
        <v>621074</v>
      </c>
      <c r="L62" s="6">
        <f>L63+L64+L65+L66</f>
        <v>0</v>
      </c>
      <c r="M62" s="6">
        <f>M63+M64+M65+M66</f>
        <v>0</v>
      </c>
      <c r="N62" s="6">
        <f>N63+N64+N65+N66</f>
        <v>0</v>
      </c>
      <c r="O62" s="6">
        <f>O63+O64+O65+O66</f>
        <v>0</v>
      </c>
      <c r="P62" s="6">
        <f t="shared" ref="P62:V62" si="228">P63+P64+P65+P66</f>
        <v>0</v>
      </c>
      <c r="Q62" s="6">
        <f>Q63+Q64+Q65+Q66</f>
        <v>0</v>
      </c>
      <c r="R62" s="6">
        <f>R63+R64+R65+R66</f>
        <v>0</v>
      </c>
      <c r="S62" s="6">
        <f t="shared" si="228"/>
        <v>0</v>
      </c>
      <c r="T62" s="6">
        <f>T63+T64+T65+T66</f>
        <v>0</v>
      </c>
      <c r="U62" s="6">
        <f>U63+U64+U65+U66</f>
        <v>0</v>
      </c>
      <c r="V62" s="6">
        <f t="shared" si="228"/>
        <v>0</v>
      </c>
      <c r="W62" s="6">
        <f>W63+W64+W65+W66</f>
        <v>0</v>
      </c>
      <c r="X62" s="6">
        <f t="shared" si="227"/>
        <v>0</v>
      </c>
      <c r="Y62" s="6">
        <f>Y63+Y64+Y65+Y66</f>
        <v>0</v>
      </c>
      <c r="Z62" s="6">
        <f t="shared" ref="Z62" si="229">Z63+Z64+Z65+Z66</f>
        <v>0</v>
      </c>
      <c r="AA62" s="6">
        <f>AA63+AA64+AA65+AA66</f>
        <v>0</v>
      </c>
      <c r="AB62" s="6">
        <f t="shared" ref="AB62" si="230">AB63+AB64+AB65+AB66</f>
        <v>0</v>
      </c>
      <c r="AC62" s="6">
        <f t="shared" si="227"/>
        <v>0</v>
      </c>
      <c r="AD62" s="6">
        <f t="shared" si="227"/>
        <v>0</v>
      </c>
      <c r="AE62" s="6">
        <f t="shared" si="227"/>
        <v>0</v>
      </c>
      <c r="AF62" s="6">
        <f t="shared" si="227"/>
        <v>0</v>
      </c>
      <c r="AG62" s="6">
        <f t="shared" ref="AG62" si="231">AG63+AG64+AG65+AG66</f>
        <v>0</v>
      </c>
      <c r="AH62" s="6">
        <f t="shared" ref="AH62:AN62" si="232">AH63+AH64+AH65+AH66</f>
        <v>0</v>
      </c>
      <c r="AI62" s="6">
        <f>AI63+AI64+AI65+AI66</f>
        <v>0</v>
      </c>
      <c r="AJ62" s="6">
        <f>AJ63+AJ64+AJ65+AJ66</f>
        <v>0</v>
      </c>
      <c r="AK62" s="6">
        <f t="shared" si="232"/>
        <v>0</v>
      </c>
      <c r="AL62" s="6">
        <f>AL63+AL64+AL65+AL66</f>
        <v>0</v>
      </c>
      <c r="AM62" s="6">
        <f>AM63+AM64+AM65+AM66</f>
        <v>0</v>
      </c>
      <c r="AN62" s="6">
        <f t="shared" si="232"/>
        <v>0</v>
      </c>
      <c r="AO62" s="6">
        <f>AO63+AO64+AO65+AO66</f>
        <v>0</v>
      </c>
      <c r="AP62" s="197">
        <f t="shared" si="227"/>
        <v>621074</v>
      </c>
      <c r="AQ62" s="6">
        <f t="shared" si="227"/>
        <v>0</v>
      </c>
      <c r="AR62" s="6">
        <f t="shared" ref="AR62:AU62" si="233">AR63+AR64+AR65+AR66</f>
        <v>0</v>
      </c>
      <c r="AS62" s="6">
        <f t="shared" si="233"/>
        <v>0</v>
      </c>
      <c r="AT62" s="6">
        <f t="shared" si="233"/>
        <v>226789</v>
      </c>
      <c r="AU62" s="6">
        <f t="shared" si="233"/>
        <v>41026</v>
      </c>
      <c r="AV62" s="6">
        <f t="shared" ref="AV62:AW62" si="234">AV63+AV64+AV65+AV66</f>
        <v>16825</v>
      </c>
      <c r="AW62" s="6">
        <f t="shared" si="234"/>
        <v>14264</v>
      </c>
      <c r="AX62" s="6">
        <f t="shared" ref="AX62:AY62" si="235">AX63+AX64+AX65+AX66</f>
        <v>1193328</v>
      </c>
      <c r="AY62" s="6">
        <f t="shared" si="235"/>
        <v>472725</v>
      </c>
      <c r="AZ62" s="197">
        <f t="shared" si="227"/>
        <v>1964957</v>
      </c>
      <c r="BA62" s="6">
        <f>BA63+BA64+BA65+BA66</f>
        <v>0</v>
      </c>
      <c r="BB62" s="6">
        <f t="shared" ref="BB62:BN62" si="236">BB63+BB64+BB65+BB66</f>
        <v>105471</v>
      </c>
      <c r="BC62" s="6">
        <f t="shared" si="236"/>
        <v>60520</v>
      </c>
      <c r="BD62" s="6">
        <f t="shared" si="236"/>
        <v>41296</v>
      </c>
      <c r="BE62" s="6">
        <f t="shared" ref="BE62" si="237">BE63+BE64+BE65+BE66</f>
        <v>39692</v>
      </c>
      <c r="BF62" s="6">
        <f t="shared" si="236"/>
        <v>119020</v>
      </c>
      <c r="BG62" s="6">
        <f t="shared" si="236"/>
        <v>171274</v>
      </c>
      <c r="BH62" s="6">
        <f t="shared" si="236"/>
        <v>93567</v>
      </c>
      <c r="BI62" s="6">
        <f t="shared" si="236"/>
        <v>141481</v>
      </c>
      <c r="BJ62" s="6">
        <f t="shared" si="236"/>
        <v>81371</v>
      </c>
      <c r="BK62" s="6">
        <f t="shared" si="236"/>
        <v>0</v>
      </c>
      <c r="BL62" s="6">
        <f t="shared" si="236"/>
        <v>51838</v>
      </c>
      <c r="BM62" s="6">
        <f t="shared" si="236"/>
        <v>64907</v>
      </c>
      <c r="BN62" s="6">
        <f t="shared" si="236"/>
        <v>721307</v>
      </c>
      <c r="BO62" s="6">
        <f>BO63+BO64+BO65+BO66</f>
        <v>1691744</v>
      </c>
      <c r="BP62" s="6">
        <f>BP63+BP64+BP65+BP66</f>
        <v>852519</v>
      </c>
      <c r="BQ62" s="6">
        <f t="shared" ref="BQ62:BR62" si="238">BQ63+BQ64+BQ65+BQ66</f>
        <v>155490</v>
      </c>
      <c r="BR62" s="6">
        <f t="shared" si="238"/>
        <v>1207953</v>
      </c>
      <c r="BS62" s="6">
        <f>BS63+BS64+BS65+BS66</f>
        <v>3907706</v>
      </c>
      <c r="BT62" s="230">
        <f t="shared" si="126"/>
        <v>6493737</v>
      </c>
    </row>
    <row r="63" spans="1:72" x14ac:dyDescent="0.25">
      <c r="A63" s="220" t="s">
        <v>389</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196">
        <f>SUM(B63:AO63)</f>
        <v>0</v>
      </c>
      <c r="AQ63" s="7"/>
      <c r="AR63" s="7"/>
      <c r="AS63" s="7"/>
      <c r="AT63" s="7">
        <f>Tervezőhiv.!R304</f>
        <v>226789</v>
      </c>
      <c r="AU63" s="7">
        <f>Tervezőhiv.!V304</f>
        <v>41026</v>
      </c>
      <c r="AV63" s="7">
        <f>Tervezőhiv.!AE304</f>
        <v>16825</v>
      </c>
      <c r="AW63" s="7">
        <f>Tervezőhiv.!Z304</f>
        <v>14264</v>
      </c>
      <c r="AX63" s="7">
        <f>Tervezőhiv.!AL304</f>
        <v>1193328</v>
      </c>
      <c r="AY63" s="7">
        <f>Tervezőhiv.!AS304</f>
        <v>472725</v>
      </c>
      <c r="AZ63" s="196">
        <f>SUM(AQ63:AY63)</f>
        <v>1964957</v>
      </c>
      <c r="BA63" s="7"/>
      <c r="BB63" s="7">
        <f>105626-155</f>
        <v>105471</v>
      </c>
      <c r="BC63" s="7">
        <f>60574-54</f>
        <v>60520</v>
      </c>
      <c r="BD63" s="7">
        <f>44636-3104-236</f>
        <v>41296</v>
      </c>
      <c r="BE63" s="7">
        <f>39526+166</f>
        <v>39692</v>
      </c>
      <c r="BF63" s="7">
        <f>119099-79</f>
        <v>119020</v>
      </c>
      <c r="BG63" s="7">
        <f>170632+642</f>
        <v>171274</v>
      </c>
      <c r="BH63" s="7">
        <f>93644-77</f>
        <v>93567</v>
      </c>
      <c r="BI63" s="7">
        <f>141090-125+516</f>
        <v>141481</v>
      </c>
      <c r="BJ63" s="7">
        <f>80131-44+1284</f>
        <v>81371</v>
      </c>
      <c r="BK63" s="7"/>
      <c r="BL63" s="7">
        <f>51896-58</f>
        <v>51838</v>
      </c>
      <c r="BM63" s="7">
        <f>65546-600-39</f>
        <v>64907</v>
      </c>
      <c r="BN63" s="7">
        <f>721034-55+328</f>
        <v>721307</v>
      </c>
      <c r="BO63" s="7">
        <f>SUM(BA63:BN63)</f>
        <v>1691744</v>
      </c>
      <c r="BP63" s="7">
        <f>845636+7151-268</f>
        <v>852519</v>
      </c>
      <c r="BQ63" s="7">
        <v>155490</v>
      </c>
      <c r="BR63" s="7">
        <v>1207953</v>
      </c>
      <c r="BS63" s="8">
        <f>BO63+BP63+BQ63+BR63</f>
        <v>3907706</v>
      </c>
      <c r="BT63" s="230">
        <f t="shared" si="126"/>
        <v>5872663</v>
      </c>
    </row>
    <row r="64" spans="1:72" x14ac:dyDescent="0.25">
      <c r="A64" s="218" t="s">
        <v>390</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196">
        <f>SUM(B64:AO64)</f>
        <v>0</v>
      </c>
      <c r="AQ64" s="7"/>
      <c r="AR64" s="7"/>
      <c r="AS64" s="7"/>
      <c r="AT64" s="7"/>
      <c r="AU64" s="7"/>
      <c r="AV64" s="7"/>
      <c r="AW64" s="7"/>
      <c r="AX64" s="7"/>
      <c r="AY64" s="7"/>
      <c r="AZ64" s="196">
        <f>SUM(AQ64:AY64)</f>
        <v>0</v>
      </c>
      <c r="BA64" s="7"/>
      <c r="BB64" s="7"/>
      <c r="BC64" s="7"/>
      <c r="BD64" s="7"/>
      <c r="BE64" s="7"/>
      <c r="BF64" s="7"/>
      <c r="BG64" s="7"/>
      <c r="BH64" s="7"/>
      <c r="BI64" s="7"/>
      <c r="BJ64" s="7"/>
      <c r="BK64" s="7"/>
      <c r="BL64" s="7"/>
      <c r="BM64" s="7"/>
      <c r="BN64" s="7"/>
      <c r="BO64" s="7">
        <f>SUM(BA64:BN64)</f>
        <v>0</v>
      </c>
      <c r="BP64" s="7"/>
      <c r="BQ64" s="7"/>
      <c r="BR64" s="7"/>
      <c r="BS64" s="8">
        <f>BO64+BP64+BQ64+BR64</f>
        <v>0</v>
      </c>
      <c r="BT64" s="230">
        <f t="shared" si="126"/>
        <v>0</v>
      </c>
    </row>
    <row r="65" spans="1:72" x14ac:dyDescent="0.25">
      <c r="A65" s="218" t="s">
        <v>391</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196">
        <f>SUM(B65:AO65)</f>
        <v>0</v>
      </c>
      <c r="AQ65" s="7"/>
      <c r="AR65" s="7"/>
      <c r="AS65" s="7"/>
      <c r="AT65" s="7"/>
      <c r="AU65" s="7"/>
      <c r="AV65" s="7"/>
      <c r="AW65" s="7"/>
      <c r="AX65" s="7"/>
      <c r="AY65" s="7"/>
      <c r="AZ65" s="196">
        <f>SUM(AQ65:AY65)</f>
        <v>0</v>
      </c>
      <c r="BA65" s="7"/>
      <c r="BB65" s="7"/>
      <c r="BC65" s="7"/>
      <c r="BD65" s="7"/>
      <c r="BE65" s="7"/>
      <c r="BF65" s="7"/>
      <c r="BG65" s="7"/>
      <c r="BH65" s="7"/>
      <c r="BI65" s="7"/>
      <c r="BJ65" s="7"/>
      <c r="BK65" s="7"/>
      <c r="BL65" s="7"/>
      <c r="BM65" s="7"/>
      <c r="BN65" s="7"/>
      <c r="BO65" s="7">
        <f>SUM(BA65:BN65)</f>
        <v>0</v>
      </c>
      <c r="BP65" s="7"/>
      <c r="BQ65" s="7"/>
      <c r="BR65" s="7"/>
      <c r="BS65" s="8">
        <f>BO65+BP65+BQ65+BR65</f>
        <v>0</v>
      </c>
      <c r="BT65" s="230">
        <f t="shared" si="126"/>
        <v>0</v>
      </c>
    </row>
    <row r="66" spans="1:72" x14ac:dyDescent="0.25">
      <c r="A66" s="218" t="s">
        <v>392</v>
      </c>
      <c r="B66" s="7"/>
      <c r="C66" s="7"/>
      <c r="D66" s="7"/>
      <c r="E66" s="7"/>
      <c r="F66" s="7"/>
      <c r="G66" s="7"/>
      <c r="H66" s="7"/>
      <c r="I66" s="7"/>
      <c r="J66" s="7"/>
      <c r="K66" s="7">
        <f>rendfeladattalterhpézmaradv!J23</f>
        <v>621074</v>
      </c>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196">
        <f>SUM(B66:AO66)</f>
        <v>621074</v>
      </c>
      <c r="AQ66" s="7"/>
      <c r="AR66" s="7"/>
      <c r="AS66" s="7"/>
      <c r="AT66" s="7"/>
      <c r="AU66" s="7"/>
      <c r="AV66" s="7"/>
      <c r="AW66" s="7"/>
      <c r="AX66" s="7"/>
      <c r="AY66" s="7"/>
      <c r="AZ66" s="196">
        <f>SUM(AQ66:AY66)</f>
        <v>0</v>
      </c>
      <c r="BA66" s="7"/>
      <c r="BB66" s="7"/>
      <c r="BC66" s="7"/>
      <c r="BD66" s="7"/>
      <c r="BE66" s="7"/>
      <c r="BF66" s="7"/>
      <c r="BG66" s="7"/>
      <c r="BH66" s="7"/>
      <c r="BI66" s="7"/>
      <c r="BJ66" s="7"/>
      <c r="BK66" s="7"/>
      <c r="BL66" s="7"/>
      <c r="BM66" s="7"/>
      <c r="BN66" s="7"/>
      <c r="BO66" s="7">
        <f>SUM(BA66:BN66)</f>
        <v>0</v>
      </c>
      <c r="BP66" s="7"/>
      <c r="BQ66" s="7"/>
      <c r="BR66" s="7"/>
      <c r="BS66" s="8">
        <f>BO66+BP66+BQ66+BR66</f>
        <v>0</v>
      </c>
      <c r="BT66" s="230">
        <f t="shared" si="126"/>
        <v>621074</v>
      </c>
    </row>
    <row r="67" spans="1:72" s="13" customFormat="1" x14ac:dyDescent="0.25">
      <c r="A67" s="219" t="s">
        <v>393</v>
      </c>
      <c r="B67" s="6">
        <f t="shared" ref="B67:K67" si="239">B68+B70</f>
        <v>0</v>
      </c>
      <c r="C67" s="6">
        <f t="shared" si="239"/>
        <v>0</v>
      </c>
      <c r="D67" s="6">
        <f t="shared" si="239"/>
        <v>0</v>
      </c>
      <c r="E67" s="6">
        <f t="shared" si="239"/>
        <v>0</v>
      </c>
      <c r="F67" s="6">
        <f t="shared" si="239"/>
        <v>0</v>
      </c>
      <c r="G67" s="6">
        <f t="shared" si="239"/>
        <v>0</v>
      </c>
      <c r="H67" s="6">
        <f t="shared" si="239"/>
        <v>0</v>
      </c>
      <c r="I67" s="6">
        <f t="shared" si="239"/>
        <v>0</v>
      </c>
      <c r="J67" s="6">
        <f t="shared" si="239"/>
        <v>0</v>
      </c>
      <c r="K67" s="6">
        <f t="shared" si="239"/>
        <v>0</v>
      </c>
      <c r="L67" s="6">
        <f t="shared" ref="L67:M67" si="240">L68+L70</f>
        <v>0</v>
      </c>
      <c r="M67" s="6">
        <f t="shared" si="240"/>
        <v>0</v>
      </c>
      <c r="N67" s="6">
        <f t="shared" ref="N67:O67" si="241">N68+N70</f>
        <v>0</v>
      </c>
      <c r="O67" s="6">
        <f t="shared" si="241"/>
        <v>0</v>
      </c>
      <c r="P67" s="6">
        <f t="shared" ref="P67:W67" si="242">P68+P70</f>
        <v>0</v>
      </c>
      <c r="Q67" s="6">
        <f t="shared" ref="Q67" si="243">Q68+Q70</f>
        <v>0</v>
      </c>
      <c r="R67" s="6">
        <f t="shared" si="242"/>
        <v>0</v>
      </c>
      <c r="S67" s="6">
        <f t="shared" si="242"/>
        <v>0</v>
      </c>
      <c r="T67" s="6">
        <f t="shared" ref="T67:U67" si="244">T68+T70</f>
        <v>0</v>
      </c>
      <c r="U67" s="6">
        <f t="shared" si="244"/>
        <v>0</v>
      </c>
      <c r="V67" s="6">
        <f t="shared" si="242"/>
        <v>0</v>
      </c>
      <c r="W67" s="6">
        <f t="shared" si="242"/>
        <v>0</v>
      </c>
      <c r="X67" s="6">
        <f>X68+X70</f>
        <v>0</v>
      </c>
      <c r="Y67" s="6">
        <f t="shared" ref="Y67:AA67" si="245">Y68+Y70</f>
        <v>0</v>
      </c>
      <c r="Z67" s="6">
        <f t="shared" ref="Z67" si="246">Z68+Z70</f>
        <v>0</v>
      </c>
      <c r="AA67" s="6">
        <f t="shared" si="245"/>
        <v>0</v>
      </c>
      <c r="AB67" s="6">
        <f t="shared" ref="AB67" si="247">AB68+AB70</f>
        <v>0</v>
      </c>
      <c r="AC67" s="6">
        <f>AC68+AC70</f>
        <v>0</v>
      </c>
      <c r="AD67" s="6">
        <f>AD68+AD70</f>
        <v>0</v>
      </c>
      <c r="AE67" s="6">
        <f>AE68+AE70</f>
        <v>0</v>
      </c>
      <c r="AF67" s="6">
        <f>AF68+AF70</f>
        <v>0</v>
      </c>
      <c r="AG67" s="6">
        <f t="shared" ref="AG67" si="248">AG68+AG70</f>
        <v>0</v>
      </c>
      <c r="AH67" s="6">
        <f t="shared" ref="AH67:AI67" si="249">AH68+AH70</f>
        <v>0</v>
      </c>
      <c r="AI67" s="6">
        <f t="shared" si="249"/>
        <v>0</v>
      </c>
      <c r="AJ67" s="6">
        <f t="shared" ref="AJ67" si="250">AJ68+AJ70</f>
        <v>0</v>
      </c>
      <c r="AK67" s="6">
        <f t="shared" ref="AK67:AL67" si="251">AK68+AK70</f>
        <v>0</v>
      </c>
      <c r="AL67" s="6">
        <f t="shared" si="251"/>
        <v>0</v>
      </c>
      <c r="AM67" s="6">
        <f t="shared" ref="AM67:AO67" si="252">AM68+AM70</f>
        <v>0</v>
      </c>
      <c r="AN67" s="6">
        <f t="shared" ref="AN67" si="253">AN68+AN70</f>
        <v>0</v>
      </c>
      <c r="AO67" s="6">
        <f t="shared" si="252"/>
        <v>0</v>
      </c>
      <c r="AP67" s="197">
        <f>AP68+AP70</f>
        <v>0</v>
      </c>
      <c r="AQ67" s="6">
        <f>AQ68+AQ70</f>
        <v>0</v>
      </c>
      <c r="AR67" s="6">
        <f t="shared" ref="AR67:AU67" si="254">AR68+AR70</f>
        <v>0</v>
      </c>
      <c r="AS67" s="6">
        <f t="shared" si="254"/>
        <v>0</v>
      </c>
      <c r="AT67" s="6">
        <f t="shared" si="254"/>
        <v>16381</v>
      </c>
      <c r="AU67" s="6">
        <f t="shared" si="254"/>
        <v>35000</v>
      </c>
      <c r="AV67" s="6">
        <f t="shared" ref="AV67:AW67" si="255">AV68+AV70</f>
        <v>0</v>
      </c>
      <c r="AW67" s="6">
        <f t="shared" si="255"/>
        <v>0</v>
      </c>
      <c r="AX67" s="6">
        <f t="shared" ref="AX67:AY67" si="256">AX68+AX70</f>
        <v>0</v>
      </c>
      <c r="AY67" s="6">
        <f t="shared" si="256"/>
        <v>2540</v>
      </c>
      <c r="AZ67" s="197">
        <f>AZ68+AZ70</f>
        <v>53921</v>
      </c>
      <c r="BA67" s="6">
        <f t="shared" ref="BA67:BS67" si="257">BA68+BA70</f>
        <v>0</v>
      </c>
      <c r="BB67" s="6">
        <f t="shared" ref="BB67:BN67" si="258">BB68+BB70</f>
        <v>450</v>
      </c>
      <c r="BC67" s="6">
        <f t="shared" si="258"/>
        <v>450</v>
      </c>
      <c r="BD67" s="6">
        <f t="shared" si="258"/>
        <v>400</v>
      </c>
      <c r="BE67" s="6">
        <f t="shared" ref="BE67" si="259">BE68+BE70</f>
        <v>0</v>
      </c>
      <c r="BF67" s="6">
        <f t="shared" si="258"/>
        <v>500</v>
      </c>
      <c r="BG67" s="6">
        <f t="shared" si="258"/>
        <v>200</v>
      </c>
      <c r="BH67" s="6">
        <f t="shared" si="258"/>
        <v>400</v>
      </c>
      <c r="BI67" s="6">
        <f t="shared" si="258"/>
        <v>9550</v>
      </c>
      <c r="BJ67" s="6">
        <f t="shared" si="258"/>
        <v>3100</v>
      </c>
      <c r="BK67" s="6">
        <f t="shared" si="258"/>
        <v>0</v>
      </c>
      <c r="BL67" s="6">
        <f t="shared" si="258"/>
        <v>450</v>
      </c>
      <c r="BM67" s="6">
        <f t="shared" si="258"/>
        <v>300</v>
      </c>
      <c r="BN67" s="6">
        <f t="shared" si="258"/>
        <v>400</v>
      </c>
      <c r="BO67" s="6">
        <f t="shared" si="257"/>
        <v>16200</v>
      </c>
      <c r="BP67" s="6">
        <f t="shared" si="257"/>
        <v>3526</v>
      </c>
      <c r="BQ67" s="6">
        <f t="shared" ref="BQ67:BR67" si="260">BQ68+BQ70</f>
        <v>0</v>
      </c>
      <c r="BR67" s="6">
        <f t="shared" si="260"/>
        <v>5000</v>
      </c>
      <c r="BS67" s="6">
        <f t="shared" si="257"/>
        <v>24726</v>
      </c>
      <c r="BT67" s="230">
        <f t="shared" si="126"/>
        <v>78647</v>
      </c>
    </row>
    <row r="68" spans="1:72" x14ac:dyDescent="0.25">
      <c r="A68" s="220" t="s">
        <v>394</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196">
        <f>SUM(B68:AO68)</f>
        <v>0</v>
      </c>
      <c r="AQ68" s="8"/>
      <c r="AR68" s="8"/>
      <c r="AS68" s="8"/>
      <c r="AT68" s="7">
        <f>Tervezőhiv.!R343</f>
        <v>16381</v>
      </c>
      <c r="AU68" s="7">
        <f>Tervezőhiv.!V343</f>
        <v>35000</v>
      </c>
      <c r="AV68" s="7">
        <f>Tervezőhiv.!AE343</f>
        <v>0</v>
      </c>
      <c r="AW68" s="7">
        <f>Tervezőhiv.!Z343</f>
        <v>0</v>
      </c>
      <c r="AX68" s="7">
        <f>Tervezőhiv.!AL343</f>
        <v>0</v>
      </c>
      <c r="AY68" s="7">
        <f>Tervezőhiv.!AS343</f>
        <v>2540</v>
      </c>
      <c r="AZ68" s="196">
        <f>SUM(AQ68:AY68)</f>
        <v>53921</v>
      </c>
      <c r="BA68" s="7"/>
      <c r="BB68" s="7">
        <v>450</v>
      </c>
      <c r="BC68" s="7">
        <v>450</v>
      </c>
      <c r="BD68" s="7">
        <v>400</v>
      </c>
      <c r="BE68" s="7">
        <v>0</v>
      </c>
      <c r="BF68" s="7">
        <v>500</v>
      </c>
      <c r="BG68" s="7">
        <v>200</v>
      </c>
      <c r="BH68" s="7">
        <v>400</v>
      </c>
      <c r="BI68" s="7">
        <v>550</v>
      </c>
      <c r="BJ68" s="7">
        <v>500</v>
      </c>
      <c r="BK68" s="7">
        <v>0</v>
      </c>
      <c r="BL68" s="7">
        <v>450</v>
      </c>
      <c r="BM68" s="7">
        <v>300</v>
      </c>
      <c r="BN68" s="7">
        <v>400</v>
      </c>
      <c r="BO68" s="8">
        <f>SUM(BA68:BN68)</f>
        <v>4600</v>
      </c>
      <c r="BP68" s="8">
        <v>3526</v>
      </c>
      <c r="BQ68" s="8"/>
      <c r="BR68" s="8">
        <f>5000</f>
        <v>5000</v>
      </c>
      <c r="BS68" s="8">
        <f>BO68+BP68+BQ68+BR68</f>
        <v>13126</v>
      </c>
      <c r="BT68" s="230">
        <f t="shared" si="126"/>
        <v>67047</v>
      </c>
    </row>
    <row r="69" spans="1:72" x14ac:dyDescent="0.25">
      <c r="A69" s="218" t="s">
        <v>1124</v>
      </c>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c r="AB69" s="878"/>
      <c r="AC69" s="878"/>
      <c r="AD69" s="878"/>
      <c r="AE69" s="878"/>
      <c r="AF69" s="878"/>
      <c r="AG69" s="878"/>
      <c r="AH69" s="878"/>
      <c r="AI69" s="878"/>
      <c r="AJ69" s="878"/>
      <c r="AK69" s="878"/>
      <c r="AL69" s="878"/>
      <c r="AM69" s="878"/>
      <c r="AN69" s="878"/>
      <c r="AO69" s="878"/>
      <c r="AP69" s="196">
        <f>SUM(B69:AO69)</f>
        <v>0</v>
      </c>
      <c r="AQ69" s="881"/>
      <c r="AR69" s="881"/>
      <c r="AS69" s="881"/>
      <c r="AT69" s="878"/>
      <c r="AU69" s="878"/>
      <c r="AV69" s="878"/>
      <c r="AW69" s="878"/>
      <c r="AX69" s="878"/>
      <c r="AY69" s="878"/>
      <c r="AZ69" s="196">
        <f>SUM(AQ69:AY69)</f>
        <v>0</v>
      </c>
      <c r="BA69" s="878"/>
      <c r="BB69" s="878"/>
      <c r="BC69" s="878"/>
      <c r="BD69" s="878"/>
      <c r="BE69" s="878"/>
      <c r="BF69" s="878"/>
      <c r="BG69" s="878"/>
      <c r="BH69" s="878"/>
      <c r="BI69" s="878"/>
      <c r="BJ69" s="878"/>
      <c r="BK69" s="878"/>
      <c r="BL69" s="878"/>
      <c r="BM69" s="878"/>
      <c r="BN69" s="878"/>
      <c r="BO69" s="881"/>
      <c r="BP69" s="881"/>
      <c r="BQ69" s="881"/>
      <c r="BR69" s="881"/>
      <c r="BS69" s="8">
        <f>BO69+BP69+BQ69+BR69</f>
        <v>0</v>
      </c>
      <c r="BT69" s="230">
        <f t="shared" si="126"/>
        <v>0</v>
      </c>
    </row>
    <row r="70" spans="1:72" ht="13.8" thickBot="1" x14ac:dyDescent="0.3">
      <c r="A70" s="222" t="s">
        <v>1125</v>
      </c>
      <c r="B70" s="223"/>
      <c r="C70" s="223"/>
      <c r="D70" s="223"/>
      <c r="E70" s="223"/>
      <c r="F70" s="223"/>
      <c r="G70" s="223"/>
      <c r="H70" s="223"/>
      <c r="I70" s="223"/>
      <c r="J70" s="223"/>
      <c r="K70" s="223">
        <f>rendfeladattalterhpézmaradv!K23</f>
        <v>0</v>
      </c>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4">
        <f>SUM(B70:AO70)</f>
        <v>0</v>
      </c>
      <c r="AQ70" s="225"/>
      <c r="AR70" s="225"/>
      <c r="AS70" s="225"/>
      <c r="AT70" s="223"/>
      <c r="AU70" s="223"/>
      <c r="AV70" s="223"/>
      <c r="AW70" s="223"/>
      <c r="AX70" s="223"/>
      <c r="AY70" s="223"/>
      <c r="AZ70" s="224">
        <f>SUM(AQ70:AY70)</f>
        <v>0</v>
      </c>
      <c r="BA70" s="223"/>
      <c r="BB70" s="223"/>
      <c r="BC70" s="223"/>
      <c r="BD70" s="223"/>
      <c r="BE70" s="223"/>
      <c r="BF70" s="223"/>
      <c r="BG70" s="223"/>
      <c r="BH70" s="223"/>
      <c r="BI70" s="223">
        <v>9000</v>
      </c>
      <c r="BJ70" s="223">
        <v>2600</v>
      </c>
      <c r="BK70" s="223"/>
      <c r="BL70" s="223"/>
      <c r="BM70" s="223"/>
      <c r="BN70" s="223"/>
      <c r="BO70" s="225">
        <f>SUM(BA70:BN70)</f>
        <v>11600</v>
      </c>
      <c r="BP70" s="225"/>
      <c r="BQ70" s="225"/>
      <c r="BR70" s="225"/>
      <c r="BS70" s="225">
        <f>BO70+BP70+BQ70+BR70</f>
        <v>11600</v>
      </c>
      <c r="BT70" s="232">
        <f t="shared" ref="BT70" si="261">AP70+AZ70+BS70</f>
        <v>11600</v>
      </c>
    </row>
    <row r="71" spans="1:72" x14ac:dyDescent="0.25">
      <c r="B71" s="21"/>
      <c r="AZ71" s="193"/>
    </row>
    <row r="72" spans="1:72" x14ac:dyDescent="0.25">
      <c r="B72" s="21">
        <f t="shared" ref="B72:AG72" si="262">SUM(B6)</f>
        <v>62256</v>
      </c>
      <c r="C72" s="21">
        <f t="shared" si="262"/>
        <v>0</v>
      </c>
      <c r="D72" s="21">
        <f t="shared" si="262"/>
        <v>0</v>
      </c>
      <c r="E72" s="21">
        <f t="shared" si="262"/>
        <v>0</v>
      </c>
      <c r="F72" s="21">
        <f t="shared" si="262"/>
        <v>44900</v>
      </c>
      <c r="G72" s="21">
        <f t="shared" si="262"/>
        <v>196759</v>
      </c>
      <c r="H72" s="21">
        <f t="shared" si="262"/>
        <v>0</v>
      </c>
      <c r="I72" s="21">
        <f t="shared" si="262"/>
        <v>5504</v>
      </c>
      <c r="J72" s="21">
        <f t="shared" si="262"/>
        <v>5968432</v>
      </c>
      <c r="K72" s="21">
        <f t="shared" si="262"/>
        <v>0</v>
      </c>
      <c r="L72" s="21">
        <f t="shared" si="262"/>
        <v>600</v>
      </c>
      <c r="M72" s="21">
        <f t="shared" si="262"/>
        <v>13300</v>
      </c>
      <c r="N72" s="21">
        <f t="shared" si="262"/>
        <v>67000</v>
      </c>
      <c r="O72" s="21">
        <f t="shared" si="262"/>
        <v>752333</v>
      </c>
      <c r="P72" s="21">
        <f t="shared" si="262"/>
        <v>0</v>
      </c>
      <c r="Q72" s="21">
        <f t="shared" si="262"/>
        <v>185650</v>
      </c>
      <c r="R72" s="21">
        <f t="shared" si="262"/>
        <v>114780</v>
      </c>
      <c r="S72" s="21">
        <f t="shared" si="262"/>
        <v>0</v>
      </c>
      <c r="T72" s="21">
        <f t="shared" si="262"/>
        <v>300</v>
      </c>
      <c r="U72" s="21">
        <f t="shared" si="262"/>
        <v>167734</v>
      </c>
      <c r="V72" s="21">
        <f t="shared" si="262"/>
        <v>0</v>
      </c>
      <c r="W72" s="21">
        <f t="shared" si="262"/>
        <v>3800</v>
      </c>
      <c r="X72" s="21">
        <f t="shared" si="262"/>
        <v>33900</v>
      </c>
      <c r="Y72" s="21">
        <f t="shared" si="262"/>
        <v>122060</v>
      </c>
      <c r="Z72" s="21">
        <f t="shared" si="262"/>
        <v>0</v>
      </c>
      <c r="AA72" s="21">
        <f t="shared" si="262"/>
        <v>777184</v>
      </c>
      <c r="AB72" s="21">
        <f t="shared" si="262"/>
        <v>0</v>
      </c>
      <c r="AC72" s="21">
        <f t="shared" si="262"/>
        <v>3075091</v>
      </c>
      <c r="AD72" s="21">
        <f t="shared" si="262"/>
        <v>0</v>
      </c>
      <c r="AE72" s="21">
        <f t="shared" si="262"/>
        <v>0</v>
      </c>
      <c r="AF72" s="21">
        <f t="shared" si="262"/>
        <v>0</v>
      </c>
      <c r="AG72" s="21">
        <f t="shared" si="262"/>
        <v>0</v>
      </c>
      <c r="AH72" s="21">
        <f t="shared" ref="AH72:AY72" si="263">SUM(AH6)</f>
        <v>0</v>
      </c>
      <c r="AI72" s="21">
        <f t="shared" si="263"/>
        <v>0</v>
      </c>
      <c r="AJ72" s="21">
        <f t="shared" si="263"/>
        <v>22680</v>
      </c>
      <c r="AK72" s="21">
        <f t="shared" si="263"/>
        <v>0</v>
      </c>
      <c r="AL72" s="21">
        <f t="shared" si="263"/>
        <v>33090</v>
      </c>
      <c r="AM72" s="21">
        <f t="shared" si="263"/>
        <v>59930</v>
      </c>
      <c r="AN72" s="21">
        <f t="shared" si="263"/>
        <v>0</v>
      </c>
      <c r="AO72" s="21">
        <f t="shared" si="263"/>
        <v>161687</v>
      </c>
      <c r="AP72" s="193">
        <f t="shared" si="263"/>
        <v>11868970</v>
      </c>
      <c r="AQ72" s="21">
        <f t="shared" si="263"/>
        <v>0</v>
      </c>
      <c r="AR72" s="21">
        <f t="shared" si="263"/>
        <v>0</v>
      </c>
      <c r="AS72" s="21">
        <f t="shared" si="263"/>
        <v>0</v>
      </c>
      <c r="AT72" s="21">
        <f t="shared" si="263"/>
        <v>247170</v>
      </c>
      <c r="AU72" s="21">
        <f t="shared" si="263"/>
        <v>76026</v>
      </c>
      <c r="AV72" s="21">
        <f t="shared" si="263"/>
        <v>16825</v>
      </c>
      <c r="AW72" s="21">
        <f t="shared" si="263"/>
        <v>14264</v>
      </c>
      <c r="AX72" s="21">
        <f t="shared" si="263"/>
        <v>1193328</v>
      </c>
      <c r="AY72" s="21">
        <f t="shared" si="263"/>
        <v>510265</v>
      </c>
      <c r="AZ72" s="193">
        <f t="shared" ref="AZ72:BT72" si="264">SUM(AZ6)</f>
        <v>2057878</v>
      </c>
      <c r="BA72" s="22">
        <f t="shared" si="264"/>
        <v>0</v>
      </c>
      <c r="BB72" s="22">
        <f t="shared" si="264"/>
        <v>145921</v>
      </c>
      <c r="BC72" s="22">
        <f t="shared" si="264"/>
        <v>60970</v>
      </c>
      <c r="BD72" s="22">
        <f t="shared" si="264"/>
        <v>41696</v>
      </c>
      <c r="BE72" s="22">
        <f t="shared" ref="BE72" si="265">SUM(BE6)</f>
        <v>39692</v>
      </c>
      <c r="BF72" s="22">
        <f t="shared" si="264"/>
        <v>119520</v>
      </c>
      <c r="BG72" s="22">
        <f t="shared" si="264"/>
        <v>196090</v>
      </c>
      <c r="BH72" s="22">
        <f t="shared" si="264"/>
        <v>100088</v>
      </c>
      <c r="BI72" s="22">
        <f t="shared" si="264"/>
        <v>153293</v>
      </c>
      <c r="BJ72" s="22">
        <f t="shared" si="264"/>
        <v>98111</v>
      </c>
      <c r="BK72" s="22">
        <f t="shared" si="264"/>
        <v>0</v>
      </c>
      <c r="BL72" s="22">
        <f t="shared" si="264"/>
        <v>52288</v>
      </c>
      <c r="BM72" s="22">
        <f t="shared" si="264"/>
        <v>65207</v>
      </c>
      <c r="BN72" s="22">
        <f t="shared" si="264"/>
        <v>794881</v>
      </c>
      <c r="BO72" s="22">
        <f t="shared" si="264"/>
        <v>1867757</v>
      </c>
      <c r="BP72" s="22">
        <f t="shared" si="264"/>
        <v>904875</v>
      </c>
      <c r="BQ72" s="22">
        <f t="shared" si="264"/>
        <v>1759112</v>
      </c>
      <c r="BR72" s="22">
        <f t="shared" si="264"/>
        <v>1212953</v>
      </c>
      <c r="BS72" s="22">
        <f t="shared" si="264"/>
        <v>5744697</v>
      </c>
      <c r="BT72" s="22">
        <f t="shared" si="264"/>
        <v>19671545</v>
      </c>
    </row>
    <row r="73" spans="1:72" x14ac:dyDescent="0.25">
      <c r="B73" s="21">
        <f t="shared" ref="B73:AG73" si="266">SUM(B27)</f>
        <v>0</v>
      </c>
      <c r="C73" s="21">
        <f t="shared" si="266"/>
        <v>0</v>
      </c>
      <c r="D73" s="21">
        <f t="shared" si="266"/>
        <v>0</v>
      </c>
      <c r="E73" s="21">
        <f t="shared" si="266"/>
        <v>0</v>
      </c>
      <c r="F73" s="21">
        <f t="shared" si="266"/>
        <v>0</v>
      </c>
      <c r="G73" s="21">
        <f t="shared" si="266"/>
        <v>0</v>
      </c>
      <c r="H73" s="21">
        <f t="shared" si="266"/>
        <v>0</v>
      </c>
      <c r="I73" s="21">
        <f t="shared" si="266"/>
        <v>8835936</v>
      </c>
      <c r="J73" s="21">
        <f t="shared" si="266"/>
        <v>2020372.764</v>
      </c>
      <c r="K73" s="21">
        <f t="shared" si="266"/>
        <v>621074</v>
      </c>
      <c r="L73" s="21">
        <f t="shared" si="266"/>
        <v>0</v>
      </c>
      <c r="M73" s="21">
        <f t="shared" si="266"/>
        <v>5698</v>
      </c>
      <c r="N73" s="21">
        <f t="shared" si="266"/>
        <v>4000</v>
      </c>
      <c r="O73" s="21">
        <f t="shared" si="266"/>
        <v>1315610</v>
      </c>
      <c r="P73" s="21">
        <f t="shared" si="266"/>
        <v>0</v>
      </c>
      <c r="Q73" s="21">
        <f t="shared" si="266"/>
        <v>0</v>
      </c>
      <c r="R73" s="21">
        <f t="shared" si="266"/>
        <v>300000</v>
      </c>
      <c r="S73" s="21">
        <f t="shared" si="266"/>
        <v>0</v>
      </c>
      <c r="T73" s="21">
        <f t="shared" si="266"/>
        <v>0</v>
      </c>
      <c r="U73" s="21">
        <f t="shared" si="266"/>
        <v>71954</v>
      </c>
      <c r="V73" s="21">
        <f t="shared" si="266"/>
        <v>0</v>
      </c>
      <c r="W73" s="21">
        <f t="shared" si="266"/>
        <v>0</v>
      </c>
      <c r="X73" s="21">
        <f t="shared" si="266"/>
        <v>86583</v>
      </c>
      <c r="Y73" s="21">
        <f t="shared" si="266"/>
        <v>25000</v>
      </c>
      <c r="Z73" s="21">
        <f t="shared" si="266"/>
        <v>0</v>
      </c>
      <c r="AA73" s="21">
        <f t="shared" si="266"/>
        <v>110000</v>
      </c>
      <c r="AB73" s="21">
        <f t="shared" si="266"/>
        <v>0</v>
      </c>
      <c r="AC73" s="21">
        <f t="shared" si="266"/>
        <v>1940600</v>
      </c>
      <c r="AD73" s="21">
        <f t="shared" si="266"/>
        <v>0</v>
      </c>
      <c r="AE73" s="21">
        <f t="shared" si="266"/>
        <v>0</v>
      </c>
      <c r="AF73" s="21">
        <f t="shared" si="266"/>
        <v>0</v>
      </c>
      <c r="AG73" s="21">
        <f t="shared" si="266"/>
        <v>0</v>
      </c>
      <c r="AH73" s="21">
        <f t="shared" ref="AH73:AY73" si="267">SUM(AH27)</f>
        <v>0</v>
      </c>
      <c r="AI73" s="21">
        <f t="shared" si="267"/>
        <v>0</v>
      </c>
      <c r="AJ73" s="21">
        <f t="shared" si="267"/>
        <v>0</v>
      </c>
      <c r="AK73" s="21">
        <f t="shared" si="267"/>
        <v>0</v>
      </c>
      <c r="AL73" s="21">
        <f t="shared" si="267"/>
        <v>0</v>
      </c>
      <c r="AM73" s="21">
        <f t="shared" si="267"/>
        <v>76446</v>
      </c>
      <c r="AN73" s="21">
        <f t="shared" si="267"/>
        <v>0</v>
      </c>
      <c r="AO73" s="21">
        <f t="shared" si="267"/>
        <v>0</v>
      </c>
      <c r="AP73" s="193">
        <f t="shared" si="267"/>
        <v>15413273.764</v>
      </c>
      <c r="AQ73" s="21">
        <f t="shared" si="267"/>
        <v>0</v>
      </c>
      <c r="AR73" s="21">
        <f t="shared" si="267"/>
        <v>0</v>
      </c>
      <c r="AS73" s="21">
        <f t="shared" si="267"/>
        <v>0</v>
      </c>
      <c r="AT73" s="21">
        <f t="shared" si="267"/>
        <v>247170</v>
      </c>
      <c r="AU73" s="21">
        <f t="shared" si="267"/>
        <v>76026</v>
      </c>
      <c r="AV73" s="21">
        <f t="shared" si="267"/>
        <v>16825</v>
      </c>
      <c r="AW73" s="21">
        <f t="shared" si="267"/>
        <v>14264</v>
      </c>
      <c r="AX73" s="21">
        <f t="shared" si="267"/>
        <v>1193328</v>
      </c>
      <c r="AY73" s="21">
        <f t="shared" si="267"/>
        <v>510265</v>
      </c>
      <c r="AZ73" s="193">
        <f t="shared" ref="AZ73:BT73" si="268">SUM(AZ27)</f>
        <v>2057878</v>
      </c>
      <c r="BA73" s="22">
        <f t="shared" si="268"/>
        <v>0</v>
      </c>
      <c r="BB73" s="22">
        <f t="shared" si="268"/>
        <v>145921</v>
      </c>
      <c r="BC73" s="22">
        <f t="shared" si="268"/>
        <v>60970</v>
      </c>
      <c r="BD73" s="22">
        <f t="shared" si="268"/>
        <v>41696</v>
      </c>
      <c r="BE73" s="22">
        <f t="shared" ref="BE73" si="269">SUM(BE27)</f>
        <v>39692</v>
      </c>
      <c r="BF73" s="22">
        <f t="shared" si="268"/>
        <v>119520</v>
      </c>
      <c r="BG73" s="22">
        <f t="shared" si="268"/>
        <v>196090</v>
      </c>
      <c r="BH73" s="22">
        <f t="shared" si="268"/>
        <v>100088</v>
      </c>
      <c r="BI73" s="22">
        <f t="shared" si="268"/>
        <v>153293</v>
      </c>
      <c r="BJ73" s="22">
        <f t="shared" si="268"/>
        <v>98111</v>
      </c>
      <c r="BK73" s="22">
        <f t="shared" si="268"/>
        <v>0</v>
      </c>
      <c r="BL73" s="22">
        <f t="shared" si="268"/>
        <v>52288</v>
      </c>
      <c r="BM73" s="22">
        <f t="shared" si="268"/>
        <v>65207</v>
      </c>
      <c r="BN73" s="22">
        <f t="shared" si="268"/>
        <v>794881</v>
      </c>
      <c r="BO73" s="22">
        <f t="shared" si="268"/>
        <v>1867757</v>
      </c>
      <c r="BP73" s="22">
        <f t="shared" si="268"/>
        <v>904875</v>
      </c>
      <c r="BQ73" s="22">
        <f t="shared" si="268"/>
        <v>1759112</v>
      </c>
      <c r="BR73" s="22">
        <f t="shared" si="268"/>
        <v>1212953</v>
      </c>
      <c r="BS73" s="22">
        <f t="shared" si="268"/>
        <v>5744697</v>
      </c>
      <c r="BT73" s="22">
        <f t="shared" si="268"/>
        <v>23215848.763999999</v>
      </c>
    </row>
    <row r="74" spans="1:72" x14ac:dyDescent="0.25">
      <c r="B74" s="21">
        <f>SUM(B72-B73)</f>
        <v>62256</v>
      </c>
      <c r="C74" s="21">
        <f t="shared" ref="C74:AP74" si="270">SUM(C72-C73)</f>
        <v>0</v>
      </c>
      <c r="D74" s="21">
        <f t="shared" si="270"/>
        <v>0</v>
      </c>
      <c r="E74" s="21">
        <f t="shared" si="270"/>
        <v>0</v>
      </c>
      <c r="F74" s="21">
        <f t="shared" si="270"/>
        <v>44900</v>
      </c>
      <c r="G74" s="21">
        <f t="shared" si="270"/>
        <v>196759</v>
      </c>
      <c r="H74" s="21">
        <f t="shared" si="270"/>
        <v>0</v>
      </c>
      <c r="I74" s="21">
        <f t="shared" si="270"/>
        <v>-8830432</v>
      </c>
      <c r="J74" s="21">
        <f t="shared" si="270"/>
        <v>3948059.236</v>
      </c>
      <c r="K74" s="21">
        <f t="shared" si="270"/>
        <v>-621074</v>
      </c>
      <c r="L74" s="21">
        <f t="shared" si="270"/>
        <v>600</v>
      </c>
      <c r="M74" s="21">
        <f t="shared" si="270"/>
        <v>7602</v>
      </c>
      <c r="N74" s="21">
        <f t="shared" si="270"/>
        <v>63000</v>
      </c>
      <c r="O74" s="21">
        <f t="shared" si="270"/>
        <v>-563277</v>
      </c>
      <c r="P74" s="21">
        <f t="shared" si="270"/>
        <v>0</v>
      </c>
      <c r="Q74" s="21">
        <f t="shared" si="270"/>
        <v>185650</v>
      </c>
      <c r="R74" s="21">
        <f t="shared" si="270"/>
        <v>-185220</v>
      </c>
      <c r="S74" s="21">
        <f t="shared" si="270"/>
        <v>0</v>
      </c>
      <c r="T74" s="21">
        <f t="shared" si="270"/>
        <v>300</v>
      </c>
      <c r="U74" s="21">
        <f t="shared" si="270"/>
        <v>95780</v>
      </c>
      <c r="V74" s="21">
        <f t="shared" si="270"/>
        <v>0</v>
      </c>
      <c r="W74" s="21">
        <f t="shared" si="270"/>
        <v>3800</v>
      </c>
      <c r="X74" s="21">
        <f t="shared" si="270"/>
        <v>-52683</v>
      </c>
      <c r="Y74" s="21">
        <f t="shared" si="270"/>
        <v>97060</v>
      </c>
      <c r="Z74" s="21">
        <f t="shared" si="270"/>
        <v>0</v>
      </c>
      <c r="AA74" s="21">
        <f t="shared" si="270"/>
        <v>667184</v>
      </c>
      <c r="AB74" s="21">
        <f t="shared" si="270"/>
        <v>0</v>
      </c>
      <c r="AC74" s="21">
        <f t="shared" si="270"/>
        <v>1134491</v>
      </c>
      <c r="AD74" s="21">
        <f t="shared" si="270"/>
        <v>0</v>
      </c>
      <c r="AE74" s="21">
        <f t="shared" si="270"/>
        <v>0</v>
      </c>
      <c r="AF74" s="21">
        <f t="shared" si="270"/>
        <v>0</v>
      </c>
      <c r="AG74" s="21">
        <f t="shared" si="270"/>
        <v>0</v>
      </c>
      <c r="AH74" s="21">
        <f t="shared" si="270"/>
        <v>0</v>
      </c>
      <c r="AI74" s="21">
        <f t="shared" si="270"/>
        <v>0</v>
      </c>
      <c r="AJ74" s="21">
        <f t="shared" si="270"/>
        <v>22680</v>
      </c>
      <c r="AK74" s="21">
        <f t="shared" si="270"/>
        <v>0</v>
      </c>
      <c r="AL74" s="21">
        <f t="shared" si="270"/>
        <v>33090</v>
      </c>
      <c r="AM74" s="21">
        <f t="shared" si="270"/>
        <v>-16516</v>
      </c>
      <c r="AN74" s="21">
        <f t="shared" si="270"/>
        <v>0</v>
      </c>
      <c r="AO74" s="21">
        <f t="shared" si="270"/>
        <v>161687</v>
      </c>
      <c r="AP74" s="193">
        <f t="shared" si="270"/>
        <v>-3544303.7640000004</v>
      </c>
      <c r="AQ74" s="21">
        <f t="shared" ref="AQ74:AZ74" si="271">SUM(AQ72-AQ73)</f>
        <v>0</v>
      </c>
      <c r="AR74" s="21">
        <f t="shared" si="271"/>
        <v>0</v>
      </c>
      <c r="AS74" s="21">
        <f t="shared" si="271"/>
        <v>0</v>
      </c>
      <c r="AT74" s="21">
        <f t="shared" si="271"/>
        <v>0</v>
      </c>
      <c r="AU74" s="21">
        <f t="shared" si="271"/>
        <v>0</v>
      </c>
      <c r="AV74" s="21">
        <f t="shared" si="271"/>
        <v>0</v>
      </c>
      <c r="AW74" s="21">
        <f t="shared" si="271"/>
        <v>0</v>
      </c>
      <c r="AX74" s="21">
        <f t="shared" si="271"/>
        <v>0</v>
      </c>
      <c r="AY74" s="21">
        <f t="shared" si="271"/>
        <v>0</v>
      </c>
      <c r="AZ74" s="193">
        <f t="shared" si="271"/>
        <v>0</v>
      </c>
      <c r="BA74" s="22">
        <f t="shared" ref="BA74:BT74" si="272">SUM(BA72-BA73)</f>
        <v>0</v>
      </c>
      <c r="BB74" s="22">
        <f t="shared" si="272"/>
        <v>0</v>
      </c>
      <c r="BC74" s="22">
        <f t="shared" si="272"/>
        <v>0</v>
      </c>
      <c r="BD74" s="22">
        <f t="shared" si="272"/>
        <v>0</v>
      </c>
      <c r="BE74" s="22">
        <f t="shared" ref="BE74" si="273">SUM(BE72-BE73)</f>
        <v>0</v>
      </c>
      <c r="BF74" s="22">
        <f t="shared" si="272"/>
        <v>0</v>
      </c>
      <c r="BG74" s="22">
        <f t="shared" si="272"/>
        <v>0</v>
      </c>
      <c r="BH74" s="22">
        <f t="shared" si="272"/>
        <v>0</v>
      </c>
      <c r="BI74" s="22">
        <f t="shared" si="272"/>
        <v>0</v>
      </c>
      <c r="BJ74" s="22">
        <f t="shared" si="272"/>
        <v>0</v>
      </c>
      <c r="BK74" s="22">
        <f t="shared" si="272"/>
        <v>0</v>
      </c>
      <c r="BL74" s="22">
        <f t="shared" si="272"/>
        <v>0</v>
      </c>
      <c r="BM74" s="22">
        <f t="shared" si="272"/>
        <v>0</v>
      </c>
      <c r="BN74" s="22">
        <f t="shared" si="272"/>
        <v>0</v>
      </c>
      <c r="BO74" s="22">
        <f t="shared" si="272"/>
        <v>0</v>
      </c>
      <c r="BP74" s="22">
        <f t="shared" si="272"/>
        <v>0</v>
      </c>
      <c r="BQ74" s="22">
        <f t="shared" si="272"/>
        <v>0</v>
      </c>
      <c r="BR74" s="22">
        <f t="shared" si="272"/>
        <v>0</v>
      </c>
      <c r="BS74" s="22">
        <f t="shared" si="272"/>
        <v>0</v>
      </c>
      <c r="BT74" s="22">
        <f t="shared" si="272"/>
        <v>-3544303.7639999986</v>
      </c>
    </row>
    <row r="75" spans="1:72" x14ac:dyDescent="0.25">
      <c r="B75" s="21"/>
      <c r="AQ75" s="21"/>
    </row>
    <row r="76" spans="1:72" x14ac:dyDescent="0.25">
      <c r="B76" s="21"/>
    </row>
    <row r="77" spans="1:72" x14ac:dyDescent="0.25">
      <c r="B77" s="21"/>
    </row>
    <row r="78" spans="1:72" x14ac:dyDescent="0.25">
      <c r="B78" s="21"/>
    </row>
    <row r="79" spans="1:72" x14ac:dyDescent="0.25">
      <c r="B79" s="21"/>
    </row>
    <row r="80" spans="1:72" x14ac:dyDescent="0.25">
      <c r="B80" s="21"/>
    </row>
    <row r="81" spans="2:2" x14ac:dyDescent="0.25">
      <c r="B81" s="21"/>
    </row>
    <row r="82" spans="2:2" x14ac:dyDescent="0.25">
      <c r="B82" s="21"/>
    </row>
    <row r="83" spans="2:2" x14ac:dyDescent="0.25">
      <c r="B83" s="21"/>
    </row>
    <row r="84" spans="2:2" x14ac:dyDescent="0.25">
      <c r="B84" s="21"/>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row r="92" spans="2:2" x14ac:dyDescent="0.25">
      <c r="B92" s="21"/>
    </row>
    <row r="93" spans="2:2" x14ac:dyDescent="0.25">
      <c r="B93" s="21"/>
    </row>
    <row r="94" spans="2:2" x14ac:dyDescent="0.25">
      <c r="B94" s="21"/>
    </row>
    <row r="95" spans="2:2" x14ac:dyDescent="0.25">
      <c r="B95" s="21"/>
    </row>
    <row r="96" spans="2:2" x14ac:dyDescent="0.25">
      <c r="B96" s="21"/>
    </row>
    <row r="97" spans="2:2" x14ac:dyDescent="0.25">
      <c r="B97" s="21"/>
    </row>
    <row r="98" spans="2:2" x14ac:dyDescent="0.25">
      <c r="B98" s="21"/>
    </row>
    <row r="99" spans="2:2" x14ac:dyDescent="0.25">
      <c r="B99" s="21"/>
    </row>
    <row r="100" spans="2:2" x14ac:dyDescent="0.25">
      <c r="B100" s="21"/>
    </row>
    <row r="101" spans="2:2" x14ac:dyDescent="0.25">
      <c r="B101" s="21"/>
    </row>
    <row r="102" spans="2:2" x14ac:dyDescent="0.25">
      <c r="B102" s="21"/>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21"/>
    </row>
    <row r="114" spans="2:2" x14ac:dyDescent="0.25">
      <c r="B114" s="21"/>
    </row>
    <row r="115" spans="2:2" x14ac:dyDescent="0.25">
      <c r="B115" s="21"/>
    </row>
    <row r="116" spans="2:2" x14ac:dyDescent="0.25">
      <c r="B116" s="21"/>
    </row>
    <row r="117" spans="2:2" x14ac:dyDescent="0.25">
      <c r="B117" s="21"/>
    </row>
    <row r="118" spans="2:2" x14ac:dyDescent="0.25">
      <c r="B118" s="21"/>
    </row>
    <row r="119" spans="2:2" x14ac:dyDescent="0.25">
      <c r="B119" s="21"/>
    </row>
    <row r="120" spans="2:2" x14ac:dyDescent="0.25">
      <c r="B120" s="21"/>
    </row>
    <row r="121" spans="2:2" x14ac:dyDescent="0.25">
      <c r="B121" s="21"/>
    </row>
    <row r="122" spans="2:2" x14ac:dyDescent="0.25">
      <c r="B122" s="21"/>
    </row>
    <row r="123" spans="2:2" x14ac:dyDescent="0.25">
      <c r="B123" s="21"/>
    </row>
    <row r="124" spans="2:2" x14ac:dyDescent="0.25">
      <c r="B124" s="21"/>
    </row>
    <row r="125" spans="2:2" x14ac:dyDescent="0.25">
      <c r="B125" s="21"/>
    </row>
    <row r="126" spans="2:2" x14ac:dyDescent="0.25">
      <c r="B126" s="21"/>
    </row>
    <row r="127" spans="2:2" x14ac:dyDescent="0.25">
      <c r="B127" s="21"/>
    </row>
    <row r="128" spans="2:2" x14ac:dyDescent="0.25">
      <c r="B128" s="21"/>
    </row>
    <row r="129" spans="2:2" x14ac:dyDescent="0.25">
      <c r="B129" s="21"/>
    </row>
    <row r="130" spans="2:2" x14ac:dyDescent="0.25">
      <c r="B130" s="21"/>
    </row>
    <row r="131" spans="2:2" x14ac:dyDescent="0.25">
      <c r="B131" s="21"/>
    </row>
    <row r="132" spans="2:2" x14ac:dyDescent="0.25">
      <c r="B132" s="21"/>
    </row>
    <row r="133" spans="2:2" x14ac:dyDescent="0.25">
      <c r="B133" s="21"/>
    </row>
    <row r="134" spans="2:2" x14ac:dyDescent="0.25">
      <c r="B134" s="21"/>
    </row>
    <row r="135" spans="2:2" x14ac:dyDescent="0.25">
      <c r="B135" s="21"/>
    </row>
    <row r="136" spans="2:2" x14ac:dyDescent="0.25">
      <c r="B136" s="21"/>
    </row>
    <row r="137" spans="2:2" x14ac:dyDescent="0.25">
      <c r="B137" s="21"/>
    </row>
    <row r="138" spans="2:2" x14ac:dyDescent="0.25">
      <c r="B138" s="21"/>
    </row>
    <row r="139" spans="2:2" x14ac:dyDescent="0.25">
      <c r="B139" s="21"/>
    </row>
    <row r="140" spans="2:2" x14ac:dyDescent="0.25">
      <c r="B140" s="21"/>
    </row>
    <row r="141" spans="2:2" x14ac:dyDescent="0.25">
      <c r="B141" s="21"/>
    </row>
    <row r="142" spans="2:2" x14ac:dyDescent="0.25">
      <c r="B142" s="21"/>
    </row>
    <row r="143" spans="2:2" x14ac:dyDescent="0.25">
      <c r="B143" s="21"/>
    </row>
    <row r="144" spans="2:2" x14ac:dyDescent="0.25">
      <c r="B144" s="21"/>
    </row>
    <row r="145" spans="2:2" x14ac:dyDescent="0.25">
      <c r="B145" s="21"/>
    </row>
    <row r="146" spans="2:2" x14ac:dyDescent="0.25">
      <c r="B146" s="21"/>
    </row>
    <row r="147" spans="2:2" x14ac:dyDescent="0.25">
      <c r="B147" s="21"/>
    </row>
    <row r="148" spans="2:2" x14ac:dyDescent="0.25">
      <c r="B148" s="21"/>
    </row>
    <row r="149" spans="2:2" x14ac:dyDescent="0.25">
      <c r="B149" s="21"/>
    </row>
    <row r="150" spans="2:2" x14ac:dyDescent="0.25">
      <c r="B150" s="21"/>
    </row>
    <row r="151" spans="2:2" x14ac:dyDescent="0.25">
      <c r="B151" s="21"/>
    </row>
    <row r="152" spans="2:2" x14ac:dyDescent="0.25">
      <c r="B152" s="21"/>
    </row>
    <row r="153" spans="2:2" x14ac:dyDescent="0.25">
      <c r="B153" s="21"/>
    </row>
    <row r="154" spans="2:2" x14ac:dyDescent="0.25">
      <c r="B154" s="21"/>
    </row>
    <row r="155" spans="2:2" x14ac:dyDescent="0.25">
      <c r="B155" s="21"/>
    </row>
    <row r="156" spans="2:2" x14ac:dyDescent="0.25">
      <c r="B156" s="21"/>
    </row>
    <row r="157" spans="2:2" x14ac:dyDescent="0.25">
      <c r="B157" s="21"/>
    </row>
    <row r="158" spans="2:2" x14ac:dyDescent="0.25">
      <c r="B158" s="21"/>
    </row>
    <row r="159" spans="2:2" x14ac:dyDescent="0.25">
      <c r="B159" s="21"/>
    </row>
    <row r="160" spans="2:2" x14ac:dyDescent="0.25">
      <c r="B160" s="21"/>
    </row>
    <row r="161" spans="2:2" x14ac:dyDescent="0.25">
      <c r="B161" s="21"/>
    </row>
    <row r="162" spans="2:2" x14ac:dyDescent="0.25">
      <c r="B162" s="21"/>
    </row>
    <row r="163" spans="2:2" x14ac:dyDescent="0.25">
      <c r="B163" s="21"/>
    </row>
    <row r="164" spans="2:2" x14ac:dyDescent="0.25">
      <c r="B164" s="21"/>
    </row>
    <row r="165" spans="2:2" x14ac:dyDescent="0.25">
      <c r="B165" s="21"/>
    </row>
    <row r="166" spans="2:2" x14ac:dyDescent="0.25">
      <c r="B166" s="21"/>
    </row>
    <row r="167" spans="2:2" x14ac:dyDescent="0.25">
      <c r="B167" s="21"/>
    </row>
    <row r="168" spans="2:2" x14ac:dyDescent="0.25">
      <c r="B168" s="21"/>
    </row>
    <row r="169" spans="2:2" x14ac:dyDescent="0.25">
      <c r="B169" s="21"/>
    </row>
    <row r="170" spans="2:2" x14ac:dyDescent="0.25">
      <c r="B170" s="21"/>
    </row>
    <row r="171" spans="2:2" x14ac:dyDescent="0.25">
      <c r="B171" s="21"/>
    </row>
    <row r="172" spans="2:2" x14ac:dyDescent="0.25">
      <c r="B172" s="21"/>
    </row>
    <row r="173" spans="2:2" x14ac:dyDescent="0.25">
      <c r="B173" s="21"/>
    </row>
    <row r="174" spans="2:2" x14ac:dyDescent="0.25">
      <c r="B174" s="21"/>
    </row>
    <row r="175" spans="2:2" x14ac:dyDescent="0.25">
      <c r="B175" s="21"/>
    </row>
    <row r="176" spans="2:2" x14ac:dyDescent="0.25">
      <c r="B176" s="21"/>
    </row>
    <row r="177" spans="2:2" x14ac:dyDescent="0.25">
      <c r="B177" s="21"/>
    </row>
    <row r="178" spans="2:2" x14ac:dyDescent="0.25">
      <c r="B178" s="21"/>
    </row>
    <row r="179" spans="2:2" x14ac:dyDescent="0.25">
      <c r="B179" s="21"/>
    </row>
    <row r="180" spans="2:2" x14ac:dyDescent="0.25">
      <c r="B180" s="21"/>
    </row>
    <row r="181" spans="2:2" x14ac:dyDescent="0.25">
      <c r="B181" s="21"/>
    </row>
    <row r="182" spans="2:2" x14ac:dyDescent="0.25">
      <c r="B182" s="21"/>
    </row>
    <row r="183" spans="2:2" x14ac:dyDescent="0.25">
      <c r="B183" s="21"/>
    </row>
    <row r="184" spans="2:2" x14ac:dyDescent="0.25">
      <c r="B184" s="21"/>
    </row>
    <row r="185" spans="2:2" x14ac:dyDescent="0.25">
      <c r="B185" s="21"/>
    </row>
    <row r="186" spans="2:2" x14ac:dyDescent="0.25">
      <c r="B186" s="21"/>
    </row>
    <row r="187" spans="2:2" x14ac:dyDescent="0.25">
      <c r="B187" s="21"/>
    </row>
    <row r="188" spans="2:2" x14ac:dyDescent="0.25">
      <c r="B188" s="21"/>
    </row>
    <row r="189" spans="2:2" x14ac:dyDescent="0.25">
      <c r="B189" s="21"/>
    </row>
    <row r="190" spans="2:2" x14ac:dyDescent="0.25">
      <c r="B190" s="21"/>
    </row>
    <row r="191" spans="2:2" x14ac:dyDescent="0.25">
      <c r="B191" s="21"/>
    </row>
    <row r="192" spans="2:2" x14ac:dyDescent="0.25">
      <c r="B192" s="21"/>
    </row>
    <row r="193" spans="2:2" x14ac:dyDescent="0.25">
      <c r="B193" s="21"/>
    </row>
    <row r="194" spans="2:2" x14ac:dyDescent="0.25">
      <c r="B194" s="21"/>
    </row>
    <row r="195" spans="2:2" x14ac:dyDescent="0.25">
      <c r="B195" s="21"/>
    </row>
    <row r="196" spans="2:2" x14ac:dyDescent="0.25">
      <c r="B196" s="21"/>
    </row>
    <row r="197" spans="2:2" x14ac:dyDescent="0.25">
      <c r="B197" s="21"/>
    </row>
    <row r="198" spans="2:2" x14ac:dyDescent="0.25">
      <c r="B198" s="21"/>
    </row>
    <row r="199" spans="2:2" x14ac:dyDescent="0.25">
      <c r="B199" s="21"/>
    </row>
    <row r="200" spans="2:2" x14ac:dyDescent="0.25">
      <c r="B200" s="21"/>
    </row>
    <row r="201" spans="2:2" x14ac:dyDescent="0.25">
      <c r="B201" s="21"/>
    </row>
    <row r="202" spans="2:2" x14ac:dyDescent="0.25">
      <c r="B202" s="21"/>
    </row>
    <row r="203" spans="2:2" x14ac:dyDescent="0.25">
      <c r="B203" s="21"/>
    </row>
    <row r="204" spans="2:2" x14ac:dyDescent="0.25">
      <c r="B204" s="21"/>
    </row>
    <row r="205" spans="2:2" x14ac:dyDescent="0.25">
      <c r="B205" s="21"/>
    </row>
    <row r="206" spans="2:2" x14ac:dyDescent="0.25">
      <c r="B206" s="21"/>
    </row>
    <row r="207" spans="2:2" x14ac:dyDescent="0.25">
      <c r="B207" s="21"/>
    </row>
    <row r="208" spans="2:2" x14ac:dyDescent="0.25">
      <c r="B208" s="21"/>
    </row>
    <row r="209" spans="2:2" x14ac:dyDescent="0.25">
      <c r="B209" s="21"/>
    </row>
    <row r="210" spans="2:2" x14ac:dyDescent="0.25">
      <c r="B210" s="21"/>
    </row>
    <row r="211" spans="2:2" x14ac:dyDescent="0.25">
      <c r="B211" s="21"/>
    </row>
    <row r="212" spans="2:2" x14ac:dyDescent="0.25">
      <c r="B212" s="21"/>
    </row>
    <row r="213" spans="2:2" x14ac:dyDescent="0.25">
      <c r="B213" s="21"/>
    </row>
    <row r="214" spans="2:2" x14ac:dyDescent="0.25">
      <c r="B214" s="21"/>
    </row>
    <row r="215" spans="2:2" x14ac:dyDescent="0.25">
      <c r="B215" s="21"/>
    </row>
    <row r="216" spans="2:2" x14ac:dyDescent="0.25">
      <c r="B216" s="21"/>
    </row>
    <row r="217" spans="2:2" x14ac:dyDescent="0.25">
      <c r="B217" s="21"/>
    </row>
    <row r="218" spans="2:2" x14ac:dyDescent="0.25">
      <c r="B218" s="21"/>
    </row>
    <row r="219" spans="2:2" x14ac:dyDescent="0.25">
      <c r="B219" s="21"/>
    </row>
    <row r="220" spans="2:2" x14ac:dyDescent="0.25">
      <c r="B220" s="21"/>
    </row>
    <row r="221" spans="2:2" x14ac:dyDescent="0.25">
      <c r="B221" s="21"/>
    </row>
    <row r="222" spans="2:2" x14ac:dyDescent="0.25">
      <c r="B222" s="21"/>
    </row>
    <row r="223" spans="2:2" x14ac:dyDescent="0.25">
      <c r="B223" s="21"/>
    </row>
    <row r="224" spans="2:2" x14ac:dyDescent="0.25">
      <c r="B224" s="21"/>
    </row>
    <row r="225" spans="2:2" x14ac:dyDescent="0.25">
      <c r="B225" s="21"/>
    </row>
    <row r="226" spans="2:2" x14ac:dyDescent="0.25">
      <c r="B226" s="21"/>
    </row>
    <row r="227" spans="2:2" x14ac:dyDescent="0.25">
      <c r="B227" s="21"/>
    </row>
    <row r="228" spans="2:2" x14ac:dyDescent="0.25">
      <c r="B228" s="21"/>
    </row>
    <row r="229" spans="2:2" x14ac:dyDescent="0.25">
      <c r="B229" s="21"/>
    </row>
    <row r="230" spans="2:2" x14ac:dyDescent="0.25">
      <c r="B230" s="21"/>
    </row>
    <row r="231" spans="2:2" x14ac:dyDescent="0.25">
      <c r="B231" s="21"/>
    </row>
    <row r="232" spans="2:2" x14ac:dyDescent="0.25">
      <c r="B232" s="21"/>
    </row>
    <row r="233" spans="2:2" x14ac:dyDescent="0.25">
      <c r="B233" s="21"/>
    </row>
    <row r="234" spans="2:2" x14ac:dyDescent="0.25">
      <c r="B234" s="21"/>
    </row>
    <row r="235" spans="2:2" x14ac:dyDescent="0.25">
      <c r="B235" s="21"/>
    </row>
    <row r="236" spans="2:2" x14ac:dyDescent="0.25">
      <c r="B236" s="21"/>
    </row>
    <row r="237" spans="2:2" x14ac:dyDescent="0.25">
      <c r="B237" s="21"/>
    </row>
    <row r="238" spans="2:2" x14ac:dyDescent="0.25">
      <c r="B238" s="21"/>
    </row>
    <row r="239" spans="2:2" x14ac:dyDescent="0.25">
      <c r="B239" s="21"/>
    </row>
    <row r="240" spans="2:2" x14ac:dyDescent="0.25">
      <c r="B240" s="21"/>
    </row>
    <row r="241" spans="2:2" x14ac:dyDescent="0.25">
      <c r="B241" s="21"/>
    </row>
    <row r="242" spans="2:2" x14ac:dyDescent="0.25">
      <c r="B242" s="21"/>
    </row>
    <row r="243" spans="2:2" x14ac:dyDescent="0.25">
      <c r="B243" s="21"/>
    </row>
    <row r="244" spans="2:2" x14ac:dyDescent="0.25">
      <c r="B244" s="21"/>
    </row>
    <row r="245" spans="2:2" x14ac:dyDescent="0.25">
      <c r="B245" s="21"/>
    </row>
    <row r="246" spans="2:2" x14ac:dyDescent="0.25">
      <c r="B246" s="21"/>
    </row>
    <row r="247" spans="2:2" x14ac:dyDescent="0.25">
      <c r="B247" s="21"/>
    </row>
    <row r="248" spans="2:2" x14ac:dyDescent="0.25">
      <c r="B248" s="21"/>
    </row>
    <row r="249" spans="2:2" x14ac:dyDescent="0.25">
      <c r="B249" s="21"/>
    </row>
    <row r="250" spans="2:2" x14ac:dyDescent="0.25">
      <c r="B250" s="21"/>
    </row>
    <row r="251" spans="2:2" x14ac:dyDescent="0.25">
      <c r="B251" s="21"/>
    </row>
    <row r="252" spans="2:2" x14ac:dyDescent="0.25">
      <c r="B252" s="21"/>
    </row>
    <row r="253" spans="2:2" x14ac:dyDescent="0.25">
      <c r="B253" s="21"/>
    </row>
    <row r="254" spans="2:2" x14ac:dyDescent="0.25">
      <c r="B254" s="21"/>
    </row>
    <row r="255" spans="2:2" x14ac:dyDescent="0.25">
      <c r="B255" s="21"/>
    </row>
    <row r="256" spans="2:2" x14ac:dyDescent="0.25">
      <c r="B256" s="21"/>
    </row>
    <row r="257" spans="2:2" x14ac:dyDescent="0.25">
      <c r="B257" s="21"/>
    </row>
    <row r="258" spans="2:2" x14ac:dyDescent="0.25">
      <c r="B258" s="21"/>
    </row>
    <row r="259" spans="2:2" x14ac:dyDescent="0.25">
      <c r="B259" s="21"/>
    </row>
    <row r="260" spans="2:2" x14ac:dyDescent="0.25">
      <c r="B260" s="21"/>
    </row>
    <row r="261" spans="2:2" x14ac:dyDescent="0.25">
      <c r="B261" s="21"/>
    </row>
    <row r="262" spans="2:2" x14ac:dyDescent="0.25">
      <c r="B262" s="21"/>
    </row>
    <row r="263" spans="2:2" x14ac:dyDescent="0.25">
      <c r="B263" s="21"/>
    </row>
    <row r="264" spans="2:2" x14ac:dyDescent="0.25">
      <c r="B264" s="21"/>
    </row>
    <row r="265" spans="2:2" x14ac:dyDescent="0.25">
      <c r="B265" s="21"/>
    </row>
    <row r="266" spans="2:2" x14ac:dyDescent="0.25">
      <c r="B266" s="21"/>
    </row>
    <row r="267" spans="2:2" x14ac:dyDescent="0.25">
      <c r="B267" s="21"/>
    </row>
    <row r="268" spans="2:2" x14ac:dyDescent="0.25">
      <c r="B268" s="21"/>
    </row>
    <row r="269" spans="2:2" x14ac:dyDescent="0.25">
      <c r="B269" s="21"/>
    </row>
    <row r="270" spans="2:2" x14ac:dyDescent="0.25">
      <c r="B270" s="21"/>
    </row>
    <row r="271" spans="2:2" x14ac:dyDescent="0.25">
      <c r="B271" s="21"/>
    </row>
    <row r="272" spans="2:2" x14ac:dyDescent="0.25">
      <c r="B272" s="21"/>
    </row>
    <row r="273" spans="2:2" x14ac:dyDescent="0.25">
      <c r="B273" s="21"/>
    </row>
    <row r="274" spans="2:2" x14ac:dyDescent="0.25">
      <c r="B274" s="21"/>
    </row>
    <row r="275" spans="2:2" x14ac:dyDescent="0.25">
      <c r="B275" s="21"/>
    </row>
    <row r="276" spans="2:2" x14ac:dyDescent="0.25">
      <c r="B276" s="21"/>
    </row>
    <row r="277" spans="2:2" x14ac:dyDescent="0.25">
      <c r="B277" s="21"/>
    </row>
    <row r="278" spans="2:2" x14ac:dyDescent="0.25">
      <c r="B278" s="21"/>
    </row>
    <row r="279" spans="2:2" x14ac:dyDescent="0.25">
      <c r="B279" s="21"/>
    </row>
    <row r="280" spans="2:2" x14ac:dyDescent="0.25">
      <c r="B280" s="21"/>
    </row>
    <row r="281" spans="2:2" x14ac:dyDescent="0.25">
      <c r="B281" s="21"/>
    </row>
    <row r="282" spans="2:2" x14ac:dyDescent="0.25">
      <c r="B282" s="21"/>
    </row>
    <row r="283" spans="2:2" x14ac:dyDescent="0.25">
      <c r="B283" s="21"/>
    </row>
    <row r="284" spans="2:2" x14ac:dyDescent="0.25">
      <c r="B284" s="21"/>
    </row>
    <row r="285" spans="2:2" x14ac:dyDescent="0.25">
      <c r="B285" s="21"/>
    </row>
    <row r="286" spans="2:2" x14ac:dyDescent="0.25">
      <c r="B286" s="21"/>
    </row>
    <row r="287" spans="2:2" x14ac:dyDescent="0.25">
      <c r="B287" s="21"/>
    </row>
    <row r="288" spans="2:2" x14ac:dyDescent="0.25">
      <c r="B288" s="21"/>
    </row>
    <row r="289" spans="2:2" x14ac:dyDescent="0.25">
      <c r="B289" s="21"/>
    </row>
    <row r="290" spans="2:2" x14ac:dyDescent="0.25">
      <c r="B290" s="21"/>
    </row>
    <row r="291" spans="2:2" x14ac:dyDescent="0.25">
      <c r="B291" s="21"/>
    </row>
    <row r="292" spans="2:2" x14ac:dyDescent="0.25">
      <c r="B292" s="21"/>
    </row>
    <row r="293" spans="2:2" x14ac:dyDescent="0.25">
      <c r="B293" s="21"/>
    </row>
    <row r="294" spans="2:2" x14ac:dyDescent="0.25">
      <c r="B294" s="21"/>
    </row>
    <row r="295" spans="2:2" x14ac:dyDescent="0.25">
      <c r="B295" s="21"/>
    </row>
    <row r="296" spans="2:2" x14ac:dyDescent="0.25">
      <c r="B296" s="21"/>
    </row>
    <row r="297" spans="2:2" x14ac:dyDescent="0.25">
      <c r="B297" s="21"/>
    </row>
    <row r="298" spans="2:2" x14ac:dyDescent="0.25">
      <c r="B298" s="21"/>
    </row>
    <row r="299" spans="2:2" x14ac:dyDescent="0.25">
      <c r="B299" s="21"/>
    </row>
    <row r="300" spans="2:2" x14ac:dyDescent="0.25">
      <c r="B300" s="21"/>
    </row>
    <row r="301" spans="2:2" x14ac:dyDescent="0.25">
      <c r="B301" s="21"/>
    </row>
    <row r="302" spans="2:2" x14ac:dyDescent="0.25">
      <c r="B302" s="21"/>
    </row>
    <row r="303" spans="2:2" x14ac:dyDescent="0.25">
      <c r="B303" s="21"/>
    </row>
    <row r="304" spans="2:2" x14ac:dyDescent="0.25">
      <c r="B304" s="21"/>
    </row>
    <row r="305" spans="2:2" x14ac:dyDescent="0.25">
      <c r="B305" s="21"/>
    </row>
    <row r="306" spans="2:2" x14ac:dyDescent="0.25">
      <c r="B306" s="21"/>
    </row>
    <row r="307" spans="2:2" x14ac:dyDescent="0.25">
      <c r="B307" s="21"/>
    </row>
    <row r="308" spans="2:2" x14ac:dyDescent="0.25">
      <c r="B308" s="21"/>
    </row>
    <row r="309" spans="2:2" x14ac:dyDescent="0.25">
      <c r="B309" s="21"/>
    </row>
    <row r="310" spans="2:2" x14ac:dyDescent="0.25">
      <c r="B310" s="21"/>
    </row>
    <row r="311" spans="2:2" x14ac:dyDescent="0.25">
      <c r="B311" s="21"/>
    </row>
    <row r="312" spans="2:2" x14ac:dyDescent="0.25">
      <c r="B312" s="21"/>
    </row>
    <row r="313" spans="2:2" x14ac:dyDescent="0.25">
      <c r="B313" s="21"/>
    </row>
    <row r="314" spans="2:2" x14ac:dyDescent="0.25">
      <c r="B314" s="21"/>
    </row>
    <row r="315" spans="2:2" x14ac:dyDescent="0.25">
      <c r="B315" s="21"/>
    </row>
    <row r="316" spans="2:2" x14ac:dyDescent="0.25">
      <c r="B316" s="21"/>
    </row>
    <row r="317" spans="2:2" x14ac:dyDescent="0.25">
      <c r="B317" s="21"/>
    </row>
    <row r="318" spans="2:2" x14ac:dyDescent="0.25">
      <c r="B318" s="21"/>
    </row>
    <row r="319" spans="2:2" x14ac:dyDescent="0.25">
      <c r="B319" s="21"/>
    </row>
    <row r="320" spans="2:2" x14ac:dyDescent="0.25">
      <c r="B320" s="21"/>
    </row>
    <row r="321" spans="2:2" x14ac:dyDescent="0.25">
      <c r="B321" s="21"/>
    </row>
    <row r="322" spans="2:2" x14ac:dyDescent="0.25">
      <c r="B322" s="21"/>
    </row>
    <row r="323" spans="2:2" x14ac:dyDescent="0.25">
      <c r="B323" s="21"/>
    </row>
    <row r="324" spans="2:2" x14ac:dyDescent="0.25">
      <c r="B324" s="21"/>
    </row>
    <row r="325" spans="2:2" x14ac:dyDescent="0.25">
      <c r="B325" s="21"/>
    </row>
    <row r="326" spans="2:2" x14ac:dyDescent="0.25">
      <c r="B326" s="21"/>
    </row>
    <row r="327" spans="2:2" x14ac:dyDescent="0.25">
      <c r="B327" s="21"/>
    </row>
    <row r="328" spans="2:2" x14ac:dyDescent="0.25">
      <c r="B328" s="21"/>
    </row>
    <row r="329" spans="2:2" x14ac:dyDescent="0.25">
      <c r="B329" s="21"/>
    </row>
    <row r="330" spans="2:2" x14ac:dyDescent="0.25">
      <c r="B330" s="21"/>
    </row>
    <row r="331" spans="2:2" x14ac:dyDescent="0.25">
      <c r="B331" s="21"/>
    </row>
    <row r="332" spans="2:2" x14ac:dyDescent="0.25">
      <c r="B332" s="21"/>
    </row>
    <row r="333" spans="2:2" x14ac:dyDescent="0.25">
      <c r="B333" s="21"/>
    </row>
    <row r="334" spans="2:2" x14ac:dyDescent="0.25">
      <c r="B334" s="21"/>
    </row>
    <row r="335" spans="2:2" x14ac:dyDescent="0.25">
      <c r="B335" s="21"/>
    </row>
    <row r="336" spans="2:2" x14ac:dyDescent="0.25">
      <c r="B336" s="21"/>
    </row>
    <row r="337" spans="2:2" x14ac:dyDescent="0.25">
      <c r="B337" s="21"/>
    </row>
    <row r="338" spans="2:2" x14ac:dyDescent="0.25">
      <c r="B338" s="21"/>
    </row>
    <row r="339" spans="2:2" x14ac:dyDescent="0.25">
      <c r="B339" s="21"/>
    </row>
    <row r="340" spans="2:2" x14ac:dyDescent="0.25">
      <c r="B340" s="21"/>
    </row>
    <row r="341" spans="2:2" x14ac:dyDescent="0.25">
      <c r="B341" s="21"/>
    </row>
    <row r="342" spans="2:2" x14ac:dyDescent="0.25">
      <c r="B342" s="21"/>
    </row>
    <row r="343" spans="2:2" x14ac:dyDescent="0.25">
      <c r="B343" s="21"/>
    </row>
    <row r="344" spans="2:2" x14ac:dyDescent="0.25">
      <c r="B344" s="21"/>
    </row>
    <row r="345" spans="2:2" x14ac:dyDescent="0.25">
      <c r="B345" s="21"/>
    </row>
    <row r="346" spans="2:2" x14ac:dyDescent="0.25">
      <c r="B346" s="21"/>
    </row>
    <row r="347" spans="2:2" x14ac:dyDescent="0.25">
      <c r="B347" s="21"/>
    </row>
    <row r="348" spans="2:2" x14ac:dyDescent="0.25">
      <c r="B348" s="21"/>
    </row>
    <row r="349" spans="2:2" x14ac:dyDescent="0.25">
      <c r="B349" s="21"/>
    </row>
    <row r="350" spans="2:2" x14ac:dyDescent="0.25">
      <c r="B350" s="21"/>
    </row>
    <row r="351" spans="2:2" x14ac:dyDescent="0.25">
      <c r="B351" s="21"/>
    </row>
    <row r="352" spans="2:2" x14ac:dyDescent="0.25">
      <c r="B352" s="21"/>
    </row>
    <row r="353" spans="2:2" x14ac:dyDescent="0.25">
      <c r="B353" s="21"/>
    </row>
    <row r="354" spans="2:2" x14ac:dyDescent="0.25">
      <c r="B354" s="21"/>
    </row>
    <row r="355" spans="2:2" x14ac:dyDescent="0.25">
      <c r="B355" s="21"/>
    </row>
    <row r="356" spans="2:2" x14ac:dyDescent="0.25">
      <c r="B356" s="21"/>
    </row>
    <row r="357" spans="2:2" x14ac:dyDescent="0.25">
      <c r="B357" s="21"/>
    </row>
    <row r="358" spans="2:2" x14ac:dyDescent="0.25">
      <c r="B358" s="21"/>
    </row>
    <row r="359" spans="2:2" x14ac:dyDescent="0.25">
      <c r="B359" s="21"/>
    </row>
    <row r="360" spans="2:2" x14ac:dyDescent="0.25">
      <c r="B360" s="21"/>
    </row>
    <row r="361" spans="2:2" x14ac:dyDescent="0.25">
      <c r="B361" s="21"/>
    </row>
    <row r="362" spans="2:2" x14ac:dyDescent="0.25">
      <c r="B362" s="21"/>
    </row>
    <row r="363" spans="2:2" x14ac:dyDescent="0.25">
      <c r="B363" s="21"/>
    </row>
    <row r="364" spans="2:2" x14ac:dyDescent="0.25">
      <c r="B364" s="21"/>
    </row>
    <row r="365" spans="2:2" x14ac:dyDescent="0.25">
      <c r="B365" s="21"/>
    </row>
    <row r="366" spans="2:2" x14ac:dyDescent="0.25">
      <c r="B366" s="21"/>
    </row>
    <row r="367" spans="2:2" x14ac:dyDescent="0.25">
      <c r="B367" s="21"/>
    </row>
    <row r="368" spans="2:2" x14ac:dyDescent="0.25">
      <c r="B368" s="21"/>
    </row>
    <row r="369" spans="2:2" x14ac:dyDescent="0.25">
      <c r="B369" s="21"/>
    </row>
    <row r="370" spans="2:2" x14ac:dyDescent="0.25">
      <c r="B370" s="21"/>
    </row>
    <row r="371" spans="2:2" x14ac:dyDescent="0.25">
      <c r="B371" s="21"/>
    </row>
    <row r="372" spans="2:2" x14ac:dyDescent="0.25">
      <c r="B372" s="21"/>
    </row>
    <row r="373" spans="2:2" x14ac:dyDescent="0.25">
      <c r="B373" s="21"/>
    </row>
    <row r="374" spans="2:2" x14ac:dyDescent="0.25">
      <c r="B374" s="21"/>
    </row>
    <row r="375" spans="2:2" x14ac:dyDescent="0.25">
      <c r="B375" s="21"/>
    </row>
    <row r="376" spans="2:2" x14ac:dyDescent="0.25">
      <c r="B376" s="21"/>
    </row>
    <row r="377" spans="2:2" x14ac:dyDescent="0.25">
      <c r="B377" s="21"/>
    </row>
    <row r="378" spans="2:2" x14ac:dyDescent="0.25">
      <c r="B378" s="21"/>
    </row>
    <row r="379" spans="2:2" x14ac:dyDescent="0.25">
      <c r="B379" s="21"/>
    </row>
    <row r="380" spans="2:2" x14ac:dyDescent="0.25">
      <c r="B380" s="21"/>
    </row>
    <row r="381" spans="2:2" x14ac:dyDescent="0.25">
      <c r="B381" s="21"/>
    </row>
    <row r="382" spans="2:2" x14ac:dyDescent="0.25">
      <c r="B382" s="21"/>
    </row>
    <row r="383" spans="2:2" x14ac:dyDescent="0.25">
      <c r="B383" s="21"/>
    </row>
    <row r="384" spans="2:2" x14ac:dyDescent="0.25">
      <c r="B384" s="21"/>
    </row>
    <row r="385" spans="2:2" x14ac:dyDescent="0.25">
      <c r="B385" s="21"/>
    </row>
    <row r="386" spans="2:2" x14ac:dyDescent="0.25">
      <c r="B386" s="21"/>
    </row>
    <row r="387" spans="2:2" x14ac:dyDescent="0.25">
      <c r="B387" s="21"/>
    </row>
    <row r="388" spans="2:2" x14ac:dyDescent="0.25">
      <c r="B388" s="21"/>
    </row>
    <row r="389" spans="2:2" x14ac:dyDescent="0.25">
      <c r="B389" s="21"/>
    </row>
    <row r="390" spans="2:2" x14ac:dyDescent="0.25">
      <c r="B390" s="21"/>
    </row>
    <row r="391" spans="2:2" x14ac:dyDescent="0.25">
      <c r="B391" s="21"/>
    </row>
    <row r="392" spans="2:2" x14ac:dyDescent="0.25">
      <c r="B392" s="21"/>
    </row>
    <row r="393" spans="2:2" x14ac:dyDescent="0.25">
      <c r="B393" s="21"/>
    </row>
    <row r="394" spans="2:2" x14ac:dyDescent="0.25">
      <c r="B394" s="21"/>
    </row>
    <row r="395" spans="2:2" x14ac:dyDescent="0.25">
      <c r="B395" s="21"/>
    </row>
    <row r="396" spans="2:2" x14ac:dyDescent="0.25">
      <c r="B396" s="21"/>
    </row>
    <row r="397" spans="2:2" x14ac:dyDescent="0.25">
      <c r="B397" s="21"/>
    </row>
    <row r="398" spans="2:2" x14ac:dyDescent="0.25">
      <c r="B398" s="21"/>
    </row>
    <row r="399" spans="2:2" x14ac:dyDescent="0.25">
      <c r="B399" s="21"/>
    </row>
    <row r="400" spans="2:2" x14ac:dyDescent="0.25">
      <c r="B400" s="21"/>
    </row>
    <row r="401" spans="2:2" x14ac:dyDescent="0.25">
      <c r="B401" s="21"/>
    </row>
    <row r="402" spans="2:2" x14ac:dyDescent="0.25">
      <c r="B402" s="21"/>
    </row>
    <row r="403" spans="2:2" x14ac:dyDescent="0.25">
      <c r="B403" s="21"/>
    </row>
    <row r="404" spans="2:2" x14ac:dyDescent="0.25">
      <c r="B404" s="21"/>
    </row>
    <row r="405" spans="2:2" x14ac:dyDescent="0.25">
      <c r="B405" s="21"/>
    </row>
    <row r="406" spans="2:2" x14ac:dyDescent="0.25">
      <c r="B406" s="21"/>
    </row>
    <row r="407" spans="2:2" x14ac:dyDescent="0.25">
      <c r="B407" s="21"/>
    </row>
    <row r="408" spans="2:2" x14ac:dyDescent="0.25">
      <c r="B408" s="21"/>
    </row>
    <row r="409" spans="2:2" x14ac:dyDescent="0.25">
      <c r="B409" s="21"/>
    </row>
    <row r="410" spans="2:2" x14ac:dyDescent="0.25">
      <c r="B410" s="21"/>
    </row>
    <row r="411" spans="2:2" x14ac:dyDescent="0.25">
      <c r="B411" s="21"/>
    </row>
    <row r="412" spans="2:2" x14ac:dyDescent="0.25">
      <c r="B412" s="21"/>
    </row>
    <row r="413" spans="2:2" x14ac:dyDescent="0.25">
      <c r="B413" s="21"/>
    </row>
    <row r="414" spans="2:2" x14ac:dyDescent="0.25">
      <c r="B414" s="21"/>
    </row>
    <row r="415" spans="2:2" x14ac:dyDescent="0.25">
      <c r="B415" s="21"/>
    </row>
    <row r="416" spans="2:2" x14ac:dyDescent="0.25">
      <c r="B416" s="21"/>
    </row>
    <row r="417" spans="2:2" x14ac:dyDescent="0.25">
      <c r="B417" s="21"/>
    </row>
    <row r="418" spans="2:2" x14ac:dyDescent="0.25">
      <c r="B418" s="21"/>
    </row>
    <row r="419" spans="2:2" x14ac:dyDescent="0.25">
      <c r="B419" s="21"/>
    </row>
    <row r="420" spans="2:2" x14ac:dyDescent="0.25">
      <c r="B420" s="21"/>
    </row>
    <row r="421" spans="2:2" x14ac:dyDescent="0.25">
      <c r="B421" s="21"/>
    </row>
    <row r="422" spans="2:2" x14ac:dyDescent="0.25">
      <c r="B422" s="21"/>
    </row>
    <row r="423" spans="2:2" x14ac:dyDescent="0.25">
      <c r="B423" s="21"/>
    </row>
    <row r="424" spans="2:2" x14ac:dyDescent="0.25">
      <c r="B424" s="21"/>
    </row>
    <row r="425" spans="2:2" x14ac:dyDescent="0.25">
      <c r="B425" s="21"/>
    </row>
    <row r="426" spans="2:2" x14ac:dyDescent="0.25">
      <c r="B426" s="21"/>
    </row>
    <row r="427" spans="2:2" x14ac:dyDescent="0.25">
      <c r="B427" s="21"/>
    </row>
    <row r="428" spans="2:2" x14ac:dyDescent="0.25">
      <c r="B428" s="21"/>
    </row>
    <row r="429" spans="2:2" x14ac:dyDescent="0.25">
      <c r="B429" s="21"/>
    </row>
    <row r="430" spans="2:2" x14ac:dyDescent="0.25">
      <c r="B430" s="21"/>
    </row>
    <row r="431" spans="2:2" x14ac:dyDescent="0.25">
      <c r="B431" s="21"/>
    </row>
    <row r="432" spans="2:2" x14ac:dyDescent="0.25">
      <c r="B432" s="21"/>
    </row>
    <row r="433" spans="2:2" x14ac:dyDescent="0.25">
      <c r="B433" s="21"/>
    </row>
    <row r="434" spans="2:2" x14ac:dyDescent="0.25">
      <c r="B434" s="21"/>
    </row>
    <row r="435" spans="2:2" x14ac:dyDescent="0.25">
      <c r="B435" s="21"/>
    </row>
    <row r="436" spans="2:2" x14ac:dyDescent="0.25">
      <c r="B436" s="21"/>
    </row>
    <row r="437" spans="2:2" x14ac:dyDescent="0.25">
      <c r="B437" s="21"/>
    </row>
    <row r="438" spans="2:2" x14ac:dyDescent="0.25">
      <c r="B438" s="21"/>
    </row>
    <row r="439" spans="2:2" x14ac:dyDescent="0.25">
      <c r="B439" s="21"/>
    </row>
    <row r="440" spans="2:2" x14ac:dyDescent="0.25">
      <c r="B440" s="21"/>
    </row>
    <row r="441" spans="2:2" x14ac:dyDescent="0.25">
      <c r="B441" s="21"/>
    </row>
    <row r="442" spans="2:2" x14ac:dyDescent="0.25">
      <c r="B442" s="21"/>
    </row>
    <row r="443" spans="2:2" x14ac:dyDescent="0.25">
      <c r="B443" s="21"/>
    </row>
    <row r="444" spans="2:2" x14ac:dyDescent="0.25">
      <c r="B444" s="21"/>
    </row>
    <row r="445" spans="2:2" x14ac:dyDescent="0.25">
      <c r="B445" s="21"/>
    </row>
    <row r="446" spans="2:2" x14ac:dyDescent="0.25">
      <c r="B446" s="21"/>
    </row>
    <row r="447" spans="2:2" x14ac:dyDescent="0.25">
      <c r="B447" s="21"/>
    </row>
    <row r="448" spans="2:2" x14ac:dyDescent="0.25">
      <c r="B448" s="21"/>
    </row>
    <row r="449" spans="2:2" x14ac:dyDescent="0.25">
      <c r="B449" s="21"/>
    </row>
    <row r="450" spans="2:2" x14ac:dyDescent="0.25">
      <c r="B450" s="21"/>
    </row>
    <row r="451" spans="2:2" x14ac:dyDescent="0.25">
      <c r="B451" s="21"/>
    </row>
    <row r="452" spans="2:2" x14ac:dyDescent="0.25">
      <c r="B452" s="21"/>
    </row>
    <row r="453" spans="2:2" x14ac:dyDescent="0.25">
      <c r="B453" s="21"/>
    </row>
    <row r="454" spans="2:2" x14ac:dyDescent="0.25">
      <c r="B454" s="21"/>
    </row>
    <row r="455" spans="2:2" x14ac:dyDescent="0.25">
      <c r="B455" s="21"/>
    </row>
    <row r="456" spans="2:2" x14ac:dyDescent="0.25">
      <c r="B456" s="21"/>
    </row>
    <row r="457" spans="2:2" x14ac:dyDescent="0.25">
      <c r="B457" s="21"/>
    </row>
    <row r="458" spans="2:2" x14ac:dyDescent="0.25">
      <c r="B458" s="21"/>
    </row>
    <row r="459" spans="2:2" x14ac:dyDescent="0.25">
      <c r="B459" s="21"/>
    </row>
    <row r="460" spans="2:2" x14ac:dyDescent="0.25">
      <c r="B460" s="21"/>
    </row>
    <row r="461" spans="2:2" x14ac:dyDescent="0.25">
      <c r="B461" s="21"/>
    </row>
    <row r="462" spans="2:2" x14ac:dyDescent="0.25">
      <c r="B462" s="21"/>
    </row>
    <row r="463" spans="2:2" x14ac:dyDescent="0.25">
      <c r="B463" s="21"/>
    </row>
    <row r="464" spans="2:2" x14ac:dyDescent="0.25">
      <c r="B464" s="21"/>
    </row>
    <row r="465" spans="2:2" x14ac:dyDescent="0.25">
      <c r="B465" s="21"/>
    </row>
    <row r="466" spans="2:2" x14ac:dyDescent="0.25">
      <c r="B466" s="21"/>
    </row>
    <row r="467" spans="2:2" x14ac:dyDescent="0.25">
      <c r="B467" s="21"/>
    </row>
    <row r="468" spans="2:2" x14ac:dyDescent="0.25">
      <c r="B468" s="21"/>
    </row>
    <row r="469" spans="2:2" x14ac:dyDescent="0.25">
      <c r="B469" s="21"/>
    </row>
    <row r="470" spans="2:2" x14ac:dyDescent="0.25">
      <c r="B470" s="21"/>
    </row>
    <row r="471" spans="2:2" x14ac:dyDescent="0.25">
      <c r="B471" s="21"/>
    </row>
    <row r="472" spans="2:2" x14ac:dyDescent="0.25">
      <c r="B472" s="21"/>
    </row>
    <row r="473" spans="2:2" x14ac:dyDescent="0.25">
      <c r="B473" s="21"/>
    </row>
    <row r="474" spans="2:2" x14ac:dyDescent="0.25">
      <c r="B474" s="21"/>
    </row>
    <row r="475" spans="2:2" x14ac:dyDescent="0.25">
      <c r="B475" s="21"/>
    </row>
    <row r="476" spans="2:2" x14ac:dyDescent="0.25">
      <c r="B476" s="21"/>
    </row>
    <row r="477" spans="2:2" x14ac:dyDescent="0.25">
      <c r="B477" s="21"/>
    </row>
    <row r="478" spans="2:2" x14ac:dyDescent="0.25">
      <c r="B478" s="21"/>
    </row>
    <row r="479" spans="2:2" x14ac:dyDescent="0.25">
      <c r="B479" s="21"/>
    </row>
    <row r="480" spans="2:2" x14ac:dyDescent="0.25">
      <c r="B480" s="21"/>
    </row>
    <row r="481" spans="2:2" x14ac:dyDescent="0.25">
      <c r="B481" s="21"/>
    </row>
    <row r="482" spans="2:2" x14ac:dyDescent="0.25">
      <c r="B482" s="21"/>
    </row>
    <row r="483" spans="2:2" x14ac:dyDescent="0.25">
      <c r="B483" s="21"/>
    </row>
    <row r="484" spans="2:2" x14ac:dyDescent="0.25">
      <c r="B484" s="21"/>
    </row>
    <row r="485" spans="2:2" x14ac:dyDescent="0.25">
      <c r="B485" s="21"/>
    </row>
    <row r="486" spans="2:2" x14ac:dyDescent="0.25">
      <c r="B486" s="21"/>
    </row>
    <row r="487" spans="2:2" x14ac:dyDescent="0.25">
      <c r="B487" s="21"/>
    </row>
    <row r="488" spans="2:2" x14ac:dyDescent="0.25">
      <c r="B488" s="21"/>
    </row>
    <row r="489" spans="2:2" x14ac:dyDescent="0.25">
      <c r="B489" s="21"/>
    </row>
    <row r="490" spans="2:2" x14ac:dyDescent="0.25">
      <c r="B490" s="21"/>
    </row>
    <row r="491" spans="2:2" x14ac:dyDescent="0.25">
      <c r="B491" s="21"/>
    </row>
    <row r="492" spans="2:2" x14ac:dyDescent="0.25">
      <c r="B492" s="21"/>
    </row>
    <row r="493" spans="2:2" x14ac:dyDescent="0.25">
      <c r="B493" s="21"/>
    </row>
    <row r="494" spans="2:2" x14ac:dyDescent="0.25">
      <c r="B494" s="21"/>
    </row>
    <row r="495" spans="2:2" x14ac:dyDescent="0.25">
      <c r="B495" s="21"/>
    </row>
    <row r="496" spans="2:2" x14ac:dyDescent="0.25">
      <c r="B496" s="21"/>
    </row>
    <row r="497" spans="2:2" x14ac:dyDescent="0.25">
      <c r="B497" s="21"/>
    </row>
    <row r="498" spans="2:2" x14ac:dyDescent="0.25">
      <c r="B498" s="21"/>
    </row>
    <row r="499" spans="2:2" x14ac:dyDescent="0.25">
      <c r="B499" s="21"/>
    </row>
    <row r="500" spans="2:2" x14ac:dyDescent="0.25">
      <c r="B500" s="21"/>
    </row>
    <row r="501" spans="2:2" x14ac:dyDescent="0.25">
      <c r="B501" s="21"/>
    </row>
    <row r="502" spans="2:2" x14ac:dyDescent="0.25">
      <c r="B502" s="21"/>
    </row>
    <row r="503" spans="2:2" x14ac:dyDescent="0.25">
      <c r="B503" s="21"/>
    </row>
    <row r="504" spans="2:2" x14ac:dyDescent="0.25">
      <c r="B504" s="21"/>
    </row>
    <row r="505" spans="2:2" x14ac:dyDescent="0.25">
      <c r="B505" s="21"/>
    </row>
    <row r="506" spans="2:2" x14ac:dyDescent="0.25">
      <c r="B506" s="21"/>
    </row>
    <row r="507" spans="2:2" x14ac:dyDescent="0.25">
      <c r="B507" s="21"/>
    </row>
    <row r="508" spans="2:2" x14ac:dyDescent="0.25">
      <c r="B508" s="21"/>
    </row>
    <row r="509" spans="2:2" x14ac:dyDescent="0.25">
      <c r="B509" s="21"/>
    </row>
    <row r="510" spans="2:2" x14ac:dyDescent="0.25">
      <c r="B510" s="21"/>
    </row>
    <row r="511" spans="2:2" x14ac:dyDescent="0.25">
      <c r="B511" s="21"/>
    </row>
    <row r="512" spans="2:2" x14ac:dyDescent="0.25">
      <c r="B512" s="21"/>
    </row>
    <row r="513" spans="2:2" x14ac:dyDescent="0.25">
      <c r="B513" s="21"/>
    </row>
    <row r="514" spans="2:2" x14ac:dyDescent="0.25">
      <c r="B514" s="21"/>
    </row>
    <row r="515" spans="2:2" x14ac:dyDescent="0.25">
      <c r="B515" s="21"/>
    </row>
    <row r="516" spans="2:2" x14ac:dyDescent="0.25">
      <c r="B516" s="21"/>
    </row>
    <row r="517" spans="2:2" x14ac:dyDescent="0.25">
      <c r="B517" s="21"/>
    </row>
    <row r="518" spans="2:2" x14ac:dyDescent="0.25">
      <c r="B518" s="21"/>
    </row>
    <row r="519" spans="2:2" x14ac:dyDescent="0.25">
      <c r="B519" s="21"/>
    </row>
    <row r="520" spans="2:2" x14ac:dyDescent="0.25">
      <c r="B520" s="21"/>
    </row>
    <row r="521" spans="2:2" x14ac:dyDescent="0.25">
      <c r="B521" s="21"/>
    </row>
    <row r="522" spans="2:2" x14ac:dyDescent="0.25">
      <c r="B522" s="21"/>
    </row>
    <row r="523" spans="2:2" x14ac:dyDescent="0.25">
      <c r="B523" s="21"/>
    </row>
    <row r="524" spans="2:2" x14ac:dyDescent="0.25">
      <c r="B524" s="21"/>
    </row>
    <row r="525" spans="2:2" x14ac:dyDescent="0.25">
      <c r="B525" s="21"/>
    </row>
    <row r="526" spans="2:2" x14ac:dyDescent="0.25">
      <c r="B526" s="21"/>
    </row>
    <row r="527" spans="2:2" x14ac:dyDescent="0.25">
      <c r="B527" s="21"/>
    </row>
    <row r="528" spans="2:2" x14ac:dyDescent="0.25">
      <c r="B528" s="21"/>
    </row>
    <row r="529" spans="2:2" x14ac:dyDescent="0.25">
      <c r="B529" s="21"/>
    </row>
    <row r="530" spans="2:2" x14ac:dyDescent="0.25">
      <c r="B530" s="21"/>
    </row>
    <row r="531" spans="2:2" x14ac:dyDescent="0.25">
      <c r="B531" s="21"/>
    </row>
    <row r="532" spans="2:2" x14ac:dyDescent="0.25">
      <c r="B532" s="21"/>
    </row>
    <row r="533" spans="2:2" x14ac:dyDescent="0.25">
      <c r="B533" s="21"/>
    </row>
    <row r="534" spans="2:2" x14ac:dyDescent="0.25">
      <c r="B534" s="21"/>
    </row>
    <row r="535" spans="2:2" x14ac:dyDescent="0.25">
      <c r="B535" s="21"/>
    </row>
    <row r="536" spans="2:2" x14ac:dyDescent="0.25">
      <c r="B536" s="21"/>
    </row>
    <row r="537" spans="2:2" x14ac:dyDescent="0.25">
      <c r="B537" s="21"/>
    </row>
    <row r="538" spans="2:2" x14ac:dyDescent="0.25">
      <c r="B538" s="21"/>
    </row>
    <row r="539" spans="2:2" x14ac:dyDescent="0.25">
      <c r="B539" s="21"/>
    </row>
    <row r="540" spans="2:2" x14ac:dyDescent="0.25">
      <c r="B540" s="21"/>
    </row>
    <row r="541" spans="2:2" x14ac:dyDescent="0.25">
      <c r="B541" s="21"/>
    </row>
    <row r="542" spans="2:2" x14ac:dyDescent="0.25">
      <c r="B542" s="21"/>
    </row>
    <row r="543" spans="2:2" x14ac:dyDescent="0.25">
      <c r="B543" s="21"/>
    </row>
    <row r="544" spans="2:2" x14ac:dyDescent="0.25">
      <c r="B544" s="21"/>
    </row>
    <row r="545" spans="2:2" x14ac:dyDescent="0.25">
      <c r="B545" s="21"/>
    </row>
    <row r="546" spans="2:2" x14ac:dyDescent="0.25">
      <c r="B546" s="21"/>
    </row>
    <row r="547" spans="2:2" x14ac:dyDescent="0.25">
      <c r="B547" s="21"/>
    </row>
    <row r="548" spans="2:2" x14ac:dyDescent="0.25">
      <c r="B548" s="21"/>
    </row>
    <row r="549" spans="2:2" x14ac:dyDescent="0.25">
      <c r="B549" s="21"/>
    </row>
    <row r="550" spans="2:2" x14ac:dyDescent="0.25">
      <c r="B550" s="21"/>
    </row>
    <row r="551" spans="2:2" x14ac:dyDescent="0.25">
      <c r="B551" s="21"/>
    </row>
    <row r="552" spans="2:2" x14ac:dyDescent="0.25">
      <c r="B552" s="21"/>
    </row>
    <row r="553" spans="2:2" x14ac:dyDescent="0.25">
      <c r="B553" s="21"/>
    </row>
    <row r="554" spans="2:2" x14ac:dyDescent="0.25">
      <c r="B554" s="21"/>
    </row>
    <row r="555" spans="2:2" x14ac:dyDescent="0.25">
      <c r="B555" s="21"/>
    </row>
    <row r="556" spans="2:2" x14ac:dyDescent="0.25">
      <c r="B556" s="21"/>
    </row>
    <row r="557" spans="2:2" x14ac:dyDescent="0.25">
      <c r="B557" s="21"/>
    </row>
    <row r="558" spans="2:2" x14ac:dyDescent="0.25">
      <c r="B558" s="21"/>
    </row>
    <row r="559" spans="2:2" x14ac:dyDescent="0.25">
      <c r="B559" s="21"/>
    </row>
    <row r="560" spans="2:2" x14ac:dyDescent="0.25">
      <c r="B560" s="21"/>
    </row>
    <row r="561" spans="2:2" x14ac:dyDescent="0.25">
      <c r="B561" s="21"/>
    </row>
    <row r="562" spans="2:2" x14ac:dyDescent="0.25">
      <c r="B562" s="21"/>
    </row>
    <row r="563" spans="2:2" x14ac:dyDescent="0.25">
      <c r="B563" s="21"/>
    </row>
    <row r="564" spans="2:2" x14ac:dyDescent="0.25">
      <c r="B564" s="21"/>
    </row>
    <row r="565" spans="2:2" x14ac:dyDescent="0.25">
      <c r="B565" s="21"/>
    </row>
    <row r="566" spans="2:2" x14ac:dyDescent="0.25">
      <c r="B566" s="21"/>
    </row>
    <row r="567" spans="2:2" x14ac:dyDescent="0.25">
      <c r="B567" s="21"/>
    </row>
    <row r="568" spans="2:2" x14ac:dyDescent="0.25">
      <c r="B568" s="21"/>
    </row>
    <row r="569" spans="2:2" x14ac:dyDescent="0.25">
      <c r="B569" s="21"/>
    </row>
    <row r="570" spans="2:2" x14ac:dyDescent="0.25">
      <c r="B570" s="21"/>
    </row>
    <row r="571" spans="2:2" x14ac:dyDescent="0.25">
      <c r="B571" s="21"/>
    </row>
    <row r="572" spans="2:2" x14ac:dyDescent="0.25">
      <c r="B572" s="21"/>
    </row>
    <row r="573" spans="2:2" x14ac:dyDescent="0.25">
      <c r="B573" s="21"/>
    </row>
    <row r="574" spans="2:2" x14ac:dyDescent="0.25">
      <c r="B574" s="21"/>
    </row>
    <row r="575" spans="2:2" x14ac:dyDescent="0.25">
      <c r="B575" s="21"/>
    </row>
    <row r="576" spans="2:2" x14ac:dyDescent="0.25">
      <c r="B576" s="21"/>
    </row>
    <row r="577" spans="2:2" x14ac:dyDescent="0.25">
      <c r="B577" s="21"/>
    </row>
    <row r="578" spans="2:2" x14ac:dyDescent="0.25">
      <c r="B578" s="21"/>
    </row>
    <row r="579" spans="2:2" x14ac:dyDescent="0.25">
      <c r="B579" s="21"/>
    </row>
    <row r="580" spans="2:2" x14ac:dyDescent="0.25">
      <c r="B580" s="21"/>
    </row>
    <row r="581" spans="2:2" x14ac:dyDescent="0.25">
      <c r="B581" s="21"/>
    </row>
    <row r="582" spans="2:2" x14ac:dyDescent="0.25">
      <c r="B582" s="21"/>
    </row>
    <row r="583" spans="2:2" x14ac:dyDescent="0.25">
      <c r="B583" s="21"/>
    </row>
    <row r="584" spans="2:2" x14ac:dyDescent="0.25">
      <c r="B584" s="21"/>
    </row>
    <row r="585" spans="2:2" x14ac:dyDescent="0.25">
      <c r="B585" s="21"/>
    </row>
    <row r="586" spans="2:2" x14ac:dyDescent="0.25">
      <c r="B586" s="21"/>
    </row>
    <row r="587" spans="2:2" x14ac:dyDescent="0.25">
      <c r="B587" s="21"/>
    </row>
    <row r="588" spans="2:2" x14ac:dyDescent="0.25">
      <c r="B588" s="21"/>
    </row>
    <row r="589" spans="2:2" x14ac:dyDescent="0.25">
      <c r="B589" s="21"/>
    </row>
    <row r="590" spans="2:2" x14ac:dyDescent="0.25">
      <c r="B590" s="21"/>
    </row>
    <row r="591" spans="2:2" x14ac:dyDescent="0.25">
      <c r="B591" s="21"/>
    </row>
    <row r="592" spans="2:2" x14ac:dyDescent="0.25">
      <c r="B592" s="21"/>
    </row>
    <row r="593" spans="2:2" x14ac:dyDescent="0.25">
      <c r="B593" s="21"/>
    </row>
    <row r="594" spans="2:2" x14ac:dyDescent="0.25">
      <c r="B594" s="21"/>
    </row>
    <row r="595" spans="2:2" x14ac:dyDescent="0.25">
      <c r="B595" s="21"/>
    </row>
    <row r="596" spans="2:2" x14ac:dyDescent="0.25">
      <c r="B596" s="21"/>
    </row>
    <row r="597" spans="2:2" x14ac:dyDescent="0.25">
      <c r="B597" s="21"/>
    </row>
    <row r="598" spans="2:2" x14ac:dyDescent="0.25">
      <c r="B598" s="21"/>
    </row>
    <row r="599" spans="2:2" x14ac:dyDescent="0.25">
      <c r="B599" s="21"/>
    </row>
    <row r="600" spans="2:2" x14ac:dyDescent="0.25">
      <c r="B600" s="21"/>
    </row>
    <row r="601" spans="2:2" x14ac:dyDescent="0.25">
      <c r="B601" s="21"/>
    </row>
    <row r="602" spans="2:2" x14ac:dyDescent="0.25">
      <c r="B602" s="21"/>
    </row>
    <row r="603" spans="2:2" x14ac:dyDescent="0.25">
      <c r="B603" s="21"/>
    </row>
    <row r="604" spans="2:2" x14ac:dyDescent="0.25">
      <c r="B604" s="21"/>
    </row>
    <row r="605" spans="2:2" x14ac:dyDescent="0.25">
      <c r="B605" s="21"/>
    </row>
    <row r="606" spans="2:2" x14ac:dyDescent="0.25">
      <c r="B606" s="21"/>
    </row>
    <row r="607" spans="2:2" x14ac:dyDescent="0.25">
      <c r="B607" s="21"/>
    </row>
    <row r="608" spans="2:2" x14ac:dyDescent="0.25">
      <c r="B608" s="21"/>
    </row>
    <row r="609" spans="2:2" x14ac:dyDescent="0.25">
      <c r="B609" s="21"/>
    </row>
    <row r="610" spans="2:2" x14ac:dyDescent="0.25">
      <c r="B610" s="21"/>
    </row>
    <row r="611" spans="2:2" x14ac:dyDescent="0.25">
      <c r="B611" s="21"/>
    </row>
    <row r="612" spans="2:2" x14ac:dyDescent="0.25">
      <c r="B612" s="21"/>
    </row>
    <row r="613" spans="2:2" x14ac:dyDescent="0.25">
      <c r="B613" s="21"/>
    </row>
    <row r="614" spans="2:2" x14ac:dyDescent="0.25">
      <c r="B614" s="21"/>
    </row>
    <row r="615" spans="2:2" x14ac:dyDescent="0.25">
      <c r="B615" s="21"/>
    </row>
    <row r="616" spans="2:2" x14ac:dyDescent="0.25">
      <c r="B616" s="21"/>
    </row>
    <row r="617" spans="2:2" x14ac:dyDescent="0.25">
      <c r="B617" s="21"/>
    </row>
    <row r="618" spans="2:2" x14ac:dyDescent="0.25">
      <c r="B618" s="21"/>
    </row>
    <row r="619" spans="2:2" x14ac:dyDescent="0.25">
      <c r="B619" s="21"/>
    </row>
    <row r="620" spans="2:2" x14ac:dyDescent="0.25">
      <c r="B620" s="21"/>
    </row>
    <row r="621" spans="2:2" x14ac:dyDescent="0.25">
      <c r="B621" s="21"/>
    </row>
    <row r="622" spans="2:2" x14ac:dyDescent="0.25">
      <c r="B622" s="21"/>
    </row>
    <row r="623" spans="2:2" x14ac:dyDescent="0.25">
      <c r="B623" s="21"/>
    </row>
    <row r="624" spans="2:2" x14ac:dyDescent="0.25">
      <c r="B624" s="21"/>
    </row>
    <row r="625" spans="2:2" x14ac:dyDescent="0.25">
      <c r="B625" s="21"/>
    </row>
    <row r="626" spans="2:2" x14ac:dyDescent="0.25">
      <c r="B626" s="21"/>
    </row>
    <row r="627" spans="2:2" x14ac:dyDescent="0.25">
      <c r="B627" s="21"/>
    </row>
    <row r="628" spans="2:2" x14ac:dyDescent="0.25">
      <c r="B628" s="21"/>
    </row>
    <row r="629" spans="2:2" x14ac:dyDescent="0.25">
      <c r="B629" s="21"/>
    </row>
    <row r="630" spans="2:2" x14ac:dyDescent="0.25">
      <c r="B630" s="21"/>
    </row>
    <row r="631" spans="2:2" x14ac:dyDescent="0.25">
      <c r="B631" s="21"/>
    </row>
    <row r="632" spans="2:2" x14ac:dyDescent="0.25">
      <c r="B632" s="21"/>
    </row>
    <row r="633" spans="2:2" x14ac:dyDescent="0.25">
      <c r="B633" s="21"/>
    </row>
    <row r="634" spans="2:2" x14ac:dyDescent="0.25">
      <c r="B634" s="21"/>
    </row>
    <row r="635" spans="2:2" x14ac:dyDescent="0.25">
      <c r="B635" s="21"/>
    </row>
    <row r="636" spans="2:2" x14ac:dyDescent="0.25">
      <c r="B636" s="21"/>
    </row>
    <row r="637" spans="2:2" x14ac:dyDescent="0.25">
      <c r="B637" s="21"/>
    </row>
    <row r="638" spans="2:2" x14ac:dyDescent="0.25">
      <c r="B638" s="21"/>
    </row>
    <row r="639" spans="2:2" x14ac:dyDescent="0.25">
      <c r="B639" s="21"/>
    </row>
    <row r="640" spans="2:2" x14ac:dyDescent="0.25">
      <c r="B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row r="704" spans="2:2" x14ac:dyDescent="0.25">
      <c r="B704" s="21"/>
    </row>
    <row r="705" spans="2:2" x14ac:dyDescent="0.25">
      <c r="B705" s="21"/>
    </row>
    <row r="706" spans="2:2" x14ac:dyDescent="0.25">
      <c r="B706" s="21"/>
    </row>
    <row r="707" spans="2:2" x14ac:dyDescent="0.25">
      <c r="B707" s="21"/>
    </row>
    <row r="708" spans="2:2" x14ac:dyDescent="0.25">
      <c r="B708" s="21"/>
    </row>
    <row r="709" spans="2:2" x14ac:dyDescent="0.25">
      <c r="B709" s="21"/>
    </row>
    <row r="710" spans="2:2" x14ac:dyDescent="0.25">
      <c r="B710" s="21"/>
    </row>
    <row r="711" spans="2:2" x14ac:dyDescent="0.25">
      <c r="B711" s="21"/>
    </row>
    <row r="712" spans="2:2" x14ac:dyDescent="0.25">
      <c r="B712" s="21"/>
    </row>
    <row r="713" spans="2:2" x14ac:dyDescent="0.25">
      <c r="B713" s="21"/>
    </row>
    <row r="714" spans="2:2" x14ac:dyDescent="0.25">
      <c r="B714" s="21"/>
    </row>
    <row r="715" spans="2:2" x14ac:dyDescent="0.25">
      <c r="B715" s="21"/>
    </row>
    <row r="716" spans="2:2" x14ac:dyDescent="0.25">
      <c r="B716" s="21"/>
    </row>
    <row r="717" spans="2:2" x14ac:dyDescent="0.25">
      <c r="B717" s="21"/>
    </row>
    <row r="718" spans="2:2" x14ac:dyDescent="0.25">
      <c r="B718" s="21"/>
    </row>
    <row r="719" spans="2:2" x14ac:dyDescent="0.25">
      <c r="B719" s="21"/>
    </row>
    <row r="720" spans="2:2" x14ac:dyDescent="0.25">
      <c r="B720" s="21"/>
    </row>
    <row r="721" spans="2:2" x14ac:dyDescent="0.25">
      <c r="B721" s="21"/>
    </row>
    <row r="722" spans="2:2" x14ac:dyDescent="0.25">
      <c r="B722" s="21"/>
    </row>
    <row r="723" spans="2:2" x14ac:dyDescent="0.25">
      <c r="B723" s="21"/>
    </row>
    <row r="724" spans="2:2" x14ac:dyDescent="0.25">
      <c r="B724" s="21"/>
    </row>
    <row r="725" spans="2:2" x14ac:dyDescent="0.25">
      <c r="B725" s="21"/>
    </row>
    <row r="726" spans="2:2" x14ac:dyDescent="0.25">
      <c r="B726" s="21"/>
    </row>
    <row r="727" spans="2:2" x14ac:dyDescent="0.25">
      <c r="B727" s="21"/>
    </row>
    <row r="728" spans="2:2" x14ac:dyDescent="0.25">
      <c r="B728" s="21"/>
    </row>
    <row r="729" spans="2:2" x14ac:dyDescent="0.25">
      <c r="B729" s="21"/>
    </row>
    <row r="730" spans="2:2" x14ac:dyDescent="0.25">
      <c r="B730" s="21"/>
    </row>
    <row r="731" spans="2:2" x14ac:dyDescent="0.25">
      <c r="B731" s="21"/>
    </row>
    <row r="732" spans="2:2" x14ac:dyDescent="0.25">
      <c r="B732" s="21"/>
    </row>
    <row r="733" spans="2:2" x14ac:dyDescent="0.25">
      <c r="B733" s="21"/>
    </row>
    <row r="734" spans="2:2" x14ac:dyDescent="0.25">
      <c r="B734" s="21"/>
    </row>
    <row r="735" spans="2:2" x14ac:dyDescent="0.25">
      <c r="B735" s="21"/>
    </row>
    <row r="736" spans="2:2" x14ac:dyDescent="0.25">
      <c r="B736" s="21"/>
    </row>
    <row r="737" spans="2:2" x14ac:dyDescent="0.25">
      <c r="B737" s="21"/>
    </row>
    <row r="738" spans="2:2" x14ac:dyDescent="0.25">
      <c r="B738" s="21"/>
    </row>
    <row r="739" spans="2:2" x14ac:dyDescent="0.25">
      <c r="B739" s="21"/>
    </row>
    <row r="740" spans="2:2" x14ac:dyDescent="0.25">
      <c r="B740" s="21"/>
    </row>
    <row r="741" spans="2:2" x14ac:dyDescent="0.25">
      <c r="B741" s="21"/>
    </row>
    <row r="742" spans="2:2" x14ac:dyDescent="0.25">
      <c r="B742" s="21"/>
    </row>
    <row r="743" spans="2:2" x14ac:dyDescent="0.25">
      <c r="B743" s="21"/>
    </row>
    <row r="744" spans="2:2" x14ac:dyDescent="0.25">
      <c r="B744" s="21"/>
    </row>
    <row r="745" spans="2:2" x14ac:dyDescent="0.25">
      <c r="B745" s="21"/>
    </row>
    <row r="746" spans="2:2" x14ac:dyDescent="0.25">
      <c r="B746" s="21"/>
    </row>
    <row r="747" spans="2:2" x14ac:dyDescent="0.25">
      <c r="B747" s="21"/>
    </row>
    <row r="748" spans="2:2" x14ac:dyDescent="0.25">
      <c r="B748" s="21"/>
    </row>
    <row r="749" spans="2:2" x14ac:dyDescent="0.25">
      <c r="B749" s="21"/>
    </row>
    <row r="750" spans="2:2" x14ac:dyDescent="0.25">
      <c r="B750" s="21"/>
    </row>
    <row r="751" spans="2:2" x14ac:dyDescent="0.25">
      <c r="B751" s="21"/>
    </row>
    <row r="752" spans="2:2" x14ac:dyDescent="0.25">
      <c r="B752" s="21"/>
    </row>
    <row r="753" spans="2:2" x14ac:dyDescent="0.25">
      <c r="B753" s="21"/>
    </row>
    <row r="754" spans="2:2" x14ac:dyDescent="0.25">
      <c r="B754" s="21"/>
    </row>
    <row r="755" spans="2:2" x14ac:dyDescent="0.25">
      <c r="B755" s="21"/>
    </row>
    <row r="756" spans="2:2" x14ac:dyDescent="0.25">
      <c r="B756" s="21"/>
    </row>
    <row r="757" spans="2:2" x14ac:dyDescent="0.25">
      <c r="B757" s="21"/>
    </row>
    <row r="758" spans="2:2" x14ac:dyDescent="0.25">
      <c r="B758" s="21"/>
    </row>
    <row r="759" spans="2:2" x14ac:dyDescent="0.25">
      <c r="B759" s="21"/>
    </row>
    <row r="760" spans="2:2" x14ac:dyDescent="0.25">
      <c r="B760" s="21"/>
    </row>
    <row r="761" spans="2:2" x14ac:dyDescent="0.25">
      <c r="B761" s="21"/>
    </row>
    <row r="762" spans="2:2" x14ac:dyDescent="0.25">
      <c r="B762" s="21"/>
    </row>
    <row r="763" spans="2:2" x14ac:dyDescent="0.25">
      <c r="B763" s="21"/>
    </row>
    <row r="764" spans="2:2" x14ac:dyDescent="0.25">
      <c r="B764" s="21"/>
    </row>
    <row r="765" spans="2:2" x14ac:dyDescent="0.25">
      <c r="B765" s="21"/>
    </row>
    <row r="766" spans="2:2" x14ac:dyDescent="0.25">
      <c r="B766" s="21"/>
    </row>
    <row r="767" spans="2:2" x14ac:dyDescent="0.25">
      <c r="B767" s="21"/>
    </row>
    <row r="768" spans="2:2" x14ac:dyDescent="0.25">
      <c r="B768" s="21"/>
    </row>
    <row r="769" spans="2:2" x14ac:dyDescent="0.25">
      <c r="B769" s="21"/>
    </row>
    <row r="770" spans="2:2" x14ac:dyDescent="0.25">
      <c r="B770" s="21"/>
    </row>
    <row r="771" spans="2:2" x14ac:dyDescent="0.25">
      <c r="B771" s="21"/>
    </row>
    <row r="772" spans="2:2" x14ac:dyDescent="0.25">
      <c r="B772" s="21"/>
    </row>
    <row r="773" spans="2:2" x14ac:dyDescent="0.25">
      <c r="B773" s="21"/>
    </row>
    <row r="774" spans="2:2" x14ac:dyDescent="0.25">
      <c r="B774" s="21"/>
    </row>
    <row r="775" spans="2:2" x14ac:dyDescent="0.25">
      <c r="B775" s="21"/>
    </row>
    <row r="776" spans="2:2" x14ac:dyDescent="0.25">
      <c r="B776" s="21"/>
    </row>
    <row r="777" spans="2:2" x14ac:dyDescent="0.25">
      <c r="B777" s="21"/>
    </row>
    <row r="778" spans="2:2" x14ac:dyDescent="0.25">
      <c r="B778" s="21"/>
    </row>
    <row r="779" spans="2:2" x14ac:dyDescent="0.25">
      <c r="B779" s="21"/>
    </row>
    <row r="780" spans="2:2" x14ac:dyDescent="0.25">
      <c r="B780" s="21"/>
    </row>
    <row r="781" spans="2:2" x14ac:dyDescent="0.25">
      <c r="B781" s="21"/>
    </row>
    <row r="782" spans="2:2" x14ac:dyDescent="0.25">
      <c r="B782" s="21"/>
    </row>
    <row r="783" spans="2:2" x14ac:dyDescent="0.25">
      <c r="B783" s="21"/>
    </row>
    <row r="784" spans="2:2" x14ac:dyDescent="0.25">
      <c r="B784" s="21"/>
    </row>
    <row r="785" spans="2:2" x14ac:dyDescent="0.25">
      <c r="B785" s="21"/>
    </row>
    <row r="786" spans="2:2" x14ac:dyDescent="0.25">
      <c r="B786" s="21"/>
    </row>
    <row r="787" spans="2:2" x14ac:dyDescent="0.25">
      <c r="B787" s="21"/>
    </row>
    <row r="788" spans="2:2" x14ac:dyDescent="0.25">
      <c r="B788" s="21"/>
    </row>
    <row r="789" spans="2:2" x14ac:dyDescent="0.25">
      <c r="B789" s="21"/>
    </row>
    <row r="790" spans="2:2" x14ac:dyDescent="0.25">
      <c r="B790" s="21"/>
    </row>
    <row r="791" spans="2:2" x14ac:dyDescent="0.25">
      <c r="B791" s="21"/>
    </row>
    <row r="792" spans="2:2" x14ac:dyDescent="0.25">
      <c r="B792" s="21"/>
    </row>
    <row r="793" spans="2:2" x14ac:dyDescent="0.25">
      <c r="B793" s="21"/>
    </row>
    <row r="794" spans="2:2" x14ac:dyDescent="0.25">
      <c r="B794" s="21"/>
    </row>
    <row r="795" spans="2:2" x14ac:dyDescent="0.25">
      <c r="B795" s="21"/>
    </row>
    <row r="796" spans="2:2" x14ac:dyDescent="0.25">
      <c r="B796" s="21"/>
    </row>
    <row r="797" spans="2:2" x14ac:dyDescent="0.25">
      <c r="B797" s="21"/>
    </row>
    <row r="798" spans="2:2" x14ac:dyDescent="0.25">
      <c r="B798" s="21"/>
    </row>
    <row r="799" spans="2:2" x14ac:dyDescent="0.25">
      <c r="B799" s="21"/>
    </row>
    <row r="800" spans="2:2" x14ac:dyDescent="0.25">
      <c r="B800" s="21"/>
    </row>
    <row r="801" spans="2:2" x14ac:dyDescent="0.25">
      <c r="B801" s="21"/>
    </row>
    <row r="802" spans="2:2" x14ac:dyDescent="0.25">
      <c r="B802" s="21"/>
    </row>
    <row r="803" spans="2:2" x14ac:dyDescent="0.25">
      <c r="B803" s="21"/>
    </row>
    <row r="804" spans="2:2" x14ac:dyDescent="0.25">
      <c r="B804" s="21"/>
    </row>
    <row r="805" spans="2:2" x14ac:dyDescent="0.25">
      <c r="B805" s="21"/>
    </row>
    <row r="806" spans="2:2" x14ac:dyDescent="0.25">
      <c r="B806" s="21"/>
    </row>
    <row r="807" spans="2:2" x14ac:dyDescent="0.25">
      <c r="B807" s="21"/>
    </row>
    <row r="808" spans="2:2" x14ac:dyDescent="0.25">
      <c r="B808" s="21"/>
    </row>
    <row r="809" spans="2:2" x14ac:dyDescent="0.25">
      <c r="B809" s="21"/>
    </row>
    <row r="810" spans="2:2" x14ac:dyDescent="0.25">
      <c r="B810" s="21"/>
    </row>
    <row r="811" spans="2:2" x14ac:dyDescent="0.25">
      <c r="B811" s="21"/>
    </row>
    <row r="812" spans="2:2" x14ac:dyDescent="0.25">
      <c r="B812" s="21"/>
    </row>
    <row r="813" spans="2:2" x14ac:dyDescent="0.25">
      <c r="B813" s="21"/>
    </row>
    <row r="814" spans="2:2" x14ac:dyDescent="0.25">
      <c r="B814" s="21"/>
    </row>
    <row r="815" spans="2:2" x14ac:dyDescent="0.25">
      <c r="B815" s="21"/>
    </row>
    <row r="816" spans="2:2" x14ac:dyDescent="0.25">
      <c r="B816" s="21"/>
    </row>
    <row r="817" spans="2:2" x14ac:dyDescent="0.25">
      <c r="B817" s="21"/>
    </row>
    <row r="818" spans="2:2" x14ac:dyDescent="0.25">
      <c r="B818" s="21"/>
    </row>
    <row r="819" spans="2:2" x14ac:dyDescent="0.25">
      <c r="B819" s="21"/>
    </row>
    <row r="820" spans="2:2" x14ac:dyDescent="0.25">
      <c r="B820" s="21"/>
    </row>
    <row r="821" spans="2:2" x14ac:dyDescent="0.25">
      <c r="B821" s="21"/>
    </row>
    <row r="822" spans="2:2" x14ac:dyDescent="0.25">
      <c r="B822" s="21"/>
    </row>
    <row r="823" spans="2:2" x14ac:dyDescent="0.25">
      <c r="B823" s="21"/>
    </row>
    <row r="824" spans="2:2" x14ac:dyDescent="0.25">
      <c r="B824" s="21"/>
    </row>
    <row r="825" spans="2:2" x14ac:dyDescent="0.25">
      <c r="B825" s="21"/>
    </row>
    <row r="826" spans="2:2" x14ac:dyDescent="0.25">
      <c r="B826" s="21"/>
    </row>
    <row r="827" spans="2:2" x14ac:dyDescent="0.25">
      <c r="B827" s="21"/>
    </row>
    <row r="828" spans="2:2" x14ac:dyDescent="0.25">
      <c r="B828" s="21"/>
    </row>
    <row r="829" spans="2:2" x14ac:dyDescent="0.25">
      <c r="B829" s="21"/>
    </row>
    <row r="830" spans="2:2" x14ac:dyDescent="0.25">
      <c r="B830" s="21"/>
    </row>
    <row r="831" spans="2:2" x14ac:dyDescent="0.25">
      <c r="B831" s="21"/>
    </row>
    <row r="832" spans="2:2" x14ac:dyDescent="0.25">
      <c r="B832" s="21"/>
    </row>
    <row r="833" spans="2:2" x14ac:dyDescent="0.25">
      <c r="B833" s="21"/>
    </row>
    <row r="834" spans="2:2" x14ac:dyDescent="0.25">
      <c r="B834" s="21"/>
    </row>
    <row r="835" spans="2:2" x14ac:dyDescent="0.25">
      <c r="B835" s="21"/>
    </row>
    <row r="836" spans="2:2" x14ac:dyDescent="0.25">
      <c r="B836" s="21"/>
    </row>
    <row r="837" spans="2:2" x14ac:dyDescent="0.25">
      <c r="B837" s="21"/>
    </row>
    <row r="838" spans="2:2" x14ac:dyDescent="0.25">
      <c r="B838" s="21"/>
    </row>
    <row r="839" spans="2:2" x14ac:dyDescent="0.25">
      <c r="B839" s="21"/>
    </row>
    <row r="840" spans="2:2" x14ac:dyDescent="0.25">
      <c r="B840" s="21"/>
    </row>
    <row r="841" spans="2:2" x14ac:dyDescent="0.25">
      <c r="B841" s="21"/>
    </row>
    <row r="842" spans="2:2" x14ac:dyDescent="0.25">
      <c r="B842" s="21"/>
    </row>
    <row r="843" spans="2:2" x14ac:dyDescent="0.25">
      <c r="B843" s="21"/>
    </row>
    <row r="844" spans="2:2" x14ac:dyDescent="0.25">
      <c r="B844" s="21"/>
    </row>
    <row r="845" spans="2:2" x14ac:dyDescent="0.25">
      <c r="B845" s="21"/>
    </row>
    <row r="846" spans="2:2" x14ac:dyDescent="0.25">
      <c r="B846" s="21"/>
    </row>
    <row r="847" spans="2:2" x14ac:dyDescent="0.25">
      <c r="B847" s="21"/>
    </row>
    <row r="848" spans="2:2" x14ac:dyDescent="0.25">
      <c r="B848" s="21"/>
    </row>
    <row r="849" spans="2:2" x14ac:dyDescent="0.25">
      <c r="B849" s="21"/>
    </row>
    <row r="850" spans="2:2" x14ac:dyDescent="0.25">
      <c r="B850" s="21"/>
    </row>
    <row r="851" spans="2:2" x14ac:dyDescent="0.25">
      <c r="B851" s="21"/>
    </row>
    <row r="852" spans="2:2" x14ac:dyDescent="0.25">
      <c r="B852" s="21"/>
    </row>
    <row r="853" spans="2:2" x14ac:dyDescent="0.25">
      <c r="B853" s="21"/>
    </row>
    <row r="854" spans="2:2" x14ac:dyDescent="0.25">
      <c r="B854" s="21"/>
    </row>
    <row r="855" spans="2:2" x14ac:dyDescent="0.25">
      <c r="B855" s="21"/>
    </row>
    <row r="856" spans="2:2" x14ac:dyDescent="0.25">
      <c r="B856" s="21"/>
    </row>
    <row r="857" spans="2:2" x14ac:dyDescent="0.25">
      <c r="B857" s="21"/>
    </row>
    <row r="858" spans="2:2" x14ac:dyDescent="0.25">
      <c r="B858" s="21"/>
    </row>
    <row r="859" spans="2:2" x14ac:dyDescent="0.25">
      <c r="B859" s="21"/>
    </row>
    <row r="860" spans="2:2" x14ac:dyDescent="0.25">
      <c r="B860" s="21"/>
    </row>
    <row r="861" spans="2:2" x14ac:dyDescent="0.25">
      <c r="B861" s="21"/>
    </row>
    <row r="862" spans="2:2" x14ac:dyDescent="0.25">
      <c r="B862" s="21"/>
    </row>
    <row r="863" spans="2:2" x14ac:dyDescent="0.25">
      <c r="B863" s="21"/>
    </row>
    <row r="864" spans="2:2" x14ac:dyDescent="0.25">
      <c r="B864" s="21"/>
    </row>
    <row r="865" spans="2:2" x14ac:dyDescent="0.25">
      <c r="B865" s="21"/>
    </row>
    <row r="866" spans="2:2" x14ac:dyDescent="0.25">
      <c r="B866" s="21"/>
    </row>
    <row r="867" spans="2:2" x14ac:dyDescent="0.25">
      <c r="B867" s="21"/>
    </row>
    <row r="868" spans="2:2" x14ac:dyDescent="0.25">
      <c r="B868" s="21"/>
    </row>
    <row r="869" spans="2:2" x14ac:dyDescent="0.25">
      <c r="B869" s="21"/>
    </row>
    <row r="870" spans="2:2" x14ac:dyDescent="0.25">
      <c r="B870" s="21"/>
    </row>
    <row r="871" spans="2:2" x14ac:dyDescent="0.25">
      <c r="B871" s="21"/>
    </row>
    <row r="872" spans="2:2" x14ac:dyDescent="0.25">
      <c r="B872" s="21"/>
    </row>
    <row r="873" spans="2:2" x14ac:dyDescent="0.25">
      <c r="B873" s="21"/>
    </row>
    <row r="874" spans="2:2" x14ac:dyDescent="0.25">
      <c r="B874" s="21"/>
    </row>
    <row r="875" spans="2:2" x14ac:dyDescent="0.25">
      <c r="B875" s="21"/>
    </row>
    <row r="876" spans="2:2" x14ac:dyDescent="0.25">
      <c r="B876" s="21"/>
    </row>
    <row r="877" spans="2:2" x14ac:dyDescent="0.25">
      <c r="B877" s="21"/>
    </row>
    <row r="878" spans="2:2" x14ac:dyDescent="0.25">
      <c r="B878" s="21"/>
    </row>
    <row r="879" spans="2:2" x14ac:dyDescent="0.25">
      <c r="B879" s="21"/>
    </row>
    <row r="880" spans="2:2" x14ac:dyDescent="0.25">
      <c r="B880" s="21"/>
    </row>
    <row r="881" spans="2:2" x14ac:dyDescent="0.25">
      <c r="B881" s="21"/>
    </row>
    <row r="882" spans="2:2" x14ac:dyDescent="0.25">
      <c r="B882" s="21"/>
    </row>
    <row r="883" spans="2:2" x14ac:dyDescent="0.25">
      <c r="B883" s="21"/>
    </row>
    <row r="884" spans="2:2" x14ac:dyDescent="0.25">
      <c r="B884" s="21"/>
    </row>
    <row r="885" spans="2:2" x14ac:dyDescent="0.25">
      <c r="B885" s="21"/>
    </row>
    <row r="886" spans="2:2" x14ac:dyDescent="0.25">
      <c r="B886" s="21"/>
    </row>
    <row r="887" spans="2:2" x14ac:dyDescent="0.25">
      <c r="B887" s="21"/>
    </row>
    <row r="888" spans="2:2" x14ac:dyDescent="0.25">
      <c r="B888" s="21"/>
    </row>
    <row r="889" spans="2:2" x14ac:dyDescent="0.25">
      <c r="B889" s="21"/>
    </row>
    <row r="890" spans="2:2" x14ac:dyDescent="0.25">
      <c r="B890" s="21"/>
    </row>
    <row r="891" spans="2:2" x14ac:dyDescent="0.25">
      <c r="B891" s="21"/>
    </row>
    <row r="892" spans="2:2" x14ac:dyDescent="0.25">
      <c r="B892" s="21"/>
    </row>
    <row r="893" spans="2:2" x14ac:dyDescent="0.25">
      <c r="B893" s="21"/>
    </row>
    <row r="894" spans="2:2" x14ac:dyDescent="0.25">
      <c r="B894" s="21"/>
    </row>
    <row r="895" spans="2:2" x14ac:dyDescent="0.25">
      <c r="B895" s="21"/>
    </row>
    <row r="896" spans="2:2" x14ac:dyDescent="0.25">
      <c r="B896" s="21"/>
    </row>
    <row r="897" spans="2:2" x14ac:dyDescent="0.25">
      <c r="B897" s="21"/>
    </row>
    <row r="898" spans="2:2" x14ac:dyDescent="0.25">
      <c r="B898" s="21"/>
    </row>
    <row r="899" spans="2:2" x14ac:dyDescent="0.25">
      <c r="B899" s="21"/>
    </row>
    <row r="900" spans="2:2" x14ac:dyDescent="0.25">
      <c r="B900" s="21"/>
    </row>
    <row r="901" spans="2:2" x14ac:dyDescent="0.25">
      <c r="B901" s="21"/>
    </row>
    <row r="902" spans="2:2" x14ac:dyDescent="0.25">
      <c r="B902" s="21"/>
    </row>
    <row r="903" spans="2:2" x14ac:dyDescent="0.25">
      <c r="B903" s="21"/>
    </row>
    <row r="904" spans="2:2" x14ac:dyDescent="0.25">
      <c r="B904" s="21"/>
    </row>
    <row r="905" spans="2:2" x14ac:dyDescent="0.25">
      <c r="B905" s="21"/>
    </row>
    <row r="906" spans="2:2" x14ac:dyDescent="0.25">
      <c r="B906" s="21"/>
    </row>
    <row r="907" spans="2:2" x14ac:dyDescent="0.25">
      <c r="B907" s="21"/>
    </row>
    <row r="908" spans="2:2" x14ac:dyDescent="0.25">
      <c r="B908" s="21"/>
    </row>
    <row r="909" spans="2:2" x14ac:dyDescent="0.25">
      <c r="B909" s="21"/>
    </row>
    <row r="910" spans="2:2" x14ac:dyDescent="0.25">
      <c r="B910" s="21"/>
    </row>
    <row r="911" spans="2:2" x14ac:dyDescent="0.25">
      <c r="B911" s="21"/>
    </row>
    <row r="912" spans="2:2" x14ac:dyDescent="0.25">
      <c r="B912" s="21"/>
    </row>
    <row r="913" spans="2:2" x14ac:dyDescent="0.25">
      <c r="B913" s="21"/>
    </row>
    <row r="914" spans="2:2" x14ac:dyDescent="0.25">
      <c r="B914" s="21"/>
    </row>
    <row r="915" spans="2:2" x14ac:dyDescent="0.25">
      <c r="B915" s="21"/>
    </row>
    <row r="916" spans="2:2" x14ac:dyDescent="0.25">
      <c r="B916" s="21"/>
    </row>
    <row r="917" spans="2:2" x14ac:dyDescent="0.25">
      <c r="B917" s="21"/>
    </row>
    <row r="918" spans="2:2" x14ac:dyDescent="0.25">
      <c r="B918" s="21"/>
    </row>
    <row r="919" spans="2:2" x14ac:dyDescent="0.25">
      <c r="B919" s="21"/>
    </row>
    <row r="920" spans="2:2" x14ac:dyDescent="0.25">
      <c r="B920" s="21"/>
    </row>
    <row r="921" spans="2:2" x14ac:dyDescent="0.25">
      <c r="B921" s="21"/>
    </row>
    <row r="922" spans="2:2" x14ac:dyDescent="0.25">
      <c r="B922" s="21"/>
    </row>
    <row r="923" spans="2:2" x14ac:dyDescent="0.25">
      <c r="B923" s="21"/>
    </row>
    <row r="924" spans="2:2" x14ac:dyDescent="0.25">
      <c r="B924" s="21"/>
    </row>
    <row r="925" spans="2:2" x14ac:dyDescent="0.25">
      <c r="B925" s="21"/>
    </row>
    <row r="926" spans="2:2" x14ac:dyDescent="0.25">
      <c r="B926" s="21"/>
    </row>
    <row r="927" spans="2:2" x14ac:dyDescent="0.25">
      <c r="B927" s="21"/>
    </row>
    <row r="928" spans="2:2" x14ac:dyDescent="0.25">
      <c r="B928" s="21"/>
    </row>
    <row r="929" spans="2:2" x14ac:dyDescent="0.25">
      <c r="B929" s="21"/>
    </row>
    <row r="930" spans="2:2" x14ac:dyDescent="0.25">
      <c r="B930" s="21"/>
    </row>
    <row r="931" spans="2:2" x14ac:dyDescent="0.25">
      <c r="B931" s="21"/>
    </row>
    <row r="932" spans="2:2" x14ac:dyDescent="0.25">
      <c r="B932" s="21"/>
    </row>
    <row r="933" spans="2:2" x14ac:dyDescent="0.25">
      <c r="B933" s="21"/>
    </row>
    <row r="934" spans="2:2" x14ac:dyDescent="0.25">
      <c r="B934" s="21"/>
    </row>
    <row r="935" spans="2:2" x14ac:dyDescent="0.25">
      <c r="B935" s="21"/>
    </row>
    <row r="936" spans="2:2" x14ac:dyDescent="0.25">
      <c r="B936" s="21"/>
    </row>
    <row r="937" spans="2:2" x14ac:dyDescent="0.25">
      <c r="B937" s="21"/>
    </row>
    <row r="938" spans="2:2" x14ac:dyDescent="0.25">
      <c r="B938" s="21"/>
    </row>
    <row r="939" spans="2:2" x14ac:dyDescent="0.25">
      <c r="B939" s="21"/>
    </row>
    <row r="940" spans="2:2" x14ac:dyDescent="0.25">
      <c r="B940" s="21"/>
    </row>
    <row r="941" spans="2:2" x14ac:dyDescent="0.25">
      <c r="B941" s="21"/>
    </row>
    <row r="942" spans="2:2" x14ac:dyDescent="0.25">
      <c r="B942" s="21"/>
    </row>
    <row r="943" spans="2:2" x14ac:dyDescent="0.25">
      <c r="B943" s="21"/>
    </row>
    <row r="944" spans="2:2" x14ac:dyDescent="0.25">
      <c r="B944" s="21"/>
    </row>
    <row r="945" spans="2:2" x14ac:dyDescent="0.25">
      <c r="B945" s="21"/>
    </row>
    <row r="946" spans="2:2" x14ac:dyDescent="0.25">
      <c r="B946" s="21"/>
    </row>
    <row r="947" spans="2:2" x14ac:dyDescent="0.25">
      <c r="B947" s="21"/>
    </row>
    <row r="948" spans="2:2" x14ac:dyDescent="0.25">
      <c r="B948" s="21"/>
    </row>
    <row r="949" spans="2:2" x14ac:dyDescent="0.25">
      <c r="B949" s="21"/>
    </row>
    <row r="950" spans="2:2" x14ac:dyDescent="0.25">
      <c r="B950" s="21"/>
    </row>
    <row r="951" spans="2:2" x14ac:dyDescent="0.25">
      <c r="B951" s="21"/>
    </row>
    <row r="952" spans="2:2" x14ac:dyDescent="0.25">
      <c r="B952" s="21"/>
    </row>
    <row r="953" spans="2:2" x14ac:dyDescent="0.25">
      <c r="B953" s="21"/>
    </row>
    <row r="954" spans="2:2" x14ac:dyDescent="0.25">
      <c r="B954" s="21"/>
    </row>
    <row r="955" spans="2:2" x14ac:dyDescent="0.25">
      <c r="B955" s="21"/>
    </row>
    <row r="956" spans="2:2" x14ac:dyDescent="0.25">
      <c r="B956" s="21"/>
    </row>
    <row r="957" spans="2:2" x14ac:dyDescent="0.25">
      <c r="B957" s="21"/>
    </row>
    <row r="958" spans="2:2" x14ac:dyDescent="0.25">
      <c r="B958" s="21"/>
    </row>
    <row r="959" spans="2:2" x14ac:dyDescent="0.25">
      <c r="B959" s="21"/>
    </row>
    <row r="960" spans="2:2" x14ac:dyDescent="0.25">
      <c r="B960" s="21"/>
    </row>
    <row r="961" spans="2:2" x14ac:dyDescent="0.25">
      <c r="B961" s="21"/>
    </row>
    <row r="962" spans="2:2" x14ac:dyDescent="0.25">
      <c r="B962" s="21"/>
    </row>
    <row r="963" spans="2:2" x14ac:dyDescent="0.25">
      <c r="B963" s="21"/>
    </row>
    <row r="964" spans="2:2" x14ac:dyDescent="0.25">
      <c r="B964" s="21"/>
    </row>
    <row r="965" spans="2:2" x14ac:dyDescent="0.25">
      <c r="B965" s="21"/>
    </row>
    <row r="966" spans="2:2" x14ac:dyDescent="0.25">
      <c r="B966" s="21"/>
    </row>
    <row r="967" spans="2:2" x14ac:dyDescent="0.25">
      <c r="B967" s="21"/>
    </row>
    <row r="968" spans="2:2" x14ac:dyDescent="0.25">
      <c r="B968" s="21"/>
    </row>
    <row r="969" spans="2:2" x14ac:dyDescent="0.25">
      <c r="B969" s="21"/>
    </row>
    <row r="970" spans="2:2" x14ac:dyDescent="0.25">
      <c r="B970" s="21"/>
    </row>
    <row r="971" spans="2:2" x14ac:dyDescent="0.25">
      <c r="B971" s="21"/>
    </row>
    <row r="972" spans="2:2" x14ac:dyDescent="0.25">
      <c r="B972" s="21"/>
    </row>
    <row r="973" spans="2:2" x14ac:dyDescent="0.25">
      <c r="B973" s="21"/>
    </row>
    <row r="974" spans="2:2" x14ac:dyDescent="0.25">
      <c r="B974" s="21"/>
    </row>
    <row r="975" spans="2:2" x14ac:dyDescent="0.25">
      <c r="B975" s="21"/>
    </row>
    <row r="976" spans="2:2" x14ac:dyDescent="0.25">
      <c r="B976" s="21"/>
    </row>
    <row r="977" spans="2:2" x14ac:dyDescent="0.25">
      <c r="B977" s="21"/>
    </row>
    <row r="978" spans="2:2" x14ac:dyDescent="0.25">
      <c r="B978" s="21"/>
    </row>
    <row r="979" spans="2:2" x14ac:dyDescent="0.25">
      <c r="B979" s="21"/>
    </row>
    <row r="980" spans="2:2" x14ac:dyDescent="0.25">
      <c r="B980" s="21"/>
    </row>
    <row r="981" spans="2:2" x14ac:dyDescent="0.25">
      <c r="B981" s="21"/>
    </row>
    <row r="982" spans="2:2" x14ac:dyDescent="0.25">
      <c r="B982" s="21"/>
    </row>
    <row r="983" spans="2:2" x14ac:dyDescent="0.25">
      <c r="B983" s="21"/>
    </row>
    <row r="984" spans="2:2" x14ac:dyDescent="0.25">
      <c r="B984" s="21"/>
    </row>
    <row r="985" spans="2:2" x14ac:dyDescent="0.25">
      <c r="B985" s="21"/>
    </row>
    <row r="986" spans="2:2" x14ac:dyDescent="0.25">
      <c r="B986" s="21"/>
    </row>
    <row r="987" spans="2:2" x14ac:dyDescent="0.25">
      <c r="B987" s="21"/>
    </row>
    <row r="988" spans="2:2" x14ac:dyDescent="0.25">
      <c r="B988" s="21"/>
    </row>
    <row r="989" spans="2:2" x14ac:dyDescent="0.25">
      <c r="B989" s="21"/>
    </row>
    <row r="990" spans="2:2" x14ac:dyDescent="0.25">
      <c r="B990" s="21"/>
    </row>
    <row r="991" spans="2:2" x14ac:dyDescent="0.25">
      <c r="B991" s="21"/>
    </row>
    <row r="992" spans="2:2" x14ac:dyDescent="0.25">
      <c r="B992" s="21"/>
    </row>
    <row r="993" spans="2:2" x14ac:dyDescent="0.25">
      <c r="B993" s="21"/>
    </row>
    <row r="994" spans="2:2" x14ac:dyDescent="0.25">
      <c r="B994" s="21"/>
    </row>
    <row r="995" spans="2:2" x14ac:dyDescent="0.25">
      <c r="B995" s="21"/>
    </row>
    <row r="996" spans="2:2" x14ac:dyDescent="0.25">
      <c r="B996" s="21"/>
    </row>
    <row r="997" spans="2:2" x14ac:dyDescent="0.25">
      <c r="B997" s="21"/>
    </row>
    <row r="998" spans="2:2" x14ac:dyDescent="0.25">
      <c r="B998" s="21"/>
    </row>
    <row r="999" spans="2:2" x14ac:dyDescent="0.25">
      <c r="B999" s="21"/>
    </row>
    <row r="1000" spans="2:2" x14ac:dyDescent="0.25">
      <c r="B1000" s="21"/>
    </row>
    <row r="1001" spans="2:2" x14ac:dyDescent="0.25">
      <c r="B1001" s="21"/>
    </row>
    <row r="1002" spans="2:2" x14ac:dyDescent="0.25">
      <c r="B1002" s="21"/>
    </row>
    <row r="1003" spans="2:2" x14ac:dyDescent="0.25">
      <c r="B1003" s="21"/>
    </row>
    <row r="1004" spans="2:2" x14ac:dyDescent="0.25">
      <c r="B1004" s="21"/>
    </row>
    <row r="1005" spans="2:2" x14ac:dyDescent="0.25">
      <c r="B1005" s="21"/>
    </row>
    <row r="1006" spans="2:2" x14ac:dyDescent="0.25">
      <c r="B1006" s="21"/>
    </row>
    <row r="1007" spans="2:2" x14ac:dyDescent="0.25">
      <c r="B1007" s="21"/>
    </row>
    <row r="1008" spans="2:2" x14ac:dyDescent="0.25">
      <c r="B1008" s="21"/>
    </row>
    <row r="1009" spans="2:2" x14ac:dyDescent="0.25">
      <c r="B1009" s="21"/>
    </row>
    <row r="1010" spans="2:2" x14ac:dyDescent="0.25">
      <c r="B1010" s="21"/>
    </row>
    <row r="1011" spans="2:2" x14ac:dyDescent="0.25">
      <c r="B1011" s="21"/>
    </row>
    <row r="1012" spans="2:2" x14ac:dyDescent="0.25">
      <c r="B1012" s="21"/>
    </row>
    <row r="1013" spans="2:2" x14ac:dyDescent="0.25">
      <c r="B1013" s="21"/>
    </row>
    <row r="1014" spans="2:2" x14ac:dyDescent="0.25">
      <c r="B1014" s="21"/>
    </row>
    <row r="1015" spans="2:2" x14ac:dyDescent="0.25">
      <c r="B1015" s="21"/>
    </row>
    <row r="1016" spans="2:2" x14ac:dyDescent="0.25">
      <c r="B1016" s="21"/>
    </row>
    <row r="1017" spans="2:2" x14ac:dyDescent="0.25">
      <c r="B1017" s="21"/>
    </row>
    <row r="1018" spans="2:2" x14ac:dyDescent="0.25">
      <c r="B1018" s="21"/>
    </row>
    <row r="1019" spans="2:2" x14ac:dyDescent="0.25">
      <c r="B1019" s="21"/>
    </row>
    <row r="1020" spans="2:2" x14ac:dyDescent="0.25">
      <c r="B1020" s="21"/>
    </row>
    <row r="1021" spans="2:2" x14ac:dyDescent="0.25">
      <c r="B1021" s="21"/>
    </row>
    <row r="1022" spans="2:2" x14ac:dyDescent="0.25">
      <c r="B1022" s="21"/>
    </row>
    <row r="1023" spans="2:2" x14ac:dyDescent="0.25">
      <c r="B1023" s="21"/>
    </row>
    <row r="1024" spans="2:2" x14ac:dyDescent="0.25">
      <c r="B1024" s="21"/>
    </row>
    <row r="1025" spans="2:2" x14ac:dyDescent="0.25">
      <c r="B1025" s="21"/>
    </row>
    <row r="1026" spans="2:2" x14ac:dyDescent="0.25">
      <c r="B1026" s="21"/>
    </row>
    <row r="1027" spans="2:2" x14ac:dyDescent="0.25">
      <c r="B1027" s="21"/>
    </row>
    <row r="1028" spans="2:2" x14ac:dyDescent="0.25">
      <c r="B1028" s="21"/>
    </row>
    <row r="1029" spans="2:2" x14ac:dyDescent="0.25">
      <c r="B1029" s="21"/>
    </row>
    <row r="1030" spans="2:2" x14ac:dyDescent="0.25">
      <c r="B1030" s="21"/>
    </row>
    <row r="1031" spans="2:2" x14ac:dyDescent="0.25">
      <c r="B1031" s="21"/>
    </row>
    <row r="1032" spans="2:2" x14ac:dyDescent="0.25">
      <c r="B1032" s="21"/>
    </row>
    <row r="1033" spans="2:2" x14ac:dyDescent="0.25">
      <c r="B1033" s="21"/>
    </row>
    <row r="1034" spans="2:2" x14ac:dyDescent="0.25">
      <c r="B1034" s="21"/>
    </row>
    <row r="1035" spans="2:2" x14ac:dyDescent="0.25">
      <c r="B1035" s="21"/>
    </row>
    <row r="1036" spans="2:2" x14ac:dyDescent="0.25">
      <c r="B1036" s="21"/>
    </row>
    <row r="1037" spans="2:2" x14ac:dyDescent="0.25">
      <c r="B1037" s="21"/>
    </row>
    <row r="1038" spans="2:2" x14ac:dyDescent="0.25">
      <c r="B1038" s="21"/>
    </row>
    <row r="1039" spans="2:2" x14ac:dyDescent="0.25">
      <c r="B1039" s="21"/>
    </row>
    <row r="1040" spans="2:2" x14ac:dyDescent="0.25">
      <c r="B1040" s="21"/>
    </row>
    <row r="1041" spans="2:2" x14ac:dyDescent="0.25">
      <c r="B1041" s="21"/>
    </row>
    <row r="1042" spans="2:2" x14ac:dyDescent="0.25">
      <c r="B1042" s="21"/>
    </row>
    <row r="1043" spans="2:2" x14ac:dyDescent="0.25">
      <c r="B1043" s="21"/>
    </row>
    <row r="1044" spans="2:2" x14ac:dyDescent="0.25">
      <c r="B1044" s="21"/>
    </row>
    <row r="1045" spans="2:2" x14ac:dyDescent="0.25">
      <c r="B1045" s="21"/>
    </row>
    <row r="1046" spans="2:2" x14ac:dyDescent="0.25">
      <c r="B1046" s="21"/>
    </row>
    <row r="1047" spans="2:2" x14ac:dyDescent="0.25">
      <c r="B1047" s="21"/>
    </row>
    <row r="1048" spans="2:2" x14ac:dyDescent="0.25">
      <c r="B1048" s="21"/>
    </row>
    <row r="1049" spans="2:2" x14ac:dyDescent="0.25">
      <c r="B1049" s="21"/>
    </row>
    <row r="1050" spans="2:2" x14ac:dyDescent="0.25">
      <c r="B1050" s="21"/>
    </row>
    <row r="1051" spans="2:2" x14ac:dyDescent="0.25">
      <c r="B1051" s="21"/>
    </row>
    <row r="1052" spans="2:2" x14ac:dyDescent="0.25">
      <c r="B1052" s="21"/>
    </row>
    <row r="1053" spans="2:2" x14ac:dyDescent="0.25">
      <c r="B1053" s="21"/>
    </row>
    <row r="1054" spans="2:2" x14ac:dyDescent="0.25">
      <c r="B1054" s="21"/>
    </row>
    <row r="1055" spans="2:2" x14ac:dyDescent="0.25">
      <c r="B1055" s="21"/>
    </row>
    <row r="1056" spans="2:2" x14ac:dyDescent="0.25">
      <c r="B1056" s="21"/>
    </row>
    <row r="1057" spans="2:2" x14ac:dyDescent="0.25">
      <c r="B1057" s="21"/>
    </row>
    <row r="1058" spans="2:2" x14ac:dyDescent="0.25">
      <c r="B1058" s="21"/>
    </row>
    <row r="1059" spans="2:2" x14ac:dyDescent="0.25">
      <c r="B1059" s="21"/>
    </row>
    <row r="1060" spans="2:2" x14ac:dyDescent="0.25">
      <c r="B1060" s="21"/>
    </row>
    <row r="1061" spans="2:2" x14ac:dyDescent="0.25">
      <c r="B1061" s="21"/>
    </row>
    <row r="1062" spans="2:2" x14ac:dyDescent="0.25">
      <c r="B1062" s="21"/>
    </row>
    <row r="1063" spans="2:2" x14ac:dyDescent="0.25">
      <c r="B1063" s="21"/>
    </row>
    <row r="1064" spans="2:2" x14ac:dyDescent="0.25">
      <c r="B1064" s="21"/>
    </row>
    <row r="1065" spans="2:2" x14ac:dyDescent="0.25">
      <c r="B1065" s="21"/>
    </row>
    <row r="1066" spans="2:2" x14ac:dyDescent="0.25">
      <c r="B1066" s="21"/>
    </row>
    <row r="1067" spans="2:2" x14ac:dyDescent="0.25">
      <c r="B1067" s="21"/>
    </row>
    <row r="1068" spans="2:2" x14ac:dyDescent="0.25">
      <c r="B1068" s="21"/>
    </row>
    <row r="1069" spans="2:2" x14ac:dyDescent="0.25">
      <c r="B1069" s="21"/>
    </row>
    <row r="1070" spans="2:2" x14ac:dyDescent="0.25">
      <c r="B1070" s="21"/>
    </row>
    <row r="1071" spans="2:2" x14ac:dyDescent="0.25">
      <c r="B1071" s="21"/>
    </row>
    <row r="1072" spans="2:2" x14ac:dyDescent="0.25">
      <c r="B1072" s="21"/>
    </row>
    <row r="1073" spans="2:2" x14ac:dyDescent="0.25">
      <c r="B1073" s="21"/>
    </row>
    <row r="1074" spans="2:2" x14ac:dyDescent="0.25">
      <c r="B1074" s="21"/>
    </row>
    <row r="1075" spans="2:2" x14ac:dyDescent="0.25">
      <c r="B1075" s="21"/>
    </row>
    <row r="1076" spans="2:2" x14ac:dyDescent="0.25">
      <c r="B1076" s="21"/>
    </row>
    <row r="1077" spans="2:2" x14ac:dyDescent="0.25">
      <c r="B1077" s="21"/>
    </row>
    <row r="1078" spans="2:2" x14ac:dyDescent="0.25">
      <c r="B1078" s="21"/>
    </row>
    <row r="1079" spans="2:2" x14ac:dyDescent="0.25">
      <c r="B1079" s="21"/>
    </row>
    <row r="1080" spans="2:2" x14ac:dyDescent="0.25">
      <c r="B1080" s="21"/>
    </row>
    <row r="1081" spans="2:2" x14ac:dyDescent="0.25">
      <c r="B1081" s="21"/>
    </row>
    <row r="1082" spans="2:2" x14ac:dyDescent="0.25">
      <c r="B1082" s="21"/>
    </row>
    <row r="1083" spans="2:2" x14ac:dyDescent="0.25">
      <c r="B1083" s="21"/>
    </row>
    <row r="1084" spans="2:2" x14ac:dyDescent="0.25">
      <c r="B1084" s="21"/>
    </row>
    <row r="1085" spans="2:2" x14ac:dyDescent="0.25">
      <c r="B1085" s="21"/>
    </row>
    <row r="1086" spans="2:2" x14ac:dyDescent="0.25">
      <c r="B1086" s="21"/>
    </row>
    <row r="1087" spans="2:2" x14ac:dyDescent="0.25">
      <c r="B1087" s="21"/>
    </row>
    <row r="1088" spans="2:2" x14ac:dyDescent="0.25">
      <c r="B1088" s="21"/>
    </row>
    <row r="1089" spans="2:2" x14ac:dyDescent="0.25">
      <c r="B1089" s="21"/>
    </row>
    <row r="1090" spans="2:2" x14ac:dyDescent="0.25">
      <c r="B1090" s="21"/>
    </row>
    <row r="1091" spans="2:2" x14ac:dyDescent="0.25">
      <c r="B1091" s="21"/>
    </row>
    <row r="1092" spans="2:2" x14ac:dyDescent="0.25">
      <c r="B1092" s="21"/>
    </row>
    <row r="1093" spans="2:2" x14ac:dyDescent="0.25">
      <c r="B1093" s="21"/>
    </row>
    <row r="1094" spans="2:2" x14ac:dyDescent="0.25">
      <c r="B1094" s="21"/>
    </row>
    <row r="1095" spans="2:2" x14ac:dyDescent="0.25">
      <c r="B1095" s="21"/>
    </row>
    <row r="1096" spans="2:2" x14ac:dyDescent="0.25">
      <c r="B1096" s="21"/>
    </row>
    <row r="1097" spans="2:2" x14ac:dyDescent="0.25">
      <c r="B1097" s="21"/>
    </row>
    <row r="1098" spans="2:2" x14ac:dyDescent="0.25">
      <c r="B1098" s="21"/>
    </row>
    <row r="1099" spans="2:2" x14ac:dyDescent="0.25">
      <c r="B1099" s="21"/>
    </row>
    <row r="1100" spans="2:2" x14ac:dyDescent="0.25">
      <c r="B1100" s="21"/>
    </row>
    <row r="1101" spans="2:2" x14ac:dyDescent="0.25">
      <c r="B1101" s="21"/>
    </row>
    <row r="1102" spans="2:2" x14ac:dyDescent="0.25">
      <c r="B1102" s="21"/>
    </row>
    <row r="1103" spans="2:2" x14ac:dyDescent="0.25">
      <c r="B1103" s="21"/>
    </row>
    <row r="1104" spans="2:2" x14ac:dyDescent="0.25">
      <c r="B1104" s="21"/>
    </row>
    <row r="1105" spans="2:2" x14ac:dyDescent="0.25">
      <c r="B1105" s="21"/>
    </row>
    <row r="1106" spans="2:2" x14ac:dyDescent="0.25">
      <c r="B1106" s="21"/>
    </row>
    <row r="1107" spans="2:2" x14ac:dyDescent="0.25">
      <c r="B1107" s="21"/>
    </row>
    <row r="1108" spans="2:2" x14ac:dyDescent="0.25">
      <c r="B1108" s="21"/>
    </row>
    <row r="1109" spans="2:2" x14ac:dyDescent="0.25">
      <c r="B1109" s="21"/>
    </row>
    <row r="1110" spans="2:2" x14ac:dyDescent="0.25">
      <c r="B1110" s="21"/>
    </row>
    <row r="1111" spans="2:2" x14ac:dyDescent="0.25">
      <c r="B1111" s="21"/>
    </row>
    <row r="1112" spans="2:2" x14ac:dyDescent="0.25">
      <c r="B1112" s="21"/>
    </row>
    <row r="1113" spans="2:2" x14ac:dyDescent="0.25">
      <c r="B1113" s="21"/>
    </row>
    <row r="1114" spans="2:2" x14ac:dyDescent="0.25">
      <c r="B1114" s="21"/>
    </row>
    <row r="1115" spans="2:2" x14ac:dyDescent="0.25">
      <c r="B1115" s="21"/>
    </row>
    <row r="1116" spans="2:2" x14ac:dyDescent="0.25">
      <c r="B1116" s="21"/>
    </row>
    <row r="1117" spans="2:2" x14ac:dyDescent="0.25">
      <c r="B1117" s="21"/>
    </row>
    <row r="1118" spans="2:2" x14ac:dyDescent="0.25">
      <c r="B1118" s="21"/>
    </row>
    <row r="1119" spans="2:2" x14ac:dyDescent="0.25">
      <c r="B1119" s="21"/>
    </row>
    <row r="1120" spans="2:2" x14ac:dyDescent="0.25">
      <c r="B1120" s="21"/>
    </row>
    <row r="1121" spans="2:2" x14ac:dyDescent="0.25">
      <c r="B1121" s="21"/>
    </row>
    <row r="1122" spans="2:2" x14ac:dyDescent="0.25">
      <c r="B1122" s="21"/>
    </row>
    <row r="1123" spans="2:2" x14ac:dyDescent="0.25">
      <c r="B1123" s="21"/>
    </row>
    <row r="1124" spans="2:2" x14ac:dyDescent="0.25">
      <c r="B1124" s="21"/>
    </row>
    <row r="1125" spans="2:2" x14ac:dyDescent="0.25">
      <c r="B1125" s="21"/>
    </row>
    <row r="1126" spans="2:2" x14ac:dyDescent="0.25">
      <c r="B1126" s="21"/>
    </row>
    <row r="1127" spans="2:2" x14ac:dyDescent="0.25">
      <c r="B1127" s="21"/>
    </row>
    <row r="1128" spans="2:2" x14ac:dyDescent="0.25">
      <c r="B1128" s="21"/>
    </row>
    <row r="1129" spans="2:2" x14ac:dyDescent="0.25">
      <c r="B1129" s="21"/>
    </row>
    <row r="1130" spans="2:2" x14ac:dyDescent="0.25">
      <c r="B1130" s="21"/>
    </row>
    <row r="1131" spans="2:2" x14ac:dyDescent="0.25">
      <c r="B1131" s="21"/>
    </row>
    <row r="1132" spans="2:2" x14ac:dyDescent="0.25">
      <c r="B1132" s="21"/>
    </row>
    <row r="1133" spans="2:2" x14ac:dyDescent="0.25">
      <c r="B1133" s="21"/>
    </row>
    <row r="1134" spans="2:2" x14ac:dyDescent="0.25">
      <c r="B1134" s="21"/>
    </row>
    <row r="1135" spans="2:2" x14ac:dyDescent="0.25">
      <c r="B1135" s="21"/>
    </row>
    <row r="1136" spans="2:2" x14ac:dyDescent="0.25">
      <c r="B1136" s="21"/>
    </row>
    <row r="1137" spans="2:2" x14ac:dyDescent="0.25">
      <c r="B1137" s="21"/>
    </row>
    <row r="1138" spans="2:2" x14ac:dyDescent="0.25">
      <c r="B1138" s="21"/>
    </row>
    <row r="1139" spans="2:2" x14ac:dyDescent="0.25">
      <c r="B1139" s="21"/>
    </row>
    <row r="1140" spans="2:2" x14ac:dyDescent="0.25">
      <c r="B1140" s="21"/>
    </row>
    <row r="1141" spans="2:2" x14ac:dyDescent="0.25">
      <c r="B1141" s="21"/>
    </row>
    <row r="1142" spans="2:2" x14ac:dyDescent="0.25">
      <c r="B1142" s="21"/>
    </row>
    <row r="1143" spans="2:2" x14ac:dyDescent="0.25">
      <c r="B1143" s="21"/>
    </row>
    <row r="1144" spans="2:2" x14ac:dyDescent="0.25">
      <c r="B1144" s="21"/>
    </row>
    <row r="1145" spans="2:2" x14ac:dyDescent="0.25">
      <c r="B1145" s="21"/>
    </row>
    <row r="1146" spans="2:2" x14ac:dyDescent="0.25">
      <c r="B1146" s="21"/>
    </row>
    <row r="1147" spans="2:2" x14ac:dyDescent="0.25">
      <c r="B1147" s="21"/>
    </row>
    <row r="1148" spans="2:2" x14ac:dyDescent="0.25">
      <c r="B1148" s="21"/>
    </row>
    <row r="1149" spans="2:2" x14ac:dyDescent="0.25">
      <c r="B1149" s="21"/>
    </row>
    <row r="1150" spans="2:2" x14ac:dyDescent="0.25">
      <c r="B1150" s="21"/>
    </row>
    <row r="1151" spans="2:2" x14ac:dyDescent="0.25">
      <c r="B1151" s="21"/>
    </row>
    <row r="1152" spans="2:2" x14ac:dyDescent="0.25">
      <c r="B1152" s="21"/>
    </row>
    <row r="1153" spans="2:2" x14ac:dyDescent="0.25">
      <c r="B1153" s="21"/>
    </row>
    <row r="1154" spans="2:2" x14ac:dyDescent="0.25">
      <c r="B1154" s="21"/>
    </row>
    <row r="1155" spans="2:2" x14ac:dyDescent="0.25">
      <c r="B1155" s="21"/>
    </row>
    <row r="1156" spans="2:2" x14ac:dyDescent="0.25">
      <c r="B1156" s="21"/>
    </row>
    <row r="1157" spans="2:2" x14ac:dyDescent="0.25">
      <c r="B1157" s="21"/>
    </row>
    <row r="1158" spans="2:2" x14ac:dyDescent="0.25">
      <c r="B1158" s="21"/>
    </row>
    <row r="1159" spans="2:2" x14ac:dyDescent="0.25">
      <c r="B1159" s="21"/>
    </row>
    <row r="1160" spans="2:2" x14ac:dyDescent="0.25">
      <c r="B1160" s="21"/>
    </row>
    <row r="1161" spans="2:2" x14ac:dyDescent="0.25">
      <c r="B1161" s="21"/>
    </row>
    <row r="1162" spans="2:2" x14ac:dyDescent="0.25">
      <c r="B1162" s="21"/>
    </row>
    <row r="1163" spans="2:2" x14ac:dyDescent="0.25">
      <c r="B1163" s="21"/>
    </row>
    <row r="1164" spans="2:2" x14ac:dyDescent="0.25">
      <c r="B1164" s="21"/>
    </row>
    <row r="1165" spans="2:2" x14ac:dyDescent="0.25">
      <c r="B1165" s="21"/>
    </row>
    <row r="1166" spans="2:2" x14ac:dyDescent="0.25">
      <c r="B1166" s="21"/>
    </row>
    <row r="1167" spans="2:2" x14ac:dyDescent="0.25">
      <c r="B1167" s="21"/>
    </row>
    <row r="1168" spans="2:2" x14ac:dyDescent="0.25">
      <c r="B1168" s="21"/>
    </row>
    <row r="1169" spans="2:2" x14ac:dyDescent="0.25">
      <c r="B1169" s="21"/>
    </row>
    <row r="1170" spans="2:2" x14ac:dyDescent="0.25">
      <c r="B1170" s="21"/>
    </row>
    <row r="1171" spans="2:2" x14ac:dyDescent="0.25">
      <c r="B1171" s="21"/>
    </row>
    <row r="1172" spans="2:2" x14ac:dyDescent="0.25">
      <c r="B1172" s="21"/>
    </row>
    <row r="1173" spans="2:2" x14ac:dyDescent="0.25">
      <c r="B1173" s="21"/>
    </row>
    <row r="1174" spans="2:2" x14ac:dyDescent="0.25">
      <c r="B1174" s="21"/>
    </row>
    <row r="1175" spans="2:2" x14ac:dyDescent="0.25">
      <c r="B1175" s="21"/>
    </row>
    <row r="1176" spans="2:2" x14ac:dyDescent="0.25">
      <c r="B1176" s="21"/>
    </row>
    <row r="1177" spans="2:2" x14ac:dyDescent="0.25">
      <c r="B1177" s="21"/>
    </row>
    <row r="1178" spans="2:2" x14ac:dyDescent="0.25">
      <c r="B1178" s="21"/>
    </row>
    <row r="1179" spans="2:2" x14ac:dyDescent="0.25">
      <c r="B1179" s="21"/>
    </row>
    <row r="1180" spans="2:2" x14ac:dyDescent="0.25">
      <c r="B1180" s="21"/>
    </row>
    <row r="1181" spans="2:2" x14ac:dyDescent="0.25">
      <c r="B1181" s="21"/>
    </row>
    <row r="1182" spans="2:2" x14ac:dyDescent="0.25">
      <c r="B1182" s="21"/>
    </row>
    <row r="1183" spans="2:2" x14ac:dyDescent="0.25">
      <c r="B1183" s="21"/>
    </row>
    <row r="1184" spans="2:2" x14ac:dyDescent="0.25">
      <c r="B1184" s="21"/>
    </row>
    <row r="1185" spans="2:2" x14ac:dyDescent="0.25">
      <c r="B1185" s="21"/>
    </row>
    <row r="1186" spans="2:2" x14ac:dyDescent="0.25">
      <c r="B1186" s="21"/>
    </row>
    <row r="1187" spans="2:2" x14ac:dyDescent="0.25">
      <c r="B1187" s="21"/>
    </row>
    <row r="1188" spans="2:2" x14ac:dyDescent="0.25">
      <c r="B1188" s="21"/>
    </row>
    <row r="1189" spans="2:2" x14ac:dyDescent="0.25">
      <c r="B1189" s="21"/>
    </row>
    <row r="1190" spans="2:2" x14ac:dyDescent="0.25">
      <c r="B1190" s="21"/>
    </row>
    <row r="1191" spans="2:2" x14ac:dyDescent="0.25">
      <c r="B1191" s="21"/>
    </row>
    <row r="1192" spans="2:2" x14ac:dyDescent="0.25">
      <c r="B1192" s="21"/>
    </row>
    <row r="1193" spans="2:2" x14ac:dyDescent="0.25">
      <c r="B1193" s="21"/>
    </row>
    <row r="1194" spans="2:2" x14ac:dyDescent="0.25">
      <c r="B1194" s="21"/>
    </row>
    <row r="1195" spans="2:2" x14ac:dyDescent="0.25">
      <c r="B1195" s="21"/>
    </row>
    <row r="1196" spans="2:2" x14ac:dyDescent="0.25">
      <c r="B1196" s="21"/>
    </row>
    <row r="1197" spans="2:2" x14ac:dyDescent="0.25">
      <c r="B1197" s="21"/>
    </row>
    <row r="1198" spans="2:2" x14ac:dyDescent="0.25">
      <c r="B1198" s="21"/>
    </row>
    <row r="1199" spans="2:2" x14ac:dyDescent="0.25">
      <c r="B1199" s="21"/>
    </row>
    <row r="1200" spans="2:2" x14ac:dyDescent="0.25">
      <c r="B1200" s="21"/>
    </row>
    <row r="1201" spans="2:2" x14ac:dyDescent="0.25">
      <c r="B1201" s="21"/>
    </row>
    <row r="1202" spans="2:2" x14ac:dyDescent="0.25">
      <c r="B1202" s="21"/>
    </row>
    <row r="1203" spans="2:2" x14ac:dyDescent="0.25">
      <c r="B1203" s="21"/>
    </row>
    <row r="1204" spans="2:2" x14ac:dyDescent="0.25">
      <c r="B1204" s="21"/>
    </row>
    <row r="1205" spans="2:2" x14ac:dyDescent="0.25">
      <c r="B1205" s="21"/>
    </row>
    <row r="1206" spans="2:2" x14ac:dyDescent="0.25">
      <c r="B1206" s="21"/>
    </row>
    <row r="1207" spans="2:2" x14ac:dyDescent="0.25">
      <c r="B1207" s="21"/>
    </row>
    <row r="1208" spans="2:2" x14ac:dyDescent="0.25">
      <c r="B1208" s="21"/>
    </row>
    <row r="1209" spans="2:2" x14ac:dyDescent="0.25">
      <c r="B1209" s="21"/>
    </row>
    <row r="1210" spans="2:2" x14ac:dyDescent="0.25">
      <c r="B1210" s="21"/>
    </row>
    <row r="1211" spans="2:2" x14ac:dyDescent="0.25">
      <c r="B1211" s="21"/>
    </row>
    <row r="1212" spans="2:2" x14ac:dyDescent="0.25">
      <c r="B1212" s="21"/>
    </row>
    <row r="1213" spans="2:2" x14ac:dyDescent="0.25">
      <c r="B1213" s="21"/>
    </row>
    <row r="1214" spans="2:2" x14ac:dyDescent="0.25">
      <c r="B1214" s="21"/>
    </row>
    <row r="1215" spans="2:2" x14ac:dyDescent="0.25">
      <c r="B1215" s="21"/>
    </row>
    <row r="1216" spans="2:2" x14ac:dyDescent="0.25">
      <c r="B1216" s="21"/>
    </row>
    <row r="1217" spans="2:2" x14ac:dyDescent="0.25">
      <c r="B1217" s="21"/>
    </row>
    <row r="1218" spans="2:2" x14ac:dyDescent="0.25">
      <c r="B1218" s="21"/>
    </row>
    <row r="1219" spans="2:2" x14ac:dyDescent="0.25">
      <c r="B1219" s="21"/>
    </row>
    <row r="1220" spans="2:2" x14ac:dyDescent="0.25">
      <c r="B1220" s="21"/>
    </row>
    <row r="1221" spans="2:2" x14ac:dyDescent="0.25">
      <c r="B1221" s="21"/>
    </row>
    <row r="1222" spans="2:2" x14ac:dyDescent="0.25">
      <c r="B1222" s="21"/>
    </row>
    <row r="1223" spans="2:2" x14ac:dyDescent="0.25">
      <c r="B1223" s="21"/>
    </row>
    <row r="1224" spans="2:2" x14ac:dyDescent="0.25">
      <c r="B1224" s="21"/>
    </row>
    <row r="1225" spans="2:2" x14ac:dyDescent="0.25">
      <c r="B1225" s="21"/>
    </row>
    <row r="1226" spans="2:2" x14ac:dyDescent="0.25">
      <c r="B1226" s="21"/>
    </row>
    <row r="1227" spans="2:2" x14ac:dyDescent="0.25">
      <c r="B1227" s="21"/>
    </row>
    <row r="1228" spans="2:2" x14ac:dyDescent="0.25">
      <c r="B1228" s="21"/>
    </row>
    <row r="1229" spans="2:2" x14ac:dyDescent="0.25">
      <c r="B1229" s="21"/>
    </row>
    <row r="1230" spans="2:2" x14ac:dyDescent="0.25">
      <c r="B1230" s="21"/>
    </row>
    <row r="1231" spans="2:2" x14ac:dyDescent="0.25">
      <c r="B1231" s="21"/>
    </row>
    <row r="1232" spans="2:2" x14ac:dyDescent="0.25">
      <c r="B1232" s="21"/>
    </row>
    <row r="1233" spans="2:2" x14ac:dyDescent="0.25">
      <c r="B1233" s="21"/>
    </row>
    <row r="1234" spans="2:2" x14ac:dyDescent="0.25">
      <c r="B1234" s="21"/>
    </row>
    <row r="1235" spans="2:2" x14ac:dyDescent="0.25">
      <c r="B1235" s="21"/>
    </row>
    <row r="1236" spans="2:2" x14ac:dyDescent="0.25">
      <c r="B1236" s="21"/>
    </row>
    <row r="1237" spans="2:2" x14ac:dyDescent="0.25">
      <c r="B1237" s="21"/>
    </row>
    <row r="1238" spans="2:2" x14ac:dyDescent="0.25">
      <c r="B1238" s="21"/>
    </row>
    <row r="1239" spans="2:2" x14ac:dyDescent="0.25">
      <c r="B1239" s="21"/>
    </row>
    <row r="1240" spans="2:2" x14ac:dyDescent="0.25">
      <c r="B1240" s="21"/>
    </row>
    <row r="1241" spans="2:2" x14ac:dyDescent="0.25">
      <c r="B1241" s="21"/>
    </row>
    <row r="1242" spans="2:2" x14ac:dyDescent="0.25">
      <c r="B1242" s="21"/>
    </row>
    <row r="1243" spans="2:2" x14ac:dyDescent="0.25">
      <c r="B1243" s="21"/>
    </row>
    <row r="1244" spans="2:2" x14ac:dyDescent="0.25">
      <c r="B1244" s="21"/>
    </row>
    <row r="1245" spans="2:2" x14ac:dyDescent="0.25">
      <c r="B1245" s="21"/>
    </row>
    <row r="1246" spans="2:2" x14ac:dyDescent="0.25">
      <c r="B1246" s="21"/>
    </row>
    <row r="1247" spans="2:2" x14ac:dyDescent="0.25">
      <c r="B1247" s="21"/>
    </row>
    <row r="1248" spans="2:2" x14ac:dyDescent="0.25">
      <c r="B1248" s="21"/>
    </row>
    <row r="1249" spans="2:2" x14ac:dyDescent="0.25">
      <c r="B1249" s="21"/>
    </row>
    <row r="1250" spans="2:2" x14ac:dyDescent="0.25">
      <c r="B1250" s="21"/>
    </row>
    <row r="1251" spans="2:2" x14ac:dyDescent="0.25">
      <c r="B1251" s="21"/>
    </row>
    <row r="1252" spans="2:2" x14ac:dyDescent="0.25">
      <c r="B1252" s="21"/>
    </row>
    <row r="1253" spans="2:2" x14ac:dyDescent="0.25">
      <c r="B1253" s="21"/>
    </row>
    <row r="1254" spans="2:2" x14ac:dyDescent="0.25">
      <c r="B1254" s="21"/>
    </row>
    <row r="1255" spans="2:2" x14ac:dyDescent="0.25">
      <c r="B1255" s="21"/>
    </row>
    <row r="1256" spans="2:2" x14ac:dyDescent="0.25">
      <c r="B1256" s="21"/>
    </row>
    <row r="1257" spans="2:2" x14ac:dyDescent="0.25">
      <c r="B1257" s="21"/>
    </row>
    <row r="1258" spans="2:2" x14ac:dyDescent="0.25">
      <c r="B1258" s="21"/>
    </row>
    <row r="1259" spans="2:2" x14ac:dyDescent="0.25">
      <c r="B1259" s="21"/>
    </row>
    <row r="1260" spans="2:2" x14ac:dyDescent="0.25">
      <c r="B1260" s="21"/>
    </row>
    <row r="1261" spans="2:2" x14ac:dyDescent="0.25">
      <c r="B1261" s="21"/>
    </row>
    <row r="1262" spans="2:2" x14ac:dyDescent="0.25">
      <c r="B1262" s="21"/>
    </row>
    <row r="1263" spans="2:2" x14ac:dyDescent="0.25">
      <c r="B1263" s="21"/>
    </row>
    <row r="1264" spans="2:2" x14ac:dyDescent="0.25">
      <c r="B1264" s="21"/>
    </row>
    <row r="1265" spans="2:2" x14ac:dyDescent="0.25">
      <c r="B1265" s="21"/>
    </row>
    <row r="1266" spans="2:2" x14ac:dyDescent="0.25">
      <c r="B1266" s="21"/>
    </row>
    <row r="1267" spans="2:2" x14ac:dyDescent="0.25">
      <c r="B1267" s="21"/>
    </row>
    <row r="1268" spans="2:2" x14ac:dyDescent="0.25">
      <c r="B1268" s="21"/>
    </row>
    <row r="1269" spans="2:2" x14ac:dyDescent="0.25">
      <c r="B1269" s="21"/>
    </row>
    <row r="1270" spans="2:2" x14ac:dyDescent="0.25">
      <c r="B1270" s="21"/>
    </row>
    <row r="1271" spans="2:2" x14ac:dyDescent="0.25">
      <c r="B1271" s="21"/>
    </row>
    <row r="1272" spans="2:2" x14ac:dyDescent="0.25">
      <c r="B1272" s="21"/>
    </row>
    <row r="1273" spans="2:2" x14ac:dyDescent="0.25">
      <c r="B1273" s="21"/>
    </row>
    <row r="1274" spans="2:2" x14ac:dyDescent="0.25">
      <c r="B1274" s="21"/>
    </row>
    <row r="1275" spans="2:2" x14ac:dyDescent="0.25">
      <c r="B1275" s="21"/>
    </row>
    <row r="1276" spans="2:2" x14ac:dyDescent="0.25">
      <c r="B1276" s="21"/>
    </row>
    <row r="1277" spans="2:2" x14ac:dyDescent="0.25">
      <c r="B1277" s="21"/>
    </row>
    <row r="1278" spans="2:2" x14ac:dyDescent="0.25">
      <c r="B1278" s="21"/>
    </row>
    <row r="1279" spans="2:2" x14ac:dyDescent="0.25">
      <c r="B1279" s="21"/>
    </row>
    <row r="1280" spans="2:2" x14ac:dyDescent="0.25">
      <c r="B1280" s="21"/>
    </row>
    <row r="1281" spans="2:2" x14ac:dyDescent="0.25">
      <c r="B1281" s="21"/>
    </row>
    <row r="1282" spans="2:2" x14ac:dyDescent="0.25">
      <c r="B1282" s="21"/>
    </row>
    <row r="1283" spans="2:2" x14ac:dyDescent="0.25">
      <c r="B1283" s="21"/>
    </row>
    <row r="1284" spans="2:2" x14ac:dyDescent="0.25">
      <c r="B1284" s="21"/>
    </row>
    <row r="1285" spans="2:2" x14ac:dyDescent="0.25">
      <c r="B1285" s="21"/>
    </row>
    <row r="1286" spans="2:2" x14ac:dyDescent="0.25">
      <c r="B1286" s="21"/>
    </row>
    <row r="1287" spans="2:2" x14ac:dyDescent="0.25">
      <c r="B1287" s="21"/>
    </row>
    <row r="1288" spans="2:2" x14ac:dyDescent="0.25">
      <c r="B1288" s="21"/>
    </row>
    <row r="1289" spans="2:2" x14ac:dyDescent="0.25">
      <c r="B1289" s="21"/>
    </row>
    <row r="1290" spans="2:2" x14ac:dyDescent="0.25">
      <c r="B1290" s="21"/>
    </row>
    <row r="1291" spans="2:2" x14ac:dyDescent="0.25">
      <c r="B1291" s="21"/>
    </row>
    <row r="1292" spans="2:2" x14ac:dyDescent="0.25">
      <c r="B1292" s="21"/>
    </row>
    <row r="1293" spans="2:2" x14ac:dyDescent="0.25">
      <c r="B1293" s="21"/>
    </row>
    <row r="1294" spans="2:2" x14ac:dyDescent="0.25">
      <c r="B1294" s="21"/>
    </row>
    <row r="1295" spans="2:2" x14ac:dyDescent="0.25">
      <c r="B1295" s="21"/>
    </row>
    <row r="1296" spans="2:2" x14ac:dyDescent="0.25">
      <c r="B1296" s="21"/>
    </row>
    <row r="1297" spans="2:2" x14ac:dyDescent="0.25">
      <c r="B1297" s="21"/>
    </row>
    <row r="1298" spans="2:2" x14ac:dyDescent="0.25">
      <c r="B1298" s="21"/>
    </row>
    <row r="1299" spans="2:2" x14ac:dyDescent="0.25">
      <c r="B1299" s="21"/>
    </row>
    <row r="1300" spans="2:2" x14ac:dyDescent="0.25">
      <c r="B1300" s="21"/>
    </row>
    <row r="1301" spans="2:2" x14ac:dyDescent="0.25">
      <c r="B1301" s="21"/>
    </row>
    <row r="1302" spans="2:2" x14ac:dyDescent="0.25">
      <c r="B1302" s="21"/>
    </row>
    <row r="1303" spans="2:2" x14ac:dyDescent="0.25">
      <c r="B1303" s="21"/>
    </row>
    <row r="1304" spans="2:2" x14ac:dyDescent="0.25">
      <c r="B1304" s="21"/>
    </row>
    <row r="1305" spans="2:2" x14ac:dyDescent="0.25">
      <c r="B1305" s="21"/>
    </row>
    <row r="1306" spans="2:2" x14ac:dyDescent="0.25">
      <c r="B1306" s="21"/>
    </row>
    <row r="1307" spans="2:2" x14ac:dyDescent="0.25">
      <c r="B1307" s="21"/>
    </row>
    <row r="1308" spans="2:2" x14ac:dyDescent="0.25">
      <c r="B1308" s="21"/>
    </row>
    <row r="1309" spans="2:2" x14ac:dyDescent="0.25">
      <c r="B1309" s="21"/>
    </row>
    <row r="1310" spans="2:2" x14ac:dyDescent="0.25">
      <c r="B1310" s="21"/>
    </row>
    <row r="1311" spans="2:2" x14ac:dyDescent="0.25">
      <c r="B1311" s="21"/>
    </row>
    <row r="1312" spans="2:2" x14ac:dyDescent="0.25">
      <c r="B1312" s="21"/>
    </row>
    <row r="1313" spans="2:2" x14ac:dyDescent="0.25">
      <c r="B1313" s="21"/>
    </row>
    <row r="1314" spans="2:2" x14ac:dyDescent="0.25">
      <c r="B1314" s="21"/>
    </row>
    <row r="1315" spans="2:2" x14ac:dyDescent="0.25">
      <c r="B1315" s="21"/>
    </row>
    <row r="1316" spans="2:2" x14ac:dyDescent="0.25">
      <c r="B1316" s="21"/>
    </row>
    <row r="1317" spans="2:2" x14ac:dyDescent="0.25">
      <c r="B1317" s="21"/>
    </row>
    <row r="1318" spans="2:2" x14ac:dyDescent="0.25">
      <c r="B1318" s="21"/>
    </row>
    <row r="1319" spans="2:2" x14ac:dyDescent="0.25">
      <c r="B1319" s="21"/>
    </row>
    <row r="1320" spans="2:2" x14ac:dyDescent="0.25">
      <c r="B1320" s="21"/>
    </row>
    <row r="1321" spans="2:2" x14ac:dyDescent="0.25">
      <c r="B1321" s="21"/>
    </row>
    <row r="1322" spans="2:2" x14ac:dyDescent="0.25">
      <c r="B1322" s="21"/>
    </row>
    <row r="1323" spans="2:2" x14ac:dyDescent="0.25">
      <c r="B1323" s="21"/>
    </row>
    <row r="1324" spans="2:2" x14ac:dyDescent="0.25">
      <c r="B1324" s="21"/>
    </row>
    <row r="1325" spans="2:2" x14ac:dyDescent="0.25">
      <c r="B1325" s="21"/>
    </row>
    <row r="1326" spans="2:2" x14ac:dyDescent="0.25">
      <c r="B1326" s="21"/>
    </row>
    <row r="1327" spans="2:2" x14ac:dyDescent="0.25">
      <c r="B1327" s="21"/>
    </row>
    <row r="1328" spans="2:2" x14ac:dyDescent="0.25">
      <c r="B1328" s="21"/>
    </row>
    <row r="1329" spans="2:2" x14ac:dyDescent="0.25">
      <c r="B1329" s="21"/>
    </row>
    <row r="1330" spans="2:2" x14ac:dyDescent="0.25">
      <c r="B1330" s="21"/>
    </row>
    <row r="1331" spans="2:2" x14ac:dyDescent="0.25">
      <c r="B1331" s="21"/>
    </row>
    <row r="1332" spans="2:2" x14ac:dyDescent="0.25">
      <c r="B1332" s="21"/>
    </row>
    <row r="1333" spans="2:2" x14ac:dyDescent="0.25">
      <c r="B1333" s="21"/>
    </row>
    <row r="1334" spans="2:2" x14ac:dyDescent="0.25">
      <c r="B1334" s="21"/>
    </row>
    <row r="1335" spans="2:2" x14ac:dyDescent="0.25">
      <c r="B1335" s="21"/>
    </row>
    <row r="1336" spans="2:2" x14ac:dyDescent="0.25">
      <c r="B1336" s="21"/>
    </row>
    <row r="1337" spans="2:2" x14ac:dyDescent="0.25">
      <c r="B1337" s="21"/>
    </row>
    <row r="1338" spans="2:2" x14ac:dyDescent="0.25">
      <c r="B1338" s="21"/>
    </row>
    <row r="1339" spans="2:2" x14ac:dyDescent="0.25">
      <c r="B1339" s="21"/>
    </row>
    <row r="1340" spans="2:2" x14ac:dyDescent="0.25">
      <c r="B1340" s="21"/>
    </row>
    <row r="1341" spans="2:2" x14ac:dyDescent="0.25">
      <c r="B1341" s="21"/>
    </row>
    <row r="1342" spans="2:2" x14ac:dyDescent="0.25">
      <c r="B1342" s="21"/>
    </row>
    <row r="1343" spans="2:2" x14ac:dyDescent="0.25">
      <c r="B1343" s="21"/>
    </row>
    <row r="1344" spans="2:2" x14ac:dyDescent="0.25">
      <c r="B1344" s="21"/>
    </row>
    <row r="1345" spans="2:2" x14ac:dyDescent="0.25">
      <c r="B1345" s="21"/>
    </row>
    <row r="1346" spans="2:2" x14ac:dyDescent="0.25">
      <c r="B1346" s="21"/>
    </row>
    <row r="1347" spans="2:2" x14ac:dyDescent="0.25">
      <c r="B1347" s="21"/>
    </row>
    <row r="1348" spans="2:2" x14ac:dyDescent="0.25">
      <c r="B1348" s="21"/>
    </row>
    <row r="1349" spans="2:2" x14ac:dyDescent="0.25">
      <c r="B1349" s="21"/>
    </row>
    <row r="1350" spans="2:2" x14ac:dyDescent="0.25">
      <c r="B1350" s="21"/>
    </row>
    <row r="1351" spans="2:2" x14ac:dyDescent="0.25">
      <c r="B1351" s="21"/>
    </row>
    <row r="1352" spans="2:2" x14ac:dyDescent="0.25">
      <c r="B1352" s="21"/>
    </row>
    <row r="1353" spans="2:2" x14ac:dyDescent="0.25">
      <c r="B1353" s="21"/>
    </row>
    <row r="1354" spans="2:2" x14ac:dyDescent="0.25">
      <c r="B1354" s="21"/>
    </row>
    <row r="1355" spans="2:2" x14ac:dyDescent="0.25">
      <c r="B1355" s="21"/>
    </row>
    <row r="1356" spans="2:2" x14ac:dyDescent="0.25">
      <c r="B1356" s="21"/>
    </row>
    <row r="1357" spans="2:2" x14ac:dyDescent="0.25">
      <c r="B1357" s="21"/>
    </row>
    <row r="1358" spans="2:2" x14ac:dyDescent="0.25">
      <c r="B1358" s="21"/>
    </row>
    <row r="1359" spans="2:2" x14ac:dyDescent="0.25">
      <c r="B1359" s="21"/>
    </row>
    <row r="1360" spans="2:2" x14ac:dyDescent="0.25">
      <c r="B1360" s="21"/>
    </row>
    <row r="1361" spans="2:2" x14ac:dyDescent="0.25">
      <c r="B1361" s="21"/>
    </row>
    <row r="1362" spans="2:2" x14ac:dyDescent="0.25">
      <c r="B1362" s="21"/>
    </row>
    <row r="1363" spans="2:2" x14ac:dyDescent="0.25">
      <c r="B1363" s="21"/>
    </row>
    <row r="1364" spans="2:2" x14ac:dyDescent="0.25">
      <c r="B1364" s="21"/>
    </row>
    <row r="1365" spans="2:2" x14ac:dyDescent="0.25">
      <c r="B1365" s="21"/>
    </row>
    <row r="1366" spans="2:2" x14ac:dyDescent="0.25">
      <c r="B1366" s="21"/>
    </row>
    <row r="1367" spans="2:2" x14ac:dyDescent="0.25">
      <c r="B1367" s="21"/>
    </row>
    <row r="1368" spans="2:2" x14ac:dyDescent="0.25">
      <c r="B1368" s="21"/>
    </row>
    <row r="1369" spans="2:2" x14ac:dyDescent="0.25">
      <c r="B1369" s="21"/>
    </row>
    <row r="1370" spans="2:2" x14ac:dyDescent="0.25">
      <c r="B1370" s="21"/>
    </row>
    <row r="1371" spans="2:2" x14ac:dyDescent="0.25">
      <c r="B1371" s="21"/>
    </row>
    <row r="1372" spans="2:2" x14ac:dyDescent="0.25">
      <c r="B1372" s="21"/>
    </row>
    <row r="1373" spans="2:2" x14ac:dyDescent="0.25">
      <c r="B1373" s="21"/>
    </row>
    <row r="1374" spans="2:2" x14ac:dyDescent="0.25">
      <c r="B1374" s="21"/>
    </row>
    <row r="1375" spans="2:2" x14ac:dyDescent="0.25">
      <c r="B1375" s="21"/>
    </row>
    <row r="1376" spans="2:2" x14ac:dyDescent="0.25">
      <c r="B1376" s="21"/>
    </row>
    <row r="1377" spans="2:2" x14ac:dyDescent="0.25">
      <c r="B1377" s="21"/>
    </row>
    <row r="1378" spans="2:2" x14ac:dyDescent="0.25">
      <c r="B1378" s="21"/>
    </row>
    <row r="1379" spans="2:2" x14ac:dyDescent="0.25">
      <c r="B1379" s="21"/>
    </row>
    <row r="1380" spans="2:2" x14ac:dyDescent="0.25">
      <c r="B1380" s="21"/>
    </row>
    <row r="1381" spans="2:2" x14ac:dyDescent="0.25">
      <c r="B1381" s="21"/>
    </row>
    <row r="1382" spans="2:2" x14ac:dyDescent="0.25">
      <c r="B1382" s="21"/>
    </row>
    <row r="1383" spans="2:2" x14ac:dyDescent="0.25">
      <c r="B1383" s="21"/>
    </row>
    <row r="1384" spans="2:2" x14ac:dyDescent="0.25">
      <c r="B1384" s="21"/>
    </row>
    <row r="1385" spans="2:2" x14ac:dyDescent="0.25">
      <c r="B1385" s="21"/>
    </row>
    <row r="1386" spans="2:2" x14ac:dyDescent="0.25">
      <c r="B1386" s="21"/>
    </row>
    <row r="1387" spans="2:2" x14ac:dyDescent="0.25">
      <c r="B1387" s="21"/>
    </row>
    <row r="1388" spans="2:2" x14ac:dyDescent="0.25">
      <c r="B1388" s="21"/>
    </row>
    <row r="1389" spans="2:2" x14ac:dyDescent="0.25">
      <c r="B1389" s="21"/>
    </row>
    <row r="1390" spans="2:2" x14ac:dyDescent="0.25">
      <c r="B1390" s="21"/>
    </row>
    <row r="1391" spans="2:2" x14ac:dyDescent="0.25">
      <c r="B1391" s="21"/>
    </row>
    <row r="1392" spans="2:2" x14ac:dyDescent="0.25">
      <c r="B1392" s="21"/>
    </row>
    <row r="1393" spans="2:2" x14ac:dyDescent="0.25">
      <c r="B1393" s="21"/>
    </row>
    <row r="1394" spans="2:2" x14ac:dyDescent="0.25">
      <c r="B1394" s="21"/>
    </row>
    <row r="1395" spans="2:2" x14ac:dyDescent="0.25">
      <c r="B1395" s="21"/>
    </row>
    <row r="1396" spans="2:2" x14ac:dyDescent="0.25">
      <c r="B1396" s="21"/>
    </row>
    <row r="1397" spans="2:2" x14ac:dyDescent="0.25">
      <c r="B1397" s="21"/>
    </row>
    <row r="1398" spans="2:2" x14ac:dyDescent="0.25">
      <c r="B1398" s="21"/>
    </row>
    <row r="1399" spans="2:2" x14ac:dyDescent="0.25">
      <c r="B1399" s="21"/>
    </row>
    <row r="1400" spans="2:2" x14ac:dyDescent="0.25">
      <c r="B1400" s="21"/>
    </row>
    <row r="1401" spans="2:2" x14ac:dyDescent="0.25">
      <c r="B1401" s="21"/>
    </row>
    <row r="1402" spans="2:2" x14ac:dyDescent="0.25">
      <c r="B1402" s="21"/>
    </row>
    <row r="1403" spans="2:2" x14ac:dyDescent="0.25">
      <c r="B1403" s="21"/>
    </row>
    <row r="1404" spans="2:2" x14ac:dyDescent="0.25">
      <c r="B1404" s="21"/>
    </row>
    <row r="1405" spans="2:2" x14ac:dyDescent="0.25">
      <c r="B1405" s="21"/>
    </row>
    <row r="1406" spans="2:2" x14ac:dyDescent="0.25">
      <c r="B1406" s="21"/>
    </row>
    <row r="1407" spans="2:2" x14ac:dyDescent="0.25">
      <c r="B1407" s="21"/>
    </row>
    <row r="1408" spans="2:2" x14ac:dyDescent="0.25">
      <c r="B1408" s="21"/>
    </row>
    <row r="1409" spans="2:2" x14ac:dyDescent="0.25">
      <c r="B1409" s="21"/>
    </row>
    <row r="1410" spans="2:2" x14ac:dyDescent="0.25">
      <c r="B1410" s="21"/>
    </row>
    <row r="1411" spans="2:2" x14ac:dyDescent="0.25">
      <c r="B1411" s="21"/>
    </row>
    <row r="1412" spans="2:2" x14ac:dyDescent="0.25">
      <c r="B1412" s="21"/>
    </row>
    <row r="1413" spans="2:2" x14ac:dyDescent="0.25">
      <c r="B1413" s="21"/>
    </row>
    <row r="1414" spans="2:2" x14ac:dyDescent="0.25">
      <c r="B1414" s="21"/>
    </row>
    <row r="1415" spans="2:2" x14ac:dyDescent="0.25">
      <c r="B1415" s="21"/>
    </row>
    <row r="1416" spans="2:2" x14ac:dyDescent="0.25">
      <c r="B1416" s="21"/>
    </row>
    <row r="1417" spans="2:2" x14ac:dyDescent="0.25">
      <c r="B1417" s="21"/>
    </row>
    <row r="1418" spans="2:2" x14ac:dyDescent="0.25">
      <c r="B1418" s="21"/>
    </row>
    <row r="1419" spans="2:2" x14ac:dyDescent="0.25">
      <c r="B1419" s="21"/>
    </row>
    <row r="1420" spans="2:2" x14ac:dyDescent="0.25">
      <c r="B1420" s="21"/>
    </row>
    <row r="1421" spans="2:2" x14ac:dyDescent="0.25">
      <c r="B1421" s="21"/>
    </row>
    <row r="1422" spans="2:2" x14ac:dyDescent="0.25">
      <c r="B1422" s="21"/>
    </row>
    <row r="1423" spans="2:2" x14ac:dyDescent="0.25">
      <c r="B1423" s="21"/>
    </row>
    <row r="1424" spans="2:2" x14ac:dyDescent="0.25">
      <c r="B1424" s="21"/>
    </row>
    <row r="1425" spans="2:2" x14ac:dyDescent="0.25">
      <c r="B1425" s="21"/>
    </row>
    <row r="1426" spans="2:2" x14ac:dyDescent="0.25">
      <c r="B1426" s="21"/>
    </row>
    <row r="1427" spans="2:2" x14ac:dyDescent="0.25">
      <c r="B1427" s="21"/>
    </row>
    <row r="1428" spans="2:2" x14ac:dyDescent="0.25">
      <c r="B1428" s="21"/>
    </row>
    <row r="1429" spans="2:2" x14ac:dyDescent="0.25">
      <c r="B1429" s="21"/>
    </row>
    <row r="1430" spans="2:2" x14ac:dyDescent="0.25">
      <c r="B1430" s="21"/>
    </row>
    <row r="1431" spans="2:2" x14ac:dyDescent="0.25">
      <c r="B1431" s="21"/>
    </row>
    <row r="1432" spans="2:2" x14ac:dyDescent="0.25">
      <c r="B1432" s="21"/>
    </row>
    <row r="1433" spans="2:2" x14ac:dyDescent="0.25">
      <c r="B1433" s="21"/>
    </row>
    <row r="1434" spans="2:2" x14ac:dyDescent="0.25">
      <c r="B1434" s="21"/>
    </row>
    <row r="1435" spans="2:2" x14ac:dyDescent="0.25">
      <c r="B1435" s="21"/>
    </row>
    <row r="1436" spans="2:2" x14ac:dyDescent="0.25">
      <c r="B1436" s="21"/>
    </row>
    <row r="1437" spans="2:2" x14ac:dyDescent="0.25">
      <c r="B1437" s="21"/>
    </row>
    <row r="1438" spans="2:2" x14ac:dyDescent="0.25">
      <c r="B1438" s="21"/>
    </row>
    <row r="1439" spans="2:2" x14ac:dyDescent="0.25">
      <c r="B1439" s="21"/>
    </row>
    <row r="1440" spans="2:2" x14ac:dyDescent="0.25">
      <c r="B1440" s="21"/>
    </row>
    <row r="1441" spans="2:2" x14ac:dyDescent="0.25">
      <c r="B1441" s="21"/>
    </row>
    <row r="1442" spans="2:2" x14ac:dyDescent="0.25">
      <c r="B1442" s="21"/>
    </row>
    <row r="1443" spans="2:2" x14ac:dyDescent="0.25">
      <c r="B1443" s="21"/>
    </row>
    <row r="1444" spans="2:2" x14ac:dyDescent="0.25">
      <c r="B1444" s="21"/>
    </row>
    <row r="1445" spans="2:2" x14ac:dyDescent="0.25">
      <c r="B1445" s="21"/>
    </row>
    <row r="1446" spans="2:2" x14ac:dyDescent="0.25">
      <c r="B1446" s="21"/>
    </row>
    <row r="1447" spans="2:2" x14ac:dyDescent="0.25">
      <c r="B1447" s="21"/>
    </row>
    <row r="1448" spans="2:2" x14ac:dyDescent="0.25">
      <c r="B1448" s="21"/>
    </row>
    <row r="1449" spans="2:2" x14ac:dyDescent="0.25">
      <c r="B1449" s="21"/>
    </row>
    <row r="1450" spans="2:2" x14ac:dyDescent="0.25">
      <c r="B1450" s="21"/>
    </row>
    <row r="1451" spans="2:2" x14ac:dyDescent="0.25">
      <c r="B1451" s="21"/>
    </row>
    <row r="1452" spans="2:2" x14ac:dyDescent="0.25">
      <c r="B1452" s="21"/>
    </row>
    <row r="1453" spans="2:2" x14ac:dyDescent="0.25">
      <c r="B1453" s="21"/>
    </row>
    <row r="1454" spans="2:2" x14ac:dyDescent="0.25">
      <c r="B1454" s="21"/>
    </row>
    <row r="1455" spans="2:2" x14ac:dyDescent="0.25">
      <c r="B1455" s="21"/>
    </row>
    <row r="1456" spans="2:2" x14ac:dyDescent="0.25">
      <c r="B1456" s="21"/>
    </row>
    <row r="1457" spans="2:2" x14ac:dyDescent="0.25">
      <c r="B1457" s="21"/>
    </row>
    <row r="1458" spans="2:2" x14ac:dyDescent="0.25">
      <c r="B1458" s="21"/>
    </row>
    <row r="1459" spans="2:2" x14ac:dyDescent="0.25">
      <c r="B1459" s="21"/>
    </row>
    <row r="1460" spans="2:2" x14ac:dyDescent="0.25">
      <c r="B1460" s="21"/>
    </row>
    <row r="1461" spans="2:2" x14ac:dyDescent="0.25">
      <c r="B1461" s="21"/>
    </row>
    <row r="1462" spans="2:2" x14ac:dyDescent="0.25">
      <c r="B1462" s="21"/>
    </row>
    <row r="1463" spans="2:2" x14ac:dyDescent="0.25">
      <c r="B1463" s="21"/>
    </row>
    <row r="1464" spans="2:2" x14ac:dyDescent="0.25">
      <c r="B1464" s="21"/>
    </row>
    <row r="1465" spans="2:2" x14ac:dyDescent="0.25">
      <c r="B1465" s="21"/>
    </row>
    <row r="1466" spans="2:2" x14ac:dyDescent="0.25">
      <c r="B1466" s="21"/>
    </row>
    <row r="1467" spans="2:2" x14ac:dyDescent="0.25">
      <c r="B1467" s="21"/>
    </row>
    <row r="1468" spans="2:2" x14ac:dyDescent="0.25">
      <c r="B1468" s="21"/>
    </row>
    <row r="1469" spans="2:2" x14ac:dyDescent="0.25">
      <c r="B1469" s="21"/>
    </row>
    <row r="1470" spans="2:2" x14ac:dyDescent="0.25">
      <c r="B1470" s="21"/>
    </row>
    <row r="1471" spans="2:2" x14ac:dyDescent="0.25">
      <c r="B1471" s="21"/>
    </row>
    <row r="1472" spans="2:2" x14ac:dyDescent="0.25">
      <c r="B1472" s="21"/>
    </row>
    <row r="1473" spans="2:2" x14ac:dyDescent="0.25">
      <c r="B1473" s="21"/>
    </row>
    <row r="1474" spans="2:2" x14ac:dyDescent="0.25">
      <c r="B1474" s="21"/>
    </row>
    <row r="1475" spans="2:2" x14ac:dyDescent="0.25">
      <c r="B1475" s="21"/>
    </row>
    <row r="1476" spans="2:2" x14ac:dyDescent="0.25">
      <c r="B1476" s="21"/>
    </row>
    <row r="1477" spans="2:2" x14ac:dyDescent="0.25">
      <c r="B1477" s="21"/>
    </row>
    <row r="1478" spans="2:2" x14ac:dyDescent="0.25">
      <c r="B1478" s="21"/>
    </row>
    <row r="1479" spans="2:2" x14ac:dyDescent="0.25">
      <c r="B1479" s="21"/>
    </row>
    <row r="1480" spans="2:2" x14ac:dyDescent="0.25">
      <c r="B1480" s="21"/>
    </row>
    <row r="1481" spans="2:2" x14ac:dyDescent="0.25">
      <c r="B1481" s="21"/>
    </row>
    <row r="1482" spans="2:2" x14ac:dyDescent="0.25">
      <c r="B1482" s="21"/>
    </row>
    <row r="1483" spans="2:2" x14ac:dyDescent="0.25">
      <c r="B1483" s="21"/>
    </row>
    <row r="1484" spans="2:2" x14ac:dyDescent="0.25">
      <c r="B1484" s="21"/>
    </row>
    <row r="1485" spans="2:2" x14ac:dyDescent="0.25">
      <c r="B1485" s="21"/>
    </row>
    <row r="1486" spans="2:2" x14ac:dyDescent="0.25">
      <c r="B1486" s="21"/>
    </row>
    <row r="1487" spans="2:2" x14ac:dyDescent="0.25">
      <c r="B1487" s="21"/>
    </row>
    <row r="1488" spans="2:2" x14ac:dyDescent="0.25">
      <c r="B1488" s="21"/>
    </row>
    <row r="1489" spans="2:2" x14ac:dyDescent="0.25">
      <c r="B1489" s="21"/>
    </row>
    <row r="1490" spans="2:2" x14ac:dyDescent="0.25">
      <c r="B1490" s="21"/>
    </row>
    <row r="1491" spans="2:2" x14ac:dyDescent="0.25">
      <c r="B1491" s="21"/>
    </row>
    <row r="1492" spans="2:2" x14ac:dyDescent="0.25">
      <c r="B1492" s="21"/>
    </row>
    <row r="1493" spans="2:2" x14ac:dyDescent="0.25">
      <c r="B1493" s="21"/>
    </row>
    <row r="1494" spans="2:2" x14ac:dyDescent="0.25">
      <c r="B1494" s="21"/>
    </row>
    <row r="1495" spans="2:2" x14ac:dyDescent="0.25">
      <c r="B1495" s="21"/>
    </row>
    <row r="1496" spans="2:2" x14ac:dyDescent="0.25">
      <c r="B1496" s="21"/>
    </row>
    <row r="1497" spans="2:2" x14ac:dyDescent="0.25">
      <c r="B1497" s="21"/>
    </row>
    <row r="1498" spans="2:2" x14ac:dyDescent="0.25">
      <c r="B1498" s="21"/>
    </row>
    <row r="1499" spans="2:2" x14ac:dyDescent="0.25">
      <c r="B1499" s="21"/>
    </row>
    <row r="1500" spans="2:2" x14ac:dyDescent="0.25">
      <c r="B1500" s="21"/>
    </row>
    <row r="1501" spans="2:2" x14ac:dyDescent="0.25">
      <c r="B1501" s="21"/>
    </row>
    <row r="1502" spans="2:2" x14ac:dyDescent="0.25">
      <c r="B1502" s="21"/>
    </row>
    <row r="1503" spans="2:2" x14ac:dyDescent="0.25">
      <c r="B1503" s="21"/>
    </row>
    <row r="1504" spans="2:2" x14ac:dyDescent="0.25">
      <c r="B1504" s="21"/>
    </row>
    <row r="1505" spans="2:2" x14ac:dyDescent="0.25">
      <c r="B1505" s="21"/>
    </row>
    <row r="1506" spans="2:2" x14ac:dyDescent="0.25">
      <c r="B1506" s="21"/>
    </row>
    <row r="1507" spans="2:2" x14ac:dyDescent="0.25">
      <c r="B1507" s="21"/>
    </row>
    <row r="1508" spans="2:2" x14ac:dyDescent="0.25">
      <c r="B1508" s="21"/>
    </row>
    <row r="1509" spans="2:2" x14ac:dyDescent="0.25">
      <c r="B1509" s="21"/>
    </row>
    <row r="1510" spans="2:2" x14ac:dyDescent="0.25">
      <c r="B1510" s="21"/>
    </row>
    <row r="1511" spans="2:2" x14ac:dyDescent="0.25">
      <c r="B1511" s="21"/>
    </row>
    <row r="1512" spans="2:2" x14ac:dyDescent="0.25">
      <c r="B1512" s="21"/>
    </row>
    <row r="1513" spans="2:2" x14ac:dyDescent="0.25">
      <c r="B1513" s="21"/>
    </row>
    <row r="1514" spans="2:2" x14ac:dyDescent="0.25">
      <c r="B1514" s="21"/>
    </row>
    <row r="1515" spans="2:2" x14ac:dyDescent="0.25">
      <c r="B1515" s="21"/>
    </row>
    <row r="1516" spans="2:2" x14ac:dyDescent="0.25">
      <c r="B1516" s="21"/>
    </row>
    <row r="1517" spans="2:2" x14ac:dyDescent="0.25">
      <c r="B1517" s="21"/>
    </row>
    <row r="1518" spans="2:2" x14ac:dyDescent="0.25">
      <c r="B1518" s="21"/>
    </row>
    <row r="1519" spans="2:2" x14ac:dyDescent="0.25">
      <c r="B1519" s="21"/>
    </row>
    <row r="1520" spans="2:2" x14ac:dyDescent="0.25">
      <c r="B1520" s="21"/>
    </row>
    <row r="1521" spans="2:2" x14ac:dyDescent="0.25">
      <c r="B1521" s="21"/>
    </row>
    <row r="1522" spans="2:2" x14ac:dyDescent="0.25">
      <c r="B1522" s="21"/>
    </row>
    <row r="1523" spans="2:2" x14ac:dyDescent="0.25">
      <c r="B1523" s="21"/>
    </row>
    <row r="1524" spans="2:2" x14ac:dyDescent="0.25">
      <c r="B1524" s="21"/>
    </row>
    <row r="1525" spans="2:2" x14ac:dyDescent="0.25">
      <c r="B1525" s="21"/>
    </row>
    <row r="1526" spans="2:2" x14ac:dyDescent="0.25">
      <c r="B1526" s="21"/>
    </row>
    <row r="1527" spans="2:2" x14ac:dyDescent="0.25">
      <c r="B1527" s="21"/>
    </row>
    <row r="1528" spans="2:2" x14ac:dyDescent="0.25">
      <c r="B1528" s="21"/>
    </row>
    <row r="1529" spans="2:2" x14ac:dyDescent="0.25">
      <c r="B1529" s="21"/>
    </row>
    <row r="1530" spans="2:2" x14ac:dyDescent="0.25">
      <c r="B1530" s="21"/>
    </row>
    <row r="1531" spans="2:2" x14ac:dyDescent="0.25">
      <c r="B1531" s="21"/>
    </row>
    <row r="1532" spans="2:2" x14ac:dyDescent="0.25">
      <c r="B1532" s="21"/>
    </row>
    <row r="1533" spans="2:2" x14ac:dyDescent="0.25">
      <c r="B1533" s="21"/>
    </row>
    <row r="1534" spans="2:2" x14ac:dyDescent="0.25">
      <c r="B1534" s="21"/>
    </row>
    <row r="1535" spans="2:2" x14ac:dyDescent="0.25">
      <c r="B1535" s="21"/>
    </row>
    <row r="1536" spans="2:2" x14ac:dyDescent="0.25">
      <c r="B1536" s="21"/>
    </row>
    <row r="1537" spans="2:2" x14ac:dyDescent="0.25">
      <c r="B1537" s="21"/>
    </row>
    <row r="1538" spans="2:2" x14ac:dyDescent="0.25">
      <c r="B1538" s="21"/>
    </row>
    <row r="1539" spans="2:2" x14ac:dyDescent="0.25">
      <c r="B1539" s="21"/>
    </row>
    <row r="1540" spans="2:2" x14ac:dyDescent="0.25">
      <c r="B1540" s="21"/>
    </row>
    <row r="1541" spans="2:2" x14ac:dyDescent="0.25">
      <c r="B1541" s="21"/>
    </row>
    <row r="1542" spans="2:2" x14ac:dyDescent="0.25">
      <c r="B1542" s="21"/>
    </row>
    <row r="1543" spans="2:2" x14ac:dyDescent="0.25">
      <c r="B1543" s="21"/>
    </row>
    <row r="1544" spans="2:2" x14ac:dyDescent="0.25">
      <c r="B1544" s="21"/>
    </row>
    <row r="1545" spans="2:2" x14ac:dyDescent="0.25">
      <c r="B1545" s="21"/>
    </row>
    <row r="1546" spans="2:2" x14ac:dyDescent="0.25">
      <c r="B1546" s="21"/>
    </row>
    <row r="1547" spans="2:2" x14ac:dyDescent="0.25">
      <c r="B1547" s="21"/>
    </row>
    <row r="1548" spans="2:2" x14ac:dyDescent="0.25">
      <c r="B1548" s="21"/>
    </row>
    <row r="1549" spans="2:2" x14ac:dyDescent="0.25">
      <c r="B1549" s="21"/>
    </row>
    <row r="1550" spans="2:2" x14ac:dyDescent="0.25">
      <c r="B1550" s="21"/>
    </row>
    <row r="1551" spans="2:2" x14ac:dyDescent="0.25">
      <c r="B1551" s="21"/>
    </row>
    <row r="1552" spans="2:2" x14ac:dyDescent="0.25">
      <c r="B1552" s="21"/>
    </row>
    <row r="1553" spans="2:2" x14ac:dyDescent="0.25">
      <c r="B1553" s="21"/>
    </row>
    <row r="1554" spans="2:2" x14ac:dyDescent="0.25">
      <c r="B1554" s="21"/>
    </row>
    <row r="1555" spans="2:2" x14ac:dyDescent="0.25">
      <c r="B1555" s="21"/>
    </row>
    <row r="1556" spans="2:2" x14ac:dyDescent="0.25">
      <c r="B1556" s="21"/>
    </row>
    <row r="1557" spans="2:2" x14ac:dyDescent="0.25">
      <c r="B1557" s="21"/>
    </row>
    <row r="1558" spans="2:2" x14ac:dyDescent="0.25">
      <c r="B1558" s="21"/>
    </row>
    <row r="1559" spans="2:2" x14ac:dyDescent="0.25">
      <c r="B1559" s="21"/>
    </row>
    <row r="1560" spans="2:2" x14ac:dyDescent="0.25">
      <c r="B1560" s="21"/>
    </row>
    <row r="1561" spans="2:2" x14ac:dyDescent="0.25">
      <c r="B1561" s="21"/>
    </row>
    <row r="1562" spans="2:2" x14ac:dyDescent="0.25">
      <c r="B1562" s="21"/>
    </row>
    <row r="1563" spans="2:2" x14ac:dyDescent="0.25">
      <c r="B1563" s="21"/>
    </row>
    <row r="1564" spans="2:2" x14ac:dyDescent="0.25">
      <c r="B1564" s="21"/>
    </row>
    <row r="1565" spans="2:2" x14ac:dyDescent="0.25">
      <c r="B1565" s="21"/>
    </row>
    <row r="1566" spans="2:2" x14ac:dyDescent="0.25">
      <c r="B1566" s="21"/>
    </row>
    <row r="1567" spans="2:2" x14ac:dyDescent="0.25">
      <c r="B1567" s="21"/>
    </row>
    <row r="1568" spans="2:2" x14ac:dyDescent="0.25">
      <c r="B1568" s="21"/>
    </row>
    <row r="1569" spans="2:2" x14ac:dyDescent="0.25">
      <c r="B1569" s="21"/>
    </row>
    <row r="1570" spans="2:2" x14ac:dyDescent="0.25">
      <c r="B1570" s="21"/>
    </row>
    <row r="1571" spans="2:2" x14ac:dyDescent="0.25">
      <c r="B1571" s="21"/>
    </row>
    <row r="1572" spans="2:2" x14ac:dyDescent="0.25">
      <c r="B1572" s="21"/>
    </row>
    <row r="1573" spans="2:2" x14ac:dyDescent="0.25">
      <c r="B1573" s="21"/>
    </row>
    <row r="1574" spans="2:2" x14ac:dyDescent="0.25">
      <c r="B1574" s="21"/>
    </row>
    <row r="1575" spans="2:2" x14ac:dyDescent="0.25">
      <c r="B1575" s="21"/>
    </row>
    <row r="1576" spans="2:2" x14ac:dyDescent="0.25">
      <c r="B1576" s="21"/>
    </row>
    <row r="1577" spans="2:2" x14ac:dyDescent="0.25">
      <c r="B1577" s="21"/>
    </row>
    <row r="1578" spans="2:2" x14ac:dyDescent="0.25">
      <c r="B1578" s="21"/>
    </row>
    <row r="1579" spans="2:2" x14ac:dyDescent="0.25">
      <c r="B1579" s="21"/>
    </row>
    <row r="1580" spans="2:2" x14ac:dyDescent="0.25">
      <c r="B1580" s="21"/>
    </row>
    <row r="1581" spans="2:2" x14ac:dyDescent="0.25">
      <c r="B1581" s="21"/>
    </row>
    <row r="1582" spans="2:2" x14ac:dyDescent="0.25">
      <c r="B1582" s="21"/>
    </row>
    <row r="1583" spans="2:2" x14ac:dyDescent="0.25">
      <c r="B1583" s="21"/>
    </row>
    <row r="1584" spans="2:2" x14ac:dyDescent="0.25">
      <c r="B1584" s="21"/>
    </row>
    <row r="1585" spans="2:2" x14ac:dyDescent="0.25">
      <c r="B1585" s="21"/>
    </row>
    <row r="1586" spans="2:2" x14ac:dyDescent="0.25">
      <c r="B1586" s="21"/>
    </row>
    <row r="1587" spans="2:2" x14ac:dyDescent="0.25">
      <c r="B1587" s="21"/>
    </row>
    <row r="1588" spans="2:2" x14ac:dyDescent="0.25">
      <c r="B1588" s="21"/>
    </row>
    <row r="1589" spans="2:2" x14ac:dyDescent="0.25">
      <c r="B1589" s="21"/>
    </row>
    <row r="1590" spans="2:2" x14ac:dyDescent="0.25">
      <c r="B1590" s="21"/>
    </row>
    <row r="1591" spans="2:2" x14ac:dyDescent="0.25">
      <c r="B1591" s="21"/>
    </row>
    <row r="1592" spans="2:2" x14ac:dyDescent="0.25">
      <c r="B1592" s="21"/>
    </row>
    <row r="1593" spans="2:2" x14ac:dyDescent="0.25">
      <c r="B1593" s="21"/>
    </row>
    <row r="1594" spans="2:2" x14ac:dyDescent="0.25">
      <c r="B1594" s="21"/>
    </row>
    <row r="1595" spans="2:2" x14ac:dyDescent="0.25">
      <c r="B1595" s="21"/>
    </row>
    <row r="1596" spans="2:2" x14ac:dyDescent="0.25">
      <c r="B1596" s="21"/>
    </row>
    <row r="1597" spans="2:2" x14ac:dyDescent="0.25">
      <c r="B1597" s="21"/>
    </row>
    <row r="1598" spans="2:2" x14ac:dyDescent="0.25">
      <c r="B1598" s="21"/>
    </row>
    <row r="1599" spans="2:2" x14ac:dyDescent="0.25">
      <c r="B1599" s="21"/>
    </row>
    <row r="1600" spans="2:2" x14ac:dyDescent="0.25">
      <c r="B1600" s="21"/>
    </row>
    <row r="1601" spans="2:2" x14ac:dyDescent="0.25">
      <c r="B1601" s="21"/>
    </row>
    <row r="1602" spans="2:2" x14ac:dyDescent="0.25">
      <c r="B1602" s="21"/>
    </row>
    <row r="1603" spans="2:2" x14ac:dyDescent="0.25">
      <c r="B1603" s="21"/>
    </row>
    <row r="1604" spans="2:2" x14ac:dyDescent="0.25">
      <c r="B1604" s="21"/>
    </row>
    <row r="1605" spans="2:2" x14ac:dyDescent="0.25">
      <c r="B1605" s="21"/>
    </row>
    <row r="1606" spans="2:2" x14ac:dyDescent="0.25">
      <c r="B1606" s="21"/>
    </row>
    <row r="1607" spans="2:2" x14ac:dyDescent="0.25">
      <c r="B1607" s="21"/>
    </row>
    <row r="1608" spans="2:2" x14ac:dyDescent="0.25">
      <c r="B1608" s="21"/>
    </row>
    <row r="1609" spans="2:2" x14ac:dyDescent="0.25">
      <c r="B1609" s="21"/>
    </row>
    <row r="1610" spans="2:2" x14ac:dyDescent="0.25">
      <c r="B1610" s="21"/>
    </row>
    <row r="1611" spans="2:2" x14ac:dyDescent="0.25">
      <c r="B1611" s="21"/>
    </row>
    <row r="1612" spans="2:2" x14ac:dyDescent="0.25">
      <c r="B1612" s="21"/>
    </row>
    <row r="1613" spans="2:2" x14ac:dyDescent="0.25">
      <c r="B1613" s="21"/>
    </row>
    <row r="1614" spans="2:2" x14ac:dyDescent="0.25">
      <c r="B1614" s="21"/>
    </row>
    <row r="1615" spans="2:2" x14ac:dyDescent="0.25">
      <c r="B1615" s="21"/>
    </row>
    <row r="1616" spans="2:2" x14ac:dyDescent="0.25">
      <c r="B1616" s="21"/>
    </row>
    <row r="1617" spans="2:2" x14ac:dyDescent="0.25">
      <c r="B1617" s="21"/>
    </row>
    <row r="1618" spans="2:2" x14ac:dyDescent="0.25">
      <c r="B1618" s="21"/>
    </row>
    <row r="1619" spans="2:2" x14ac:dyDescent="0.25">
      <c r="B1619" s="21"/>
    </row>
    <row r="1620" spans="2:2" x14ac:dyDescent="0.25">
      <c r="B1620" s="21"/>
    </row>
    <row r="1621" spans="2:2" x14ac:dyDescent="0.25">
      <c r="B1621" s="21"/>
    </row>
    <row r="1622" spans="2:2" x14ac:dyDescent="0.25">
      <c r="B1622" s="21"/>
    </row>
    <row r="1623" spans="2:2" x14ac:dyDescent="0.25">
      <c r="B1623" s="21"/>
    </row>
    <row r="1624" spans="2:2" x14ac:dyDescent="0.25">
      <c r="B1624" s="21"/>
    </row>
    <row r="1625" spans="2:2" x14ac:dyDescent="0.25">
      <c r="B1625" s="21"/>
    </row>
    <row r="1626" spans="2:2" x14ac:dyDescent="0.25">
      <c r="B1626" s="21"/>
    </row>
    <row r="1627" spans="2:2" x14ac:dyDescent="0.25">
      <c r="B1627" s="21"/>
    </row>
    <row r="1628" spans="2:2" x14ac:dyDescent="0.25">
      <c r="B1628" s="21"/>
    </row>
    <row r="1629" spans="2:2" x14ac:dyDescent="0.25">
      <c r="B1629" s="21"/>
    </row>
    <row r="1630" spans="2:2" x14ac:dyDescent="0.25">
      <c r="B1630" s="21"/>
    </row>
    <row r="1631" spans="2:2" x14ac:dyDescent="0.25">
      <c r="B1631" s="21"/>
    </row>
    <row r="1632" spans="2:2" x14ac:dyDescent="0.25">
      <c r="B1632" s="21"/>
    </row>
    <row r="1633" spans="2:2" x14ac:dyDescent="0.25">
      <c r="B1633" s="21"/>
    </row>
    <row r="1634" spans="2:2" x14ac:dyDescent="0.25">
      <c r="B1634" s="21"/>
    </row>
    <row r="1635" spans="2:2" x14ac:dyDescent="0.25">
      <c r="B1635" s="21"/>
    </row>
    <row r="1636" spans="2:2" x14ac:dyDescent="0.25">
      <c r="B1636" s="21"/>
    </row>
    <row r="1637" spans="2:2" x14ac:dyDescent="0.25">
      <c r="B1637" s="21"/>
    </row>
    <row r="1638" spans="2:2" x14ac:dyDescent="0.25">
      <c r="B1638" s="21"/>
    </row>
    <row r="1639" spans="2:2" x14ac:dyDescent="0.25">
      <c r="B1639" s="21"/>
    </row>
    <row r="1640" spans="2:2" x14ac:dyDescent="0.25">
      <c r="B1640" s="21"/>
    </row>
    <row r="1641" spans="2:2" x14ac:dyDescent="0.25">
      <c r="B1641" s="21"/>
    </row>
    <row r="1642" spans="2:2" x14ac:dyDescent="0.25">
      <c r="B1642" s="21"/>
    </row>
    <row r="1643" spans="2:2" x14ac:dyDescent="0.25">
      <c r="B1643" s="21"/>
    </row>
    <row r="1644" spans="2:2" x14ac:dyDescent="0.25">
      <c r="B1644" s="21"/>
    </row>
    <row r="1645" spans="2:2" x14ac:dyDescent="0.25">
      <c r="B1645" s="21"/>
    </row>
    <row r="1646" spans="2:2" x14ac:dyDescent="0.25">
      <c r="B1646" s="21"/>
    </row>
    <row r="1647" spans="2:2" x14ac:dyDescent="0.25">
      <c r="B1647" s="21"/>
    </row>
    <row r="1648" spans="2:2" x14ac:dyDescent="0.25">
      <c r="B1648" s="21"/>
    </row>
    <row r="1649" spans="2:2" x14ac:dyDescent="0.25">
      <c r="B1649" s="21"/>
    </row>
    <row r="1650" spans="2:2" x14ac:dyDescent="0.25">
      <c r="B1650" s="21"/>
    </row>
    <row r="1651" spans="2:2" x14ac:dyDescent="0.25">
      <c r="B1651" s="21"/>
    </row>
    <row r="1652" spans="2:2" x14ac:dyDescent="0.25">
      <c r="B1652" s="21"/>
    </row>
    <row r="1653" spans="2:2" x14ac:dyDescent="0.25">
      <c r="B1653" s="21"/>
    </row>
    <row r="1654" spans="2:2" x14ac:dyDescent="0.25">
      <c r="B1654" s="21"/>
    </row>
    <row r="1655" spans="2:2" x14ac:dyDescent="0.25">
      <c r="B1655" s="21"/>
    </row>
    <row r="1656" spans="2:2" x14ac:dyDescent="0.25">
      <c r="B1656" s="21"/>
    </row>
    <row r="1657" spans="2:2" x14ac:dyDescent="0.25">
      <c r="B1657" s="21"/>
    </row>
    <row r="1658" spans="2:2" x14ac:dyDescent="0.25">
      <c r="B1658" s="21"/>
    </row>
    <row r="1659" spans="2:2" x14ac:dyDescent="0.25">
      <c r="B1659" s="21"/>
    </row>
    <row r="1660" spans="2:2" x14ac:dyDescent="0.25">
      <c r="B1660" s="21"/>
    </row>
    <row r="1661" spans="2:2" x14ac:dyDescent="0.25">
      <c r="B1661" s="21"/>
    </row>
    <row r="1662" spans="2:2" x14ac:dyDescent="0.25">
      <c r="B1662" s="21"/>
    </row>
    <row r="1663" spans="2:2" x14ac:dyDescent="0.25">
      <c r="B1663" s="21"/>
    </row>
    <row r="1664" spans="2:2" x14ac:dyDescent="0.25">
      <c r="B1664" s="21"/>
    </row>
    <row r="1665" spans="2:2" x14ac:dyDescent="0.25">
      <c r="B1665" s="21"/>
    </row>
    <row r="1666" spans="2:2" x14ac:dyDescent="0.25">
      <c r="B1666" s="21"/>
    </row>
    <row r="1667" spans="2:2" x14ac:dyDescent="0.25">
      <c r="B1667" s="21"/>
    </row>
    <row r="1668" spans="2:2" x14ac:dyDescent="0.25">
      <c r="B1668" s="21"/>
    </row>
    <row r="1669" spans="2:2" x14ac:dyDescent="0.25">
      <c r="B1669" s="21"/>
    </row>
    <row r="1670" spans="2:2" x14ac:dyDescent="0.25">
      <c r="B1670" s="21"/>
    </row>
    <row r="1671" spans="2:2" x14ac:dyDescent="0.25">
      <c r="B1671" s="21"/>
    </row>
    <row r="1672" spans="2:2" x14ac:dyDescent="0.25">
      <c r="B1672" s="21"/>
    </row>
    <row r="1673" spans="2:2" x14ac:dyDescent="0.25">
      <c r="B1673" s="21"/>
    </row>
    <row r="1674" spans="2:2" x14ac:dyDescent="0.25">
      <c r="B1674" s="21"/>
    </row>
    <row r="1675" spans="2:2" x14ac:dyDescent="0.25">
      <c r="B1675" s="21"/>
    </row>
    <row r="1676" spans="2:2" x14ac:dyDescent="0.25">
      <c r="B1676" s="21"/>
    </row>
    <row r="1677" spans="2:2" x14ac:dyDescent="0.25">
      <c r="B1677" s="21"/>
    </row>
    <row r="1678" spans="2:2" x14ac:dyDescent="0.25">
      <c r="B1678" s="21"/>
    </row>
    <row r="1679" spans="2:2" x14ac:dyDescent="0.25">
      <c r="B1679" s="21"/>
    </row>
    <row r="1680" spans="2:2" x14ac:dyDescent="0.25">
      <c r="B1680" s="21"/>
    </row>
    <row r="1681" spans="2:2" x14ac:dyDescent="0.25">
      <c r="B1681" s="21"/>
    </row>
    <row r="1682" spans="2:2" x14ac:dyDescent="0.25">
      <c r="B1682" s="21"/>
    </row>
    <row r="1683" spans="2:2" x14ac:dyDescent="0.25">
      <c r="B1683" s="21"/>
    </row>
    <row r="1684" spans="2:2" x14ac:dyDescent="0.25">
      <c r="B1684" s="21"/>
    </row>
    <row r="1685" spans="2:2" x14ac:dyDescent="0.25">
      <c r="B1685" s="21"/>
    </row>
    <row r="1686" spans="2:2" x14ac:dyDescent="0.25">
      <c r="B1686" s="21"/>
    </row>
    <row r="1687" spans="2:2" x14ac:dyDescent="0.25">
      <c r="B1687" s="21"/>
    </row>
    <row r="1688" spans="2:2" x14ac:dyDescent="0.25">
      <c r="B1688" s="21"/>
    </row>
    <row r="1689" spans="2:2" x14ac:dyDescent="0.25">
      <c r="B1689" s="21"/>
    </row>
    <row r="1690" spans="2:2" x14ac:dyDescent="0.25">
      <c r="B1690" s="21"/>
    </row>
    <row r="1691" spans="2:2" x14ac:dyDescent="0.25">
      <c r="B1691" s="21"/>
    </row>
    <row r="1692" spans="2:2" x14ac:dyDescent="0.25">
      <c r="B1692" s="21"/>
    </row>
    <row r="1693" spans="2:2" x14ac:dyDescent="0.25">
      <c r="B1693" s="21"/>
    </row>
    <row r="1694" spans="2:2" x14ac:dyDescent="0.25">
      <c r="B1694" s="21"/>
    </row>
    <row r="1695" spans="2:2" x14ac:dyDescent="0.25">
      <c r="B1695" s="21"/>
    </row>
    <row r="1696" spans="2:2" x14ac:dyDescent="0.25">
      <c r="B1696" s="21"/>
    </row>
    <row r="1697" spans="2:2" x14ac:dyDescent="0.25">
      <c r="B1697" s="21"/>
    </row>
    <row r="1698" spans="2:2" x14ac:dyDescent="0.25">
      <c r="B1698" s="21"/>
    </row>
    <row r="1699" spans="2:2" x14ac:dyDescent="0.25">
      <c r="B1699" s="21"/>
    </row>
    <row r="1700" spans="2:2" x14ac:dyDescent="0.25">
      <c r="B1700" s="21"/>
    </row>
    <row r="1701" spans="2:2" x14ac:dyDescent="0.25">
      <c r="B1701" s="21"/>
    </row>
    <row r="1702" spans="2:2" x14ac:dyDescent="0.25">
      <c r="B1702" s="21"/>
    </row>
    <row r="1703" spans="2:2" x14ac:dyDescent="0.25">
      <c r="B1703" s="21"/>
    </row>
    <row r="1704" spans="2:2" x14ac:dyDescent="0.25">
      <c r="B1704" s="21"/>
    </row>
    <row r="1705" spans="2:2" x14ac:dyDescent="0.25">
      <c r="B1705" s="21"/>
    </row>
    <row r="1706" spans="2:2" x14ac:dyDescent="0.25">
      <c r="B1706" s="21"/>
    </row>
    <row r="1707" spans="2:2" x14ac:dyDescent="0.25">
      <c r="B1707" s="21"/>
    </row>
    <row r="1708" spans="2:2" x14ac:dyDescent="0.25">
      <c r="B1708" s="21"/>
    </row>
    <row r="1709" spans="2:2" x14ac:dyDescent="0.25">
      <c r="B1709" s="21"/>
    </row>
    <row r="1710" spans="2:2" x14ac:dyDescent="0.25">
      <c r="B1710" s="21"/>
    </row>
    <row r="1711" spans="2:2" x14ac:dyDescent="0.25">
      <c r="B1711" s="21"/>
    </row>
    <row r="1712" spans="2:2" x14ac:dyDescent="0.25">
      <c r="B1712" s="21"/>
    </row>
    <row r="1713" spans="2:2" x14ac:dyDescent="0.25">
      <c r="B1713" s="21"/>
    </row>
    <row r="1714" spans="2:2" x14ac:dyDescent="0.25">
      <c r="B1714" s="21"/>
    </row>
    <row r="1715" spans="2:2" x14ac:dyDescent="0.25">
      <c r="B1715" s="21"/>
    </row>
    <row r="1716" spans="2:2" x14ac:dyDescent="0.25">
      <c r="B1716" s="21"/>
    </row>
    <row r="1717" spans="2:2" x14ac:dyDescent="0.25">
      <c r="B1717" s="21"/>
    </row>
    <row r="1718" spans="2:2" x14ac:dyDescent="0.25">
      <c r="B1718" s="21"/>
    </row>
    <row r="1719" spans="2:2" x14ac:dyDescent="0.25">
      <c r="B1719" s="21"/>
    </row>
    <row r="1720" spans="2:2" x14ac:dyDescent="0.25">
      <c r="B1720" s="21"/>
    </row>
    <row r="1721" spans="2:2" x14ac:dyDescent="0.25">
      <c r="B1721" s="21"/>
    </row>
    <row r="1722" spans="2:2" x14ac:dyDescent="0.25">
      <c r="B1722" s="21"/>
    </row>
    <row r="1723" spans="2:2" x14ac:dyDescent="0.25">
      <c r="B1723" s="21"/>
    </row>
    <row r="1724" spans="2:2" x14ac:dyDescent="0.25">
      <c r="B1724" s="21"/>
    </row>
    <row r="1725" spans="2:2" x14ac:dyDescent="0.25">
      <c r="B1725" s="21"/>
    </row>
    <row r="1726" spans="2:2" x14ac:dyDescent="0.25">
      <c r="B1726" s="21"/>
    </row>
    <row r="1727" spans="2:2" x14ac:dyDescent="0.25">
      <c r="B1727" s="21"/>
    </row>
    <row r="1728" spans="2:2" x14ac:dyDescent="0.25">
      <c r="B1728" s="21"/>
    </row>
    <row r="1729" spans="2:2" x14ac:dyDescent="0.25">
      <c r="B1729" s="21"/>
    </row>
    <row r="1730" spans="2:2" x14ac:dyDescent="0.25">
      <c r="B1730" s="21"/>
    </row>
    <row r="1731" spans="2:2" x14ac:dyDescent="0.25">
      <c r="B1731" s="21"/>
    </row>
    <row r="1732" spans="2:2" x14ac:dyDescent="0.25">
      <c r="B1732" s="21"/>
    </row>
    <row r="1733" spans="2:2" x14ac:dyDescent="0.25">
      <c r="B1733" s="21"/>
    </row>
    <row r="1734" spans="2:2" x14ac:dyDescent="0.25">
      <c r="B1734" s="21"/>
    </row>
    <row r="1735" spans="2:2" x14ac:dyDescent="0.25">
      <c r="B1735" s="21"/>
    </row>
    <row r="1736" spans="2:2" x14ac:dyDescent="0.25">
      <c r="B1736" s="21"/>
    </row>
    <row r="1737" spans="2:2" x14ac:dyDescent="0.25">
      <c r="B1737" s="21"/>
    </row>
    <row r="1738" spans="2:2" x14ac:dyDescent="0.25">
      <c r="B1738" s="21"/>
    </row>
    <row r="1739" spans="2:2" x14ac:dyDescent="0.25">
      <c r="B1739" s="21"/>
    </row>
    <row r="1740" spans="2:2" x14ac:dyDescent="0.25">
      <c r="B1740" s="21"/>
    </row>
    <row r="1741" spans="2:2" x14ac:dyDescent="0.25">
      <c r="B1741" s="21"/>
    </row>
    <row r="1742" spans="2:2" x14ac:dyDescent="0.25">
      <c r="B1742" s="21"/>
    </row>
    <row r="1743" spans="2:2" x14ac:dyDescent="0.25">
      <c r="B1743" s="21"/>
    </row>
    <row r="1744" spans="2:2" x14ac:dyDescent="0.25">
      <c r="B1744" s="21"/>
    </row>
    <row r="1745" spans="2:2" x14ac:dyDescent="0.25">
      <c r="B1745" s="21"/>
    </row>
    <row r="1746" spans="2:2" x14ac:dyDescent="0.25">
      <c r="B1746" s="21"/>
    </row>
    <row r="1747" spans="2:2" x14ac:dyDescent="0.25">
      <c r="B1747" s="21"/>
    </row>
    <row r="1748" spans="2:2" x14ac:dyDescent="0.25">
      <c r="B1748" s="21"/>
    </row>
    <row r="1749" spans="2:2" x14ac:dyDescent="0.25">
      <c r="B1749" s="21"/>
    </row>
    <row r="1750" spans="2:2" x14ac:dyDescent="0.25">
      <c r="B1750" s="21"/>
    </row>
    <row r="1751" spans="2:2" x14ac:dyDescent="0.25">
      <c r="B1751" s="21"/>
    </row>
    <row r="1752" spans="2:2" x14ac:dyDescent="0.25">
      <c r="B1752" s="21"/>
    </row>
    <row r="1753" spans="2:2" x14ac:dyDescent="0.25">
      <c r="B1753" s="21"/>
    </row>
    <row r="1754" spans="2:2" x14ac:dyDescent="0.25">
      <c r="B1754" s="21"/>
    </row>
    <row r="1755" spans="2:2" x14ac:dyDescent="0.25">
      <c r="B1755" s="21"/>
    </row>
    <row r="1756" spans="2:2" x14ac:dyDescent="0.25">
      <c r="B1756" s="21"/>
    </row>
    <row r="1757" spans="2:2" x14ac:dyDescent="0.25">
      <c r="B1757" s="21"/>
    </row>
    <row r="1758" spans="2:2" x14ac:dyDescent="0.25">
      <c r="B1758" s="21"/>
    </row>
    <row r="1759" spans="2:2" x14ac:dyDescent="0.25">
      <c r="B1759" s="21"/>
    </row>
    <row r="1760" spans="2:2" x14ac:dyDescent="0.25">
      <c r="B1760" s="21"/>
    </row>
    <row r="1761" spans="2:2" x14ac:dyDescent="0.25">
      <c r="B1761" s="21"/>
    </row>
    <row r="1762" spans="2:2" x14ac:dyDescent="0.25">
      <c r="B1762" s="21"/>
    </row>
    <row r="1763" spans="2:2" x14ac:dyDescent="0.25">
      <c r="B1763" s="21"/>
    </row>
    <row r="1764" spans="2:2" x14ac:dyDescent="0.25">
      <c r="B1764" s="21"/>
    </row>
    <row r="1765" spans="2:2" x14ac:dyDescent="0.25">
      <c r="B1765" s="21"/>
    </row>
    <row r="1766" spans="2:2" x14ac:dyDescent="0.25">
      <c r="B1766" s="21"/>
    </row>
    <row r="1767" spans="2:2" x14ac:dyDescent="0.25">
      <c r="B1767" s="21"/>
    </row>
    <row r="1768" spans="2:2" x14ac:dyDescent="0.25">
      <c r="B1768" s="21"/>
    </row>
    <row r="1769" spans="2:2" x14ac:dyDescent="0.25">
      <c r="B1769" s="21"/>
    </row>
    <row r="1770" spans="2:2" x14ac:dyDescent="0.25">
      <c r="B1770" s="21"/>
    </row>
    <row r="1771" spans="2:2" x14ac:dyDescent="0.25">
      <c r="B1771" s="21"/>
    </row>
    <row r="1772" spans="2:2" x14ac:dyDescent="0.25">
      <c r="B1772" s="21"/>
    </row>
    <row r="1773" spans="2:2" x14ac:dyDescent="0.25">
      <c r="B1773" s="21"/>
    </row>
    <row r="1774" spans="2:2" x14ac:dyDescent="0.25">
      <c r="B1774" s="21"/>
    </row>
    <row r="1775" spans="2:2" x14ac:dyDescent="0.25">
      <c r="B1775" s="21"/>
    </row>
    <row r="1776" spans="2:2" x14ac:dyDescent="0.25">
      <c r="B1776" s="21"/>
    </row>
    <row r="1777" spans="2:2" x14ac:dyDescent="0.25">
      <c r="B1777" s="21"/>
    </row>
    <row r="1778" spans="2:2" x14ac:dyDescent="0.25">
      <c r="B1778" s="21"/>
    </row>
    <row r="1779" spans="2:2" x14ac:dyDescent="0.25">
      <c r="B1779" s="21"/>
    </row>
    <row r="1780" spans="2:2" x14ac:dyDescent="0.25">
      <c r="B1780" s="21"/>
    </row>
    <row r="1781" spans="2:2" x14ac:dyDescent="0.25">
      <c r="B1781" s="21"/>
    </row>
    <row r="1782" spans="2:2" x14ac:dyDescent="0.25">
      <c r="B1782" s="21"/>
    </row>
    <row r="1783" spans="2:2" x14ac:dyDescent="0.25">
      <c r="B1783" s="21"/>
    </row>
    <row r="1784" spans="2:2" x14ac:dyDescent="0.25">
      <c r="B1784" s="21"/>
    </row>
    <row r="1785" spans="2:2" x14ac:dyDescent="0.25">
      <c r="B1785" s="21"/>
    </row>
    <row r="1786" spans="2:2" x14ac:dyDescent="0.25">
      <c r="B1786" s="21"/>
    </row>
    <row r="1787" spans="2:2" x14ac:dyDescent="0.25">
      <c r="B1787" s="21"/>
    </row>
    <row r="1788" spans="2:2" x14ac:dyDescent="0.25">
      <c r="B1788" s="21"/>
    </row>
    <row r="1789" spans="2:2" x14ac:dyDescent="0.25">
      <c r="B1789" s="21"/>
    </row>
    <row r="1790" spans="2:2" x14ac:dyDescent="0.25">
      <c r="B1790" s="21"/>
    </row>
    <row r="1791" spans="2:2" x14ac:dyDescent="0.25">
      <c r="B1791" s="21"/>
    </row>
    <row r="1792" spans="2:2" x14ac:dyDescent="0.25">
      <c r="B1792" s="21"/>
    </row>
    <row r="1793" spans="2:2" x14ac:dyDescent="0.25">
      <c r="B1793" s="21"/>
    </row>
    <row r="1794" spans="2:2" x14ac:dyDescent="0.25">
      <c r="B1794" s="21"/>
    </row>
    <row r="1795" spans="2:2" x14ac:dyDescent="0.25">
      <c r="B1795" s="21"/>
    </row>
    <row r="1796" spans="2:2" x14ac:dyDescent="0.25">
      <c r="B1796" s="21"/>
    </row>
    <row r="1797" spans="2:2" x14ac:dyDescent="0.25">
      <c r="B1797" s="21"/>
    </row>
    <row r="1798" spans="2:2" x14ac:dyDescent="0.25">
      <c r="B1798" s="21"/>
    </row>
    <row r="1799" spans="2:2" x14ac:dyDescent="0.25">
      <c r="B1799" s="21"/>
    </row>
    <row r="1800" spans="2:2" x14ac:dyDescent="0.25">
      <c r="B1800" s="21"/>
    </row>
    <row r="1801" spans="2:2" x14ac:dyDescent="0.25">
      <c r="B1801" s="21"/>
    </row>
    <row r="1802" spans="2:2" x14ac:dyDescent="0.25">
      <c r="B1802" s="21"/>
    </row>
    <row r="1803" spans="2:2" x14ac:dyDescent="0.25">
      <c r="B1803" s="21"/>
    </row>
    <row r="1804" spans="2:2" x14ac:dyDescent="0.25">
      <c r="B1804" s="21"/>
    </row>
    <row r="1805" spans="2:2" x14ac:dyDescent="0.25">
      <c r="B1805" s="21"/>
    </row>
    <row r="1806" spans="2:2" x14ac:dyDescent="0.25">
      <c r="B1806" s="21"/>
    </row>
    <row r="1807" spans="2:2" x14ac:dyDescent="0.25">
      <c r="B1807" s="21"/>
    </row>
    <row r="1808" spans="2:2" x14ac:dyDescent="0.25">
      <c r="B1808" s="21"/>
    </row>
    <row r="1809" spans="2:2" x14ac:dyDescent="0.25">
      <c r="B1809" s="21"/>
    </row>
    <row r="1810" spans="2:2" x14ac:dyDescent="0.25">
      <c r="B1810" s="21"/>
    </row>
    <row r="1811" spans="2:2" x14ac:dyDescent="0.25">
      <c r="B1811" s="21"/>
    </row>
    <row r="1812" spans="2:2" x14ac:dyDescent="0.25">
      <c r="B1812" s="21"/>
    </row>
    <row r="1813" spans="2:2" x14ac:dyDescent="0.25">
      <c r="B1813" s="21"/>
    </row>
    <row r="1814" spans="2:2" x14ac:dyDescent="0.25">
      <c r="B1814" s="21"/>
    </row>
    <row r="1815" spans="2:2" x14ac:dyDescent="0.25">
      <c r="B1815" s="21"/>
    </row>
    <row r="1816" spans="2:2" x14ac:dyDescent="0.25">
      <c r="B1816" s="21"/>
    </row>
    <row r="1817" spans="2:2" x14ac:dyDescent="0.25">
      <c r="B1817" s="21"/>
    </row>
    <row r="1818" spans="2:2" x14ac:dyDescent="0.25">
      <c r="B1818" s="21"/>
    </row>
    <row r="1819" spans="2:2" x14ac:dyDescent="0.25">
      <c r="B1819" s="21"/>
    </row>
    <row r="1820" spans="2:2" x14ac:dyDescent="0.25">
      <c r="B1820" s="21"/>
    </row>
    <row r="1821" spans="2:2" x14ac:dyDescent="0.25">
      <c r="B1821" s="21"/>
    </row>
    <row r="1822" spans="2:2" x14ac:dyDescent="0.25">
      <c r="B1822" s="21"/>
    </row>
    <row r="1823" spans="2:2" x14ac:dyDescent="0.25">
      <c r="B1823" s="21"/>
    </row>
    <row r="1824" spans="2:2" x14ac:dyDescent="0.25">
      <c r="B1824" s="21"/>
    </row>
    <row r="1825" spans="2:2" x14ac:dyDescent="0.25">
      <c r="B1825" s="21"/>
    </row>
    <row r="1826" spans="2:2" x14ac:dyDescent="0.25">
      <c r="B1826" s="21"/>
    </row>
    <row r="1827" spans="2:2" x14ac:dyDescent="0.25">
      <c r="B1827" s="21"/>
    </row>
    <row r="1828" spans="2:2" x14ac:dyDescent="0.25">
      <c r="B1828" s="21"/>
    </row>
    <row r="1829" spans="2:2" x14ac:dyDescent="0.25">
      <c r="B1829" s="21"/>
    </row>
    <row r="1830" spans="2:2" x14ac:dyDescent="0.25">
      <c r="B1830" s="21"/>
    </row>
    <row r="1831" spans="2:2" x14ac:dyDescent="0.25">
      <c r="B1831" s="21"/>
    </row>
    <row r="1832" spans="2:2" x14ac:dyDescent="0.25">
      <c r="B1832" s="21"/>
    </row>
    <row r="1833" spans="2:2" x14ac:dyDescent="0.25">
      <c r="B1833" s="21"/>
    </row>
    <row r="1834" spans="2:2" x14ac:dyDescent="0.25">
      <c r="B1834" s="21"/>
    </row>
    <row r="1835" spans="2:2" x14ac:dyDescent="0.25">
      <c r="B1835" s="21"/>
    </row>
    <row r="1836" spans="2:2" x14ac:dyDescent="0.25">
      <c r="B1836" s="21"/>
    </row>
    <row r="1837" spans="2:2" x14ac:dyDescent="0.25">
      <c r="B1837" s="21"/>
    </row>
    <row r="1838" spans="2:2" x14ac:dyDescent="0.25">
      <c r="B1838" s="21"/>
    </row>
    <row r="1839" spans="2:2" x14ac:dyDescent="0.25">
      <c r="B1839" s="21"/>
    </row>
    <row r="1840" spans="2:2" x14ac:dyDescent="0.25">
      <c r="B1840" s="21"/>
    </row>
    <row r="1841" spans="2:2" x14ac:dyDescent="0.25">
      <c r="B1841" s="21"/>
    </row>
    <row r="1842" spans="2:2" x14ac:dyDescent="0.25">
      <c r="B1842" s="21"/>
    </row>
    <row r="1843" spans="2:2" x14ac:dyDescent="0.25">
      <c r="B1843" s="21"/>
    </row>
    <row r="1844" spans="2:2" x14ac:dyDescent="0.25">
      <c r="B1844" s="21"/>
    </row>
    <row r="1845" spans="2:2" x14ac:dyDescent="0.25">
      <c r="B1845" s="21"/>
    </row>
    <row r="1846" spans="2:2" x14ac:dyDescent="0.25">
      <c r="B1846" s="21"/>
    </row>
    <row r="1847" spans="2:2" x14ac:dyDescent="0.25">
      <c r="B1847" s="21"/>
    </row>
    <row r="1848" spans="2:2" x14ac:dyDescent="0.25">
      <c r="B1848" s="21"/>
    </row>
    <row r="1849" spans="2:2" x14ac:dyDescent="0.25">
      <c r="B1849" s="21"/>
    </row>
    <row r="1850" spans="2:2" x14ac:dyDescent="0.25">
      <c r="B1850" s="21"/>
    </row>
    <row r="1851" spans="2:2" x14ac:dyDescent="0.25">
      <c r="B1851" s="21"/>
    </row>
    <row r="1852" spans="2:2" x14ac:dyDescent="0.25">
      <c r="B1852" s="21"/>
    </row>
    <row r="1853" spans="2:2" x14ac:dyDescent="0.25">
      <c r="B1853" s="21"/>
    </row>
    <row r="1854" spans="2:2" x14ac:dyDescent="0.25">
      <c r="B1854" s="21"/>
    </row>
    <row r="1855" spans="2:2" x14ac:dyDescent="0.25">
      <c r="B1855" s="21"/>
    </row>
    <row r="1856" spans="2:2" x14ac:dyDescent="0.25">
      <c r="B1856" s="21"/>
    </row>
    <row r="1857" spans="2:2" x14ac:dyDescent="0.25">
      <c r="B1857" s="21"/>
    </row>
    <row r="1858" spans="2:2" x14ac:dyDescent="0.25">
      <c r="B1858" s="21"/>
    </row>
    <row r="1859" spans="2:2" x14ac:dyDescent="0.25">
      <c r="B1859" s="21"/>
    </row>
    <row r="1860" spans="2:2" x14ac:dyDescent="0.25">
      <c r="B1860" s="21"/>
    </row>
    <row r="1861" spans="2:2" x14ac:dyDescent="0.25">
      <c r="B1861" s="21"/>
    </row>
    <row r="1862" spans="2:2" x14ac:dyDescent="0.25">
      <c r="B1862" s="21"/>
    </row>
    <row r="1863" spans="2:2" x14ac:dyDescent="0.25">
      <c r="B1863" s="21"/>
    </row>
    <row r="1864" spans="2:2" x14ac:dyDescent="0.25">
      <c r="B1864" s="21"/>
    </row>
    <row r="1865" spans="2:2" x14ac:dyDescent="0.25">
      <c r="B1865" s="21"/>
    </row>
    <row r="1866" spans="2:2" x14ac:dyDescent="0.25">
      <c r="B1866" s="21"/>
    </row>
    <row r="1867" spans="2:2" x14ac:dyDescent="0.25">
      <c r="B1867" s="21"/>
    </row>
    <row r="1868" spans="2:2" x14ac:dyDescent="0.25">
      <c r="B1868" s="21"/>
    </row>
    <row r="1869" spans="2:2" x14ac:dyDescent="0.25">
      <c r="B1869" s="21"/>
    </row>
    <row r="1870" spans="2:2" x14ac:dyDescent="0.25">
      <c r="B1870" s="21"/>
    </row>
    <row r="1871" spans="2:2" x14ac:dyDescent="0.25">
      <c r="B1871" s="21"/>
    </row>
    <row r="1872" spans="2:2" x14ac:dyDescent="0.25">
      <c r="B1872" s="21"/>
    </row>
    <row r="1873" spans="2:2" x14ac:dyDescent="0.25">
      <c r="B1873" s="21"/>
    </row>
    <row r="1874" spans="2:2" x14ac:dyDescent="0.25">
      <c r="B1874" s="21"/>
    </row>
    <row r="1875" spans="2:2" x14ac:dyDescent="0.25">
      <c r="B1875" s="21"/>
    </row>
    <row r="1876" spans="2:2" x14ac:dyDescent="0.25">
      <c r="B1876" s="21"/>
    </row>
    <row r="1877" spans="2:2" x14ac:dyDescent="0.25">
      <c r="B1877" s="21"/>
    </row>
    <row r="1878" spans="2:2" x14ac:dyDescent="0.25">
      <c r="B1878" s="21"/>
    </row>
    <row r="1879" spans="2:2" x14ac:dyDescent="0.25">
      <c r="B1879" s="21"/>
    </row>
    <row r="1880" spans="2:2" x14ac:dyDescent="0.25">
      <c r="B1880" s="21"/>
    </row>
    <row r="1881" spans="2:2" x14ac:dyDescent="0.25">
      <c r="B1881" s="21"/>
    </row>
    <row r="1882" spans="2:2" x14ac:dyDescent="0.25">
      <c r="B1882" s="21"/>
    </row>
    <row r="1883" spans="2:2" x14ac:dyDescent="0.25">
      <c r="B1883" s="21"/>
    </row>
    <row r="1884" spans="2:2" x14ac:dyDescent="0.25">
      <c r="B1884" s="21"/>
    </row>
    <row r="1885" spans="2:2" x14ac:dyDescent="0.25">
      <c r="B1885" s="21"/>
    </row>
    <row r="1886" spans="2:2" x14ac:dyDescent="0.25">
      <c r="B1886" s="21"/>
    </row>
    <row r="1887" spans="2:2" x14ac:dyDescent="0.25">
      <c r="B1887" s="21"/>
    </row>
    <row r="1888" spans="2:2" x14ac:dyDescent="0.25">
      <c r="B1888" s="21"/>
    </row>
    <row r="1889" spans="2:2" x14ac:dyDescent="0.25">
      <c r="B1889" s="21"/>
    </row>
    <row r="1890" spans="2:2" x14ac:dyDescent="0.25">
      <c r="B1890" s="21"/>
    </row>
    <row r="1891" spans="2:2" x14ac:dyDescent="0.25">
      <c r="B1891" s="21"/>
    </row>
    <row r="1892" spans="2:2" x14ac:dyDescent="0.25">
      <c r="B1892" s="21"/>
    </row>
    <row r="1893" spans="2:2" x14ac:dyDescent="0.25">
      <c r="B1893" s="21"/>
    </row>
    <row r="1894" spans="2:2" x14ac:dyDescent="0.25">
      <c r="B1894" s="21"/>
    </row>
    <row r="1895" spans="2:2" x14ac:dyDescent="0.25">
      <c r="B1895" s="21"/>
    </row>
    <row r="1896" spans="2:2" x14ac:dyDescent="0.25">
      <c r="B1896" s="21"/>
    </row>
    <row r="1897" spans="2:2" x14ac:dyDescent="0.25">
      <c r="B1897" s="21"/>
    </row>
    <row r="1898" spans="2:2" x14ac:dyDescent="0.25">
      <c r="B1898" s="21"/>
    </row>
    <row r="1899" spans="2:2" x14ac:dyDescent="0.25">
      <c r="B1899" s="21"/>
    </row>
    <row r="1900" spans="2:2" x14ac:dyDescent="0.25">
      <c r="B1900" s="21"/>
    </row>
    <row r="1901" spans="2:2" x14ac:dyDescent="0.25">
      <c r="B1901" s="21"/>
    </row>
    <row r="1902" spans="2:2" x14ac:dyDescent="0.25">
      <c r="B1902" s="21"/>
    </row>
    <row r="1903" spans="2:2" x14ac:dyDescent="0.25">
      <c r="B1903" s="21"/>
    </row>
    <row r="1904" spans="2:2" x14ac:dyDescent="0.25">
      <c r="B1904" s="21"/>
    </row>
    <row r="1905" spans="2:2" x14ac:dyDescent="0.25">
      <c r="B1905" s="21"/>
    </row>
    <row r="1906" spans="2:2" x14ac:dyDescent="0.25">
      <c r="B1906" s="21"/>
    </row>
    <row r="1907" spans="2:2" x14ac:dyDescent="0.25">
      <c r="B1907" s="21"/>
    </row>
    <row r="1908" spans="2:2" x14ac:dyDescent="0.25">
      <c r="B1908" s="21"/>
    </row>
    <row r="1909" spans="2:2" x14ac:dyDescent="0.25">
      <c r="B1909" s="21"/>
    </row>
    <row r="1910" spans="2:2" x14ac:dyDescent="0.25">
      <c r="B1910" s="21"/>
    </row>
    <row r="1911" spans="2:2" x14ac:dyDescent="0.25">
      <c r="B1911" s="21"/>
    </row>
    <row r="1912" spans="2:2" x14ac:dyDescent="0.25">
      <c r="B1912" s="21"/>
    </row>
    <row r="1913" spans="2:2" x14ac:dyDescent="0.25">
      <c r="B1913" s="21"/>
    </row>
    <row r="1914" spans="2:2" x14ac:dyDescent="0.25">
      <c r="B1914" s="21"/>
    </row>
    <row r="1915" spans="2:2" x14ac:dyDescent="0.25">
      <c r="B1915" s="21"/>
    </row>
    <row r="1916" spans="2:2" x14ac:dyDescent="0.25">
      <c r="B1916" s="21"/>
    </row>
    <row r="1917" spans="2:2" x14ac:dyDescent="0.25">
      <c r="B1917" s="21"/>
    </row>
    <row r="1918" spans="2:2" x14ac:dyDescent="0.25">
      <c r="B1918" s="21"/>
    </row>
    <row r="1919" spans="2:2" x14ac:dyDescent="0.25">
      <c r="B1919" s="21"/>
    </row>
    <row r="1920" spans="2:2" x14ac:dyDescent="0.25">
      <c r="B1920" s="21"/>
    </row>
    <row r="1921" spans="2:2" x14ac:dyDescent="0.25">
      <c r="B1921" s="21"/>
    </row>
    <row r="1922" spans="2:2" x14ac:dyDescent="0.25">
      <c r="B1922" s="21"/>
    </row>
    <row r="1923" spans="2:2" x14ac:dyDescent="0.25">
      <c r="B1923" s="21"/>
    </row>
    <row r="1924" spans="2:2" x14ac:dyDescent="0.25">
      <c r="B1924" s="21"/>
    </row>
    <row r="1925" spans="2:2" x14ac:dyDescent="0.25">
      <c r="B1925" s="21"/>
    </row>
    <row r="1926" spans="2:2" x14ac:dyDescent="0.25">
      <c r="B1926" s="21"/>
    </row>
    <row r="1927" spans="2:2" x14ac:dyDescent="0.25">
      <c r="B1927" s="21"/>
    </row>
    <row r="1928" spans="2:2" x14ac:dyDescent="0.25">
      <c r="B1928" s="21"/>
    </row>
    <row r="1929" spans="2:2" x14ac:dyDescent="0.25">
      <c r="B1929" s="21"/>
    </row>
    <row r="1930" spans="2:2" x14ac:dyDescent="0.25">
      <c r="B1930" s="21"/>
    </row>
    <row r="1931" spans="2:2" x14ac:dyDescent="0.25">
      <c r="B1931" s="21"/>
    </row>
    <row r="1932" spans="2:2" x14ac:dyDescent="0.25">
      <c r="B1932" s="21"/>
    </row>
    <row r="1933" spans="2:2" x14ac:dyDescent="0.25">
      <c r="B1933" s="21"/>
    </row>
    <row r="1934" spans="2:2" x14ac:dyDescent="0.25">
      <c r="B1934" s="21"/>
    </row>
    <row r="1935" spans="2:2" x14ac:dyDescent="0.25">
      <c r="B1935" s="21"/>
    </row>
    <row r="1936" spans="2:2" x14ac:dyDescent="0.25">
      <c r="B1936" s="21"/>
    </row>
    <row r="1937" spans="2:2" x14ac:dyDescent="0.25">
      <c r="B1937" s="21"/>
    </row>
    <row r="1938" spans="2:2" x14ac:dyDescent="0.25">
      <c r="B1938" s="21"/>
    </row>
    <row r="1939" spans="2:2" x14ac:dyDescent="0.25">
      <c r="B1939" s="21"/>
    </row>
    <row r="1940" spans="2:2" x14ac:dyDescent="0.25">
      <c r="B1940" s="21"/>
    </row>
    <row r="1941" spans="2:2" x14ac:dyDescent="0.25">
      <c r="B1941" s="21"/>
    </row>
    <row r="1942" spans="2:2" x14ac:dyDescent="0.25">
      <c r="B1942" s="21"/>
    </row>
    <row r="1943" spans="2:2" x14ac:dyDescent="0.25">
      <c r="B1943" s="21"/>
    </row>
    <row r="1944" spans="2:2" x14ac:dyDescent="0.25">
      <c r="B1944" s="21"/>
    </row>
    <row r="1945" spans="2:2" x14ac:dyDescent="0.25">
      <c r="B1945" s="21"/>
    </row>
    <row r="1946" spans="2:2" x14ac:dyDescent="0.25">
      <c r="B1946" s="21"/>
    </row>
    <row r="1947" spans="2:2" x14ac:dyDescent="0.25">
      <c r="B1947" s="21"/>
    </row>
    <row r="1948" spans="2:2" x14ac:dyDescent="0.25">
      <c r="B1948" s="21"/>
    </row>
    <row r="1949" spans="2:2" x14ac:dyDescent="0.25">
      <c r="B1949" s="21"/>
    </row>
    <row r="1950" spans="2:2" x14ac:dyDescent="0.25">
      <c r="B1950" s="21"/>
    </row>
    <row r="1951" spans="2:2" x14ac:dyDescent="0.25">
      <c r="B1951" s="21"/>
    </row>
    <row r="1952" spans="2:2" x14ac:dyDescent="0.25">
      <c r="B1952" s="21"/>
    </row>
    <row r="1953" spans="2:2" x14ac:dyDescent="0.25">
      <c r="B1953" s="21"/>
    </row>
    <row r="1954" spans="2:2" x14ac:dyDescent="0.25">
      <c r="B1954" s="21"/>
    </row>
    <row r="1955" spans="2:2" x14ac:dyDescent="0.25">
      <c r="B1955" s="21"/>
    </row>
    <row r="1956" spans="2:2" x14ac:dyDescent="0.25">
      <c r="B1956" s="21"/>
    </row>
    <row r="1957" spans="2:2" x14ac:dyDescent="0.25">
      <c r="B1957" s="21"/>
    </row>
    <row r="1958" spans="2:2" x14ac:dyDescent="0.25">
      <c r="B1958" s="21"/>
    </row>
    <row r="1959" spans="2:2" x14ac:dyDescent="0.25">
      <c r="B1959" s="21"/>
    </row>
    <row r="1960" spans="2:2" x14ac:dyDescent="0.25">
      <c r="B1960" s="21"/>
    </row>
    <row r="1961" spans="2:2" x14ac:dyDescent="0.25">
      <c r="B1961" s="21"/>
    </row>
    <row r="1962" spans="2:2" x14ac:dyDescent="0.25">
      <c r="B1962" s="21"/>
    </row>
    <row r="1963" spans="2:2" x14ac:dyDescent="0.25">
      <c r="B1963" s="21"/>
    </row>
    <row r="1964" spans="2:2" x14ac:dyDescent="0.25">
      <c r="B1964" s="21"/>
    </row>
    <row r="1965" spans="2:2" x14ac:dyDescent="0.25">
      <c r="B1965" s="21"/>
    </row>
    <row r="1966" spans="2:2" x14ac:dyDescent="0.25">
      <c r="B1966" s="21"/>
    </row>
    <row r="1967" spans="2:2" x14ac:dyDescent="0.25">
      <c r="B1967" s="21"/>
    </row>
    <row r="1968" spans="2:2" x14ac:dyDescent="0.25">
      <c r="B1968" s="21"/>
    </row>
    <row r="1969" spans="2:2" x14ac:dyDescent="0.25">
      <c r="B1969" s="21"/>
    </row>
    <row r="1970" spans="2:2" x14ac:dyDescent="0.25">
      <c r="B1970" s="21"/>
    </row>
    <row r="1971" spans="2:2" x14ac:dyDescent="0.25">
      <c r="B1971" s="21"/>
    </row>
    <row r="1972" spans="2:2" x14ac:dyDescent="0.25">
      <c r="B1972" s="21"/>
    </row>
    <row r="1973" spans="2:2" x14ac:dyDescent="0.25">
      <c r="B1973" s="21"/>
    </row>
    <row r="1974" spans="2:2" x14ac:dyDescent="0.25">
      <c r="B1974" s="21"/>
    </row>
    <row r="1975" spans="2:2" x14ac:dyDescent="0.25">
      <c r="B1975" s="21"/>
    </row>
    <row r="1976" spans="2:2" x14ac:dyDescent="0.25">
      <c r="B1976" s="21"/>
    </row>
    <row r="1977" spans="2:2" x14ac:dyDescent="0.25">
      <c r="B1977" s="21"/>
    </row>
    <row r="1978" spans="2:2" x14ac:dyDescent="0.25">
      <c r="B1978" s="21"/>
    </row>
    <row r="1979" spans="2:2" x14ac:dyDescent="0.25">
      <c r="B1979" s="21"/>
    </row>
    <row r="1980" spans="2:2" x14ac:dyDescent="0.25">
      <c r="B1980" s="21"/>
    </row>
    <row r="1981" spans="2:2" x14ac:dyDescent="0.25">
      <c r="B1981" s="21"/>
    </row>
    <row r="1982" spans="2:2" x14ac:dyDescent="0.25">
      <c r="B1982" s="21"/>
    </row>
    <row r="1983" spans="2:2" x14ac:dyDescent="0.25">
      <c r="B1983" s="21"/>
    </row>
    <row r="1984" spans="2:2" x14ac:dyDescent="0.25">
      <c r="B1984" s="21"/>
    </row>
    <row r="1985" spans="2:2" x14ac:dyDescent="0.25">
      <c r="B1985" s="21"/>
    </row>
    <row r="1986" spans="2:2" x14ac:dyDescent="0.25">
      <c r="B1986" s="21"/>
    </row>
    <row r="1987" spans="2:2" x14ac:dyDescent="0.25">
      <c r="B1987" s="21"/>
    </row>
    <row r="1988" spans="2:2" x14ac:dyDescent="0.25">
      <c r="B1988" s="21"/>
    </row>
    <row r="1989" spans="2:2" x14ac:dyDescent="0.25">
      <c r="B1989" s="21"/>
    </row>
    <row r="1990" spans="2:2" x14ac:dyDescent="0.25">
      <c r="B1990" s="21"/>
    </row>
    <row r="1991" spans="2:2" x14ac:dyDescent="0.25">
      <c r="B1991" s="21"/>
    </row>
    <row r="1992" spans="2:2" x14ac:dyDescent="0.25">
      <c r="B1992" s="21"/>
    </row>
    <row r="1993" spans="2:2" x14ac:dyDescent="0.25">
      <c r="B1993" s="21"/>
    </row>
    <row r="1994" spans="2:2" x14ac:dyDescent="0.25">
      <c r="B1994" s="21"/>
    </row>
    <row r="1995" spans="2:2" x14ac:dyDescent="0.25">
      <c r="B1995" s="21"/>
    </row>
    <row r="1996" spans="2:2" x14ac:dyDescent="0.25">
      <c r="B1996" s="21"/>
    </row>
    <row r="1997" spans="2:2" x14ac:dyDescent="0.25">
      <c r="B1997" s="21"/>
    </row>
    <row r="1998" spans="2:2" x14ac:dyDescent="0.25">
      <c r="B1998" s="21"/>
    </row>
    <row r="1999" spans="2:2" x14ac:dyDescent="0.25">
      <c r="B1999" s="21"/>
    </row>
    <row r="2000" spans="2:2" x14ac:dyDescent="0.25">
      <c r="B2000" s="21"/>
    </row>
    <row r="2001" spans="2:2" x14ac:dyDescent="0.25">
      <c r="B2001" s="21"/>
    </row>
    <row r="2002" spans="2:2" x14ac:dyDescent="0.25">
      <c r="B2002" s="21"/>
    </row>
    <row r="2003" spans="2:2" x14ac:dyDescent="0.25">
      <c r="B2003" s="21"/>
    </row>
    <row r="2004" spans="2:2" x14ac:dyDescent="0.25">
      <c r="B2004" s="21"/>
    </row>
    <row r="2005" spans="2:2" x14ac:dyDescent="0.25">
      <c r="B2005" s="21"/>
    </row>
    <row r="2006" spans="2:2" x14ac:dyDescent="0.25">
      <c r="B2006" s="21"/>
    </row>
    <row r="2007" spans="2:2" x14ac:dyDescent="0.25">
      <c r="B2007" s="21"/>
    </row>
    <row r="2008" spans="2:2" x14ac:dyDescent="0.25">
      <c r="B2008" s="21"/>
    </row>
    <row r="2009" spans="2:2" x14ac:dyDescent="0.25">
      <c r="B2009" s="21"/>
    </row>
    <row r="2010" spans="2:2" x14ac:dyDescent="0.25">
      <c r="B2010" s="21"/>
    </row>
    <row r="2011" spans="2:2" x14ac:dyDescent="0.25">
      <c r="B2011" s="21"/>
    </row>
    <row r="2012" spans="2:2" x14ac:dyDescent="0.25">
      <c r="B2012" s="21"/>
    </row>
    <row r="2013" spans="2:2" x14ac:dyDescent="0.25">
      <c r="B2013" s="21"/>
    </row>
    <row r="2014" spans="2:2" x14ac:dyDescent="0.25">
      <c r="B2014" s="21"/>
    </row>
    <row r="2015" spans="2:2" x14ac:dyDescent="0.25">
      <c r="B2015" s="21"/>
    </row>
    <row r="2016" spans="2:2" x14ac:dyDescent="0.25">
      <c r="B2016" s="21"/>
    </row>
    <row r="2017" spans="2:2" x14ac:dyDescent="0.25">
      <c r="B2017" s="21"/>
    </row>
    <row r="2018" spans="2:2" x14ac:dyDescent="0.25">
      <c r="B2018" s="21"/>
    </row>
    <row r="2019" spans="2:2" x14ac:dyDescent="0.25">
      <c r="B2019" s="21"/>
    </row>
    <row r="2020" spans="2:2" x14ac:dyDescent="0.25">
      <c r="B2020" s="21"/>
    </row>
    <row r="2021" spans="2:2" x14ac:dyDescent="0.25">
      <c r="B2021" s="21"/>
    </row>
    <row r="2022" spans="2:2" x14ac:dyDescent="0.25">
      <c r="B2022" s="21"/>
    </row>
    <row r="2023" spans="2:2" x14ac:dyDescent="0.25">
      <c r="B2023" s="21"/>
    </row>
    <row r="2024" spans="2:2" x14ac:dyDescent="0.25">
      <c r="B2024" s="21"/>
    </row>
    <row r="2025" spans="2:2" x14ac:dyDescent="0.25">
      <c r="B2025" s="21"/>
    </row>
    <row r="2026" spans="2:2" x14ac:dyDescent="0.25">
      <c r="B2026" s="21"/>
    </row>
    <row r="2027" spans="2:2" x14ac:dyDescent="0.25">
      <c r="B2027" s="21"/>
    </row>
    <row r="2028" spans="2:2" x14ac:dyDescent="0.25">
      <c r="B2028" s="21"/>
    </row>
    <row r="2029" spans="2:2" x14ac:dyDescent="0.25">
      <c r="B2029" s="21"/>
    </row>
    <row r="2030" spans="2:2" x14ac:dyDescent="0.25">
      <c r="B2030" s="21"/>
    </row>
    <row r="2031" spans="2:2" x14ac:dyDescent="0.25">
      <c r="B2031" s="21"/>
    </row>
    <row r="2032" spans="2:2" x14ac:dyDescent="0.25">
      <c r="B2032" s="21"/>
    </row>
    <row r="2033" spans="2:2" x14ac:dyDescent="0.25">
      <c r="B2033" s="21"/>
    </row>
    <row r="2034" spans="2:2" x14ac:dyDescent="0.25">
      <c r="B2034" s="21"/>
    </row>
    <row r="2035" spans="2:2" x14ac:dyDescent="0.25">
      <c r="B2035" s="21"/>
    </row>
    <row r="2036" spans="2:2" x14ac:dyDescent="0.25">
      <c r="B2036" s="21"/>
    </row>
    <row r="2037" spans="2:2" x14ac:dyDescent="0.25">
      <c r="B2037" s="21"/>
    </row>
    <row r="2038" spans="2:2" x14ac:dyDescent="0.25">
      <c r="B2038" s="21"/>
    </row>
    <row r="2039" spans="2:2" x14ac:dyDescent="0.25">
      <c r="B2039" s="21"/>
    </row>
    <row r="2040" spans="2:2" x14ac:dyDescent="0.25">
      <c r="B2040" s="21"/>
    </row>
    <row r="2041" spans="2:2" x14ac:dyDescent="0.25">
      <c r="B2041" s="21"/>
    </row>
    <row r="2042" spans="2:2" x14ac:dyDescent="0.25">
      <c r="B2042" s="21"/>
    </row>
    <row r="2043" spans="2:2" x14ac:dyDescent="0.25">
      <c r="B2043" s="21"/>
    </row>
    <row r="2044" spans="2:2" x14ac:dyDescent="0.25">
      <c r="B2044" s="21"/>
    </row>
    <row r="2045" spans="2:2" x14ac:dyDescent="0.25">
      <c r="B2045" s="21"/>
    </row>
    <row r="2046" spans="2:2" x14ac:dyDescent="0.25">
      <c r="B2046" s="21"/>
    </row>
    <row r="2047" spans="2:2" x14ac:dyDescent="0.25">
      <c r="B2047" s="21"/>
    </row>
    <row r="2048" spans="2:2" x14ac:dyDescent="0.25">
      <c r="B2048" s="21"/>
    </row>
    <row r="2049" spans="2:2" x14ac:dyDescent="0.25">
      <c r="B2049" s="21"/>
    </row>
    <row r="2050" spans="2:2" x14ac:dyDescent="0.25">
      <c r="B2050" s="21"/>
    </row>
    <row r="2051" spans="2:2" x14ac:dyDescent="0.25">
      <c r="B2051" s="21"/>
    </row>
    <row r="2052" spans="2:2" x14ac:dyDescent="0.25">
      <c r="B2052" s="21"/>
    </row>
    <row r="2053" spans="2:2" x14ac:dyDescent="0.25">
      <c r="B2053" s="21"/>
    </row>
    <row r="2054" spans="2:2" x14ac:dyDescent="0.25">
      <c r="B2054" s="21"/>
    </row>
    <row r="2055" spans="2:2" x14ac:dyDescent="0.25">
      <c r="B2055" s="21"/>
    </row>
    <row r="2056" spans="2:2" x14ac:dyDescent="0.25">
      <c r="B2056" s="21"/>
    </row>
    <row r="2057" spans="2:2" x14ac:dyDescent="0.25">
      <c r="B2057" s="21"/>
    </row>
    <row r="2058" spans="2:2" x14ac:dyDescent="0.25">
      <c r="B2058" s="21"/>
    </row>
    <row r="2059" spans="2:2" x14ac:dyDescent="0.25">
      <c r="B2059" s="21"/>
    </row>
    <row r="2060" spans="2:2" x14ac:dyDescent="0.25">
      <c r="B2060" s="21"/>
    </row>
    <row r="2061" spans="2:2" x14ac:dyDescent="0.25">
      <c r="B2061" s="21"/>
    </row>
    <row r="2062" spans="2:2" x14ac:dyDescent="0.25">
      <c r="B2062" s="21"/>
    </row>
    <row r="2063" spans="2:2" x14ac:dyDescent="0.25">
      <c r="B2063" s="21"/>
    </row>
    <row r="2064" spans="2:2" x14ac:dyDescent="0.25">
      <c r="B2064" s="21"/>
    </row>
    <row r="2065" spans="2:2" x14ac:dyDescent="0.25">
      <c r="B2065" s="21"/>
    </row>
    <row r="2066" spans="2:2" x14ac:dyDescent="0.25">
      <c r="B2066" s="21"/>
    </row>
    <row r="2067" spans="2:2" x14ac:dyDescent="0.25">
      <c r="B2067" s="21"/>
    </row>
    <row r="2068" spans="2:2" x14ac:dyDescent="0.25">
      <c r="B2068" s="21"/>
    </row>
    <row r="2069" spans="2:2" x14ac:dyDescent="0.25">
      <c r="B2069" s="21"/>
    </row>
    <row r="2070" spans="2:2" x14ac:dyDescent="0.25">
      <c r="B2070" s="21"/>
    </row>
    <row r="2071" spans="2:2" x14ac:dyDescent="0.25">
      <c r="B2071" s="21"/>
    </row>
    <row r="2072" spans="2:2" x14ac:dyDescent="0.25">
      <c r="B2072" s="21"/>
    </row>
    <row r="2073" spans="2:2" x14ac:dyDescent="0.25">
      <c r="B2073" s="21"/>
    </row>
    <row r="2074" spans="2:2" x14ac:dyDescent="0.25">
      <c r="B2074" s="21"/>
    </row>
    <row r="2075" spans="2:2" x14ac:dyDescent="0.25">
      <c r="B2075" s="21"/>
    </row>
    <row r="2076" spans="2:2" x14ac:dyDescent="0.25">
      <c r="B2076" s="21"/>
    </row>
    <row r="2077" spans="2:2" x14ac:dyDescent="0.25">
      <c r="B2077" s="21"/>
    </row>
    <row r="2078" spans="2:2" x14ac:dyDescent="0.25">
      <c r="B2078" s="21"/>
    </row>
    <row r="2079" spans="2:2" x14ac:dyDescent="0.25">
      <c r="B2079" s="21"/>
    </row>
    <row r="2080" spans="2:2" x14ac:dyDescent="0.25">
      <c r="B2080" s="21"/>
    </row>
    <row r="2081" spans="2:2" x14ac:dyDescent="0.25">
      <c r="B2081" s="21"/>
    </row>
    <row r="2082" spans="2:2" x14ac:dyDescent="0.25">
      <c r="B2082" s="21"/>
    </row>
    <row r="2083" spans="2:2" x14ac:dyDescent="0.25">
      <c r="B2083" s="21"/>
    </row>
    <row r="2084" spans="2:2" x14ac:dyDescent="0.25">
      <c r="B2084" s="21"/>
    </row>
    <row r="2085" spans="2:2" x14ac:dyDescent="0.25">
      <c r="B2085" s="21"/>
    </row>
    <row r="2086" spans="2:2" x14ac:dyDescent="0.25">
      <c r="B2086" s="21"/>
    </row>
    <row r="2087" spans="2:2" x14ac:dyDescent="0.25">
      <c r="B2087" s="21"/>
    </row>
    <row r="2088" spans="2:2" x14ac:dyDescent="0.25">
      <c r="B2088" s="21"/>
    </row>
    <row r="2089" spans="2:2" x14ac:dyDescent="0.25">
      <c r="B2089" s="21"/>
    </row>
    <row r="2090" spans="2:2" x14ac:dyDescent="0.25">
      <c r="B2090" s="21"/>
    </row>
    <row r="2091" spans="2:2" x14ac:dyDescent="0.25">
      <c r="B2091" s="21"/>
    </row>
    <row r="2092" spans="2:2" x14ac:dyDescent="0.25">
      <c r="B2092" s="21"/>
    </row>
    <row r="2093" spans="2:2" x14ac:dyDescent="0.25">
      <c r="B2093" s="21"/>
    </row>
    <row r="2094" spans="2:2" x14ac:dyDescent="0.25">
      <c r="B2094" s="21"/>
    </row>
    <row r="2095" spans="2:2" x14ac:dyDescent="0.25">
      <c r="B2095" s="21"/>
    </row>
    <row r="2096" spans="2:2" x14ac:dyDescent="0.25">
      <c r="B2096" s="21"/>
    </row>
    <row r="2097" spans="2:2" x14ac:dyDescent="0.25">
      <c r="B2097" s="21"/>
    </row>
    <row r="2098" spans="2:2" x14ac:dyDescent="0.25">
      <c r="B2098" s="21"/>
    </row>
    <row r="2099" spans="2:2" x14ac:dyDescent="0.25">
      <c r="B2099" s="21"/>
    </row>
    <row r="2100" spans="2:2" x14ac:dyDescent="0.25">
      <c r="B2100" s="21"/>
    </row>
    <row r="2101" spans="2:2" x14ac:dyDescent="0.25">
      <c r="B2101" s="21"/>
    </row>
    <row r="2102" spans="2:2" x14ac:dyDescent="0.25">
      <c r="B2102" s="21"/>
    </row>
    <row r="2103" spans="2:2" x14ac:dyDescent="0.25">
      <c r="B2103" s="21"/>
    </row>
    <row r="2104" spans="2:2" x14ac:dyDescent="0.25">
      <c r="B2104" s="21"/>
    </row>
    <row r="2105" spans="2:2" x14ac:dyDescent="0.25">
      <c r="B2105" s="21"/>
    </row>
    <row r="2106" spans="2:2" x14ac:dyDescent="0.25">
      <c r="B2106" s="21"/>
    </row>
    <row r="2107" spans="2:2" x14ac:dyDescent="0.25">
      <c r="B2107" s="21"/>
    </row>
    <row r="2108" spans="2:2" x14ac:dyDescent="0.25">
      <c r="B2108" s="21"/>
    </row>
    <row r="2109" spans="2:2" x14ac:dyDescent="0.25">
      <c r="B2109" s="21"/>
    </row>
    <row r="2110" spans="2:2" x14ac:dyDescent="0.25">
      <c r="B2110" s="21"/>
    </row>
    <row r="2111" spans="2:2" x14ac:dyDescent="0.25">
      <c r="B2111" s="21"/>
    </row>
    <row r="2112" spans="2:2" x14ac:dyDescent="0.25">
      <c r="B2112" s="21"/>
    </row>
    <row r="2113" spans="2:2" x14ac:dyDescent="0.25">
      <c r="B2113" s="21"/>
    </row>
    <row r="2114" spans="2:2" x14ac:dyDescent="0.25">
      <c r="B2114" s="21"/>
    </row>
    <row r="2115" spans="2:2" x14ac:dyDescent="0.25">
      <c r="B2115" s="21"/>
    </row>
    <row r="2116" spans="2:2" x14ac:dyDescent="0.25">
      <c r="B2116" s="21"/>
    </row>
    <row r="2117" spans="2:2" x14ac:dyDescent="0.25">
      <c r="B2117" s="21"/>
    </row>
    <row r="2118" spans="2:2" x14ac:dyDescent="0.25">
      <c r="B2118" s="21"/>
    </row>
    <row r="2119" spans="2:2" x14ac:dyDescent="0.25">
      <c r="B2119" s="21"/>
    </row>
    <row r="2120" spans="2:2" x14ac:dyDescent="0.25">
      <c r="B2120" s="21"/>
    </row>
    <row r="2121" spans="2:2" x14ac:dyDescent="0.25">
      <c r="B2121" s="21"/>
    </row>
    <row r="2122" spans="2:2" x14ac:dyDescent="0.25">
      <c r="B2122" s="21"/>
    </row>
    <row r="2123" spans="2:2" x14ac:dyDescent="0.25">
      <c r="B2123" s="21"/>
    </row>
    <row r="2124" spans="2:2" x14ac:dyDescent="0.25">
      <c r="B2124" s="21"/>
    </row>
    <row r="2125" spans="2:2" x14ac:dyDescent="0.25">
      <c r="B2125" s="21"/>
    </row>
    <row r="2126" spans="2:2" x14ac:dyDescent="0.25">
      <c r="B2126" s="21"/>
    </row>
    <row r="2127" spans="2:2" x14ac:dyDescent="0.25">
      <c r="B2127" s="21"/>
    </row>
    <row r="2128" spans="2:2" x14ac:dyDescent="0.25">
      <c r="B2128" s="21"/>
    </row>
    <row r="2129" spans="2:2" x14ac:dyDescent="0.25">
      <c r="B2129" s="21"/>
    </row>
    <row r="2130" spans="2:2" x14ac:dyDescent="0.25">
      <c r="B2130" s="21"/>
    </row>
    <row r="2131" spans="2:2" x14ac:dyDescent="0.25">
      <c r="B2131" s="21"/>
    </row>
    <row r="2132" spans="2:2" x14ac:dyDescent="0.25">
      <c r="B2132" s="21"/>
    </row>
    <row r="2133" spans="2:2" x14ac:dyDescent="0.25">
      <c r="B2133" s="21"/>
    </row>
    <row r="2134" spans="2:2" x14ac:dyDescent="0.25">
      <c r="B2134" s="21"/>
    </row>
    <row r="2135" spans="2:2" x14ac:dyDescent="0.25">
      <c r="B2135" s="21"/>
    </row>
    <row r="2136" spans="2:2" x14ac:dyDescent="0.25">
      <c r="B2136" s="21"/>
    </row>
    <row r="2137" spans="2:2" x14ac:dyDescent="0.25">
      <c r="B2137" s="21"/>
    </row>
    <row r="2138" spans="2:2" x14ac:dyDescent="0.25">
      <c r="B2138" s="21"/>
    </row>
    <row r="2139" spans="2:2" x14ac:dyDescent="0.25">
      <c r="B2139" s="21"/>
    </row>
    <row r="2140" spans="2:2" x14ac:dyDescent="0.25">
      <c r="B2140" s="21"/>
    </row>
    <row r="2141" spans="2:2" x14ac:dyDescent="0.25">
      <c r="B2141" s="21"/>
    </row>
    <row r="2142" spans="2:2" x14ac:dyDescent="0.25">
      <c r="B2142" s="21"/>
    </row>
    <row r="2143" spans="2:2" x14ac:dyDescent="0.25">
      <c r="B2143" s="21"/>
    </row>
    <row r="2144" spans="2:2" x14ac:dyDescent="0.25">
      <c r="B2144" s="21"/>
    </row>
    <row r="2145" spans="2:2" x14ac:dyDescent="0.25">
      <c r="B2145" s="21"/>
    </row>
    <row r="2146" spans="2:2" x14ac:dyDescent="0.25">
      <c r="B2146" s="21"/>
    </row>
    <row r="2147" spans="2:2" x14ac:dyDescent="0.25">
      <c r="B2147" s="21"/>
    </row>
    <row r="2148" spans="2:2" x14ac:dyDescent="0.25">
      <c r="B2148" s="21"/>
    </row>
    <row r="2149" spans="2:2" x14ac:dyDescent="0.25">
      <c r="B2149" s="21"/>
    </row>
    <row r="2150" spans="2:2" x14ac:dyDescent="0.25">
      <c r="B2150" s="21"/>
    </row>
    <row r="2151" spans="2:2" x14ac:dyDescent="0.25">
      <c r="B2151" s="21"/>
    </row>
    <row r="2152" spans="2:2" x14ac:dyDescent="0.25">
      <c r="B2152" s="21"/>
    </row>
    <row r="2153" spans="2:2" x14ac:dyDescent="0.25">
      <c r="B2153" s="21"/>
    </row>
    <row r="2154" spans="2:2" x14ac:dyDescent="0.25">
      <c r="B2154" s="21"/>
    </row>
    <row r="2155" spans="2:2" x14ac:dyDescent="0.25">
      <c r="B2155" s="21"/>
    </row>
    <row r="2156" spans="2:2" x14ac:dyDescent="0.25">
      <c r="B2156" s="21"/>
    </row>
    <row r="2157" spans="2:2" x14ac:dyDescent="0.25">
      <c r="B2157" s="21"/>
    </row>
    <row r="2158" spans="2:2" x14ac:dyDescent="0.25">
      <c r="B2158" s="21"/>
    </row>
    <row r="2159" spans="2:2" x14ac:dyDescent="0.25">
      <c r="B2159" s="21"/>
    </row>
    <row r="2160" spans="2:2" x14ac:dyDescent="0.25">
      <c r="B2160" s="21"/>
    </row>
    <row r="2161" spans="2:2" x14ac:dyDescent="0.25">
      <c r="B2161" s="21"/>
    </row>
    <row r="2162" spans="2:2" x14ac:dyDescent="0.25">
      <c r="B2162" s="21"/>
    </row>
    <row r="2163" spans="2:2" x14ac:dyDescent="0.25">
      <c r="B2163" s="21"/>
    </row>
    <row r="2164" spans="2:2" x14ac:dyDescent="0.25">
      <c r="B2164" s="21"/>
    </row>
    <row r="2165" spans="2:2" x14ac:dyDescent="0.25">
      <c r="B2165" s="21"/>
    </row>
    <row r="2166" spans="2:2" x14ac:dyDescent="0.25">
      <c r="B2166" s="21"/>
    </row>
    <row r="2167" spans="2:2" x14ac:dyDescent="0.25">
      <c r="B2167" s="21"/>
    </row>
    <row r="2168" spans="2:2" x14ac:dyDescent="0.25">
      <c r="B2168" s="21"/>
    </row>
    <row r="2169" spans="2:2" x14ac:dyDescent="0.25">
      <c r="B2169" s="21"/>
    </row>
    <row r="2170" spans="2:2" x14ac:dyDescent="0.25">
      <c r="B2170" s="21"/>
    </row>
    <row r="2171" spans="2:2" x14ac:dyDescent="0.25">
      <c r="B2171" s="21"/>
    </row>
    <row r="2172" spans="2:2" x14ac:dyDescent="0.25">
      <c r="B2172" s="21"/>
    </row>
    <row r="2173" spans="2:2" x14ac:dyDescent="0.25">
      <c r="B2173" s="21"/>
    </row>
    <row r="2174" spans="2:2" x14ac:dyDescent="0.25">
      <c r="B2174" s="21"/>
    </row>
    <row r="2175" spans="2:2" x14ac:dyDescent="0.25">
      <c r="B2175" s="21"/>
    </row>
    <row r="2176" spans="2:2" x14ac:dyDescent="0.25">
      <c r="B2176" s="21"/>
    </row>
    <row r="2177" spans="2:2" x14ac:dyDescent="0.25">
      <c r="B2177" s="21"/>
    </row>
    <row r="2178" spans="2:2" x14ac:dyDescent="0.25">
      <c r="B2178" s="21"/>
    </row>
    <row r="2179" spans="2:2" x14ac:dyDescent="0.25">
      <c r="B2179" s="21"/>
    </row>
    <row r="2180" spans="2:2" x14ac:dyDescent="0.25">
      <c r="B2180" s="21"/>
    </row>
    <row r="2181" spans="2:2" x14ac:dyDescent="0.25">
      <c r="B2181" s="21"/>
    </row>
    <row r="2182" spans="2:2" x14ac:dyDescent="0.25">
      <c r="B2182" s="21"/>
    </row>
    <row r="2183" spans="2:2" x14ac:dyDescent="0.25">
      <c r="B2183" s="21"/>
    </row>
    <row r="2184" spans="2:2" x14ac:dyDescent="0.25">
      <c r="B2184" s="21"/>
    </row>
    <row r="2185" spans="2:2" x14ac:dyDescent="0.25">
      <c r="B2185" s="21"/>
    </row>
    <row r="2186" spans="2:2" x14ac:dyDescent="0.25">
      <c r="B2186" s="21"/>
    </row>
    <row r="2187" spans="2:2" x14ac:dyDescent="0.25">
      <c r="B2187" s="21"/>
    </row>
    <row r="2188" spans="2:2" x14ac:dyDescent="0.25">
      <c r="B2188" s="21"/>
    </row>
    <row r="2189" spans="2:2" x14ac:dyDescent="0.25">
      <c r="B2189" s="21"/>
    </row>
    <row r="2190" spans="2:2" x14ac:dyDescent="0.25">
      <c r="B2190" s="21"/>
    </row>
    <row r="2191" spans="2:2" x14ac:dyDescent="0.25">
      <c r="B2191" s="21"/>
    </row>
    <row r="2192" spans="2:2" x14ac:dyDescent="0.25">
      <c r="B2192" s="21"/>
    </row>
    <row r="2193" spans="2:2" x14ac:dyDescent="0.25">
      <c r="B2193" s="21"/>
    </row>
    <row r="2194" spans="2:2" x14ac:dyDescent="0.25">
      <c r="B2194" s="21"/>
    </row>
    <row r="2195" spans="2:2" x14ac:dyDescent="0.25">
      <c r="B2195" s="21"/>
    </row>
    <row r="2196" spans="2:2" x14ac:dyDescent="0.25">
      <c r="B2196" s="21"/>
    </row>
    <row r="2197" spans="2:2" x14ac:dyDescent="0.25">
      <c r="B2197" s="21"/>
    </row>
    <row r="2198" spans="2:2" x14ac:dyDescent="0.25">
      <c r="B2198" s="21"/>
    </row>
    <row r="2199" spans="2:2" x14ac:dyDescent="0.25">
      <c r="B2199" s="21"/>
    </row>
    <row r="2200" spans="2:2" x14ac:dyDescent="0.25">
      <c r="B2200" s="21"/>
    </row>
    <row r="2201" spans="2:2" x14ac:dyDescent="0.25">
      <c r="B2201" s="21"/>
    </row>
    <row r="2202" spans="2:2" x14ac:dyDescent="0.25">
      <c r="B2202" s="21"/>
    </row>
    <row r="2203" spans="2:2" x14ac:dyDescent="0.25">
      <c r="B2203" s="21"/>
    </row>
    <row r="2204" spans="2:2" x14ac:dyDescent="0.25">
      <c r="B2204" s="21"/>
    </row>
    <row r="2205" spans="2:2" x14ac:dyDescent="0.25">
      <c r="B2205" s="21"/>
    </row>
    <row r="2206" spans="2:2" x14ac:dyDescent="0.25">
      <c r="B2206" s="21"/>
    </row>
    <row r="2207" spans="2:2" x14ac:dyDescent="0.25">
      <c r="B2207" s="21"/>
    </row>
    <row r="2208" spans="2:2" x14ac:dyDescent="0.25">
      <c r="B2208" s="21"/>
    </row>
    <row r="2209" spans="2:2" x14ac:dyDescent="0.25">
      <c r="B2209" s="21"/>
    </row>
    <row r="2210" spans="2:2" x14ac:dyDescent="0.25">
      <c r="B2210" s="21"/>
    </row>
    <row r="2211" spans="2:2" x14ac:dyDescent="0.25">
      <c r="B2211" s="21"/>
    </row>
    <row r="2212" spans="2:2" x14ac:dyDescent="0.25">
      <c r="B2212" s="21"/>
    </row>
    <row r="2213" spans="2:2" x14ac:dyDescent="0.25">
      <c r="B2213" s="21"/>
    </row>
    <row r="2214" spans="2:2" x14ac:dyDescent="0.25">
      <c r="B2214" s="21"/>
    </row>
    <row r="2215" spans="2:2" x14ac:dyDescent="0.25">
      <c r="B2215" s="21"/>
    </row>
    <row r="2216" spans="2:2" x14ac:dyDescent="0.25">
      <c r="B2216" s="21"/>
    </row>
    <row r="2217" spans="2:2" x14ac:dyDescent="0.25">
      <c r="B2217" s="21"/>
    </row>
    <row r="2218" spans="2:2" x14ac:dyDescent="0.25">
      <c r="B2218" s="21"/>
    </row>
    <row r="2219" spans="2:2" x14ac:dyDescent="0.25">
      <c r="B2219" s="21"/>
    </row>
    <row r="2220" spans="2:2" x14ac:dyDescent="0.25">
      <c r="B2220" s="21"/>
    </row>
    <row r="2221" spans="2:2" x14ac:dyDescent="0.25">
      <c r="B2221" s="21"/>
    </row>
    <row r="2222" spans="2:2" x14ac:dyDescent="0.25">
      <c r="B2222" s="21"/>
    </row>
    <row r="2223" spans="2:2" x14ac:dyDescent="0.25">
      <c r="B2223" s="21"/>
    </row>
    <row r="2224" spans="2:2" x14ac:dyDescent="0.25">
      <c r="B2224" s="21"/>
    </row>
    <row r="2225" spans="2:2" x14ac:dyDescent="0.25">
      <c r="B2225" s="21"/>
    </row>
    <row r="2226" spans="2:2" x14ac:dyDescent="0.25">
      <c r="B2226" s="21"/>
    </row>
    <row r="2227" spans="2:2" x14ac:dyDescent="0.25">
      <c r="B2227" s="21"/>
    </row>
    <row r="2228" spans="2:2" x14ac:dyDescent="0.25">
      <c r="B2228" s="21"/>
    </row>
    <row r="2229" spans="2:2" x14ac:dyDescent="0.25">
      <c r="B2229" s="21"/>
    </row>
    <row r="2230" spans="2:2" x14ac:dyDescent="0.25">
      <c r="B2230" s="21"/>
    </row>
    <row r="2231" spans="2:2" x14ac:dyDescent="0.25">
      <c r="B2231" s="21"/>
    </row>
    <row r="2232" spans="2:2" x14ac:dyDescent="0.25">
      <c r="B2232" s="21"/>
    </row>
    <row r="2233" spans="2:2" x14ac:dyDescent="0.25">
      <c r="B2233" s="21"/>
    </row>
    <row r="2234" spans="2:2" x14ac:dyDescent="0.25">
      <c r="B2234" s="21"/>
    </row>
    <row r="2235" spans="2:2" x14ac:dyDescent="0.25">
      <c r="B2235" s="21"/>
    </row>
    <row r="2236" spans="2:2" x14ac:dyDescent="0.25">
      <c r="B2236" s="21"/>
    </row>
    <row r="2237" spans="2:2" x14ac:dyDescent="0.25">
      <c r="B2237" s="21"/>
    </row>
    <row r="2238" spans="2:2" x14ac:dyDescent="0.25">
      <c r="B2238" s="21"/>
    </row>
    <row r="2239" spans="2:2" x14ac:dyDescent="0.25">
      <c r="B2239" s="21"/>
    </row>
    <row r="2240" spans="2:2" x14ac:dyDescent="0.25">
      <c r="B2240" s="21"/>
    </row>
    <row r="2241" spans="2:2" x14ac:dyDescent="0.25">
      <c r="B2241" s="21"/>
    </row>
    <row r="2242" spans="2:2" x14ac:dyDescent="0.25">
      <c r="B2242" s="21"/>
    </row>
    <row r="2243" spans="2:2" x14ac:dyDescent="0.25">
      <c r="B2243" s="21"/>
    </row>
    <row r="2244" spans="2:2" x14ac:dyDescent="0.25">
      <c r="B2244" s="21"/>
    </row>
    <row r="2245" spans="2:2" x14ac:dyDescent="0.25">
      <c r="B2245" s="21"/>
    </row>
    <row r="2246" spans="2:2" x14ac:dyDescent="0.25">
      <c r="B2246" s="21"/>
    </row>
    <row r="2247" spans="2:2" x14ac:dyDescent="0.25">
      <c r="B2247" s="21"/>
    </row>
    <row r="2248" spans="2:2" x14ac:dyDescent="0.25">
      <c r="B2248" s="21"/>
    </row>
    <row r="2249" spans="2:2" x14ac:dyDescent="0.25">
      <c r="B2249" s="21"/>
    </row>
    <row r="2250" spans="2:2" x14ac:dyDescent="0.25">
      <c r="B2250" s="21"/>
    </row>
    <row r="2251" spans="2:2" x14ac:dyDescent="0.25">
      <c r="B2251" s="21"/>
    </row>
    <row r="2252" spans="2:2" x14ac:dyDescent="0.25">
      <c r="B2252" s="21"/>
    </row>
    <row r="2253" spans="2:2" x14ac:dyDescent="0.25">
      <c r="B2253" s="21"/>
    </row>
    <row r="2254" spans="2:2" x14ac:dyDescent="0.25">
      <c r="B2254" s="21"/>
    </row>
    <row r="2255" spans="2:2" x14ac:dyDescent="0.25">
      <c r="B2255" s="21"/>
    </row>
    <row r="2256" spans="2:2" x14ac:dyDescent="0.25">
      <c r="B2256" s="21"/>
    </row>
    <row r="2257" spans="2:2" x14ac:dyDescent="0.25">
      <c r="B2257" s="21"/>
    </row>
    <row r="2258" spans="2:2" x14ac:dyDescent="0.25">
      <c r="B2258" s="21"/>
    </row>
    <row r="2259" spans="2:2" x14ac:dyDescent="0.25">
      <c r="B2259" s="21"/>
    </row>
    <row r="2260" spans="2:2" x14ac:dyDescent="0.25">
      <c r="B2260" s="21"/>
    </row>
    <row r="2261" spans="2:2" x14ac:dyDescent="0.25">
      <c r="B2261" s="21"/>
    </row>
    <row r="2262" spans="2:2" x14ac:dyDescent="0.25">
      <c r="B2262" s="21"/>
    </row>
    <row r="2263" spans="2:2" x14ac:dyDescent="0.25">
      <c r="B2263" s="21"/>
    </row>
    <row r="2264" spans="2:2" x14ac:dyDescent="0.25">
      <c r="B2264" s="21"/>
    </row>
    <row r="2265" spans="2:2" x14ac:dyDescent="0.25">
      <c r="B2265" s="21"/>
    </row>
    <row r="2266" spans="2:2" x14ac:dyDescent="0.25">
      <c r="B2266" s="21"/>
    </row>
    <row r="2267" spans="2:2" x14ac:dyDescent="0.25">
      <c r="B2267" s="21"/>
    </row>
    <row r="2268" spans="2:2" x14ac:dyDescent="0.25">
      <c r="B2268" s="21"/>
    </row>
    <row r="2269" spans="2:2" x14ac:dyDescent="0.25">
      <c r="B2269" s="21"/>
    </row>
    <row r="2270" spans="2:2" x14ac:dyDescent="0.25">
      <c r="B2270" s="21"/>
    </row>
    <row r="2271" spans="2:2" x14ac:dyDescent="0.25">
      <c r="B2271" s="21"/>
    </row>
    <row r="2272" spans="2:2" x14ac:dyDescent="0.25">
      <c r="B2272" s="21"/>
    </row>
    <row r="2273" spans="2:2" x14ac:dyDescent="0.25">
      <c r="B2273" s="21"/>
    </row>
    <row r="2274" spans="2:2" x14ac:dyDescent="0.25">
      <c r="B2274" s="21"/>
    </row>
    <row r="2275" spans="2:2" x14ac:dyDescent="0.25">
      <c r="B2275" s="21"/>
    </row>
    <row r="2276" spans="2:2" x14ac:dyDescent="0.25">
      <c r="B2276" s="21"/>
    </row>
    <row r="2277" spans="2:2" x14ac:dyDescent="0.25">
      <c r="B2277" s="21"/>
    </row>
    <row r="2278" spans="2:2" x14ac:dyDescent="0.25">
      <c r="B2278" s="21"/>
    </row>
    <row r="2279" spans="2:2" x14ac:dyDescent="0.25">
      <c r="B2279" s="21"/>
    </row>
    <row r="2280" spans="2:2" x14ac:dyDescent="0.25">
      <c r="B2280" s="21"/>
    </row>
    <row r="2281" spans="2:2" x14ac:dyDescent="0.25">
      <c r="B2281" s="21"/>
    </row>
    <row r="2282" spans="2:2" x14ac:dyDescent="0.25">
      <c r="B2282" s="21"/>
    </row>
    <row r="2283" spans="2:2" x14ac:dyDescent="0.25">
      <c r="B2283" s="21"/>
    </row>
    <row r="2284" spans="2:2" x14ac:dyDescent="0.25">
      <c r="B2284" s="21"/>
    </row>
    <row r="2285" spans="2:2" x14ac:dyDescent="0.25">
      <c r="B2285" s="21"/>
    </row>
    <row r="2286" spans="2:2" x14ac:dyDescent="0.25">
      <c r="B2286" s="21"/>
    </row>
    <row r="2287" spans="2:2" x14ac:dyDescent="0.25">
      <c r="B2287" s="21"/>
    </row>
    <row r="2288" spans="2:2" x14ac:dyDescent="0.25">
      <c r="B2288" s="21"/>
    </row>
    <row r="2289" spans="2:2" x14ac:dyDescent="0.25">
      <c r="B2289" s="21"/>
    </row>
    <row r="2290" spans="2:2" x14ac:dyDescent="0.25">
      <c r="B2290" s="21"/>
    </row>
    <row r="2291" spans="2:2" x14ac:dyDescent="0.25">
      <c r="B2291" s="21"/>
    </row>
    <row r="2292" spans="2:2" x14ac:dyDescent="0.25">
      <c r="B2292" s="21"/>
    </row>
    <row r="2293" spans="2:2" x14ac:dyDescent="0.25">
      <c r="B2293" s="21"/>
    </row>
    <row r="2294" spans="2:2" x14ac:dyDescent="0.25">
      <c r="B2294" s="21"/>
    </row>
    <row r="2295" spans="2:2" x14ac:dyDescent="0.25">
      <c r="B2295" s="21"/>
    </row>
    <row r="2296" spans="2:2" x14ac:dyDescent="0.25">
      <c r="B2296" s="21"/>
    </row>
    <row r="2297" spans="2:2" x14ac:dyDescent="0.25">
      <c r="B2297" s="21"/>
    </row>
    <row r="2298" spans="2:2" x14ac:dyDescent="0.25">
      <c r="B2298" s="21"/>
    </row>
    <row r="2299" spans="2:2" x14ac:dyDescent="0.25">
      <c r="B2299" s="21"/>
    </row>
    <row r="2300" spans="2:2" x14ac:dyDescent="0.25">
      <c r="B2300" s="21"/>
    </row>
    <row r="2301" spans="2:2" x14ac:dyDescent="0.25">
      <c r="B2301" s="21"/>
    </row>
    <row r="2302" spans="2:2" x14ac:dyDescent="0.25">
      <c r="B2302" s="21"/>
    </row>
    <row r="2303" spans="2:2" x14ac:dyDescent="0.25">
      <c r="B2303" s="21"/>
    </row>
    <row r="2304" spans="2:2" x14ac:dyDescent="0.25">
      <c r="B2304" s="21"/>
    </row>
    <row r="2305" spans="2:2" x14ac:dyDescent="0.25">
      <c r="B2305" s="21"/>
    </row>
    <row r="2306" spans="2:2" x14ac:dyDescent="0.25">
      <c r="B2306" s="21"/>
    </row>
    <row r="2307" spans="2:2" x14ac:dyDescent="0.25">
      <c r="B2307" s="21"/>
    </row>
    <row r="2308" spans="2:2" x14ac:dyDescent="0.25">
      <c r="B2308" s="21"/>
    </row>
    <row r="2309" spans="2:2" x14ac:dyDescent="0.25">
      <c r="B2309" s="21"/>
    </row>
    <row r="2310" spans="2:2" x14ac:dyDescent="0.25">
      <c r="B2310" s="21"/>
    </row>
    <row r="2311" spans="2:2" x14ac:dyDescent="0.25">
      <c r="B2311" s="21"/>
    </row>
    <row r="2312" spans="2:2" x14ac:dyDescent="0.25">
      <c r="B2312" s="21"/>
    </row>
    <row r="2313" spans="2:2" x14ac:dyDescent="0.25">
      <c r="B2313" s="21"/>
    </row>
    <row r="2314" spans="2:2" x14ac:dyDescent="0.25">
      <c r="B2314" s="21"/>
    </row>
    <row r="2315" spans="2:2" x14ac:dyDescent="0.25">
      <c r="B2315" s="21"/>
    </row>
    <row r="2316" spans="2:2" x14ac:dyDescent="0.25">
      <c r="B2316" s="21"/>
    </row>
    <row r="2317" spans="2:2" x14ac:dyDescent="0.25">
      <c r="B2317" s="21"/>
    </row>
    <row r="2318" spans="2:2" x14ac:dyDescent="0.25">
      <c r="B2318" s="21"/>
    </row>
    <row r="2319" spans="2:2" x14ac:dyDescent="0.25">
      <c r="B2319" s="21"/>
    </row>
    <row r="2320" spans="2:2" x14ac:dyDescent="0.25">
      <c r="B2320" s="21"/>
    </row>
    <row r="2321" spans="2:2" x14ac:dyDescent="0.25">
      <c r="B2321" s="21"/>
    </row>
    <row r="2322" spans="2:2" x14ac:dyDescent="0.25">
      <c r="B2322" s="21"/>
    </row>
    <row r="2323" spans="2:2" x14ac:dyDescent="0.25">
      <c r="B2323" s="21"/>
    </row>
    <row r="2324" spans="2:2" x14ac:dyDescent="0.25">
      <c r="B2324" s="21"/>
    </row>
    <row r="2325" spans="2:2" x14ac:dyDescent="0.25">
      <c r="B2325" s="21"/>
    </row>
    <row r="2326" spans="2:2" x14ac:dyDescent="0.25">
      <c r="B2326" s="21"/>
    </row>
    <row r="2327" spans="2:2" x14ac:dyDescent="0.25">
      <c r="B2327" s="21"/>
    </row>
    <row r="2328" spans="2:2" x14ac:dyDescent="0.25">
      <c r="B2328" s="21"/>
    </row>
    <row r="2329" spans="2:2" x14ac:dyDescent="0.25">
      <c r="B2329" s="21"/>
    </row>
    <row r="2330" spans="2:2" x14ac:dyDescent="0.25">
      <c r="B2330" s="21"/>
    </row>
    <row r="2331" spans="2:2" x14ac:dyDescent="0.25">
      <c r="B2331" s="21"/>
    </row>
    <row r="2332" spans="2:2" x14ac:dyDescent="0.25">
      <c r="B2332" s="21"/>
    </row>
    <row r="2333" spans="2:2" x14ac:dyDescent="0.25">
      <c r="B2333" s="21"/>
    </row>
    <row r="2334" spans="2:2" x14ac:dyDescent="0.25">
      <c r="B2334" s="21"/>
    </row>
    <row r="2335" spans="2:2" x14ac:dyDescent="0.25">
      <c r="B2335" s="21"/>
    </row>
    <row r="2336" spans="2:2" x14ac:dyDescent="0.25">
      <c r="B2336" s="21"/>
    </row>
    <row r="2337" spans="2:2" x14ac:dyDescent="0.25">
      <c r="B2337" s="21"/>
    </row>
    <row r="2338" spans="2:2" x14ac:dyDescent="0.25">
      <c r="B2338" s="21"/>
    </row>
    <row r="2339" spans="2:2" x14ac:dyDescent="0.25">
      <c r="B2339" s="21"/>
    </row>
    <row r="2340" spans="2:2" x14ac:dyDescent="0.25">
      <c r="B2340" s="21"/>
    </row>
    <row r="2341" spans="2:2" x14ac:dyDescent="0.25">
      <c r="B2341" s="21"/>
    </row>
    <row r="2342" spans="2:2" x14ac:dyDescent="0.25">
      <c r="B2342" s="21"/>
    </row>
    <row r="2343" spans="2:2" x14ac:dyDescent="0.25">
      <c r="B2343" s="21"/>
    </row>
    <row r="2344" spans="2:2" x14ac:dyDescent="0.25">
      <c r="B2344" s="21"/>
    </row>
    <row r="2345" spans="2:2" x14ac:dyDescent="0.25">
      <c r="B2345" s="21"/>
    </row>
    <row r="2346" spans="2:2" x14ac:dyDescent="0.25">
      <c r="B2346" s="21"/>
    </row>
    <row r="2347" spans="2:2" x14ac:dyDescent="0.25">
      <c r="B2347" s="21"/>
    </row>
    <row r="2348" spans="2:2" x14ac:dyDescent="0.25">
      <c r="B2348" s="21"/>
    </row>
    <row r="2349" spans="2:2" x14ac:dyDescent="0.25">
      <c r="B2349" s="21"/>
    </row>
    <row r="2350" spans="2:2" x14ac:dyDescent="0.25">
      <c r="B2350" s="21"/>
    </row>
    <row r="2351" spans="2:2" x14ac:dyDescent="0.25">
      <c r="B2351" s="21"/>
    </row>
    <row r="2352" spans="2:2" x14ac:dyDescent="0.25">
      <c r="B2352" s="21"/>
    </row>
    <row r="2353" spans="2:2" x14ac:dyDescent="0.25">
      <c r="B2353" s="21"/>
    </row>
    <row r="2354" spans="2:2" x14ac:dyDescent="0.25">
      <c r="B2354" s="21"/>
    </row>
    <row r="2355" spans="2:2" x14ac:dyDescent="0.25">
      <c r="B2355" s="21"/>
    </row>
    <row r="2356" spans="2:2" x14ac:dyDescent="0.25">
      <c r="B2356" s="21"/>
    </row>
    <row r="2357" spans="2:2" x14ac:dyDescent="0.25">
      <c r="B2357" s="21"/>
    </row>
    <row r="2358" spans="2:2" x14ac:dyDescent="0.25">
      <c r="B2358" s="21"/>
    </row>
    <row r="2359" spans="2:2" x14ac:dyDescent="0.25">
      <c r="B2359" s="21"/>
    </row>
    <row r="2360" spans="2:2" x14ac:dyDescent="0.25">
      <c r="B2360" s="21"/>
    </row>
    <row r="2361" spans="2:2" x14ac:dyDescent="0.25">
      <c r="B2361" s="21"/>
    </row>
    <row r="2362" spans="2:2" x14ac:dyDescent="0.25">
      <c r="B2362" s="21"/>
    </row>
    <row r="2363" spans="2:2" x14ac:dyDescent="0.25">
      <c r="B2363" s="21"/>
    </row>
    <row r="2364" spans="2:2" x14ac:dyDescent="0.25">
      <c r="B2364" s="21"/>
    </row>
    <row r="2365" spans="2:2" x14ac:dyDescent="0.25">
      <c r="B2365" s="21"/>
    </row>
    <row r="2366" spans="2:2" x14ac:dyDescent="0.25">
      <c r="B2366" s="21"/>
    </row>
    <row r="2367" spans="2:2" x14ac:dyDescent="0.25">
      <c r="B2367" s="21"/>
    </row>
    <row r="2368" spans="2:2" x14ac:dyDescent="0.25">
      <c r="B2368" s="21"/>
    </row>
    <row r="2369" spans="2:2" x14ac:dyDescent="0.25">
      <c r="B2369" s="21"/>
    </row>
    <row r="2370" spans="2:2" x14ac:dyDescent="0.25">
      <c r="B2370" s="21"/>
    </row>
    <row r="2371" spans="2:2" x14ac:dyDescent="0.25">
      <c r="B2371" s="21"/>
    </row>
    <row r="2372" spans="2:2" x14ac:dyDescent="0.25">
      <c r="B2372" s="21"/>
    </row>
    <row r="2373" spans="2:2" x14ac:dyDescent="0.25">
      <c r="B2373" s="21"/>
    </row>
    <row r="2374" spans="2:2" x14ac:dyDescent="0.25">
      <c r="B2374" s="21"/>
    </row>
    <row r="2375" spans="2:2" x14ac:dyDescent="0.25">
      <c r="B2375" s="21"/>
    </row>
    <row r="2376" spans="2:2" x14ac:dyDescent="0.25">
      <c r="B2376" s="21"/>
    </row>
    <row r="2377" spans="2:2" x14ac:dyDescent="0.25">
      <c r="B2377" s="21"/>
    </row>
    <row r="2378" spans="2:2" x14ac:dyDescent="0.25">
      <c r="B2378" s="21"/>
    </row>
    <row r="2379" spans="2:2" x14ac:dyDescent="0.25">
      <c r="B2379" s="21"/>
    </row>
    <row r="2380" spans="2:2" x14ac:dyDescent="0.25">
      <c r="B2380" s="21"/>
    </row>
    <row r="2381" spans="2:2" x14ac:dyDescent="0.25">
      <c r="B2381" s="21"/>
    </row>
    <row r="2382" spans="2:2" x14ac:dyDescent="0.25">
      <c r="B2382" s="21"/>
    </row>
    <row r="2383" spans="2:2" x14ac:dyDescent="0.25">
      <c r="B2383" s="21"/>
    </row>
    <row r="2384" spans="2:2" x14ac:dyDescent="0.25">
      <c r="B2384" s="21"/>
    </row>
    <row r="2385" spans="2:2" x14ac:dyDescent="0.25">
      <c r="B2385" s="21"/>
    </row>
    <row r="2386" spans="2:2" x14ac:dyDescent="0.25">
      <c r="B2386" s="21"/>
    </row>
    <row r="2387" spans="2:2" x14ac:dyDescent="0.25">
      <c r="B2387" s="21"/>
    </row>
    <row r="2388" spans="2:2" x14ac:dyDescent="0.25">
      <c r="B2388" s="21"/>
    </row>
    <row r="2389" spans="2:2" x14ac:dyDescent="0.25">
      <c r="B2389" s="21"/>
    </row>
    <row r="2390" spans="2:2" x14ac:dyDescent="0.25">
      <c r="B2390" s="21"/>
    </row>
    <row r="2391" spans="2:2" x14ac:dyDescent="0.25">
      <c r="B2391" s="21"/>
    </row>
    <row r="2392" spans="2:2" x14ac:dyDescent="0.25">
      <c r="B2392" s="21"/>
    </row>
    <row r="2393" spans="2:2" x14ac:dyDescent="0.25">
      <c r="B2393" s="21"/>
    </row>
    <row r="2394" spans="2:2" x14ac:dyDescent="0.25">
      <c r="B2394" s="21"/>
    </row>
    <row r="2395" spans="2:2" x14ac:dyDescent="0.25">
      <c r="B2395" s="21"/>
    </row>
    <row r="2396" spans="2:2" x14ac:dyDescent="0.25">
      <c r="B2396" s="21"/>
    </row>
    <row r="2397" spans="2:2" x14ac:dyDescent="0.25">
      <c r="B2397" s="21"/>
    </row>
    <row r="2398" spans="2:2" x14ac:dyDescent="0.25">
      <c r="B2398" s="21"/>
    </row>
    <row r="2399" spans="2:2" x14ac:dyDescent="0.25">
      <c r="B2399" s="21"/>
    </row>
    <row r="2400" spans="2:2" x14ac:dyDescent="0.25">
      <c r="B2400" s="21"/>
    </row>
    <row r="2401" spans="2:2" x14ac:dyDescent="0.25">
      <c r="B2401" s="21"/>
    </row>
    <row r="2402" spans="2:2" x14ac:dyDescent="0.25">
      <c r="B2402" s="21"/>
    </row>
    <row r="2403" spans="2:2" x14ac:dyDescent="0.25">
      <c r="B2403" s="21"/>
    </row>
    <row r="2404" spans="2:2" x14ac:dyDescent="0.25">
      <c r="B2404" s="21"/>
    </row>
    <row r="2405" spans="2:2" x14ac:dyDescent="0.25">
      <c r="B2405" s="21"/>
    </row>
    <row r="2406" spans="2:2" x14ac:dyDescent="0.25">
      <c r="B2406" s="21"/>
    </row>
    <row r="2407" spans="2:2" x14ac:dyDescent="0.25">
      <c r="B2407" s="21"/>
    </row>
    <row r="2408" spans="2:2" x14ac:dyDescent="0.25">
      <c r="B2408" s="21"/>
    </row>
    <row r="2409" spans="2:2" x14ac:dyDescent="0.25">
      <c r="B2409" s="21"/>
    </row>
    <row r="2410" spans="2:2" x14ac:dyDescent="0.25">
      <c r="B2410" s="21"/>
    </row>
    <row r="2411" spans="2:2" x14ac:dyDescent="0.25">
      <c r="B2411" s="21"/>
    </row>
    <row r="2412" spans="2:2" x14ac:dyDescent="0.25">
      <c r="B2412" s="21"/>
    </row>
    <row r="2413" spans="2:2" x14ac:dyDescent="0.25">
      <c r="B2413" s="21"/>
    </row>
    <row r="2414" spans="2:2" x14ac:dyDescent="0.25">
      <c r="B2414" s="21"/>
    </row>
    <row r="2415" spans="2:2" x14ac:dyDescent="0.25">
      <c r="B2415" s="21"/>
    </row>
    <row r="2416" spans="2:2" x14ac:dyDescent="0.25">
      <c r="B2416" s="21"/>
    </row>
    <row r="2417" spans="2:2" x14ac:dyDescent="0.25">
      <c r="B2417" s="21"/>
    </row>
    <row r="2418" spans="2:2" x14ac:dyDescent="0.25">
      <c r="B2418" s="21"/>
    </row>
    <row r="2419" spans="2:2" x14ac:dyDescent="0.25">
      <c r="B2419" s="21"/>
    </row>
    <row r="2420" spans="2:2" x14ac:dyDescent="0.25">
      <c r="B2420" s="21"/>
    </row>
    <row r="2421" spans="2:2" x14ac:dyDescent="0.25">
      <c r="B2421" s="21"/>
    </row>
    <row r="2422" spans="2:2" x14ac:dyDescent="0.25">
      <c r="B2422" s="21"/>
    </row>
    <row r="2423" spans="2:2" x14ac:dyDescent="0.25">
      <c r="B2423" s="21"/>
    </row>
  </sheetData>
  <mergeCells count="4">
    <mergeCell ref="AP1:AP2"/>
    <mergeCell ref="AZ1:AZ2"/>
    <mergeCell ref="BS1:BS2"/>
    <mergeCell ref="BT1:BT2"/>
  </mergeCells>
  <pageMargins left="0.59055118110236227" right="0.39370078740157483" top="1.1811023622047245" bottom="0.59055118110236227" header="0.51181102362204722" footer="0.51181102362204722"/>
  <pageSetup paperSize="9" scale="59" orientation="portrait" r:id="rId1"/>
  <headerFooter alignWithMargins="0">
    <oddHeader xml:space="preserve">&amp;C&amp;"Times New Roman,Félkövér"&amp;9 &amp;12 Budapest VIII. kerületi Önkormányzat 2020. évi költségvetés
 bevételi és kiadási előirányzatai címrendenként
&amp;R&amp;"Times New Roman,Félkövér"2. melléklet a
 ......önkormányzati rendelethez
eFt-ban&amp;"MS Sans Serif,Normál"
</oddHeader>
    <oddFooter>&amp;R
&amp;P</oddFooter>
  </headerFooter>
  <colBreaks count="4" manualBreakCount="4">
    <brk id="8" max="68" man="1"/>
    <brk id="42" max="68" man="1"/>
    <brk id="59" max="68" man="1"/>
    <brk id="65" max="6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BV2423"/>
  <sheetViews>
    <sheetView zoomScaleNormal="100" workbookViewId="0">
      <pane xSplit="1" ySplit="6" topLeftCell="BO58" activePane="bottomRight" state="frozen"/>
      <selection activeCell="DU75" sqref="DU75"/>
      <selection pane="topRight" activeCell="DU75" sqref="DU75"/>
      <selection pane="bottomLeft" activeCell="DU75" sqref="DU75"/>
      <selection pane="bottomRight" activeCell="BP63" sqref="BP63"/>
    </sheetView>
  </sheetViews>
  <sheetFormatPr defaultColWidth="10.6640625" defaultRowHeight="13.2" x14ac:dyDescent="0.25"/>
  <cols>
    <col min="1" max="1" width="55.6640625" style="20" customWidth="1"/>
    <col min="2" max="2" width="13.33203125" style="27" customWidth="1"/>
    <col min="3" max="3" width="11.44140625" style="21" customWidth="1"/>
    <col min="4" max="41" width="13.33203125" style="21" customWidth="1"/>
    <col min="42" max="42" width="13.33203125" style="193" customWidth="1"/>
    <col min="43" max="51" width="13.33203125" style="21" customWidth="1"/>
    <col min="52" max="52" width="13.88671875" style="193" customWidth="1"/>
    <col min="53" max="66" width="13.33203125" style="21" customWidth="1"/>
    <col min="67" max="70" width="13.33203125" style="22" customWidth="1"/>
    <col min="71" max="71" width="15.6640625" style="22" customWidth="1"/>
    <col min="72" max="72" width="16.5546875" style="22" customWidth="1"/>
    <col min="73" max="76" width="14.6640625" style="9" customWidth="1"/>
    <col min="77" max="16384" width="10.6640625" style="9"/>
  </cols>
  <sheetData>
    <row r="1" spans="1:73" s="1" customFormat="1" ht="13.2" customHeight="1" x14ac:dyDescent="0.25">
      <c r="A1" s="204" t="s">
        <v>768</v>
      </c>
      <c r="B1" s="826">
        <v>11101</v>
      </c>
      <c r="C1" s="826">
        <v>11102</v>
      </c>
      <c r="D1" s="826">
        <v>11103</v>
      </c>
      <c r="E1" s="205">
        <v>11104</v>
      </c>
      <c r="F1" s="826">
        <v>11105</v>
      </c>
      <c r="G1" s="205" t="s">
        <v>1</v>
      </c>
      <c r="H1" s="826" t="s">
        <v>2</v>
      </c>
      <c r="I1" s="826" t="s">
        <v>3</v>
      </c>
      <c r="J1" s="826" t="s">
        <v>4</v>
      </c>
      <c r="K1" s="826" t="s">
        <v>5</v>
      </c>
      <c r="L1" s="826">
        <v>11201</v>
      </c>
      <c r="M1" s="205">
        <v>11301</v>
      </c>
      <c r="N1" s="826">
        <v>11303</v>
      </c>
      <c r="O1" s="826">
        <v>11401</v>
      </c>
      <c r="P1" s="826">
        <v>11402</v>
      </c>
      <c r="Q1" s="826" t="s">
        <v>6</v>
      </c>
      <c r="R1" s="826" t="s">
        <v>7</v>
      </c>
      <c r="S1" s="826">
        <v>11405</v>
      </c>
      <c r="T1" s="205">
        <v>11406</v>
      </c>
      <c r="U1" s="826">
        <v>11407</v>
      </c>
      <c r="V1" s="826">
        <v>11501</v>
      </c>
      <c r="W1" s="826">
        <v>11502</v>
      </c>
      <c r="X1" s="826">
        <v>11601</v>
      </c>
      <c r="Y1" s="826" t="s">
        <v>8</v>
      </c>
      <c r="Z1" s="205" t="s">
        <v>9</v>
      </c>
      <c r="AA1" s="826" t="s">
        <v>10</v>
      </c>
      <c r="AB1" s="826" t="s">
        <v>11</v>
      </c>
      <c r="AC1" s="826">
        <v>11602</v>
      </c>
      <c r="AD1" s="826">
        <v>11603</v>
      </c>
      <c r="AE1" s="826">
        <v>11604</v>
      </c>
      <c r="AF1" s="205">
        <v>11605</v>
      </c>
      <c r="AG1" s="205">
        <v>11701</v>
      </c>
      <c r="AH1" s="826">
        <v>11702</v>
      </c>
      <c r="AI1" s="826">
        <v>11703</v>
      </c>
      <c r="AJ1" s="826">
        <v>11704</v>
      </c>
      <c r="AK1" s="826">
        <v>11705</v>
      </c>
      <c r="AL1" s="205" t="s">
        <v>12</v>
      </c>
      <c r="AM1" s="826" t="s">
        <v>13</v>
      </c>
      <c r="AN1" s="826">
        <v>11803</v>
      </c>
      <c r="AO1" s="205">
        <v>11805</v>
      </c>
      <c r="AP1" s="2694" t="s">
        <v>1222</v>
      </c>
      <c r="AQ1" s="205">
        <v>20102</v>
      </c>
      <c r="AR1" s="205">
        <v>20103</v>
      </c>
      <c r="AS1" s="205">
        <v>20104</v>
      </c>
      <c r="AT1" s="943" t="s">
        <v>1182</v>
      </c>
      <c r="AU1" s="943" t="s">
        <v>1184</v>
      </c>
      <c r="AV1" s="205" t="s">
        <v>1185</v>
      </c>
      <c r="AW1" s="943" t="s">
        <v>1186</v>
      </c>
      <c r="AX1" s="205">
        <v>20202</v>
      </c>
      <c r="AY1" s="205">
        <v>20203</v>
      </c>
      <c r="AZ1" s="2694" t="s">
        <v>1223</v>
      </c>
      <c r="BA1" s="826">
        <v>40101</v>
      </c>
      <c r="BB1" s="826" t="s">
        <v>14</v>
      </c>
      <c r="BC1" s="826" t="s">
        <v>15</v>
      </c>
      <c r="BD1" s="205" t="s">
        <v>16</v>
      </c>
      <c r="BE1" s="938" t="s">
        <v>1197</v>
      </c>
      <c r="BF1" s="826">
        <v>40103</v>
      </c>
      <c r="BG1" s="826" t="s">
        <v>17</v>
      </c>
      <c r="BH1" s="826" t="s">
        <v>18</v>
      </c>
      <c r="BI1" s="826">
        <v>40105</v>
      </c>
      <c r="BJ1" s="826">
        <v>40106</v>
      </c>
      <c r="BK1" s="205">
        <v>40107</v>
      </c>
      <c r="BL1" s="826" t="s">
        <v>1206</v>
      </c>
      <c r="BM1" s="938" t="s">
        <v>1208</v>
      </c>
      <c r="BN1" s="938">
        <v>40109</v>
      </c>
      <c r="BO1" s="938">
        <v>40100</v>
      </c>
      <c r="BP1" s="938">
        <v>40200</v>
      </c>
      <c r="BQ1" s="940">
        <v>50100</v>
      </c>
      <c r="BR1" s="206">
        <v>70100</v>
      </c>
      <c r="BS1" s="2696" t="s">
        <v>928</v>
      </c>
      <c r="BT1" s="2698" t="s">
        <v>927</v>
      </c>
    </row>
    <row r="2" spans="1:73" s="3" customFormat="1" ht="92.4" x14ac:dyDescent="0.25">
      <c r="A2" s="832" t="s">
        <v>22</v>
      </c>
      <c r="B2" s="827" t="s">
        <v>23</v>
      </c>
      <c r="C2" s="827" t="s">
        <v>24</v>
      </c>
      <c r="D2" s="827" t="s">
        <v>25</v>
      </c>
      <c r="E2" s="89" t="s">
        <v>26</v>
      </c>
      <c r="F2" s="827" t="s">
        <v>27</v>
      </c>
      <c r="G2" s="89" t="s">
        <v>28</v>
      </c>
      <c r="H2" s="827" t="s">
        <v>29</v>
      </c>
      <c r="I2" s="827" t="s">
        <v>30</v>
      </c>
      <c r="J2" s="944" t="s">
        <v>1146</v>
      </c>
      <c r="K2" s="827" t="s">
        <v>31</v>
      </c>
      <c r="L2" s="827" t="s">
        <v>32</v>
      </c>
      <c r="M2" s="89" t="s">
        <v>33</v>
      </c>
      <c r="N2" s="827" t="s">
        <v>34</v>
      </c>
      <c r="O2" s="827" t="s">
        <v>35</v>
      </c>
      <c r="P2" s="827" t="s">
        <v>2239</v>
      </c>
      <c r="Q2" s="827" t="s">
        <v>36</v>
      </c>
      <c r="R2" s="827" t="s">
        <v>37</v>
      </c>
      <c r="S2" s="827" t="s">
        <v>38</v>
      </c>
      <c r="T2" s="89" t="s">
        <v>39</v>
      </c>
      <c r="U2" s="827" t="s">
        <v>40</v>
      </c>
      <c r="V2" s="827" t="s">
        <v>1165</v>
      </c>
      <c r="W2" s="827" t="s">
        <v>41</v>
      </c>
      <c r="X2" s="827" t="s">
        <v>42</v>
      </c>
      <c r="Y2" s="827" t="s">
        <v>43</v>
      </c>
      <c r="Z2" s="89" t="s">
        <v>44</v>
      </c>
      <c r="AA2" s="827" t="s">
        <v>45</v>
      </c>
      <c r="AB2" s="827" t="s">
        <v>44</v>
      </c>
      <c r="AC2" s="90" t="s">
        <v>46</v>
      </c>
      <c r="AD2" s="827" t="s">
        <v>47</v>
      </c>
      <c r="AE2" s="827" t="s">
        <v>562</v>
      </c>
      <c r="AF2" s="89" t="s">
        <v>989</v>
      </c>
      <c r="AG2" s="89" t="s">
        <v>44</v>
      </c>
      <c r="AH2" s="827" t="s">
        <v>50</v>
      </c>
      <c r="AI2" s="827" t="s">
        <v>231</v>
      </c>
      <c r="AJ2" s="827" t="s">
        <v>51</v>
      </c>
      <c r="AK2" s="827" t="s">
        <v>52</v>
      </c>
      <c r="AL2" s="89" t="s">
        <v>53</v>
      </c>
      <c r="AM2" s="827" t="s">
        <v>54</v>
      </c>
      <c r="AN2" s="827" t="s">
        <v>55</v>
      </c>
      <c r="AO2" s="91" t="s">
        <v>56</v>
      </c>
      <c r="AP2" s="2695"/>
      <c r="AQ2" s="89" t="s">
        <v>57</v>
      </c>
      <c r="AR2" s="89" t="s">
        <v>58</v>
      </c>
      <c r="AS2" s="89" t="s">
        <v>59</v>
      </c>
      <c r="AT2" s="944" t="s">
        <v>60</v>
      </c>
      <c r="AU2" s="944" t="s">
        <v>61</v>
      </c>
      <c r="AV2" s="89" t="s">
        <v>62</v>
      </c>
      <c r="AW2" s="944" t="s">
        <v>63</v>
      </c>
      <c r="AX2" s="89" t="s">
        <v>64</v>
      </c>
      <c r="AY2" s="944" t="s">
        <v>65</v>
      </c>
      <c r="AZ2" s="2695"/>
      <c r="BA2" s="827" t="s">
        <v>67</v>
      </c>
      <c r="BB2" s="827" t="s">
        <v>68</v>
      </c>
      <c r="BC2" s="827" t="s">
        <v>69</v>
      </c>
      <c r="BD2" s="89" t="s">
        <v>1194</v>
      </c>
      <c r="BE2" s="939" t="s">
        <v>1224</v>
      </c>
      <c r="BF2" s="827" t="s">
        <v>70</v>
      </c>
      <c r="BG2" s="827" t="s">
        <v>71</v>
      </c>
      <c r="BH2" s="827" t="s">
        <v>72</v>
      </c>
      <c r="BI2" s="827" t="s">
        <v>73</v>
      </c>
      <c r="BJ2" s="827" t="s">
        <v>74</v>
      </c>
      <c r="BK2" s="89" t="s">
        <v>75</v>
      </c>
      <c r="BL2" s="827" t="s">
        <v>76</v>
      </c>
      <c r="BM2" s="939" t="s">
        <v>485</v>
      </c>
      <c r="BN2" s="939" t="s">
        <v>77</v>
      </c>
      <c r="BO2" s="91" t="s">
        <v>78</v>
      </c>
      <c r="BP2" s="91" t="s">
        <v>79</v>
      </c>
      <c r="BQ2" s="91" t="s">
        <v>80</v>
      </c>
      <c r="BR2" s="942" t="s">
        <v>294</v>
      </c>
      <c r="BS2" s="2697"/>
      <c r="BT2" s="2699"/>
      <c r="BU2" s="2"/>
    </row>
    <row r="3" spans="1:73" s="3" customFormat="1" ht="15.6" x14ac:dyDescent="0.25">
      <c r="A3" s="832"/>
      <c r="B3" s="827"/>
      <c r="C3" s="827"/>
      <c r="D3" s="827"/>
      <c r="E3" s="89"/>
      <c r="F3" s="827"/>
      <c r="G3" s="89"/>
      <c r="H3" s="827"/>
      <c r="I3" s="827"/>
      <c r="J3" s="827"/>
      <c r="K3" s="827"/>
      <c r="L3" s="827"/>
      <c r="M3" s="89"/>
      <c r="N3" s="827"/>
      <c r="O3" s="827"/>
      <c r="P3" s="827"/>
      <c r="Q3" s="827"/>
      <c r="R3" s="827"/>
      <c r="S3" s="827"/>
      <c r="T3" s="89"/>
      <c r="U3" s="827"/>
      <c r="V3" s="827"/>
      <c r="W3" s="827"/>
      <c r="X3" s="827"/>
      <c r="Y3" s="827"/>
      <c r="Z3" s="89"/>
      <c r="AA3" s="827"/>
      <c r="AB3" s="827"/>
      <c r="AC3" s="90"/>
      <c r="AD3" s="827"/>
      <c r="AE3" s="827"/>
      <c r="AF3" s="89"/>
      <c r="AG3" s="89"/>
      <c r="AH3" s="827"/>
      <c r="AI3" s="827"/>
      <c r="AJ3" s="827"/>
      <c r="AK3" s="827"/>
      <c r="AL3" s="89"/>
      <c r="AM3" s="827"/>
      <c r="AN3" s="827"/>
      <c r="AO3" s="91"/>
      <c r="AP3" s="829"/>
      <c r="AQ3" s="89"/>
      <c r="AR3" s="89"/>
      <c r="AS3" s="89"/>
      <c r="AT3" s="827"/>
      <c r="AU3" s="827"/>
      <c r="AV3" s="89"/>
      <c r="AW3" s="827"/>
      <c r="AX3" s="89"/>
      <c r="AY3" s="827"/>
      <c r="AZ3" s="829"/>
      <c r="BA3" s="827"/>
      <c r="BB3" s="827"/>
      <c r="BC3" s="827"/>
      <c r="BD3" s="89"/>
      <c r="BE3" s="939"/>
      <c r="BF3" s="827"/>
      <c r="BG3" s="827"/>
      <c r="BH3" s="827"/>
      <c r="BI3" s="827"/>
      <c r="BJ3" s="827"/>
      <c r="BK3" s="89"/>
      <c r="BL3" s="827"/>
      <c r="BM3" s="827"/>
      <c r="BN3" s="827"/>
      <c r="BO3" s="91"/>
      <c r="BP3" s="91"/>
      <c r="BQ3" s="91"/>
      <c r="BR3" s="830"/>
      <c r="BS3" s="91"/>
      <c r="BT3" s="831"/>
      <c r="BU3" s="2"/>
    </row>
    <row r="4" spans="1:73" s="3" customFormat="1" ht="15.6" x14ac:dyDescent="0.25">
      <c r="A4" s="832"/>
      <c r="B4" s="827"/>
      <c r="C4" s="827"/>
      <c r="D4" s="827"/>
      <c r="E4" s="89"/>
      <c r="F4" s="827"/>
      <c r="G4" s="89"/>
      <c r="H4" s="827"/>
      <c r="I4" s="827"/>
      <c r="J4" s="827"/>
      <c r="K4" s="827"/>
      <c r="L4" s="827"/>
      <c r="M4" s="89"/>
      <c r="N4" s="827"/>
      <c r="O4" s="827"/>
      <c r="P4" s="827"/>
      <c r="Q4" s="827"/>
      <c r="R4" s="827"/>
      <c r="S4" s="827"/>
      <c r="T4" s="89"/>
      <c r="U4" s="827"/>
      <c r="V4" s="827"/>
      <c r="W4" s="827"/>
      <c r="X4" s="827"/>
      <c r="Y4" s="827"/>
      <c r="Z4" s="89"/>
      <c r="AA4" s="827"/>
      <c r="AB4" s="827"/>
      <c r="AC4" s="90"/>
      <c r="AD4" s="827"/>
      <c r="AE4" s="827"/>
      <c r="AF4" s="89"/>
      <c r="AG4" s="89"/>
      <c r="AH4" s="827"/>
      <c r="AI4" s="827"/>
      <c r="AJ4" s="827"/>
      <c r="AK4" s="827"/>
      <c r="AL4" s="89"/>
      <c r="AM4" s="827"/>
      <c r="AN4" s="827"/>
      <c r="AO4" s="91"/>
      <c r="AP4" s="829"/>
      <c r="AQ4" s="89"/>
      <c r="AR4" s="89"/>
      <c r="AS4" s="89"/>
      <c r="AT4" s="827"/>
      <c r="AU4" s="827"/>
      <c r="AV4" s="89"/>
      <c r="AW4" s="827"/>
      <c r="AX4" s="89"/>
      <c r="AY4" s="827"/>
      <c r="AZ4" s="829"/>
      <c r="BA4" s="827"/>
      <c r="BB4" s="827"/>
      <c r="BC4" s="827"/>
      <c r="BD4" s="89"/>
      <c r="BE4" s="939"/>
      <c r="BF4" s="827"/>
      <c r="BG4" s="827"/>
      <c r="BH4" s="827"/>
      <c r="BI4" s="827"/>
      <c r="BJ4" s="827"/>
      <c r="BK4" s="89"/>
      <c r="BL4" s="827"/>
      <c r="BM4" s="827"/>
      <c r="BN4" s="827"/>
      <c r="BO4" s="91"/>
      <c r="BP4" s="91"/>
      <c r="BQ4" s="91"/>
      <c r="BR4" s="830"/>
      <c r="BS4" s="830"/>
      <c r="BT4" s="831"/>
      <c r="BU4" s="2"/>
    </row>
    <row r="5" spans="1:73" s="3" customFormat="1" ht="16.2" thickBot="1" x14ac:dyDescent="0.3">
      <c r="A5" s="832"/>
      <c r="B5" s="827"/>
      <c r="C5" s="827"/>
      <c r="D5" s="827"/>
      <c r="E5" s="89"/>
      <c r="F5" s="827"/>
      <c r="G5" s="89"/>
      <c r="H5" s="827"/>
      <c r="I5" s="827"/>
      <c r="J5" s="827"/>
      <c r="K5" s="827"/>
      <c r="L5" s="827"/>
      <c r="M5" s="89"/>
      <c r="N5" s="827"/>
      <c r="O5" s="827"/>
      <c r="P5" s="827"/>
      <c r="Q5" s="827"/>
      <c r="R5" s="827"/>
      <c r="S5" s="827"/>
      <c r="T5" s="89"/>
      <c r="U5" s="827"/>
      <c r="V5" s="827"/>
      <c r="W5" s="827"/>
      <c r="X5" s="827"/>
      <c r="Y5" s="827"/>
      <c r="Z5" s="89"/>
      <c r="AA5" s="827"/>
      <c r="AB5" s="827"/>
      <c r="AC5" s="90"/>
      <c r="AD5" s="827"/>
      <c r="AE5" s="827"/>
      <c r="AF5" s="89"/>
      <c r="AG5" s="89"/>
      <c r="AH5" s="827"/>
      <c r="AI5" s="827"/>
      <c r="AJ5" s="827"/>
      <c r="AK5" s="827"/>
      <c r="AL5" s="89"/>
      <c r="AM5" s="827"/>
      <c r="AN5" s="827"/>
      <c r="AO5" s="91"/>
      <c r="AP5" s="829"/>
      <c r="AQ5" s="89"/>
      <c r="AR5" s="89"/>
      <c r="AS5" s="89"/>
      <c r="AT5" s="827"/>
      <c r="AU5" s="827"/>
      <c r="AV5" s="89"/>
      <c r="AW5" s="827"/>
      <c r="AX5" s="89"/>
      <c r="AY5" s="827"/>
      <c r="AZ5" s="829"/>
      <c r="BA5" s="827"/>
      <c r="BB5" s="827"/>
      <c r="BC5" s="827"/>
      <c r="BD5" s="89"/>
      <c r="BE5" s="939"/>
      <c r="BF5" s="827"/>
      <c r="BG5" s="827"/>
      <c r="BH5" s="827"/>
      <c r="BI5" s="827"/>
      <c r="BJ5" s="827"/>
      <c r="BK5" s="89"/>
      <c r="BL5" s="827"/>
      <c r="BM5" s="827"/>
      <c r="BN5" s="827"/>
      <c r="BO5" s="91"/>
      <c r="BP5" s="91"/>
      <c r="BQ5" s="91"/>
      <c r="BR5" s="830"/>
      <c r="BS5" s="91"/>
      <c r="BT5" s="831"/>
      <c r="BU5" s="2"/>
    </row>
    <row r="6" spans="1:73" s="3" customFormat="1" ht="16.2" thickBot="1" x14ac:dyDescent="0.3">
      <c r="A6" s="207" t="s">
        <v>333</v>
      </c>
      <c r="B6" s="80">
        <f>B26+B53</f>
        <v>144607</v>
      </c>
      <c r="C6" s="80">
        <f>C26+C53</f>
        <v>0</v>
      </c>
      <c r="D6" s="80">
        <f>D26+D53</f>
        <v>3353</v>
      </c>
      <c r="E6" s="80">
        <f>E26+E53</f>
        <v>22185.599999999999</v>
      </c>
      <c r="F6" s="80">
        <f>F26+F53</f>
        <v>-15185</v>
      </c>
      <c r="G6" s="80">
        <f t="shared" ref="G6:AF6" si="0">G26+G53</f>
        <v>87707</v>
      </c>
      <c r="H6" s="80">
        <f t="shared" si="0"/>
        <v>761036</v>
      </c>
      <c r="I6" s="80">
        <f t="shared" si="0"/>
        <v>0</v>
      </c>
      <c r="J6" s="80">
        <f>J26+J53</f>
        <v>712623</v>
      </c>
      <c r="K6" s="80">
        <f t="shared" si="0"/>
        <v>0</v>
      </c>
      <c r="L6" s="80">
        <f t="shared" ref="L6:S6" si="1">L26+L53</f>
        <v>14250</v>
      </c>
      <c r="M6" s="80">
        <f t="shared" si="1"/>
        <v>16890</v>
      </c>
      <c r="N6" s="80">
        <f t="shared" si="1"/>
        <v>57200</v>
      </c>
      <c r="O6" s="80">
        <f t="shared" si="1"/>
        <v>355767</v>
      </c>
      <c r="P6" s="80">
        <f t="shared" si="1"/>
        <v>10000</v>
      </c>
      <c r="Q6" s="80">
        <f t="shared" si="1"/>
        <v>1200</v>
      </c>
      <c r="R6" s="80">
        <f t="shared" si="1"/>
        <v>2500</v>
      </c>
      <c r="S6" s="80">
        <f t="shared" si="1"/>
        <v>20000</v>
      </c>
      <c r="T6" s="80">
        <f t="shared" ref="T6:W6" si="2">T26+T53</f>
        <v>0</v>
      </c>
      <c r="U6" s="80">
        <f>U26+U53</f>
        <v>2642</v>
      </c>
      <c r="V6" s="80">
        <f>V26+V53</f>
        <v>0</v>
      </c>
      <c r="W6" s="80">
        <f t="shared" si="2"/>
        <v>0</v>
      </c>
      <c r="X6" s="80">
        <f t="shared" si="0"/>
        <v>2490597</v>
      </c>
      <c r="Y6" s="80">
        <f>Y26+Y53</f>
        <v>6144</v>
      </c>
      <c r="Z6" s="80">
        <f t="shared" ref="Z6" si="3">Z26+Z53</f>
        <v>0</v>
      </c>
      <c r="AA6" s="80">
        <f>AA26+AA53</f>
        <v>404551</v>
      </c>
      <c r="AB6" s="80">
        <f t="shared" ref="AB6" si="4">AB26+AB53</f>
        <v>0</v>
      </c>
      <c r="AC6" s="80">
        <f t="shared" si="0"/>
        <v>958654</v>
      </c>
      <c r="AD6" s="80">
        <f t="shared" si="0"/>
        <v>1298195</v>
      </c>
      <c r="AE6" s="80">
        <f t="shared" si="0"/>
        <v>193677</v>
      </c>
      <c r="AF6" s="80">
        <f t="shared" si="0"/>
        <v>530493</v>
      </c>
      <c r="AG6" s="80">
        <f t="shared" ref="AG6" si="5">AG26+AG53</f>
        <v>0</v>
      </c>
      <c r="AH6" s="80">
        <f t="shared" ref="AH6:AP6" si="6">AH26+AH53</f>
        <v>1000</v>
      </c>
      <c r="AI6" s="80">
        <f t="shared" si="6"/>
        <v>12200</v>
      </c>
      <c r="AJ6" s="80">
        <f t="shared" si="6"/>
        <v>63416</v>
      </c>
      <c r="AK6" s="80">
        <f t="shared" si="6"/>
        <v>300000</v>
      </c>
      <c r="AL6" s="80">
        <f t="shared" si="6"/>
        <v>227375</v>
      </c>
      <c r="AM6" s="80">
        <f t="shared" si="6"/>
        <v>64200</v>
      </c>
      <c r="AN6" s="80">
        <f t="shared" si="6"/>
        <v>132644</v>
      </c>
      <c r="AO6" s="80">
        <f t="shared" si="6"/>
        <v>677082</v>
      </c>
      <c r="AP6" s="194">
        <f t="shared" si="6"/>
        <v>9557003.5999999996</v>
      </c>
      <c r="AQ6" s="80">
        <f t="shared" ref="AQ6:BR6" si="7">AQ26+AQ53</f>
        <v>0</v>
      </c>
      <c r="AR6" s="80">
        <f t="shared" ref="AR6:AW6" si="8">AR26+AR53</f>
        <v>0</v>
      </c>
      <c r="AS6" s="80">
        <f t="shared" si="8"/>
        <v>0</v>
      </c>
      <c r="AT6" s="80">
        <f t="shared" si="8"/>
        <v>11823</v>
      </c>
      <c r="AU6" s="80">
        <f t="shared" si="8"/>
        <v>0</v>
      </c>
      <c r="AV6" s="80">
        <f t="shared" ref="AV6" si="9">AV26+AV53</f>
        <v>20293</v>
      </c>
      <c r="AW6" s="80">
        <f t="shared" si="8"/>
        <v>0</v>
      </c>
      <c r="AX6" s="80">
        <f t="shared" ref="AX6:AY6" si="10">AX26+AX53</f>
        <v>33954</v>
      </c>
      <c r="AY6" s="80">
        <f t="shared" si="10"/>
        <v>28485</v>
      </c>
      <c r="AZ6" s="194">
        <f t="shared" si="7"/>
        <v>94555</v>
      </c>
      <c r="BA6" s="80">
        <f t="shared" si="7"/>
        <v>70134</v>
      </c>
      <c r="BB6" s="80">
        <f t="shared" ref="BB6:BN6" si="11">BB26+BB53</f>
        <v>13294</v>
      </c>
      <c r="BC6" s="80">
        <f t="shared" si="11"/>
        <v>8438</v>
      </c>
      <c r="BD6" s="80">
        <f t="shared" si="11"/>
        <v>451569</v>
      </c>
      <c r="BE6" s="80">
        <f t="shared" ref="BE6" si="12">BE26+BE53</f>
        <v>6675</v>
      </c>
      <c r="BF6" s="80">
        <f t="shared" si="11"/>
        <v>16498</v>
      </c>
      <c r="BG6" s="80">
        <f t="shared" si="11"/>
        <v>30919</v>
      </c>
      <c r="BH6" s="80">
        <f t="shared" si="11"/>
        <v>23142</v>
      </c>
      <c r="BI6" s="80">
        <f t="shared" si="11"/>
        <v>20383</v>
      </c>
      <c r="BJ6" s="80">
        <f t="shared" si="11"/>
        <v>10705</v>
      </c>
      <c r="BK6" s="80">
        <f t="shared" si="11"/>
        <v>20276</v>
      </c>
      <c r="BL6" s="80">
        <f t="shared" si="11"/>
        <v>4802</v>
      </c>
      <c r="BM6" s="80">
        <f t="shared" si="11"/>
        <v>5343</v>
      </c>
      <c r="BN6" s="80">
        <f t="shared" si="11"/>
        <v>13755</v>
      </c>
      <c r="BO6" s="80">
        <f t="shared" si="7"/>
        <v>695933</v>
      </c>
      <c r="BP6" s="80">
        <f t="shared" si="7"/>
        <v>138044</v>
      </c>
      <c r="BQ6" s="80">
        <f t="shared" si="7"/>
        <v>61205</v>
      </c>
      <c r="BR6" s="80">
        <f t="shared" si="7"/>
        <v>127435</v>
      </c>
      <c r="BS6" s="202">
        <f>BS26+BS53</f>
        <v>1022617</v>
      </c>
      <c r="BT6" s="203">
        <f>BT26+BT53</f>
        <v>10674175.6</v>
      </c>
    </row>
    <row r="7" spans="1:73" x14ac:dyDescent="0.25">
      <c r="A7" s="208" t="s">
        <v>334</v>
      </c>
      <c r="B7" s="35">
        <f>B8+B9+B10+B11+B12</f>
        <v>144607</v>
      </c>
      <c r="C7" s="35">
        <f>C8+C9+C10+C11+C12</f>
        <v>0</v>
      </c>
      <c r="D7" s="35">
        <f>D8+D9+D10+D11+D12</f>
        <v>3353</v>
      </c>
      <c r="E7" s="35">
        <f>E8+E9+E10+E11+E12</f>
        <v>22185.599999999999</v>
      </c>
      <c r="F7" s="35">
        <f>F8+F9+F10+F11+F12</f>
        <v>-17185</v>
      </c>
      <c r="G7" s="35">
        <f t="shared" ref="G7:AF7" si="13">G8+G9+G10+G11+G12</f>
        <v>87707</v>
      </c>
      <c r="H7" s="35">
        <f t="shared" si="13"/>
        <v>0</v>
      </c>
      <c r="I7" s="35">
        <f t="shared" si="13"/>
        <v>0</v>
      </c>
      <c r="J7" s="35">
        <f>J8+J9+J10+J11+J12</f>
        <v>0</v>
      </c>
      <c r="K7" s="35">
        <f t="shared" si="13"/>
        <v>0</v>
      </c>
      <c r="L7" s="35">
        <f t="shared" ref="L7:S7" si="14">L8+L9+L10+L11+L12</f>
        <v>14250</v>
      </c>
      <c r="M7" s="35">
        <f t="shared" si="14"/>
        <v>16890</v>
      </c>
      <c r="N7" s="35">
        <f t="shared" si="14"/>
        <v>57200</v>
      </c>
      <c r="O7" s="35">
        <f t="shared" si="14"/>
        <v>355767</v>
      </c>
      <c r="P7" s="35">
        <f t="shared" si="14"/>
        <v>8200</v>
      </c>
      <c r="Q7" s="35">
        <f t="shared" si="14"/>
        <v>1200</v>
      </c>
      <c r="R7" s="35">
        <f t="shared" si="14"/>
        <v>2500</v>
      </c>
      <c r="S7" s="35">
        <f t="shared" si="14"/>
        <v>20000</v>
      </c>
      <c r="T7" s="35">
        <f t="shared" ref="T7:W7" si="15">T8+T9+T10+T11+T12</f>
        <v>0</v>
      </c>
      <c r="U7" s="35">
        <f>U8+U9+U10+U11+U12</f>
        <v>2642</v>
      </c>
      <c r="V7" s="35">
        <f>V8+V9+V10+V11+V12</f>
        <v>0</v>
      </c>
      <c r="W7" s="35">
        <f t="shared" si="15"/>
        <v>0</v>
      </c>
      <c r="X7" s="35">
        <f t="shared" si="13"/>
        <v>77124</v>
      </c>
      <c r="Y7" s="35">
        <f>Y8+Y9+Y10+Y11+Y12</f>
        <v>6144</v>
      </c>
      <c r="Z7" s="35">
        <f t="shared" ref="Z7" si="16">Z8+Z9+Z10+Z11+Z12</f>
        <v>0</v>
      </c>
      <c r="AA7" s="35">
        <f>AA8+AA9+AA10+AA11+AA12</f>
        <v>347526</v>
      </c>
      <c r="AB7" s="35">
        <f t="shared" ref="AB7" si="17">AB8+AB9+AB10+AB11+AB12</f>
        <v>0</v>
      </c>
      <c r="AC7" s="35">
        <f t="shared" si="13"/>
        <v>325649</v>
      </c>
      <c r="AD7" s="35">
        <f t="shared" si="13"/>
        <v>1455</v>
      </c>
      <c r="AE7" s="35">
        <f t="shared" si="13"/>
        <v>145436</v>
      </c>
      <c r="AF7" s="35">
        <f t="shared" si="13"/>
        <v>21530</v>
      </c>
      <c r="AG7" s="35">
        <f t="shared" ref="AG7" si="18">AG8+AG9+AG10+AG11+AG12</f>
        <v>0</v>
      </c>
      <c r="AH7" s="35">
        <f t="shared" ref="AH7:AO7" si="19">AH8+AH9+AH10+AH11+AH12</f>
        <v>1000</v>
      </c>
      <c r="AI7" s="35">
        <f t="shared" si="19"/>
        <v>10000</v>
      </c>
      <c r="AJ7" s="35">
        <f t="shared" si="19"/>
        <v>63416</v>
      </c>
      <c r="AK7" s="35">
        <f t="shared" si="19"/>
        <v>0</v>
      </c>
      <c r="AL7" s="35">
        <f t="shared" si="19"/>
        <v>227375</v>
      </c>
      <c r="AM7" s="35">
        <f t="shared" si="19"/>
        <v>64200</v>
      </c>
      <c r="AN7" s="35">
        <f t="shared" si="19"/>
        <v>132644</v>
      </c>
      <c r="AO7" s="35">
        <f t="shared" si="19"/>
        <v>677082</v>
      </c>
      <c r="AP7" s="195">
        <f t="shared" ref="AP7:BR7" si="20">AP8+AP9+AP10+AP11+AP12</f>
        <v>2819897.6</v>
      </c>
      <c r="AQ7" s="35">
        <f t="shared" si="20"/>
        <v>0</v>
      </c>
      <c r="AR7" s="35">
        <f t="shared" ref="AR7:AW7" si="21">AR8+AR9+AR10+AR11+AR12</f>
        <v>0</v>
      </c>
      <c r="AS7" s="35">
        <f t="shared" si="21"/>
        <v>0</v>
      </c>
      <c r="AT7" s="35">
        <f t="shared" si="21"/>
        <v>11823</v>
      </c>
      <c r="AU7" s="35">
        <f t="shared" si="21"/>
        <v>0</v>
      </c>
      <c r="AV7" s="35">
        <f t="shared" ref="AV7" si="22">AV8+AV9+AV10+AV11+AV12</f>
        <v>20293</v>
      </c>
      <c r="AW7" s="35">
        <f t="shared" si="21"/>
        <v>0</v>
      </c>
      <c r="AX7" s="35">
        <f t="shared" ref="AX7:AY7" si="23">AX8+AX9+AX10+AX11+AX12</f>
        <v>33954</v>
      </c>
      <c r="AY7" s="35">
        <f t="shared" si="23"/>
        <v>28485</v>
      </c>
      <c r="AZ7" s="195">
        <f t="shared" si="20"/>
        <v>94555</v>
      </c>
      <c r="BA7" s="35">
        <f t="shared" si="20"/>
        <v>69834</v>
      </c>
      <c r="BB7" s="35">
        <f t="shared" ref="BB7:BN7" si="24">BB8+BB9+BB10+BB11+BB12</f>
        <v>13294</v>
      </c>
      <c r="BC7" s="35">
        <f t="shared" si="24"/>
        <v>8438</v>
      </c>
      <c r="BD7" s="35">
        <f t="shared" si="24"/>
        <v>401569</v>
      </c>
      <c r="BE7" s="35">
        <f t="shared" ref="BE7" si="25">BE8+BE9+BE10+BE11+BE12</f>
        <v>6675</v>
      </c>
      <c r="BF7" s="35">
        <f t="shared" si="24"/>
        <v>16498</v>
      </c>
      <c r="BG7" s="35">
        <f t="shared" si="24"/>
        <v>30919</v>
      </c>
      <c r="BH7" s="35">
        <f t="shared" si="24"/>
        <v>23142</v>
      </c>
      <c r="BI7" s="35">
        <f t="shared" si="24"/>
        <v>20383</v>
      </c>
      <c r="BJ7" s="35">
        <f t="shared" si="24"/>
        <v>10705</v>
      </c>
      <c r="BK7" s="35">
        <f t="shared" si="24"/>
        <v>20176</v>
      </c>
      <c r="BL7" s="35">
        <f t="shared" si="24"/>
        <v>4802</v>
      </c>
      <c r="BM7" s="35">
        <f t="shared" si="24"/>
        <v>5343</v>
      </c>
      <c r="BN7" s="35">
        <f t="shared" si="24"/>
        <v>13755</v>
      </c>
      <c r="BO7" s="35">
        <f t="shared" si="20"/>
        <v>645533</v>
      </c>
      <c r="BP7" s="35">
        <f t="shared" si="20"/>
        <v>136570</v>
      </c>
      <c r="BQ7" s="35">
        <f t="shared" si="20"/>
        <v>61205</v>
      </c>
      <c r="BR7" s="35">
        <f t="shared" si="20"/>
        <v>127435</v>
      </c>
      <c r="BS7" s="35">
        <f>BS8+BS9+BS10+BS11+BS12</f>
        <v>970743</v>
      </c>
      <c r="BT7" s="209">
        <f>BT8+BT9+BT10+BT11+BT12</f>
        <v>3885195.6</v>
      </c>
    </row>
    <row r="8" spans="1:73" x14ac:dyDescent="0.25">
      <c r="A8" s="210" t="s">
        <v>335</v>
      </c>
      <c r="B8" s="7">
        <f>SUM(Tervezőönkorm.!F31)</f>
        <v>119618</v>
      </c>
      <c r="C8" s="7">
        <f>SUM(Tervezőönkorm.!H31)</f>
        <v>0</v>
      </c>
      <c r="D8" s="7">
        <f>SUM(Tervezőönkorm.!J31)</f>
        <v>0</v>
      </c>
      <c r="E8" s="7">
        <f>SUM(Tervezőönkorm.!L31)</f>
        <v>18712</v>
      </c>
      <c r="F8" s="7">
        <f>SUM(Tervezőönkorm.!P31)</f>
        <v>0</v>
      </c>
      <c r="G8" s="7"/>
      <c r="H8" s="7"/>
      <c r="I8" s="7"/>
      <c r="J8" s="7">
        <f>SUM(Tervezőönkorm.!AS31)</f>
        <v>0</v>
      </c>
      <c r="K8" s="7"/>
      <c r="L8" s="7">
        <f>SUM(Tervezőönkorm.!T31)</f>
        <v>150</v>
      </c>
      <c r="M8" s="7">
        <f>SUM(Tervezőönkorm.!X31)</f>
        <v>0</v>
      </c>
      <c r="N8" s="7">
        <f>SUM(Tervezőönkorm.!BD31)</f>
        <v>0</v>
      </c>
      <c r="O8" s="7">
        <f>SUM(Tervezőönkorm.!BJ31)</f>
        <v>0</v>
      </c>
      <c r="P8" s="7">
        <f>SUM(Tervezőönkorm.!BX31)</f>
        <v>0</v>
      </c>
      <c r="Q8" s="7">
        <f>SUM(Tervezőönkorm.!CJ31)</f>
        <v>0</v>
      </c>
      <c r="R8" s="7">
        <f>SUM(Tervezőönkorm.!BN31)</f>
        <v>0</v>
      </c>
      <c r="S8" s="7">
        <f>SUM(Tervezőönkorm.!BP31)</f>
        <v>0</v>
      </c>
      <c r="T8" s="7"/>
      <c r="U8" s="7">
        <f>SUM(Tervezőönkorm.!BV31)</f>
        <v>0</v>
      </c>
      <c r="V8" s="7">
        <f>SUM(Tervezőönkorm.!CB31)</f>
        <v>0</v>
      </c>
      <c r="W8" s="7"/>
      <c r="X8" s="7"/>
      <c r="Y8" s="7">
        <f>SUM(Tervezőönkorm.!CT31)</f>
        <v>0</v>
      </c>
      <c r="Z8" s="7"/>
      <c r="AA8" s="7">
        <f>SUM(Tervezőönkorm.!CX31)</f>
        <v>0</v>
      </c>
      <c r="AB8" s="7"/>
      <c r="AC8" s="7"/>
      <c r="AD8" s="7"/>
      <c r="AE8" s="7">
        <f>'kiadás 11604 '!B68</f>
        <v>20000</v>
      </c>
      <c r="AF8" s="7">
        <f>kiadás11605projektek!B61</f>
        <v>1172</v>
      </c>
      <c r="AG8" s="7"/>
      <c r="AH8" s="7">
        <f>SUM(Tervezőönkorm.!ED31)</f>
        <v>0</v>
      </c>
      <c r="AI8" s="7">
        <f>SUM(Tervezőönkorm.!DV31)</f>
        <v>0</v>
      </c>
      <c r="AJ8" s="7">
        <f>SUM(Tervezőönkorm.!AB31)</f>
        <v>0</v>
      </c>
      <c r="AK8" s="7">
        <f>SUM(Tervezőönkorm.!DD31)</f>
        <v>0</v>
      </c>
      <c r="AL8" s="7">
        <f>SUM(Tervezőönkorm.!DH31)</f>
        <v>0</v>
      </c>
      <c r="AM8" s="7">
        <f>SUM(Tervezőönkorm.!EB31)</f>
        <v>9000</v>
      </c>
      <c r="AN8" s="7">
        <f>SUM(Tervezőönkorm.!EH31)</f>
        <v>0</v>
      </c>
      <c r="AO8" s="7">
        <f>SUM(Tervezőönkorm.!EL31)</f>
        <v>0</v>
      </c>
      <c r="AP8" s="196">
        <f>SUM(B8:AO8)</f>
        <v>168652</v>
      </c>
      <c r="AQ8" s="7"/>
      <c r="AR8" s="7"/>
      <c r="AS8" s="7"/>
      <c r="AT8" s="7">
        <f>Tervezőhiv.!S59</f>
        <v>7100</v>
      </c>
      <c r="AU8" s="7"/>
      <c r="AV8" s="7">
        <f>Tervezőhiv.!AF59</f>
        <v>0</v>
      </c>
      <c r="AW8" s="7"/>
      <c r="AX8" s="7">
        <f>Tervezőhiv.!AM59</f>
        <v>26564</v>
      </c>
      <c r="AY8" s="7">
        <f>Tervezőhiv.!AT59</f>
        <v>21843</v>
      </c>
      <c r="AZ8" s="196">
        <f>SUM(AQ8:AY8)</f>
        <v>55507</v>
      </c>
      <c r="BA8" s="7">
        <v>40870</v>
      </c>
      <c r="BB8" s="7">
        <v>9700</v>
      </c>
      <c r="BC8" s="7">
        <v>6928</v>
      </c>
      <c r="BD8" s="7">
        <f>162990+63597</f>
        <v>226587</v>
      </c>
      <c r="BE8" s="7">
        <v>5279</v>
      </c>
      <c r="BF8" s="7">
        <v>13552</v>
      </c>
      <c r="BG8" s="7">
        <f>2254+66</f>
        <v>2320</v>
      </c>
      <c r="BH8" s="7">
        <v>18894</v>
      </c>
      <c r="BI8" s="7">
        <f>14970+60</f>
        <v>15030</v>
      </c>
      <c r="BJ8" s="7">
        <f>7832+133</f>
        <v>7965</v>
      </c>
      <c r="BK8" s="7">
        <v>16812</v>
      </c>
      <c r="BL8" s="7">
        <v>3935</v>
      </c>
      <c r="BM8" s="7">
        <v>4379</v>
      </c>
      <c r="BN8" s="7">
        <v>11285</v>
      </c>
      <c r="BO8" s="8">
        <f>SUM(BA8:BN8)</f>
        <v>383536</v>
      </c>
      <c r="BP8" s="7">
        <v>94282</v>
      </c>
      <c r="BQ8" s="7">
        <f>38993-427</f>
        <v>38566</v>
      </c>
      <c r="BR8" s="7">
        <v>91107</v>
      </c>
      <c r="BS8" s="11">
        <f>BO8+BP8+BQ8+BR8</f>
        <v>607491</v>
      </c>
      <c r="BT8" s="211">
        <f>AP8+AZ8+BS8</f>
        <v>831650</v>
      </c>
    </row>
    <row r="9" spans="1:73" x14ac:dyDescent="0.25">
      <c r="A9" s="210" t="s">
        <v>336</v>
      </c>
      <c r="B9" s="7">
        <f>SUM(Tervezőönkorm.!F36)</f>
        <v>19429</v>
      </c>
      <c r="C9" s="7">
        <f>SUM(Tervezőönkorm.!H36)</f>
        <v>0</v>
      </c>
      <c r="D9" s="7">
        <f>SUM(Tervezőönkorm.!J36)</f>
        <v>0</v>
      </c>
      <c r="E9" s="7">
        <f>SUM(Tervezőönkorm.!L36)</f>
        <v>3273.6</v>
      </c>
      <c r="F9" s="7">
        <f>SUM(Tervezőönkorm.!P36)</f>
        <v>0</v>
      </c>
      <c r="G9" s="7"/>
      <c r="H9" s="7"/>
      <c r="I9" s="7"/>
      <c r="J9" s="7">
        <f>SUM(Tervezőönkorm.!AS36)</f>
        <v>0</v>
      </c>
      <c r="K9" s="7"/>
      <c r="L9" s="7">
        <f>SUM(Tervezőönkorm.!T36)</f>
        <v>58</v>
      </c>
      <c r="M9" s="7">
        <f>SUM(Tervezőönkorm.!X36)</f>
        <v>0</v>
      </c>
      <c r="N9" s="7">
        <f>SUM(Tervezőönkorm.!BD36)</f>
        <v>0</v>
      </c>
      <c r="O9" s="7">
        <f>SUM(Tervezőönkorm.!BJ36)</f>
        <v>0</v>
      </c>
      <c r="P9" s="7">
        <f>SUM(Tervezőönkorm.!BX36)</f>
        <v>0</v>
      </c>
      <c r="Q9" s="7">
        <f>SUM(Tervezőönkorm.!CJ36)</f>
        <v>0</v>
      </c>
      <c r="R9" s="7">
        <f>SUM(Tervezőönkorm.!BN36)</f>
        <v>0</v>
      </c>
      <c r="S9" s="7">
        <f>SUM(Tervezőönkorm.!BP36)</f>
        <v>0</v>
      </c>
      <c r="T9" s="7"/>
      <c r="U9" s="7">
        <f>SUM(Tervezőönkorm.!BV36)</f>
        <v>0</v>
      </c>
      <c r="V9" s="7">
        <f>SUM(Tervezőönkorm.!CB36)</f>
        <v>0</v>
      </c>
      <c r="W9" s="7"/>
      <c r="X9" s="7"/>
      <c r="Y9" s="7">
        <f>SUM(Tervezőönkorm.!CT36)</f>
        <v>0</v>
      </c>
      <c r="Z9" s="7"/>
      <c r="AA9" s="7">
        <f>SUM(Tervezőönkorm.!CX36)</f>
        <v>0</v>
      </c>
      <c r="AB9" s="7"/>
      <c r="AC9" s="7"/>
      <c r="AD9" s="7"/>
      <c r="AE9" s="7">
        <f>'kiadás 11604 '!C68</f>
        <v>21745</v>
      </c>
      <c r="AF9" s="7">
        <f>kiadás11605projektek!C61</f>
        <v>228</v>
      </c>
      <c r="AG9" s="7"/>
      <c r="AH9" s="7">
        <f>SUM(Tervezőönkorm.!ED36)</f>
        <v>0</v>
      </c>
      <c r="AI9" s="7">
        <f>SUM(Tervezőönkorm.!DV36)</f>
        <v>0</v>
      </c>
      <c r="AJ9" s="7">
        <f>SUM(Tervezőönkorm.!AB36)</f>
        <v>998</v>
      </c>
      <c r="AK9" s="7">
        <f>SUM(Tervezőönkorm.!DD36)</f>
        <v>0</v>
      </c>
      <c r="AL9" s="7">
        <f>SUM(Tervezőönkorm.!DH36)</f>
        <v>0</v>
      </c>
      <c r="AM9" s="7">
        <f>SUM(Tervezőönkorm.!EB36)</f>
        <v>1418</v>
      </c>
      <c r="AN9" s="7">
        <f>SUM(Tervezőönkorm.!EH36)</f>
        <v>0</v>
      </c>
      <c r="AO9" s="7">
        <f>SUM(Tervezőönkorm.!EL36)</f>
        <v>0</v>
      </c>
      <c r="AP9" s="196">
        <f>SUM(B9:AO9)</f>
        <v>47149.599999999999</v>
      </c>
      <c r="AQ9" s="7"/>
      <c r="AR9" s="7"/>
      <c r="AS9" s="7"/>
      <c r="AT9" s="7">
        <f>Tervezőhiv.!S67</f>
        <v>2723</v>
      </c>
      <c r="AU9" s="7"/>
      <c r="AV9" s="7">
        <f>Tervezőhiv.!AF67</f>
        <v>0</v>
      </c>
      <c r="AW9" s="7"/>
      <c r="AX9" s="7">
        <f>Tervezőhiv.!AM67</f>
        <v>7390</v>
      </c>
      <c r="AY9" s="7">
        <f>Tervezőhiv.!AT67</f>
        <v>6642</v>
      </c>
      <c r="AZ9" s="196">
        <f>SUM(AQ9:AY9)</f>
        <v>16755</v>
      </c>
      <c r="BA9" s="7">
        <v>7311</v>
      </c>
      <c r="BB9" s="7">
        <v>2154</v>
      </c>
      <c r="BC9" s="7">
        <v>1510</v>
      </c>
      <c r="BD9" s="7">
        <f>27220+17688</f>
        <v>44908</v>
      </c>
      <c r="BE9" s="7">
        <v>1142</v>
      </c>
      <c r="BF9" s="7">
        <v>2946</v>
      </c>
      <c r="BG9" s="7">
        <f>494+12</f>
        <v>506</v>
      </c>
      <c r="BH9" s="7">
        <v>3869</v>
      </c>
      <c r="BI9" s="7">
        <f>3254+11</f>
        <v>3265</v>
      </c>
      <c r="BJ9" s="7">
        <f>1717+23</f>
        <v>1740</v>
      </c>
      <c r="BK9" s="7">
        <v>2854</v>
      </c>
      <c r="BL9" s="7">
        <v>867</v>
      </c>
      <c r="BM9" s="7">
        <v>964</v>
      </c>
      <c r="BN9" s="7">
        <v>2470</v>
      </c>
      <c r="BO9" s="8">
        <f>SUM(BA9:BN9)</f>
        <v>76506</v>
      </c>
      <c r="BP9" s="7">
        <v>20252</v>
      </c>
      <c r="BQ9" s="7">
        <f>10962-73</f>
        <v>10889</v>
      </c>
      <c r="BR9" s="7">
        <v>21298</v>
      </c>
      <c r="BS9" s="11">
        <f t="shared" ref="BS9:BS25" si="26">BO9+BP9+BQ9+BR9</f>
        <v>128945</v>
      </c>
      <c r="BT9" s="211">
        <f>AP9+AZ9+BS9</f>
        <v>192849.6</v>
      </c>
    </row>
    <row r="10" spans="1:73" x14ac:dyDescent="0.25">
      <c r="A10" s="210" t="s">
        <v>337</v>
      </c>
      <c r="B10" s="7">
        <f>SUM(Tervezőönkorm.!F92)</f>
        <v>5560</v>
      </c>
      <c r="C10" s="7">
        <f>SUM(Tervezőönkorm.!H92)</f>
        <v>0</v>
      </c>
      <c r="D10" s="7">
        <f>SUM(Tervezőönkorm.!J92)</f>
        <v>3353</v>
      </c>
      <c r="E10" s="7">
        <f>SUM(Tervezőönkorm.!L92)</f>
        <v>200</v>
      </c>
      <c r="F10" s="7">
        <f>SUM(Tervezőönkorm.!P92)</f>
        <v>0</v>
      </c>
      <c r="G10" s="7"/>
      <c r="H10" s="7"/>
      <c r="I10" s="7"/>
      <c r="J10" s="7">
        <f>SUM(Tervezőönkorm.!AS92)</f>
        <v>0</v>
      </c>
      <c r="K10" s="7"/>
      <c r="L10" s="7">
        <f>SUM(Tervezőönkorm.!T92)</f>
        <v>11392</v>
      </c>
      <c r="M10" s="7">
        <f>SUM(Tervezőönkorm.!X92)</f>
        <v>16890</v>
      </c>
      <c r="N10" s="7">
        <f>SUM(Tervezőönkorm.!BD92)</f>
        <v>1000</v>
      </c>
      <c r="O10" s="7">
        <f>SUM(Tervezőönkorm.!BJ92)</f>
        <v>355767</v>
      </c>
      <c r="P10" s="7">
        <f>SUM(Tervezőönkorm.!BX92)</f>
        <v>8200</v>
      </c>
      <c r="Q10" s="7">
        <f>SUM(Tervezőönkorm.!CJ92)</f>
        <v>1200</v>
      </c>
      <c r="R10" s="7">
        <f>SUM(Tervezőönkorm.!BN92)</f>
        <v>0</v>
      </c>
      <c r="S10" s="7">
        <f>SUM(Tervezőönkorm.!BP92)</f>
        <v>20000</v>
      </c>
      <c r="T10" s="7"/>
      <c r="U10" s="7">
        <f>SUM(Tervezőönkorm.!BV92)</f>
        <v>2642</v>
      </c>
      <c r="V10" s="7">
        <f>SUM(Tervezőönkorm.!CB92)</f>
        <v>0</v>
      </c>
      <c r="W10" s="7"/>
      <c r="X10" s="7">
        <f>'kiadás 11601'!B30</f>
        <v>77124</v>
      </c>
      <c r="Y10" s="7">
        <f>SUM(Tervezőönkorm.!CT92)</f>
        <v>0</v>
      </c>
      <c r="Z10" s="7"/>
      <c r="AA10" s="7">
        <f>SUM(Tervezőönkorm.!CX92)</f>
        <v>0</v>
      </c>
      <c r="AB10" s="7"/>
      <c r="AC10" s="7">
        <f>kiadás11602!C39</f>
        <v>325649</v>
      </c>
      <c r="AD10" s="7">
        <f>'kiadás 11603'!B13</f>
        <v>1455</v>
      </c>
      <c r="AE10" s="7">
        <f>'kiadás 11604 '!D68</f>
        <v>103691</v>
      </c>
      <c r="AF10" s="7">
        <f>kiadás11605projektek!D61</f>
        <v>20130</v>
      </c>
      <c r="AG10" s="7"/>
      <c r="AH10" s="7">
        <f>SUM(Tervezőönkorm.!ED92)</f>
        <v>1000</v>
      </c>
      <c r="AI10" s="7">
        <f>SUM(Tervezőönkorm.!DV92)</f>
        <v>10000</v>
      </c>
      <c r="AJ10" s="7">
        <f>SUM(Tervezőönkorm.!AB92)</f>
        <v>40934</v>
      </c>
      <c r="AK10" s="7">
        <f>SUM(Tervezőönkorm.!DD92)</f>
        <v>0</v>
      </c>
      <c r="AL10" s="7">
        <f>SUM(Tervezőönkorm.!DH92)</f>
        <v>227375</v>
      </c>
      <c r="AM10" s="7">
        <f>SUM(Tervezőönkorm.!EB92)</f>
        <v>53782</v>
      </c>
      <c r="AN10" s="7">
        <f>SUM(Tervezőönkorm.!EH92)</f>
        <v>132644</v>
      </c>
      <c r="AO10" s="7">
        <f>SUM(Tervezőönkorm.!EL92)</f>
        <v>0</v>
      </c>
      <c r="AP10" s="196">
        <f>SUM(B10:AO10)</f>
        <v>1419988</v>
      </c>
      <c r="AQ10" s="7"/>
      <c r="AR10" s="7"/>
      <c r="AS10" s="7"/>
      <c r="AT10" s="7">
        <f>Tervezőhiv.!S154</f>
        <v>2000</v>
      </c>
      <c r="AU10" s="7"/>
      <c r="AV10" s="7">
        <f>Tervezőhiv.!AF154</f>
        <v>20293</v>
      </c>
      <c r="AW10" s="7"/>
      <c r="AX10" s="7">
        <f>Tervezőhiv.!AM154</f>
        <v>0</v>
      </c>
      <c r="AY10" s="7">
        <f>Tervezőhiv.!AT154</f>
        <v>0</v>
      </c>
      <c r="AZ10" s="196">
        <f>SUM(AQ10:AY10)</f>
        <v>22293</v>
      </c>
      <c r="BA10" s="7">
        <f>21708-55</f>
        <v>21653</v>
      </c>
      <c r="BB10" s="7">
        <f>1694-254</f>
        <v>1440</v>
      </c>
      <c r="BC10" s="7">
        <f>254-254</f>
        <v>0</v>
      </c>
      <c r="BD10" s="7">
        <f>83637-178-90+46705</f>
        <v>130074</v>
      </c>
      <c r="BE10" s="7">
        <f>254</f>
        <v>254</v>
      </c>
      <c r="BF10" s="7">
        <f>508-508</f>
        <v>0</v>
      </c>
      <c r="BG10" s="7">
        <v>28093</v>
      </c>
      <c r="BH10" s="7">
        <f>886-507</f>
        <v>379</v>
      </c>
      <c r="BI10" s="7">
        <f>2596-508</f>
        <v>2088</v>
      </c>
      <c r="BJ10" s="7">
        <f>1255-255</f>
        <v>1000</v>
      </c>
      <c r="BK10" s="7">
        <f>522-12</f>
        <v>510</v>
      </c>
      <c r="BL10" s="7">
        <f>203-203</f>
        <v>0</v>
      </c>
      <c r="BM10" s="7">
        <f>254-254</f>
        <v>0</v>
      </c>
      <c r="BN10" s="7"/>
      <c r="BO10" s="8">
        <f>SUM(BA10:BM10)</f>
        <v>185491</v>
      </c>
      <c r="BP10" s="7">
        <f>19655-635-984+4000</f>
        <v>22036</v>
      </c>
      <c r="BQ10" s="7">
        <f>11750</f>
        <v>11750</v>
      </c>
      <c r="BR10" s="7">
        <f>16530-1500</f>
        <v>15030</v>
      </c>
      <c r="BS10" s="11">
        <f t="shared" si="26"/>
        <v>234307</v>
      </c>
      <c r="BT10" s="211">
        <f>AP10+AZ10+BS10</f>
        <v>1676588</v>
      </c>
    </row>
    <row r="11" spans="1:73" x14ac:dyDescent="0.25">
      <c r="A11" s="210" t="s">
        <v>338</v>
      </c>
      <c r="B11" s="7">
        <f>SUM(Tervezőönkorm.!F109)</f>
        <v>0</v>
      </c>
      <c r="C11" s="7">
        <f>SUM(Tervezőönkorm.!H109)</f>
        <v>0</v>
      </c>
      <c r="D11" s="7">
        <f>SUM(Tervezőönkorm.!J109)</f>
        <v>0</v>
      </c>
      <c r="E11" s="7">
        <f>SUM(Tervezőönkorm.!L109)</f>
        <v>0</v>
      </c>
      <c r="F11" s="7">
        <f>SUM(Tervezőönkorm.!P109)</f>
        <v>0</v>
      </c>
      <c r="G11" s="7"/>
      <c r="H11" s="7"/>
      <c r="I11" s="7"/>
      <c r="J11" s="7">
        <f>SUM(Tervezőönkorm.!AS109)</f>
        <v>0</v>
      </c>
      <c r="K11" s="7"/>
      <c r="L11" s="7">
        <f>SUM(Tervezőönkorm.!T109)</f>
        <v>0</v>
      </c>
      <c r="M11" s="7">
        <f>SUM(Tervezőönkorm.!X109)</f>
        <v>0</v>
      </c>
      <c r="N11" s="7">
        <f>SUM(Tervezőönkorm.!BD109)</f>
        <v>56200</v>
      </c>
      <c r="O11" s="7">
        <f>SUM(Tervezőönkorm.!BJ109)</f>
        <v>0</v>
      </c>
      <c r="P11" s="7">
        <f>SUM(Tervezőönkorm.!BX109)</f>
        <v>0</v>
      </c>
      <c r="Q11" s="7">
        <f>SUM(Tervezőönkorm.!CJ109)</f>
        <v>0</v>
      </c>
      <c r="R11" s="7">
        <f>SUM(Tervezőönkorm.!BN109)</f>
        <v>0</v>
      </c>
      <c r="S11" s="7">
        <f>SUM(Tervezőönkorm.!BP109)</f>
        <v>0</v>
      </c>
      <c r="T11" s="7"/>
      <c r="U11" s="7">
        <f>SUM(Tervezőönkorm.!BV109)</f>
        <v>0</v>
      </c>
      <c r="V11" s="7">
        <f>SUM(Tervezőönkorm.!CB109)</f>
        <v>0</v>
      </c>
      <c r="W11" s="7"/>
      <c r="X11" s="7"/>
      <c r="Y11" s="7">
        <f>SUM(Tervezőönkorm.!CT109)</f>
        <v>0</v>
      </c>
      <c r="Z11" s="7"/>
      <c r="AA11" s="7">
        <f>SUM(Tervezőönkorm.!CX109)</f>
        <v>0</v>
      </c>
      <c r="AB11" s="7"/>
      <c r="AC11" s="7"/>
      <c r="AD11" s="7"/>
      <c r="AE11" s="7"/>
      <c r="AF11" s="7"/>
      <c r="AG11" s="7"/>
      <c r="AH11" s="7">
        <f>SUM(Tervezőönkorm.!ED109)</f>
        <v>0</v>
      </c>
      <c r="AI11" s="7">
        <f>SUM(Tervezőönkorm.!DV109)</f>
        <v>0</v>
      </c>
      <c r="AJ11" s="7">
        <f>SUM(Tervezőönkorm.!AB109)</f>
        <v>0</v>
      </c>
      <c r="AK11" s="7">
        <f>SUM(Tervezőönkorm.!DD109)</f>
        <v>0</v>
      </c>
      <c r="AL11" s="7">
        <f>SUM(Tervezőönkorm.!DH109)</f>
        <v>0</v>
      </c>
      <c r="AM11" s="7">
        <f>SUM(Tervezőönkorm.!EB109)</f>
        <v>0</v>
      </c>
      <c r="AN11" s="7">
        <f>SUM(Tervezőönkorm.!EH109)</f>
        <v>0</v>
      </c>
      <c r="AO11" s="7">
        <f>SUM(Tervezőönkorm.!EL109)</f>
        <v>0</v>
      </c>
      <c r="AP11" s="196">
        <f>SUM(B11:AO11)</f>
        <v>56200</v>
      </c>
      <c r="AQ11" s="7"/>
      <c r="AR11" s="7"/>
      <c r="AS11" s="7"/>
      <c r="AT11" s="7">
        <f>Tervezőhiv.!S161</f>
        <v>0</v>
      </c>
      <c r="AU11" s="7"/>
      <c r="AV11" s="7">
        <f>Tervezőhiv.!AF161</f>
        <v>0</v>
      </c>
      <c r="AW11" s="7"/>
      <c r="AX11" s="7">
        <f>Tervezőhiv.!AM161</f>
        <v>0</v>
      </c>
      <c r="AY11" s="7">
        <f>Tervezőhiv.!AT161</f>
        <v>0</v>
      </c>
      <c r="AZ11" s="196">
        <f>SUM(AQ11:AY11)</f>
        <v>0</v>
      </c>
      <c r="BA11" s="7"/>
      <c r="BB11" s="7"/>
      <c r="BC11" s="7"/>
      <c r="BD11" s="7"/>
      <c r="BE11" s="7"/>
      <c r="BF11" s="7"/>
      <c r="BG11" s="7"/>
      <c r="BH11" s="7"/>
      <c r="BI11" s="7"/>
      <c r="BJ11" s="7"/>
      <c r="BK11" s="7"/>
      <c r="BL11" s="7"/>
      <c r="BM11" s="7"/>
      <c r="BN11" s="7"/>
      <c r="BO11" s="8">
        <f>SUM(BA11:BM11)</f>
        <v>0</v>
      </c>
      <c r="BP11" s="7"/>
      <c r="BQ11" s="7"/>
      <c r="BR11" s="7"/>
      <c r="BS11" s="11">
        <f t="shared" si="26"/>
        <v>0</v>
      </c>
      <c r="BT11" s="211">
        <f>AP11+AZ11+BS11</f>
        <v>56200</v>
      </c>
    </row>
    <row r="12" spans="1:73" s="13" customFormat="1" x14ac:dyDescent="0.25">
      <c r="A12" s="212" t="s">
        <v>339</v>
      </c>
      <c r="B12" s="6">
        <f>B13+B14+B15+B16+B17</f>
        <v>0</v>
      </c>
      <c r="C12" s="6">
        <f>C13+C14+C15+C16+C17</f>
        <v>0</v>
      </c>
      <c r="D12" s="6">
        <f>D13+D14+D15+D16+D17</f>
        <v>0</v>
      </c>
      <c r="E12" s="6">
        <f>E13+E14+E15+E16+E17</f>
        <v>0</v>
      </c>
      <c r="F12" s="6">
        <f>F13+F14+F15+F16+F17</f>
        <v>-17185</v>
      </c>
      <c r="G12" s="6">
        <f t="shared" ref="G12:AF12" si="27">G13+G14+G15+G16+G17</f>
        <v>87707</v>
      </c>
      <c r="H12" s="6">
        <f t="shared" si="27"/>
        <v>0</v>
      </c>
      <c r="I12" s="6">
        <f t="shared" si="27"/>
        <v>0</v>
      </c>
      <c r="J12" s="6">
        <f>J13+J14+J15+J16+J17</f>
        <v>0</v>
      </c>
      <c r="K12" s="6">
        <f t="shared" si="27"/>
        <v>0</v>
      </c>
      <c r="L12" s="6">
        <f t="shared" ref="L12:S12" si="28">L13+L14+L15+L16+L17</f>
        <v>2650</v>
      </c>
      <c r="M12" s="6">
        <f t="shared" si="28"/>
        <v>0</v>
      </c>
      <c r="N12" s="6">
        <f t="shared" si="28"/>
        <v>0</v>
      </c>
      <c r="O12" s="6">
        <f t="shared" si="28"/>
        <v>0</v>
      </c>
      <c r="P12" s="6">
        <f t="shared" si="28"/>
        <v>0</v>
      </c>
      <c r="Q12" s="6">
        <f t="shared" si="28"/>
        <v>0</v>
      </c>
      <c r="R12" s="6">
        <f t="shared" si="28"/>
        <v>2500</v>
      </c>
      <c r="S12" s="6">
        <f t="shared" si="28"/>
        <v>0</v>
      </c>
      <c r="T12" s="6">
        <f t="shared" ref="T12:W12" si="29">T13+T14+T15+T16+T17</f>
        <v>0</v>
      </c>
      <c r="U12" s="6">
        <f>U13+U14+U15+U16+U17</f>
        <v>0</v>
      </c>
      <c r="V12" s="6">
        <f>V13+V14+V15+V16+V17</f>
        <v>0</v>
      </c>
      <c r="W12" s="6">
        <f t="shared" si="29"/>
        <v>0</v>
      </c>
      <c r="X12" s="6">
        <f t="shared" si="27"/>
        <v>0</v>
      </c>
      <c r="Y12" s="6">
        <f>Y13+Y14+Y15+Y16+Y17</f>
        <v>6144</v>
      </c>
      <c r="Z12" s="6">
        <f t="shared" ref="Z12" si="30">Z13+Z14+Z15+Z16+Z17</f>
        <v>0</v>
      </c>
      <c r="AA12" s="6">
        <f>AA13+AA14+AA15+AA16+AA17</f>
        <v>347526</v>
      </c>
      <c r="AB12" s="6">
        <f t="shared" ref="AB12" si="31">AB13+AB14+AB15+AB16+AB17</f>
        <v>0</v>
      </c>
      <c r="AC12" s="6">
        <f t="shared" si="27"/>
        <v>0</v>
      </c>
      <c r="AD12" s="6">
        <f t="shared" si="27"/>
        <v>0</v>
      </c>
      <c r="AE12" s="6">
        <f t="shared" si="27"/>
        <v>0</v>
      </c>
      <c r="AF12" s="6">
        <f t="shared" si="27"/>
        <v>0</v>
      </c>
      <c r="AG12" s="6">
        <f t="shared" ref="AG12" si="32">AG13+AG14+AG15+AG16+AG17</f>
        <v>0</v>
      </c>
      <c r="AH12" s="6">
        <f t="shared" ref="AH12:AO12" si="33">AH13+AH14+AH15+AH16+AH17</f>
        <v>0</v>
      </c>
      <c r="AI12" s="6">
        <f t="shared" si="33"/>
        <v>0</v>
      </c>
      <c r="AJ12" s="6">
        <f t="shared" si="33"/>
        <v>21484</v>
      </c>
      <c r="AK12" s="6">
        <f t="shared" si="33"/>
        <v>0</v>
      </c>
      <c r="AL12" s="6">
        <f t="shared" si="33"/>
        <v>0</v>
      </c>
      <c r="AM12" s="6">
        <f t="shared" si="33"/>
        <v>0</v>
      </c>
      <c r="AN12" s="6">
        <f t="shared" si="33"/>
        <v>0</v>
      </c>
      <c r="AO12" s="6">
        <f t="shared" si="33"/>
        <v>677082</v>
      </c>
      <c r="AP12" s="197">
        <f t="shared" ref="AP12:BR12" si="34">AP13+AP14+AP15+AP16+AP17</f>
        <v>1127908</v>
      </c>
      <c r="AQ12" s="6">
        <f t="shared" si="34"/>
        <v>0</v>
      </c>
      <c r="AR12" s="6">
        <f t="shared" ref="AR12:AW12" si="35">AR13+AR14+AR15+AR16+AR17</f>
        <v>0</v>
      </c>
      <c r="AS12" s="6">
        <f t="shared" si="35"/>
        <v>0</v>
      </c>
      <c r="AT12" s="6">
        <f t="shared" si="35"/>
        <v>0</v>
      </c>
      <c r="AU12" s="6">
        <f t="shared" si="35"/>
        <v>0</v>
      </c>
      <c r="AV12" s="6">
        <f t="shared" ref="AV12" si="36">AV13+AV14+AV15+AV16+AV17</f>
        <v>0</v>
      </c>
      <c r="AW12" s="6">
        <f t="shared" si="35"/>
        <v>0</v>
      </c>
      <c r="AX12" s="6">
        <f t="shared" ref="AX12:AY12" si="37">AX13+AX14+AX15+AX16+AX17</f>
        <v>0</v>
      </c>
      <c r="AY12" s="6">
        <f t="shared" si="37"/>
        <v>0</v>
      </c>
      <c r="AZ12" s="197">
        <f t="shared" si="34"/>
        <v>0</v>
      </c>
      <c r="BA12" s="6">
        <f t="shared" si="34"/>
        <v>0</v>
      </c>
      <c r="BB12" s="6">
        <f t="shared" ref="BB12:BN12" si="38">BB13+BB14+BB15+BB16+BB17</f>
        <v>0</v>
      </c>
      <c r="BC12" s="6">
        <f t="shared" si="38"/>
        <v>0</v>
      </c>
      <c r="BD12" s="6">
        <f t="shared" si="38"/>
        <v>0</v>
      </c>
      <c r="BE12" s="6">
        <f t="shared" ref="BE12" si="39">BE13+BE14+BE15+BE16+BE17</f>
        <v>0</v>
      </c>
      <c r="BF12" s="6">
        <f t="shared" si="38"/>
        <v>0</v>
      </c>
      <c r="BG12" s="6">
        <f t="shared" si="38"/>
        <v>0</v>
      </c>
      <c r="BH12" s="6">
        <f t="shared" si="38"/>
        <v>0</v>
      </c>
      <c r="BI12" s="6">
        <f t="shared" si="38"/>
        <v>0</v>
      </c>
      <c r="BJ12" s="6">
        <f t="shared" si="38"/>
        <v>0</v>
      </c>
      <c r="BK12" s="6">
        <f t="shared" si="38"/>
        <v>0</v>
      </c>
      <c r="BL12" s="6">
        <f t="shared" si="38"/>
        <v>0</v>
      </c>
      <c r="BM12" s="6">
        <f t="shared" si="38"/>
        <v>0</v>
      </c>
      <c r="BN12" s="6">
        <f t="shared" si="38"/>
        <v>0</v>
      </c>
      <c r="BO12" s="6">
        <f t="shared" si="34"/>
        <v>0</v>
      </c>
      <c r="BP12" s="6">
        <f t="shared" si="34"/>
        <v>0</v>
      </c>
      <c r="BQ12" s="6">
        <f t="shared" si="34"/>
        <v>0</v>
      </c>
      <c r="BR12" s="6">
        <f t="shared" si="34"/>
        <v>0</v>
      </c>
      <c r="BS12" s="6">
        <f>BS13+BS14+BS15+BS16+BS17</f>
        <v>0</v>
      </c>
      <c r="BT12" s="213">
        <f>BT13+BT14+BT15+BT16+BT17</f>
        <v>1127908</v>
      </c>
    </row>
    <row r="13" spans="1:73" x14ac:dyDescent="0.25">
      <c r="A13" s="210" t="s">
        <v>340</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196">
        <f>SUM(B13:AO13)</f>
        <v>0</v>
      </c>
      <c r="AQ13" s="7"/>
      <c r="AR13" s="7"/>
      <c r="AS13" s="7"/>
      <c r="AT13" s="7"/>
      <c r="AU13" s="7"/>
      <c r="AV13" s="7"/>
      <c r="AW13" s="7"/>
      <c r="AX13" s="7"/>
      <c r="AY13" s="7"/>
      <c r="AZ13" s="196">
        <f>SUM(AQ13:AY13)</f>
        <v>0</v>
      </c>
      <c r="BA13" s="7"/>
      <c r="BB13" s="7"/>
      <c r="BC13" s="7"/>
      <c r="BD13" s="7"/>
      <c r="BE13" s="7"/>
      <c r="BF13" s="7"/>
      <c r="BG13" s="7"/>
      <c r="BH13" s="7"/>
      <c r="BI13" s="7"/>
      <c r="BJ13" s="7"/>
      <c r="BK13" s="7"/>
      <c r="BL13" s="7"/>
      <c r="BM13" s="7"/>
      <c r="BN13" s="7"/>
      <c r="BO13" s="8">
        <f>SUM(BA13:BN13)</f>
        <v>0</v>
      </c>
      <c r="BP13" s="7"/>
      <c r="BQ13" s="7"/>
      <c r="BR13" s="7"/>
      <c r="BS13" s="11">
        <f t="shared" si="26"/>
        <v>0</v>
      </c>
      <c r="BT13" s="211">
        <f>AP13+AZ13+BS13</f>
        <v>0</v>
      </c>
    </row>
    <row r="14" spans="1:73" x14ac:dyDescent="0.25">
      <c r="A14" s="210" t="s">
        <v>341</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f>SUM(Tervezőönkorm.!DD130)</f>
        <v>0</v>
      </c>
      <c r="AL14" s="7"/>
      <c r="AM14" s="7"/>
      <c r="AN14" s="7"/>
      <c r="AO14" s="7"/>
      <c r="AP14" s="196">
        <f>SUM(B14:AO14)</f>
        <v>0</v>
      </c>
      <c r="AQ14" s="7"/>
      <c r="AR14" s="7"/>
      <c r="AS14" s="7"/>
      <c r="AT14" s="7"/>
      <c r="AU14" s="7"/>
      <c r="AV14" s="7"/>
      <c r="AW14" s="7"/>
      <c r="AX14" s="7"/>
      <c r="AY14" s="7"/>
      <c r="AZ14" s="196">
        <f>SUM(AQ14:AY14)</f>
        <v>0</v>
      </c>
      <c r="BA14" s="7"/>
      <c r="BB14" s="7"/>
      <c r="BC14" s="7"/>
      <c r="BD14" s="7"/>
      <c r="BE14" s="7"/>
      <c r="BF14" s="7"/>
      <c r="BG14" s="7"/>
      <c r="BH14" s="7"/>
      <c r="BI14" s="7"/>
      <c r="BJ14" s="7"/>
      <c r="BK14" s="7"/>
      <c r="BL14" s="7"/>
      <c r="BM14" s="7"/>
      <c r="BN14" s="7"/>
      <c r="BO14" s="8">
        <f t="shared" ref="BO14:BO25" si="40">SUM(BA14:BN14)</f>
        <v>0</v>
      </c>
      <c r="BP14" s="7"/>
      <c r="BQ14" s="7"/>
      <c r="BR14" s="7"/>
      <c r="BS14" s="11">
        <f t="shared" si="26"/>
        <v>0</v>
      </c>
      <c r="BT14" s="211">
        <f>AP14+AZ14+BS14</f>
        <v>0</v>
      </c>
    </row>
    <row r="15" spans="1:73" x14ac:dyDescent="0.25">
      <c r="A15" s="210" t="s">
        <v>342</v>
      </c>
      <c r="B15" s="7">
        <f>SUM(Tervezőönkorm.!F116)</f>
        <v>0</v>
      </c>
      <c r="C15" s="7">
        <f>SUM(Tervezőönkorm.!H116)</f>
        <v>0</v>
      </c>
      <c r="D15" s="7">
        <f>SUM(Tervezőönkorm.!J116)</f>
        <v>0</v>
      </c>
      <c r="E15" s="7">
        <f>SUM(Tervezőönkorm.!L116)</f>
        <v>0</v>
      </c>
      <c r="F15" s="7">
        <f>SUM(Tervezőönkorm.!P116)</f>
        <v>14870</v>
      </c>
      <c r="G15" s="7"/>
      <c r="H15" s="7"/>
      <c r="I15" s="7"/>
      <c r="J15" s="7">
        <f>SUM(Tervezőönkorm.!AS116)</f>
        <v>0</v>
      </c>
      <c r="K15" s="7"/>
      <c r="L15" s="7">
        <f>SUM(Tervezőönkorm.!T116)</f>
        <v>2650</v>
      </c>
      <c r="M15" s="7">
        <f>SUM(Tervezőönkorm.!X116)</f>
        <v>0</v>
      </c>
      <c r="N15" s="7">
        <f>SUM(Tervezőönkorm.!BD116)</f>
        <v>0</v>
      </c>
      <c r="O15" s="7">
        <f>SUM(Tervezőönkorm.!BJ116)</f>
        <v>0</v>
      </c>
      <c r="P15" s="7">
        <f>SUM(Tervezőönkorm.!BX116)</f>
        <v>0</v>
      </c>
      <c r="Q15" s="7">
        <f>SUM(Tervezőönkorm.!CJ116)</f>
        <v>0</v>
      </c>
      <c r="R15" s="7">
        <f>SUM(Tervezőönkorm.!BN116)</f>
        <v>0</v>
      </c>
      <c r="S15" s="7">
        <f>SUM(Tervezőönkorm.!BP116)</f>
        <v>0</v>
      </c>
      <c r="T15" s="7"/>
      <c r="U15" s="7">
        <f>SUM(Tervezőönkorm.!BV116)</f>
        <v>0</v>
      </c>
      <c r="V15" s="7">
        <f>SUM(Tervezőönkorm.!CB116)</f>
        <v>0</v>
      </c>
      <c r="W15" s="7"/>
      <c r="X15" s="7"/>
      <c r="Y15" s="7">
        <f>SUM(Tervezőönkorm.!CT116)</f>
        <v>0</v>
      </c>
      <c r="Z15" s="7"/>
      <c r="AA15" s="7">
        <f>SUM(Tervezőönkorm.!CX116)</f>
        <v>0</v>
      </c>
      <c r="AB15" s="7"/>
      <c r="AC15" s="7"/>
      <c r="AD15" s="7"/>
      <c r="AE15" s="7"/>
      <c r="AF15" s="7"/>
      <c r="AG15" s="7"/>
      <c r="AH15" s="7">
        <f>SUM(Tervezőönkorm.!ED116)</f>
        <v>0</v>
      </c>
      <c r="AI15" s="7">
        <f>SUM(Tervezőönkorm.!DV116)</f>
        <v>0</v>
      </c>
      <c r="AJ15" s="7">
        <f>SUM(Tervezőönkorm.!AB116)</f>
        <v>0</v>
      </c>
      <c r="AK15" s="7">
        <f>SUM(Tervezőönkorm.!DD116)</f>
        <v>0</v>
      </c>
      <c r="AL15" s="7">
        <f>SUM(Tervezőönkorm.!DH116)</f>
        <v>0</v>
      </c>
      <c r="AM15" s="7">
        <f>SUM(Tervezőönkorm.!EB116)</f>
        <v>0</v>
      </c>
      <c r="AN15" s="7">
        <f>SUM(Tervezőönkorm.!EH116)</f>
        <v>0</v>
      </c>
      <c r="AO15" s="7">
        <f>SUM(Tervezőönkorm.!EL116)</f>
        <v>0</v>
      </c>
      <c r="AP15" s="196">
        <f>SUM(B15:AO15)</f>
        <v>17520</v>
      </c>
      <c r="AQ15" s="7"/>
      <c r="AR15" s="7"/>
      <c r="AS15" s="7"/>
      <c r="AT15" s="7">
        <f>Tervezőhiv.!S182</f>
        <v>0</v>
      </c>
      <c r="AU15" s="7"/>
      <c r="AV15" s="7">
        <f>Tervezőhiv.!AF182</f>
        <v>0</v>
      </c>
      <c r="AW15" s="7"/>
      <c r="AX15" s="7">
        <f>Tervezőhiv.!AM182</f>
        <v>0</v>
      </c>
      <c r="AY15" s="7">
        <f>Tervezőhiv.!AT182</f>
        <v>0</v>
      </c>
      <c r="AZ15" s="196">
        <f>SUM(AQ15:AY15)</f>
        <v>0</v>
      </c>
      <c r="BA15" s="7"/>
      <c r="BB15" s="7"/>
      <c r="BC15" s="7"/>
      <c r="BD15" s="7"/>
      <c r="BE15" s="7"/>
      <c r="BF15" s="7"/>
      <c r="BG15" s="7"/>
      <c r="BH15" s="7"/>
      <c r="BI15" s="7"/>
      <c r="BJ15" s="7"/>
      <c r="BK15" s="7"/>
      <c r="BL15" s="7"/>
      <c r="BM15" s="7"/>
      <c r="BN15" s="7"/>
      <c r="BO15" s="8">
        <f t="shared" si="40"/>
        <v>0</v>
      </c>
      <c r="BP15" s="7"/>
      <c r="BQ15" s="7"/>
      <c r="BR15" s="7"/>
      <c r="BS15" s="11">
        <f t="shared" si="26"/>
        <v>0</v>
      </c>
      <c r="BT15" s="211">
        <f>AP15+AZ15+BS15</f>
        <v>17520</v>
      </c>
    </row>
    <row r="16" spans="1:73" x14ac:dyDescent="0.25">
      <c r="A16" s="210" t="s">
        <v>343</v>
      </c>
      <c r="B16" s="7">
        <f>SUM(Tervezőönkorm.!F126)</f>
        <v>0</v>
      </c>
      <c r="C16" s="7">
        <f>SUM(Tervezőönkorm.!H126)</f>
        <v>0</v>
      </c>
      <c r="D16" s="7">
        <f>SUM(Tervezőönkorm.!J126)</f>
        <v>0</v>
      </c>
      <c r="E16" s="7">
        <f>SUM(Tervezőönkorm.!L126)</f>
        <v>0</v>
      </c>
      <c r="F16" s="7">
        <f>SUM(Tervezőönkorm.!P126)-44900</f>
        <v>-32055</v>
      </c>
      <c r="G16" s="7"/>
      <c r="H16" s="7"/>
      <c r="I16" s="7"/>
      <c r="J16" s="7">
        <f>SUM(Tervezőönkorm.!AS126)</f>
        <v>0</v>
      </c>
      <c r="K16" s="7"/>
      <c r="L16" s="7">
        <f>SUM(Tervezőönkorm.!T126)</f>
        <v>0</v>
      </c>
      <c r="M16" s="7">
        <f>SUM(Tervezőönkorm.!X126)</f>
        <v>0</v>
      </c>
      <c r="N16" s="7">
        <f>SUM(Tervezőönkorm.!BD126)</f>
        <v>0</v>
      </c>
      <c r="O16" s="7">
        <f>SUM(Tervezőönkorm.!BJ126)</f>
        <v>0</v>
      </c>
      <c r="P16" s="7">
        <f>SUM(Tervezőönkorm.!BX126)</f>
        <v>0</v>
      </c>
      <c r="Q16" s="7">
        <f>SUM(Tervezőönkorm.!CJ126)</f>
        <v>0</v>
      </c>
      <c r="R16" s="7">
        <f>SUM(Tervezőönkorm.!BN126)</f>
        <v>2500</v>
      </c>
      <c r="S16" s="7">
        <f>SUM(Tervezőönkorm.!BP126)</f>
        <v>0</v>
      </c>
      <c r="T16" s="7"/>
      <c r="U16" s="7">
        <f>SUM(Tervezőönkorm.!BV126)</f>
        <v>0</v>
      </c>
      <c r="V16" s="7">
        <f>SUM(Tervezőönkorm.!CB126)</f>
        <v>0</v>
      </c>
      <c r="W16" s="7"/>
      <c r="X16" s="7"/>
      <c r="Y16" s="7">
        <f>SUM(Tervezőönkorm.!CT126)</f>
        <v>6144</v>
      </c>
      <c r="Z16" s="7"/>
      <c r="AA16" s="7">
        <f>SUM(Tervezőönkorm.!CX126)</f>
        <v>347526</v>
      </c>
      <c r="AB16" s="7"/>
      <c r="AC16" s="7"/>
      <c r="AD16" s="7"/>
      <c r="AE16" s="7">
        <f>'kiadás 11604 '!E68</f>
        <v>0</v>
      </c>
      <c r="AF16" s="7"/>
      <c r="AG16" s="7"/>
      <c r="AH16" s="7">
        <f>SUM(Tervezőönkorm.!ED126)</f>
        <v>0</v>
      </c>
      <c r="AI16" s="7">
        <f>SUM(Tervezőönkorm.!DV126)</f>
        <v>0</v>
      </c>
      <c r="AJ16" s="7">
        <f>SUM(Tervezőönkorm.!AB126)</f>
        <v>21484</v>
      </c>
      <c r="AK16" s="7">
        <f>SUM(Tervezőönkorm.!DD126)</f>
        <v>0</v>
      </c>
      <c r="AL16" s="7">
        <f>SUM(Tervezőönkorm.!DH126)</f>
        <v>0</v>
      </c>
      <c r="AM16" s="7">
        <f>SUM(Tervezőönkorm.!EB126)</f>
        <v>0</v>
      </c>
      <c r="AN16" s="7">
        <f>SUM(Tervezőönkorm.!EH126)</f>
        <v>0</v>
      </c>
      <c r="AO16" s="7">
        <f>SUM(Tervezőönkorm.!EL126)</f>
        <v>677082</v>
      </c>
      <c r="AP16" s="196">
        <f>SUM(B16:AO16)</f>
        <v>1022681</v>
      </c>
      <c r="AQ16" s="7"/>
      <c r="AR16" s="7"/>
      <c r="AS16" s="7"/>
      <c r="AT16" s="7">
        <f>Tervezőhiv.!S189</f>
        <v>0</v>
      </c>
      <c r="AU16" s="7"/>
      <c r="AV16" s="7">
        <f>Tervezőhiv.!AF189</f>
        <v>0</v>
      </c>
      <c r="AW16" s="7"/>
      <c r="AX16" s="7">
        <f>Tervezőhiv.!AM189</f>
        <v>0</v>
      </c>
      <c r="AY16" s="7">
        <f>Tervezőhiv.!AT189</f>
        <v>0</v>
      </c>
      <c r="AZ16" s="196">
        <f>SUM(AQ16:AY16)</f>
        <v>0</v>
      </c>
      <c r="BA16" s="7"/>
      <c r="BB16" s="7"/>
      <c r="BC16" s="7"/>
      <c r="BD16" s="7"/>
      <c r="BE16" s="7"/>
      <c r="BF16" s="7"/>
      <c r="BG16" s="7"/>
      <c r="BH16" s="7"/>
      <c r="BI16" s="7"/>
      <c r="BJ16" s="7"/>
      <c r="BK16" s="7"/>
      <c r="BL16" s="7"/>
      <c r="BM16" s="7"/>
      <c r="BN16" s="7"/>
      <c r="BO16" s="8">
        <f t="shared" si="40"/>
        <v>0</v>
      </c>
      <c r="BP16" s="7"/>
      <c r="BQ16" s="7"/>
      <c r="BR16" s="7"/>
      <c r="BS16" s="11">
        <f t="shared" si="26"/>
        <v>0</v>
      </c>
      <c r="BT16" s="211">
        <f>AP16+AZ16+BS16</f>
        <v>1022681</v>
      </c>
    </row>
    <row r="17" spans="1:74" x14ac:dyDescent="0.25">
      <c r="A17" s="210" t="s">
        <v>344</v>
      </c>
      <c r="B17" s="7"/>
      <c r="C17" s="7"/>
      <c r="D17" s="7"/>
      <c r="E17" s="7"/>
      <c r="F17" s="7"/>
      <c r="G17" s="7">
        <f>tartalékok!C18</f>
        <v>87707</v>
      </c>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196">
        <f>SUM(B17:AO17)</f>
        <v>87707</v>
      </c>
      <c r="AQ17" s="7"/>
      <c r="AR17" s="7"/>
      <c r="AS17" s="7"/>
      <c r="AT17" s="7"/>
      <c r="AU17" s="7"/>
      <c r="AV17" s="7"/>
      <c r="AW17" s="7"/>
      <c r="AX17" s="7"/>
      <c r="AY17" s="7"/>
      <c r="AZ17" s="196">
        <f>SUM(AQ17:AY17)</f>
        <v>0</v>
      </c>
      <c r="BA17" s="7"/>
      <c r="BB17" s="7"/>
      <c r="BC17" s="7"/>
      <c r="BD17" s="7"/>
      <c r="BE17" s="7"/>
      <c r="BF17" s="7"/>
      <c r="BG17" s="7"/>
      <c r="BH17" s="7"/>
      <c r="BI17" s="7"/>
      <c r="BJ17" s="7"/>
      <c r="BK17" s="7"/>
      <c r="BL17" s="7"/>
      <c r="BM17" s="7"/>
      <c r="BN17" s="7"/>
      <c r="BO17" s="8">
        <f t="shared" si="40"/>
        <v>0</v>
      </c>
      <c r="BP17" s="7"/>
      <c r="BQ17" s="7"/>
      <c r="BR17" s="7"/>
      <c r="BS17" s="11">
        <f t="shared" si="26"/>
        <v>0</v>
      </c>
      <c r="BT17" s="211">
        <f>AP17+AZ17+BS17</f>
        <v>87707</v>
      </c>
    </row>
    <row r="18" spans="1:74" s="13" customFormat="1" x14ac:dyDescent="0.25">
      <c r="A18" s="212" t="s">
        <v>345</v>
      </c>
      <c r="B18" s="6">
        <f>B19+B20+B21</f>
        <v>0</v>
      </c>
      <c r="C18" s="6">
        <f>C19+C20+C21</f>
        <v>0</v>
      </c>
      <c r="D18" s="6">
        <f>D19+D20+D21</f>
        <v>0</v>
      </c>
      <c r="E18" s="6">
        <f>E19+E20+E21</f>
        <v>0</v>
      </c>
      <c r="F18" s="6">
        <f>F19+F20+F21</f>
        <v>2000</v>
      </c>
      <c r="G18" s="6">
        <f t="shared" ref="G18:AF18" si="41">G19+G20+G21</f>
        <v>0</v>
      </c>
      <c r="H18" s="6">
        <f t="shared" si="41"/>
        <v>761036</v>
      </c>
      <c r="I18" s="6">
        <f t="shared" si="41"/>
        <v>0</v>
      </c>
      <c r="J18" s="6">
        <f>J19+J20+J21</f>
        <v>0</v>
      </c>
      <c r="K18" s="6">
        <f t="shared" si="41"/>
        <v>0</v>
      </c>
      <c r="L18" s="6">
        <f t="shared" ref="L18:S18" si="42">L19+L20+L21</f>
        <v>0</v>
      </c>
      <c r="M18" s="6">
        <f t="shared" si="42"/>
        <v>0</v>
      </c>
      <c r="N18" s="6">
        <f t="shared" si="42"/>
        <v>0</v>
      </c>
      <c r="O18" s="6">
        <f t="shared" si="42"/>
        <v>0</v>
      </c>
      <c r="P18" s="6">
        <f t="shared" si="42"/>
        <v>1800</v>
      </c>
      <c r="Q18" s="6">
        <f t="shared" si="42"/>
        <v>0</v>
      </c>
      <c r="R18" s="6">
        <f t="shared" si="42"/>
        <v>0</v>
      </c>
      <c r="S18" s="6">
        <f t="shared" si="42"/>
        <v>0</v>
      </c>
      <c r="T18" s="6">
        <f t="shared" ref="T18:W18" si="43">T19+T20+T21</f>
        <v>0</v>
      </c>
      <c r="U18" s="6">
        <f>U19+U20+U21</f>
        <v>0</v>
      </c>
      <c r="V18" s="6">
        <f>V19+V20+V21</f>
        <v>0</v>
      </c>
      <c r="W18" s="6">
        <f t="shared" si="43"/>
        <v>0</v>
      </c>
      <c r="X18" s="6">
        <f t="shared" si="41"/>
        <v>2413473</v>
      </c>
      <c r="Y18" s="6">
        <f>Y19+Y20+Y21</f>
        <v>0</v>
      </c>
      <c r="Z18" s="6">
        <f t="shared" ref="Z18" si="44">Z19+Z20+Z21</f>
        <v>0</v>
      </c>
      <c r="AA18" s="6">
        <f>AA19+AA20+AA21</f>
        <v>57025</v>
      </c>
      <c r="AB18" s="6">
        <f t="shared" ref="AB18" si="45">AB19+AB20+AB21</f>
        <v>0</v>
      </c>
      <c r="AC18" s="6">
        <f t="shared" si="41"/>
        <v>633005</v>
      </c>
      <c r="AD18" s="6">
        <f t="shared" si="41"/>
        <v>1296740</v>
      </c>
      <c r="AE18" s="6">
        <f t="shared" si="41"/>
        <v>48241</v>
      </c>
      <c r="AF18" s="6">
        <f t="shared" si="41"/>
        <v>508963</v>
      </c>
      <c r="AG18" s="6">
        <f t="shared" ref="AG18" si="46">AG19+AG20+AG21</f>
        <v>0</v>
      </c>
      <c r="AH18" s="6">
        <f t="shared" ref="AH18:AO18" si="47">AH19+AH20+AH21</f>
        <v>0</v>
      </c>
      <c r="AI18" s="6">
        <f t="shared" si="47"/>
        <v>2200</v>
      </c>
      <c r="AJ18" s="6">
        <f t="shared" si="47"/>
        <v>0</v>
      </c>
      <c r="AK18" s="6">
        <f t="shared" si="47"/>
        <v>300000</v>
      </c>
      <c r="AL18" s="6">
        <f t="shared" si="47"/>
        <v>0</v>
      </c>
      <c r="AM18" s="6">
        <f t="shared" si="47"/>
        <v>0</v>
      </c>
      <c r="AN18" s="6">
        <f t="shared" si="47"/>
        <v>0</v>
      </c>
      <c r="AO18" s="6">
        <f t="shared" si="47"/>
        <v>0</v>
      </c>
      <c r="AP18" s="197">
        <f t="shared" ref="AP18:BR18" si="48">AP19+AP20+AP21</f>
        <v>6024483</v>
      </c>
      <c r="AQ18" s="6">
        <f t="shared" si="48"/>
        <v>0</v>
      </c>
      <c r="AR18" s="6">
        <f t="shared" ref="AR18:AW18" si="49">AR19+AR20+AR21</f>
        <v>0</v>
      </c>
      <c r="AS18" s="6">
        <f t="shared" si="49"/>
        <v>0</v>
      </c>
      <c r="AT18" s="6">
        <f t="shared" si="49"/>
        <v>0</v>
      </c>
      <c r="AU18" s="6">
        <f t="shared" si="49"/>
        <v>0</v>
      </c>
      <c r="AV18" s="6">
        <f t="shared" ref="AV18" si="50">AV19+AV20+AV21</f>
        <v>0</v>
      </c>
      <c r="AW18" s="6">
        <f t="shared" si="49"/>
        <v>0</v>
      </c>
      <c r="AX18" s="6">
        <f t="shared" ref="AX18:AY18" si="51">AX19+AX20+AX21</f>
        <v>0</v>
      </c>
      <c r="AY18" s="6">
        <f t="shared" si="51"/>
        <v>0</v>
      </c>
      <c r="AZ18" s="197">
        <f t="shared" si="48"/>
        <v>0</v>
      </c>
      <c r="BA18" s="6">
        <f t="shared" si="48"/>
        <v>300</v>
      </c>
      <c r="BB18" s="6">
        <f t="shared" ref="BB18:BN18" si="52">BB19+BB20+BB21</f>
        <v>0</v>
      </c>
      <c r="BC18" s="6">
        <f t="shared" si="52"/>
        <v>0</v>
      </c>
      <c r="BD18" s="6">
        <f t="shared" si="52"/>
        <v>50000</v>
      </c>
      <c r="BE18" s="6">
        <f t="shared" ref="BE18" si="53">BE19+BE20+BE21</f>
        <v>0</v>
      </c>
      <c r="BF18" s="6">
        <f t="shared" si="52"/>
        <v>0</v>
      </c>
      <c r="BG18" s="6">
        <f t="shared" si="52"/>
        <v>0</v>
      </c>
      <c r="BH18" s="6">
        <f t="shared" si="52"/>
        <v>0</v>
      </c>
      <c r="BI18" s="6">
        <f t="shared" si="52"/>
        <v>0</v>
      </c>
      <c r="BJ18" s="6">
        <f t="shared" si="52"/>
        <v>0</v>
      </c>
      <c r="BK18" s="6">
        <f t="shared" si="52"/>
        <v>100</v>
      </c>
      <c r="BL18" s="6">
        <f t="shared" si="52"/>
        <v>0</v>
      </c>
      <c r="BM18" s="6">
        <f t="shared" si="52"/>
        <v>0</v>
      </c>
      <c r="BN18" s="6">
        <f t="shared" si="52"/>
        <v>0</v>
      </c>
      <c r="BO18" s="6">
        <f t="shared" si="48"/>
        <v>50400</v>
      </c>
      <c r="BP18" s="6">
        <f t="shared" si="48"/>
        <v>1474</v>
      </c>
      <c r="BQ18" s="6">
        <f t="shared" si="48"/>
        <v>0</v>
      </c>
      <c r="BR18" s="6">
        <f t="shared" si="48"/>
        <v>0</v>
      </c>
      <c r="BS18" s="6">
        <f>BS19+BS20+BS21</f>
        <v>51874</v>
      </c>
      <c r="BT18" s="213">
        <f>BT19+BT20+BT21</f>
        <v>6076357</v>
      </c>
    </row>
    <row r="19" spans="1:74" x14ac:dyDescent="0.25">
      <c r="A19" s="210" t="s">
        <v>346</v>
      </c>
      <c r="B19" s="7">
        <f>SUM(Tervezőönkorm.!F183)</f>
        <v>0</v>
      </c>
      <c r="C19" s="7">
        <f>SUM(Tervezőönkorm.!H183)</f>
        <v>0</v>
      </c>
      <c r="D19" s="7">
        <f>SUM(Tervezőönkorm.!J183)</f>
        <v>0</v>
      </c>
      <c r="E19" s="7">
        <f>SUM(Tervezőönkorm.!L183)</f>
        <v>0</v>
      </c>
      <c r="F19" s="7">
        <f>SUM(Tervezőönkorm.!P183)</f>
        <v>0</v>
      </c>
      <c r="G19" s="7"/>
      <c r="H19" s="7"/>
      <c r="I19" s="7"/>
      <c r="J19" s="7">
        <f>SUM(Tervezőönkorm.!AS183)</f>
        <v>0</v>
      </c>
      <c r="K19" s="7"/>
      <c r="L19" s="7">
        <f>SUM(Tervezőönkorm.!T183)</f>
        <v>0</v>
      </c>
      <c r="M19" s="7">
        <f>SUM(Tervezőönkorm.!X183)</f>
        <v>0</v>
      </c>
      <c r="N19" s="7">
        <f>SUM(Tervezőönkorm.!BD183)</f>
        <v>0</v>
      </c>
      <c r="O19" s="7">
        <f>SUM(Tervezőönkorm.!BJ183)</f>
        <v>0</v>
      </c>
      <c r="P19" s="7">
        <f>SUM(Tervezőönkorm.!BX183)</f>
        <v>1800</v>
      </c>
      <c r="Q19" s="7">
        <f>SUM(Tervezőönkorm.!CJ183)</f>
        <v>0</v>
      </c>
      <c r="R19" s="7">
        <f>SUM(Tervezőönkorm.!BN183)</f>
        <v>0</v>
      </c>
      <c r="S19" s="7">
        <f>SUM(Tervezőönkorm.!BP183)</f>
        <v>0</v>
      </c>
      <c r="T19" s="7"/>
      <c r="U19" s="7">
        <f>SUM(Tervezőönkorm.!BV183)</f>
        <v>0</v>
      </c>
      <c r="V19" s="7">
        <f>SUM(Tervezőönkorm.!CB183)</f>
        <v>0</v>
      </c>
      <c r="W19" s="7"/>
      <c r="X19" s="7">
        <f>'kiadás 11601'!D30</f>
        <v>2354094</v>
      </c>
      <c r="Y19" s="7">
        <f>SUM(Tervezőönkorm.!CT183)</f>
        <v>0</v>
      </c>
      <c r="Z19" s="7"/>
      <c r="AA19" s="7">
        <f>SUM(Tervezőönkorm.!CX183)</f>
        <v>46000</v>
      </c>
      <c r="AB19" s="7"/>
      <c r="AC19" s="7">
        <f>kiadás11602!E39</f>
        <v>0</v>
      </c>
      <c r="AD19" s="7">
        <f>'kiadás 11603'!D13</f>
        <v>0</v>
      </c>
      <c r="AE19" s="7">
        <f>'kiadás 11604 '!G68</f>
        <v>0</v>
      </c>
      <c r="AF19" s="7">
        <f>kiadás11605projektek!G61</f>
        <v>0</v>
      </c>
      <c r="AG19" s="7"/>
      <c r="AH19" s="7">
        <f>SUM(Tervezőönkorm.!ED183)</f>
        <v>0</v>
      </c>
      <c r="AI19" s="7">
        <f>SUM(Tervezőönkorm.!DV183)</f>
        <v>2200</v>
      </c>
      <c r="AJ19" s="7">
        <f>SUM(Tervezőönkorm.!AB183)</f>
        <v>0</v>
      </c>
      <c r="AK19" s="7">
        <f>SUM(Tervezőönkorm.!DD183)</f>
        <v>0</v>
      </c>
      <c r="AL19" s="7">
        <f>SUM(Tervezőönkorm.!DH183)</f>
        <v>0</v>
      </c>
      <c r="AM19" s="7">
        <f>SUM(Tervezőönkorm.!EB183)</f>
        <v>0</v>
      </c>
      <c r="AN19" s="7">
        <f>SUM(Tervezőönkorm.!EH183)</f>
        <v>0</v>
      </c>
      <c r="AO19" s="7">
        <f>SUM(Tervezőönkorm.!EL183)</f>
        <v>0</v>
      </c>
      <c r="AP19" s="196">
        <f>SUM(B19:AO19)</f>
        <v>2404094</v>
      </c>
      <c r="AQ19" s="7"/>
      <c r="AR19" s="7"/>
      <c r="AS19" s="7"/>
      <c r="AT19" s="7">
        <f>Tervezőhiv.!S232</f>
        <v>0</v>
      </c>
      <c r="AU19" s="7"/>
      <c r="AV19" s="7">
        <f>Tervezőhiv.!AF232</f>
        <v>0</v>
      </c>
      <c r="AW19" s="7"/>
      <c r="AX19" s="7">
        <f>Tervezőhiv.!AM232</f>
        <v>0</v>
      </c>
      <c r="AY19" s="7">
        <f>Tervezőhiv.!AT232</f>
        <v>0</v>
      </c>
      <c r="AZ19" s="196">
        <f>SUM(AQ19:AY19)</f>
        <v>0</v>
      </c>
      <c r="BA19" s="7">
        <v>300</v>
      </c>
      <c r="BB19" s="7"/>
      <c r="BC19" s="7"/>
      <c r="BD19" s="7">
        <v>50000</v>
      </c>
      <c r="BE19" s="7"/>
      <c r="BF19" s="7"/>
      <c r="BG19" s="7"/>
      <c r="BH19" s="7"/>
      <c r="BI19" s="7"/>
      <c r="BJ19" s="7"/>
      <c r="BK19" s="7">
        <v>100</v>
      </c>
      <c r="BL19" s="7"/>
      <c r="BM19" s="7"/>
      <c r="BN19" s="7"/>
      <c r="BO19" s="8">
        <f t="shared" si="40"/>
        <v>50400</v>
      </c>
      <c r="BP19" s="7">
        <v>1474</v>
      </c>
      <c r="BQ19" s="7"/>
      <c r="BR19" s="7"/>
      <c r="BS19" s="11">
        <f t="shared" si="26"/>
        <v>51874</v>
      </c>
      <c r="BT19" s="211">
        <f>AP19+AZ19+BS19</f>
        <v>2455968</v>
      </c>
    </row>
    <row r="20" spans="1:74" x14ac:dyDescent="0.25">
      <c r="A20" s="210" t="s">
        <v>347</v>
      </c>
      <c r="B20" s="7">
        <f>SUM(Tervezőönkorm.!F202)</f>
        <v>0</v>
      </c>
      <c r="C20" s="7">
        <f>SUM(Tervezőönkorm.!H202)</f>
        <v>0</v>
      </c>
      <c r="D20" s="7">
        <f>SUM(Tervezőönkorm.!J202)</f>
        <v>0</v>
      </c>
      <c r="E20" s="7">
        <f>SUM(Tervezőönkorm.!L202)</f>
        <v>0</v>
      </c>
      <c r="F20" s="7">
        <f>SUM(Tervezőönkorm.!P202)</f>
        <v>0</v>
      </c>
      <c r="G20" s="7"/>
      <c r="H20" s="7"/>
      <c r="I20" s="7"/>
      <c r="J20" s="7">
        <f>SUM(Tervezőönkorm.!AS202)</f>
        <v>0</v>
      </c>
      <c r="K20" s="7"/>
      <c r="L20" s="7">
        <f>SUM(Tervezőönkorm.!T202)</f>
        <v>0</v>
      </c>
      <c r="M20" s="7">
        <f>SUM(Tervezőönkorm.!X202)</f>
        <v>0</v>
      </c>
      <c r="N20" s="7">
        <f>SUM(Tervezőönkorm.!BD202)</f>
        <v>0</v>
      </c>
      <c r="O20" s="7">
        <f>SUM(Tervezőönkorm.!BJ202)</f>
        <v>0</v>
      </c>
      <c r="P20" s="7">
        <f>SUM(Tervezőönkorm.!BX202)</f>
        <v>0</v>
      </c>
      <c r="Q20" s="7">
        <f>SUM(Tervezőönkorm.!CJ202)</f>
        <v>0</v>
      </c>
      <c r="R20" s="7">
        <f>SUM(Tervezőönkorm.!BN202)</f>
        <v>0</v>
      </c>
      <c r="S20" s="7">
        <f>SUM(Tervezőönkorm.!BP202)</f>
        <v>0</v>
      </c>
      <c r="T20" s="7"/>
      <c r="U20" s="7">
        <f>SUM(Tervezőönkorm.!BV202)</f>
        <v>0</v>
      </c>
      <c r="V20" s="7">
        <f>SUM(Tervezőönkorm.!CB202)</f>
        <v>0</v>
      </c>
      <c r="W20" s="7"/>
      <c r="X20" s="7">
        <f>'kiadás 11601'!E30</f>
        <v>59379</v>
      </c>
      <c r="Y20" s="7">
        <f>SUM(Tervezőönkorm.!CT202)</f>
        <v>0</v>
      </c>
      <c r="Z20" s="7"/>
      <c r="AA20" s="7">
        <f>SUM(Tervezőönkorm.!CX202)</f>
        <v>0</v>
      </c>
      <c r="AB20" s="7"/>
      <c r="AC20" s="7">
        <f>kiadás11602!F39</f>
        <v>400000</v>
      </c>
      <c r="AD20" s="7">
        <f>'kiadás 11603'!E13</f>
        <v>1296740</v>
      </c>
      <c r="AE20" s="7">
        <f>'kiadás 11604 '!H68</f>
        <v>48241</v>
      </c>
      <c r="AF20" s="7">
        <f>kiadás11605projektek!H61</f>
        <v>155239</v>
      </c>
      <c r="AG20" s="7"/>
      <c r="AH20" s="7">
        <f>SUM(Tervezőönkorm.!ED202)</f>
        <v>0</v>
      </c>
      <c r="AI20" s="7">
        <f>SUM(Tervezőönkorm.!DV202)</f>
        <v>0</v>
      </c>
      <c r="AJ20" s="7">
        <f>SUM(Tervezőönkorm.!AB202)</f>
        <v>0</v>
      </c>
      <c r="AK20" s="7">
        <f>SUM(Tervezőönkorm.!DD202)</f>
        <v>0</v>
      </c>
      <c r="AL20" s="7">
        <f>SUM(Tervezőönkorm.!DH202)</f>
        <v>0</v>
      </c>
      <c r="AM20" s="7">
        <f>SUM(Tervezőönkorm.!EB202)</f>
        <v>0</v>
      </c>
      <c r="AN20" s="7">
        <f>SUM(Tervezőönkorm.!EH202)</f>
        <v>0</v>
      </c>
      <c r="AO20" s="7">
        <f>SUM(Tervezőönkorm.!EL202)</f>
        <v>0</v>
      </c>
      <c r="AP20" s="196">
        <f>SUM(B20:AO20)</f>
        <v>1959599</v>
      </c>
      <c r="AQ20" s="7"/>
      <c r="AR20" s="7"/>
      <c r="AS20" s="7"/>
      <c r="AT20" s="7">
        <f>Tervezőhiv.!S239</f>
        <v>0</v>
      </c>
      <c r="AU20" s="7"/>
      <c r="AV20" s="7">
        <f>Tervezőhiv.!AF239</f>
        <v>0</v>
      </c>
      <c r="AW20" s="7"/>
      <c r="AX20" s="7">
        <f>Tervezőhiv.!AM239</f>
        <v>0</v>
      </c>
      <c r="AY20" s="7">
        <f>Tervezőhiv.!AT239</f>
        <v>0</v>
      </c>
      <c r="AZ20" s="196">
        <f>SUM(AQ20:AY20)</f>
        <v>0</v>
      </c>
      <c r="BA20" s="7"/>
      <c r="BB20" s="7"/>
      <c r="BC20" s="7"/>
      <c r="BD20" s="7"/>
      <c r="BE20" s="7"/>
      <c r="BF20" s="7"/>
      <c r="BG20" s="7"/>
      <c r="BH20" s="7"/>
      <c r="BI20" s="7"/>
      <c r="BJ20" s="7"/>
      <c r="BK20" s="7"/>
      <c r="BL20" s="7"/>
      <c r="BM20" s="7"/>
      <c r="BN20" s="7"/>
      <c r="BO20" s="8">
        <f t="shared" si="40"/>
        <v>0</v>
      </c>
      <c r="BP20" s="7"/>
      <c r="BQ20" s="7"/>
      <c r="BR20" s="7"/>
      <c r="BS20" s="11">
        <f t="shared" si="26"/>
        <v>0</v>
      </c>
      <c r="BT20" s="211">
        <f>AP20+AZ20+BS20</f>
        <v>1959599</v>
      </c>
    </row>
    <row r="21" spans="1:74" s="13" customFormat="1" x14ac:dyDescent="0.25">
      <c r="A21" s="212" t="s">
        <v>348</v>
      </c>
      <c r="B21" s="6">
        <f>B22+B23+B24+B25</f>
        <v>0</v>
      </c>
      <c r="C21" s="6">
        <f>C22+C23+C24+C25</f>
        <v>0</v>
      </c>
      <c r="D21" s="6">
        <f>D22+D23+D24+D25</f>
        <v>0</v>
      </c>
      <c r="E21" s="6">
        <f>E22+E23+E24+E25</f>
        <v>0</v>
      </c>
      <c r="F21" s="6">
        <f>F22+F23+F24+F25</f>
        <v>2000</v>
      </c>
      <c r="G21" s="6">
        <f t="shared" ref="G21:AF21" si="54">G22+G23+G24+G25</f>
        <v>0</v>
      </c>
      <c r="H21" s="6">
        <f t="shared" si="54"/>
        <v>761036</v>
      </c>
      <c r="I21" s="6">
        <f t="shared" si="54"/>
        <v>0</v>
      </c>
      <c r="J21" s="6">
        <f>J22+J23+J24+J25</f>
        <v>0</v>
      </c>
      <c r="K21" s="6">
        <f t="shared" si="54"/>
        <v>0</v>
      </c>
      <c r="L21" s="6">
        <f t="shared" ref="L21:S21" si="55">L22+L23+L24+L25</f>
        <v>0</v>
      </c>
      <c r="M21" s="6">
        <f t="shared" si="55"/>
        <v>0</v>
      </c>
      <c r="N21" s="6">
        <f t="shared" si="55"/>
        <v>0</v>
      </c>
      <c r="O21" s="6">
        <f t="shared" si="55"/>
        <v>0</v>
      </c>
      <c r="P21" s="6">
        <f t="shared" si="55"/>
        <v>0</v>
      </c>
      <c r="Q21" s="6">
        <f t="shared" si="55"/>
        <v>0</v>
      </c>
      <c r="R21" s="6">
        <f t="shared" si="55"/>
        <v>0</v>
      </c>
      <c r="S21" s="6">
        <f t="shared" si="55"/>
        <v>0</v>
      </c>
      <c r="T21" s="6">
        <f t="shared" ref="T21:W21" si="56">T22+T23+T24+T25</f>
        <v>0</v>
      </c>
      <c r="U21" s="6">
        <f>U22+U23+U24+U25</f>
        <v>0</v>
      </c>
      <c r="V21" s="6">
        <f>V22+V23+V24+V25</f>
        <v>0</v>
      </c>
      <c r="W21" s="6">
        <f t="shared" si="56"/>
        <v>0</v>
      </c>
      <c r="X21" s="6">
        <f t="shared" si="54"/>
        <v>0</v>
      </c>
      <c r="Y21" s="6">
        <f>Y22+Y23+Y24+Y25</f>
        <v>0</v>
      </c>
      <c r="Z21" s="6">
        <f t="shared" ref="Z21" si="57">Z22+Z23+Z24+Z25</f>
        <v>0</v>
      </c>
      <c r="AA21" s="6">
        <f>AA22+AA23+AA24+AA25</f>
        <v>11025</v>
      </c>
      <c r="AB21" s="6">
        <f t="shared" ref="AB21" si="58">AB22+AB23+AB24+AB25</f>
        <v>0</v>
      </c>
      <c r="AC21" s="6">
        <f t="shared" si="54"/>
        <v>233005</v>
      </c>
      <c r="AD21" s="6">
        <f t="shared" si="54"/>
        <v>0</v>
      </c>
      <c r="AE21" s="6">
        <f t="shared" si="54"/>
        <v>0</v>
      </c>
      <c r="AF21" s="6">
        <f t="shared" si="54"/>
        <v>353724</v>
      </c>
      <c r="AG21" s="6">
        <f t="shared" ref="AG21" si="59">AG22+AG23+AG24+AG25</f>
        <v>0</v>
      </c>
      <c r="AH21" s="6">
        <f t="shared" ref="AH21:AO21" si="60">AH22+AH23+AH24+AH25</f>
        <v>0</v>
      </c>
      <c r="AI21" s="6">
        <f t="shared" si="60"/>
        <v>0</v>
      </c>
      <c r="AJ21" s="6">
        <f t="shared" si="60"/>
        <v>0</v>
      </c>
      <c r="AK21" s="6">
        <f t="shared" si="60"/>
        <v>300000</v>
      </c>
      <c r="AL21" s="6">
        <f t="shared" si="60"/>
        <v>0</v>
      </c>
      <c r="AM21" s="6">
        <f t="shared" si="60"/>
        <v>0</v>
      </c>
      <c r="AN21" s="6">
        <f t="shared" si="60"/>
        <v>0</v>
      </c>
      <c r="AO21" s="6">
        <f t="shared" si="60"/>
        <v>0</v>
      </c>
      <c r="AP21" s="197">
        <f t="shared" ref="AP21:BR21" si="61">AP22+AP23+AP24+AP25</f>
        <v>1660790</v>
      </c>
      <c r="AQ21" s="6">
        <f t="shared" si="61"/>
        <v>0</v>
      </c>
      <c r="AR21" s="6">
        <f t="shared" ref="AR21:AW21" si="62">AR22+AR23+AR24+AR25</f>
        <v>0</v>
      </c>
      <c r="AS21" s="6">
        <f t="shared" si="62"/>
        <v>0</v>
      </c>
      <c r="AT21" s="6">
        <f t="shared" si="62"/>
        <v>0</v>
      </c>
      <c r="AU21" s="6">
        <f t="shared" si="62"/>
        <v>0</v>
      </c>
      <c r="AV21" s="6">
        <f t="shared" ref="AV21" si="63">AV22+AV23+AV24+AV25</f>
        <v>0</v>
      </c>
      <c r="AW21" s="6">
        <f t="shared" si="62"/>
        <v>0</v>
      </c>
      <c r="AX21" s="6">
        <f t="shared" ref="AX21:AY21" si="64">AX22+AX23+AX24+AX25</f>
        <v>0</v>
      </c>
      <c r="AY21" s="6">
        <f t="shared" si="64"/>
        <v>0</v>
      </c>
      <c r="AZ21" s="197">
        <f t="shared" si="61"/>
        <v>0</v>
      </c>
      <c r="BA21" s="6">
        <f t="shared" si="61"/>
        <v>0</v>
      </c>
      <c r="BB21" s="6">
        <f t="shared" ref="BB21:BN21" si="65">BB22+BB23+BB24+BB25</f>
        <v>0</v>
      </c>
      <c r="BC21" s="6">
        <f t="shared" si="65"/>
        <v>0</v>
      </c>
      <c r="BD21" s="6">
        <f t="shared" si="65"/>
        <v>0</v>
      </c>
      <c r="BE21" s="6">
        <f t="shared" ref="BE21" si="66">BE22+BE23+BE24+BE25</f>
        <v>0</v>
      </c>
      <c r="BF21" s="6">
        <f t="shared" si="65"/>
        <v>0</v>
      </c>
      <c r="BG21" s="6">
        <f t="shared" si="65"/>
        <v>0</v>
      </c>
      <c r="BH21" s="6">
        <f t="shared" si="65"/>
        <v>0</v>
      </c>
      <c r="BI21" s="6">
        <f t="shared" si="65"/>
        <v>0</v>
      </c>
      <c r="BJ21" s="6">
        <f t="shared" si="65"/>
        <v>0</v>
      </c>
      <c r="BK21" s="6">
        <f t="shared" si="65"/>
        <v>0</v>
      </c>
      <c r="BL21" s="6">
        <f t="shared" si="65"/>
        <v>0</v>
      </c>
      <c r="BM21" s="6">
        <f t="shared" si="65"/>
        <v>0</v>
      </c>
      <c r="BN21" s="6">
        <f t="shared" si="65"/>
        <v>0</v>
      </c>
      <c r="BO21" s="6">
        <f t="shared" si="61"/>
        <v>0</v>
      </c>
      <c r="BP21" s="6">
        <f t="shared" si="61"/>
        <v>0</v>
      </c>
      <c r="BQ21" s="6">
        <f t="shared" si="61"/>
        <v>0</v>
      </c>
      <c r="BR21" s="6">
        <f t="shared" si="61"/>
        <v>0</v>
      </c>
      <c r="BS21" s="6">
        <f>BS22+BS23+BS24+BS25</f>
        <v>0</v>
      </c>
      <c r="BT21" s="213">
        <f>BT22+BT23+BT24+BT25</f>
        <v>1660790</v>
      </c>
    </row>
    <row r="22" spans="1:74" x14ac:dyDescent="0.25">
      <c r="A22" s="210" t="s">
        <v>349</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f>SUM(Tervezőönkorm.!DD208)</f>
        <v>150000</v>
      </c>
      <c r="AL22" s="7"/>
      <c r="AM22" s="7"/>
      <c r="AN22" s="7"/>
      <c r="AO22" s="7"/>
      <c r="AP22" s="196">
        <f>SUM(B22:AO22)</f>
        <v>150000</v>
      </c>
      <c r="AQ22" s="7"/>
      <c r="AR22" s="7"/>
      <c r="AS22" s="7"/>
      <c r="AT22" s="7"/>
      <c r="AU22" s="7"/>
      <c r="AV22" s="7"/>
      <c r="AW22" s="7"/>
      <c r="AX22" s="7"/>
      <c r="AY22" s="7"/>
      <c r="AZ22" s="196">
        <f>SUM(AQ22:AY22)</f>
        <v>0</v>
      </c>
      <c r="BA22" s="7"/>
      <c r="BB22" s="7"/>
      <c r="BC22" s="7"/>
      <c r="BD22" s="7"/>
      <c r="BE22" s="7"/>
      <c r="BF22" s="7"/>
      <c r="BG22" s="7"/>
      <c r="BH22" s="7"/>
      <c r="BI22" s="7"/>
      <c r="BJ22" s="7"/>
      <c r="BK22" s="7"/>
      <c r="BL22" s="7"/>
      <c r="BM22" s="7"/>
      <c r="BN22" s="7"/>
      <c r="BO22" s="8">
        <f t="shared" si="40"/>
        <v>0</v>
      </c>
      <c r="BP22" s="7"/>
      <c r="BQ22" s="7"/>
      <c r="BR22" s="7"/>
      <c r="BS22" s="11">
        <f t="shared" si="26"/>
        <v>0</v>
      </c>
      <c r="BT22" s="211">
        <f>AP22+AZ22+BS22</f>
        <v>150000</v>
      </c>
    </row>
    <row r="23" spans="1:74" x14ac:dyDescent="0.25">
      <c r="A23" s="210" t="s">
        <v>350</v>
      </c>
      <c r="B23" s="7">
        <f>SUM(Tervezőönkorm.!F215)</f>
        <v>0</v>
      </c>
      <c r="C23" s="7">
        <f>SUM(Tervezőönkorm.!H215)</f>
        <v>0</v>
      </c>
      <c r="D23" s="7">
        <f>SUM(Tervezőönkorm.!J215)</f>
        <v>0</v>
      </c>
      <c r="E23" s="7">
        <f>SUM(Tervezőönkorm.!L215)</f>
        <v>0</v>
      </c>
      <c r="F23" s="7">
        <f>SUM(Tervezőönkorm.!P215)</f>
        <v>0</v>
      </c>
      <c r="G23" s="7"/>
      <c r="H23" s="7"/>
      <c r="I23" s="7"/>
      <c r="J23" s="7">
        <f>SUM(Tervezőönkorm.!AS215)</f>
        <v>0</v>
      </c>
      <c r="K23" s="7"/>
      <c r="L23" s="7">
        <f>SUM(Tervezőönkorm.!T215)</f>
        <v>0</v>
      </c>
      <c r="M23" s="7">
        <f>SUM(Tervezőönkorm.!X215)</f>
        <v>0</v>
      </c>
      <c r="N23" s="7">
        <f>SUM(Tervezőönkorm.!BD215)</f>
        <v>0</v>
      </c>
      <c r="O23" s="7">
        <f>SUM(Tervezőönkorm.!BJ215)</f>
        <v>0</v>
      </c>
      <c r="P23" s="7">
        <f>SUM(Tervezőönkorm.!BX215)</f>
        <v>0</v>
      </c>
      <c r="Q23" s="7">
        <f>SUM(Tervezőönkorm.!CJ215)</f>
        <v>0</v>
      </c>
      <c r="R23" s="7">
        <f>SUM(Tervezőönkorm.!BN215)</f>
        <v>0</v>
      </c>
      <c r="S23" s="7">
        <f>SUM(Tervezőönkorm.!BP215)</f>
        <v>0</v>
      </c>
      <c r="T23" s="7"/>
      <c r="U23" s="7">
        <f>SUM(Tervezőönkorm.!BV215)</f>
        <v>0</v>
      </c>
      <c r="V23" s="7">
        <f>SUM(Tervezőönkorm.!CB215)</f>
        <v>0</v>
      </c>
      <c r="W23" s="7"/>
      <c r="X23" s="7">
        <f>'kiadás 11601'!F30</f>
        <v>0</v>
      </c>
      <c r="Y23" s="7">
        <f>SUM(Tervezőönkorm.!CT215)</f>
        <v>0</v>
      </c>
      <c r="Z23" s="7"/>
      <c r="AA23" s="7">
        <f>SUM(Tervezőönkorm.!CX215)</f>
        <v>0</v>
      </c>
      <c r="AB23" s="7"/>
      <c r="AC23" s="7">
        <f>kiadás11602!G39</f>
        <v>0</v>
      </c>
      <c r="AD23" s="7">
        <f>'kiadás 11603'!F13</f>
        <v>0</v>
      </c>
      <c r="AE23" s="7">
        <f>'kiadás 11604 '!I68</f>
        <v>0</v>
      </c>
      <c r="AF23" s="7">
        <v>0</v>
      </c>
      <c r="AG23" s="7"/>
      <c r="AH23" s="7">
        <f>SUM(Tervezőönkorm.!ED215)</f>
        <v>0</v>
      </c>
      <c r="AI23" s="7">
        <f>SUM(Tervezőönkorm.!DV215)</f>
        <v>0</v>
      </c>
      <c r="AJ23" s="7">
        <f>SUM(Tervezőönkorm.!AB215)</f>
        <v>0</v>
      </c>
      <c r="AK23" s="7">
        <f>SUM(Tervezőönkorm.!DD215)</f>
        <v>0</v>
      </c>
      <c r="AL23" s="7">
        <f>SUM(Tervezőönkorm.!DH215)</f>
        <v>0</v>
      </c>
      <c r="AM23" s="7">
        <f>SUM(Tervezőönkorm.!EB215)</f>
        <v>0</v>
      </c>
      <c r="AN23" s="7">
        <f>SUM(Tervezőönkorm.!EH215)</f>
        <v>0</v>
      </c>
      <c r="AO23" s="7">
        <f>SUM(Tervezőönkorm.!EL215)</f>
        <v>0</v>
      </c>
      <c r="AP23" s="196">
        <f>SUM(B23:AO23)</f>
        <v>0</v>
      </c>
      <c r="AQ23" s="7"/>
      <c r="AR23" s="7"/>
      <c r="AS23" s="7"/>
      <c r="AT23" s="7">
        <f>Tervezőhiv.!S245</f>
        <v>0</v>
      </c>
      <c r="AU23" s="7"/>
      <c r="AV23" s="7">
        <f>Tervezőhiv.!AF245</f>
        <v>0</v>
      </c>
      <c r="AW23" s="7"/>
      <c r="AX23" s="7">
        <f>Tervezőhiv.!AM245</f>
        <v>0</v>
      </c>
      <c r="AY23" s="7">
        <f>Tervezőhiv.!AT245</f>
        <v>0</v>
      </c>
      <c r="AZ23" s="196">
        <f>SUM(AQ23:AY23)</f>
        <v>0</v>
      </c>
      <c r="BA23" s="7"/>
      <c r="BB23" s="7"/>
      <c r="BC23" s="7"/>
      <c r="BD23" s="7"/>
      <c r="BE23" s="7"/>
      <c r="BF23" s="7"/>
      <c r="BG23" s="7"/>
      <c r="BH23" s="7"/>
      <c r="BI23" s="7"/>
      <c r="BJ23" s="7"/>
      <c r="BK23" s="7"/>
      <c r="BL23" s="7"/>
      <c r="BM23" s="7"/>
      <c r="BN23" s="7"/>
      <c r="BO23" s="8">
        <f t="shared" si="40"/>
        <v>0</v>
      </c>
      <c r="BP23" s="7"/>
      <c r="BQ23" s="7"/>
      <c r="BR23" s="7"/>
      <c r="BS23" s="11">
        <f t="shared" si="26"/>
        <v>0</v>
      </c>
      <c r="BT23" s="211">
        <f>AP23+AZ23+BS23</f>
        <v>0</v>
      </c>
    </row>
    <row r="24" spans="1:74" x14ac:dyDescent="0.25">
      <c r="A24" s="210" t="s">
        <v>351</v>
      </c>
      <c r="B24" s="7">
        <f>SUM(Tervezőönkorm.!F226)</f>
        <v>0</v>
      </c>
      <c r="C24" s="7">
        <f>SUM(Tervezőönkorm.!H226)</f>
        <v>0</v>
      </c>
      <c r="D24" s="7">
        <f>SUM(Tervezőönkorm.!J226)</f>
        <v>0</v>
      </c>
      <c r="E24" s="7">
        <f>SUM(Tervezőönkorm.!L226)</f>
        <v>0</v>
      </c>
      <c r="F24" s="7">
        <f>SUM(Tervezőönkorm.!P226)</f>
        <v>2000</v>
      </c>
      <c r="G24" s="7"/>
      <c r="H24" s="7"/>
      <c r="I24" s="7"/>
      <c r="J24" s="7">
        <f>SUM(Tervezőönkorm.!AS226)</f>
        <v>0</v>
      </c>
      <c r="K24" s="7"/>
      <c r="L24" s="7">
        <f>SUM(Tervezőönkorm.!T226)</f>
        <v>0</v>
      </c>
      <c r="M24" s="7">
        <f>SUM(Tervezőönkorm.!X226)</f>
        <v>0</v>
      </c>
      <c r="N24" s="7">
        <f>SUM(Tervezőönkorm.!BD226)</f>
        <v>0</v>
      </c>
      <c r="O24" s="7">
        <f>SUM(Tervezőönkorm.!BJ226)</f>
        <v>0</v>
      </c>
      <c r="P24" s="7">
        <f>SUM(Tervezőönkorm.!BX226)</f>
        <v>0</v>
      </c>
      <c r="Q24" s="7">
        <f>SUM(Tervezőönkorm.!CJ226)</f>
        <v>0</v>
      </c>
      <c r="R24" s="7">
        <f>SUM(Tervezőönkorm.!BN226)</f>
        <v>0</v>
      </c>
      <c r="S24" s="7">
        <f>SUM(Tervezőönkorm.!BP226)</f>
        <v>0</v>
      </c>
      <c r="T24" s="7"/>
      <c r="U24" s="7">
        <f>SUM(Tervezőönkorm.!BV226)</f>
        <v>0</v>
      </c>
      <c r="V24" s="7">
        <f>SUM(Tervezőönkorm.!CB226)</f>
        <v>0</v>
      </c>
      <c r="W24" s="7"/>
      <c r="X24" s="7">
        <f>'kiadás 11601'!G30</f>
        <v>0</v>
      </c>
      <c r="Y24" s="7">
        <f>SUM(Tervezőönkorm.!CT226)</f>
        <v>0</v>
      </c>
      <c r="Z24" s="7"/>
      <c r="AA24" s="7">
        <f>SUM(Tervezőönkorm.!CX226)</f>
        <v>11025</v>
      </c>
      <c r="AB24" s="7"/>
      <c r="AC24" s="7">
        <f>kiadás11602!H39</f>
        <v>233005</v>
      </c>
      <c r="AD24" s="7">
        <f>'kiadás 11603'!G13</f>
        <v>0</v>
      </c>
      <c r="AE24" s="7">
        <f>'kiadás 11604 '!J68</f>
        <v>0</v>
      </c>
      <c r="AF24" s="7">
        <f>kiadás11605projektek!I61</f>
        <v>353724</v>
      </c>
      <c r="AG24" s="7"/>
      <c r="AH24" s="7">
        <f>SUM(Tervezőönkorm.!ED226)</f>
        <v>0</v>
      </c>
      <c r="AI24" s="7">
        <f>SUM(Tervezőönkorm.!DV226)</f>
        <v>0</v>
      </c>
      <c r="AJ24" s="7">
        <f>SUM(Tervezőönkorm.!AB226)</f>
        <v>0</v>
      </c>
      <c r="AK24" s="7">
        <f>SUM(Tervezőönkorm.!DD226)</f>
        <v>150000</v>
      </c>
      <c r="AL24" s="7">
        <f>SUM(Tervezőönkorm.!DH226)</f>
        <v>0</v>
      </c>
      <c r="AM24" s="7">
        <f>SUM(Tervezőönkorm.!EB226)</f>
        <v>0</v>
      </c>
      <c r="AN24" s="7">
        <f>SUM(Tervezőönkorm.!EH226)</f>
        <v>0</v>
      </c>
      <c r="AO24" s="7">
        <f>SUM(Tervezőönkorm.!EL226)</f>
        <v>0</v>
      </c>
      <c r="AP24" s="196">
        <f>SUM(B24:AO24)</f>
        <v>749754</v>
      </c>
      <c r="AQ24" s="7"/>
      <c r="AR24" s="7"/>
      <c r="AS24" s="7"/>
      <c r="AT24" s="7">
        <f>Tervezőhiv.!S250</f>
        <v>0</v>
      </c>
      <c r="AU24" s="7"/>
      <c r="AV24" s="7">
        <f>Tervezőhiv.!AF250</f>
        <v>0</v>
      </c>
      <c r="AW24" s="7"/>
      <c r="AX24" s="7">
        <f>Tervezőhiv.!AM250</f>
        <v>0</v>
      </c>
      <c r="AY24" s="7">
        <f>Tervezőhiv.!AT250</f>
        <v>0</v>
      </c>
      <c r="AZ24" s="196">
        <f>SUM(AQ24:AY24)</f>
        <v>0</v>
      </c>
      <c r="BA24" s="7"/>
      <c r="BB24" s="7"/>
      <c r="BC24" s="7"/>
      <c r="BD24" s="7"/>
      <c r="BE24" s="7"/>
      <c r="BF24" s="7"/>
      <c r="BG24" s="7"/>
      <c r="BH24" s="7"/>
      <c r="BI24" s="7"/>
      <c r="BJ24" s="7"/>
      <c r="BK24" s="7"/>
      <c r="BL24" s="7"/>
      <c r="BM24" s="7"/>
      <c r="BN24" s="7"/>
      <c r="BO24" s="8">
        <f t="shared" si="40"/>
        <v>0</v>
      </c>
      <c r="BP24" s="7"/>
      <c r="BQ24" s="7"/>
      <c r="BR24" s="7"/>
      <c r="BS24" s="11">
        <f t="shared" si="26"/>
        <v>0</v>
      </c>
      <c r="BT24" s="211">
        <f>AP24+AZ24+BS24</f>
        <v>749754</v>
      </c>
    </row>
    <row r="25" spans="1:74" x14ac:dyDescent="0.25">
      <c r="A25" s="210" t="s">
        <v>352</v>
      </c>
      <c r="B25" s="7"/>
      <c r="C25" s="7"/>
      <c r="D25" s="7"/>
      <c r="E25" s="7"/>
      <c r="F25" s="7"/>
      <c r="G25" s="7"/>
      <c r="H25" s="7">
        <f>tartalékok!C25</f>
        <v>761036</v>
      </c>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196">
        <f>SUM(B25:AO25)</f>
        <v>761036</v>
      </c>
      <c r="AQ25" s="7"/>
      <c r="AR25" s="7"/>
      <c r="AS25" s="7"/>
      <c r="AT25" s="7"/>
      <c r="AU25" s="7"/>
      <c r="AV25" s="7"/>
      <c r="AW25" s="7"/>
      <c r="AX25" s="7"/>
      <c r="AY25" s="7"/>
      <c r="AZ25" s="196">
        <f>SUM(AQ25:AY25)</f>
        <v>0</v>
      </c>
      <c r="BA25" s="7"/>
      <c r="BB25" s="7"/>
      <c r="BC25" s="7"/>
      <c r="BD25" s="7"/>
      <c r="BE25" s="7"/>
      <c r="BF25" s="7"/>
      <c r="BG25" s="7"/>
      <c r="BH25" s="7"/>
      <c r="BI25" s="7"/>
      <c r="BJ25" s="7"/>
      <c r="BK25" s="7"/>
      <c r="BL25" s="7"/>
      <c r="BM25" s="7"/>
      <c r="BN25" s="7"/>
      <c r="BO25" s="8">
        <f t="shared" si="40"/>
        <v>0</v>
      </c>
      <c r="BP25" s="7"/>
      <c r="BQ25" s="7"/>
      <c r="BR25" s="7"/>
      <c r="BS25" s="11">
        <f t="shared" si="26"/>
        <v>0</v>
      </c>
      <c r="BT25" s="211">
        <f>AP25+AZ25+BS25</f>
        <v>761036</v>
      </c>
    </row>
    <row r="26" spans="1:74" s="13" customFormat="1" ht="13.8" thickBot="1" x14ac:dyDescent="0.3">
      <c r="A26" s="214" t="s">
        <v>353</v>
      </c>
      <c r="B26" s="36">
        <f>B7+B18</f>
        <v>144607</v>
      </c>
      <c r="C26" s="36">
        <f>C7+C18</f>
        <v>0</v>
      </c>
      <c r="D26" s="36">
        <f>D7+D18</f>
        <v>3353</v>
      </c>
      <c r="E26" s="36">
        <f>E7+E18</f>
        <v>22185.599999999999</v>
      </c>
      <c r="F26" s="36">
        <f>F7+F18</f>
        <v>-15185</v>
      </c>
      <c r="G26" s="36">
        <f t="shared" ref="G26:AF26" si="67">G7+G18</f>
        <v>87707</v>
      </c>
      <c r="H26" s="36">
        <f t="shared" si="67"/>
        <v>761036</v>
      </c>
      <c r="I26" s="36">
        <f t="shared" si="67"/>
        <v>0</v>
      </c>
      <c r="J26" s="36">
        <f>J7+J18</f>
        <v>0</v>
      </c>
      <c r="K26" s="36">
        <f t="shared" si="67"/>
        <v>0</v>
      </c>
      <c r="L26" s="36">
        <f t="shared" ref="L26:S26" si="68">L7+L18</f>
        <v>14250</v>
      </c>
      <c r="M26" s="36">
        <f t="shared" si="68"/>
        <v>16890</v>
      </c>
      <c r="N26" s="36">
        <f t="shared" si="68"/>
        <v>57200</v>
      </c>
      <c r="O26" s="36">
        <f t="shared" si="68"/>
        <v>355767</v>
      </c>
      <c r="P26" s="36">
        <f t="shared" si="68"/>
        <v>10000</v>
      </c>
      <c r="Q26" s="36">
        <f t="shared" si="68"/>
        <v>1200</v>
      </c>
      <c r="R26" s="36">
        <f t="shared" si="68"/>
        <v>2500</v>
      </c>
      <c r="S26" s="36">
        <f t="shared" si="68"/>
        <v>20000</v>
      </c>
      <c r="T26" s="36">
        <f t="shared" ref="T26:W26" si="69">T7+T18</f>
        <v>0</v>
      </c>
      <c r="U26" s="36">
        <f>U7+U18</f>
        <v>2642</v>
      </c>
      <c r="V26" s="36">
        <f>V7+V18</f>
        <v>0</v>
      </c>
      <c r="W26" s="36">
        <f t="shared" si="69"/>
        <v>0</v>
      </c>
      <c r="X26" s="36">
        <f t="shared" si="67"/>
        <v>2490597</v>
      </c>
      <c r="Y26" s="36">
        <f>Y7+Y18</f>
        <v>6144</v>
      </c>
      <c r="Z26" s="36">
        <f t="shared" ref="Z26" si="70">Z7+Z18</f>
        <v>0</v>
      </c>
      <c r="AA26" s="36">
        <f>AA7+AA18</f>
        <v>404551</v>
      </c>
      <c r="AB26" s="36">
        <f t="shared" ref="AB26" si="71">AB7+AB18</f>
        <v>0</v>
      </c>
      <c r="AC26" s="36">
        <f t="shared" si="67"/>
        <v>958654</v>
      </c>
      <c r="AD26" s="36">
        <f t="shared" si="67"/>
        <v>1298195</v>
      </c>
      <c r="AE26" s="36">
        <f t="shared" si="67"/>
        <v>193677</v>
      </c>
      <c r="AF26" s="36">
        <f t="shared" si="67"/>
        <v>530493</v>
      </c>
      <c r="AG26" s="36">
        <f t="shared" ref="AG26" si="72">AG7+AG18</f>
        <v>0</v>
      </c>
      <c r="AH26" s="36">
        <f t="shared" ref="AH26:AO26" si="73">AH7+AH18</f>
        <v>1000</v>
      </c>
      <c r="AI26" s="36">
        <f t="shared" si="73"/>
        <v>12200</v>
      </c>
      <c r="AJ26" s="36">
        <f t="shared" si="73"/>
        <v>63416</v>
      </c>
      <c r="AK26" s="36">
        <f t="shared" si="73"/>
        <v>300000</v>
      </c>
      <c r="AL26" s="36">
        <f t="shared" si="73"/>
        <v>227375</v>
      </c>
      <c r="AM26" s="36">
        <f t="shared" si="73"/>
        <v>64200</v>
      </c>
      <c r="AN26" s="36">
        <f t="shared" si="73"/>
        <v>132644</v>
      </c>
      <c r="AO26" s="36">
        <f t="shared" si="73"/>
        <v>677082</v>
      </c>
      <c r="AP26" s="198">
        <f t="shared" ref="AP26:BR26" si="74">AP7+AP18</f>
        <v>8844380.5999999996</v>
      </c>
      <c r="AQ26" s="36">
        <f t="shared" si="74"/>
        <v>0</v>
      </c>
      <c r="AR26" s="36">
        <f t="shared" ref="AR26:AW26" si="75">AR7+AR18</f>
        <v>0</v>
      </c>
      <c r="AS26" s="36">
        <f t="shared" si="75"/>
        <v>0</v>
      </c>
      <c r="AT26" s="36">
        <f t="shared" si="75"/>
        <v>11823</v>
      </c>
      <c r="AU26" s="36">
        <f t="shared" si="75"/>
        <v>0</v>
      </c>
      <c r="AV26" s="36">
        <f t="shared" ref="AV26" si="76">AV7+AV18</f>
        <v>20293</v>
      </c>
      <c r="AW26" s="36">
        <f t="shared" si="75"/>
        <v>0</v>
      </c>
      <c r="AX26" s="36">
        <f t="shared" ref="AX26:AY26" si="77">AX7+AX18</f>
        <v>33954</v>
      </c>
      <c r="AY26" s="36">
        <f t="shared" si="77"/>
        <v>28485</v>
      </c>
      <c r="AZ26" s="198">
        <f t="shared" si="74"/>
        <v>94555</v>
      </c>
      <c r="BA26" s="36">
        <f t="shared" si="74"/>
        <v>70134</v>
      </c>
      <c r="BB26" s="36">
        <f t="shared" ref="BB26:BN26" si="78">BB7+BB18</f>
        <v>13294</v>
      </c>
      <c r="BC26" s="36">
        <f t="shared" si="78"/>
        <v>8438</v>
      </c>
      <c r="BD26" s="36">
        <f t="shared" si="78"/>
        <v>451569</v>
      </c>
      <c r="BE26" s="36">
        <f t="shared" ref="BE26" si="79">BE7+BE18</f>
        <v>6675</v>
      </c>
      <c r="BF26" s="36">
        <f t="shared" si="78"/>
        <v>16498</v>
      </c>
      <c r="BG26" s="36">
        <f t="shared" si="78"/>
        <v>30919</v>
      </c>
      <c r="BH26" s="36">
        <f t="shared" si="78"/>
        <v>23142</v>
      </c>
      <c r="BI26" s="36">
        <f t="shared" si="78"/>
        <v>20383</v>
      </c>
      <c r="BJ26" s="36">
        <f t="shared" si="78"/>
        <v>10705</v>
      </c>
      <c r="BK26" s="36">
        <f t="shared" si="78"/>
        <v>20276</v>
      </c>
      <c r="BL26" s="36">
        <f t="shared" si="78"/>
        <v>4802</v>
      </c>
      <c r="BM26" s="36">
        <f t="shared" si="78"/>
        <v>5343</v>
      </c>
      <c r="BN26" s="36">
        <f t="shared" si="78"/>
        <v>13755</v>
      </c>
      <c r="BO26" s="36">
        <f t="shared" si="74"/>
        <v>695933</v>
      </c>
      <c r="BP26" s="36">
        <f t="shared" si="74"/>
        <v>138044</v>
      </c>
      <c r="BQ26" s="36">
        <f t="shared" si="74"/>
        <v>61205</v>
      </c>
      <c r="BR26" s="36">
        <f t="shared" si="74"/>
        <v>127435</v>
      </c>
      <c r="BS26" s="36">
        <f>BS7+BS18</f>
        <v>1022617</v>
      </c>
      <c r="BT26" s="215">
        <f>BT7+BT18</f>
        <v>9961552.5999999996</v>
      </c>
    </row>
    <row r="27" spans="1:74" s="13" customFormat="1" ht="16.2" thickBot="1" x14ac:dyDescent="0.3">
      <c r="A27" s="207" t="s">
        <v>489</v>
      </c>
      <c r="B27" s="37">
        <f>B52+B61</f>
        <v>0</v>
      </c>
      <c r="C27" s="37">
        <f>C52+C61</f>
        <v>0</v>
      </c>
      <c r="D27" s="37">
        <f>D52+D61</f>
        <v>0</v>
      </c>
      <c r="E27" s="37">
        <f>E52+E61</f>
        <v>300</v>
      </c>
      <c r="F27" s="37">
        <f>F52+F61</f>
        <v>0</v>
      </c>
      <c r="G27" s="37">
        <f t="shared" ref="G27:AF27" si="80">G52+G61</f>
        <v>0</v>
      </c>
      <c r="H27" s="37">
        <f t="shared" si="80"/>
        <v>0</v>
      </c>
      <c r="I27" s="37">
        <f t="shared" si="80"/>
        <v>0</v>
      </c>
      <c r="J27" s="37">
        <f>J52+J61</f>
        <v>9879</v>
      </c>
      <c r="K27" s="37">
        <f t="shared" si="80"/>
        <v>4566684</v>
      </c>
      <c r="L27" s="37">
        <f t="shared" ref="L27:S27" si="81">L52+L61</f>
        <v>0</v>
      </c>
      <c r="M27" s="37">
        <f t="shared" si="81"/>
        <v>0</v>
      </c>
      <c r="N27" s="37">
        <f t="shared" si="81"/>
        <v>0</v>
      </c>
      <c r="O27" s="37">
        <f t="shared" si="81"/>
        <v>334000</v>
      </c>
      <c r="P27" s="37">
        <f t="shared" si="81"/>
        <v>0</v>
      </c>
      <c r="Q27" s="37">
        <f t="shared" si="81"/>
        <v>0</v>
      </c>
      <c r="R27" s="37">
        <f t="shared" si="81"/>
        <v>0</v>
      </c>
      <c r="S27" s="37">
        <f t="shared" si="81"/>
        <v>0</v>
      </c>
      <c r="T27" s="37">
        <f t="shared" ref="T27:W27" si="82">T52+T61</f>
        <v>0</v>
      </c>
      <c r="U27" s="37">
        <f>U52+U61</f>
        <v>0</v>
      </c>
      <c r="V27" s="37">
        <f>V52+V61</f>
        <v>0</v>
      </c>
      <c r="W27" s="37">
        <f t="shared" si="82"/>
        <v>0</v>
      </c>
      <c r="X27" s="37">
        <f t="shared" si="80"/>
        <v>59379</v>
      </c>
      <c r="Y27" s="37">
        <f>Y52+Y61</f>
        <v>0</v>
      </c>
      <c r="Z27" s="37">
        <f t="shared" ref="Z27" si="83">Z52+Z61</f>
        <v>0</v>
      </c>
      <c r="AA27" s="37">
        <f>AA52+AA61</f>
        <v>0</v>
      </c>
      <c r="AB27" s="37">
        <f t="shared" ref="AB27" si="84">AB52+AB61</f>
        <v>0</v>
      </c>
      <c r="AC27" s="37">
        <f t="shared" si="80"/>
        <v>858700</v>
      </c>
      <c r="AD27" s="37">
        <f t="shared" si="80"/>
        <v>0</v>
      </c>
      <c r="AE27" s="37">
        <f t="shared" si="80"/>
        <v>0</v>
      </c>
      <c r="AF27" s="37">
        <f t="shared" si="80"/>
        <v>0</v>
      </c>
      <c r="AG27" s="37">
        <f t="shared" ref="AG27" si="85">AG52+AG61</f>
        <v>0</v>
      </c>
      <c r="AH27" s="37">
        <f t="shared" ref="AH27:AO27" si="86">AH52+AH61</f>
        <v>0</v>
      </c>
      <c r="AI27" s="37">
        <f t="shared" si="86"/>
        <v>0</v>
      </c>
      <c r="AJ27" s="37">
        <f t="shared" si="86"/>
        <v>0</v>
      </c>
      <c r="AK27" s="37">
        <f t="shared" si="86"/>
        <v>350000</v>
      </c>
      <c r="AL27" s="37">
        <f t="shared" si="86"/>
        <v>0</v>
      </c>
      <c r="AM27" s="37">
        <f t="shared" si="86"/>
        <v>0</v>
      </c>
      <c r="AN27" s="37">
        <f t="shared" si="86"/>
        <v>0</v>
      </c>
      <c r="AO27" s="37">
        <f t="shared" si="86"/>
        <v>100000</v>
      </c>
      <c r="AP27" s="199">
        <f t="shared" ref="AP27:BR27" si="87">AP52+AP61</f>
        <v>6278942</v>
      </c>
      <c r="AQ27" s="37">
        <f t="shared" si="87"/>
        <v>0</v>
      </c>
      <c r="AR27" s="37">
        <f t="shared" ref="AR27:AW27" si="88">AR52+AR61</f>
        <v>0</v>
      </c>
      <c r="AS27" s="37">
        <f t="shared" si="88"/>
        <v>0</v>
      </c>
      <c r="AT27" s="37">
        <f t="shared" si="88"/>
        <v>11823</v>
      </c>
      <c r="AU27" s="37">
        <f t="shared" si="88"/>
        <v>0</v>
      </c>
      <c r="AV27" s="37">
        <f t="shared" ref="AV27" si="89">AV52+AV61</f>
        <v>20293</v>
      </c>
      <c r="AW27" s="37">
        <f t="shared" si="88"/>
        <v>0</v>
      </c>
      <c r="AX27" s="37">
        <f t="shared" ref="AX27:AY27" si="90">AX52+AX61</f>
        <v>33954</v>
      </c>
      <c r="AY27" s="37">
        <f t="shared" si="90"/>
        <v>28485</v>
      </c>
      <c r="AZ27" s="199">
        <f t="shared" si="87"/>
        <v>94555</v>
      </c>
      <c r="BA27" s="37">
        <f t="shared" si="87"/>
        <v>70134</v>
      </c>
      <c r="BB27" s="37">
        <f t="shared" ref="BB27:BN27" si="91">BB52+BB61</f>
        <v>13294</v>
      </c>
      <c r="BC27" s="37">
        <f t="shared" si="91"/>
        <v>8438</v>
      </c>
      <c r="BD27" s="37">
        <f t="shared" si="91"/>
        <v>451569</v>
      </c>
      <c r="BE27" s="37">
        <f t="shared" ref="BE27" si="92">BE52+BE61</f>
        <v>6675</v>
      </c>
      <c r="BF27" s="37">
        <f t="shared" si="91"/>
        <v>16498</v>
      </c>
      <c r="BG27" s="37">
        <f t="shared" si="91"/>
        <v>30919</v>
      </c>
      <c r="BH27" s="37">
        <f t="shared" si="91"/>
        <v>23142</v>
      </c>
      <c r="BI27" s="37">
        <f t="shared" si="91"/>
        <v>20383</v>
      </c>
      <c r="BJ27" s="37">
        <f t="shared" si="91"/>
        <v>10705</v>
      </c>
      <c r="BK27" s="37">
        <f t="shared" si="91"/>
        <v>20276</v>
      </c>
      <c r="BL27" s="37">
        <f t="shared" si="91"/>
        <v>4802</v>
      </c>
      <c r="BM27" s="37">
        <f t="shared" si="91"/>
        <v>5343</v>
      </c>
      <c r="BN27" s="37">
        <f t="shared" si="91"/>
        <v>13755</v>
      </c>
      <c r="BO27" s="37">
        <f t="shared" si="87"/>
        <v>695933</v>
      </c>
      <c r="BP27" s="37">
        <f t="shared" si="87"/>
        <v>138044</v>
      </c>
      <c r="BQ27" s="37">
        <f t="shared" si="87"/>
        <v>61205</v>
      </c>
      <c r="BR27" s="37">
        <f t="shared" si="87"/>
        <v>127435</v>
      </c>
      <c r="BS27" s="37">
        <f>BS52+BS61</f>
        <v>1022617</v>
      </c>
      <c r="BT27" s="216">
        <f>BT52+BT61</f>
        <v>7396114</v>
      </c>
    </row>
    <row r="28" spans="1:74" s="13" customFormat="1" x14ac:dyDescent="0.25">
      <c r="A28" s="208" t="s">
        <v>354</v>
      </c>
      <c r="B28" s="35">
        <f>B29+B35+B36+B37</f>
        <v>0</v>
      </c>
      <c r="C28" s="35">
        <f>C29+C35+C36+C37</f>
        <v>0</v>
      </c>
      <c r="D28" s="35">
        <f>D29+D35+D36+D37</f>
        <v>0</v>
      </c>
      <c r="E28" s="35">
        <f>E29+E35+E36+E37</f>
        <v>0</v>
      </c>
      <c r="F28" s="35">
        <f>F29+F35+F36+F37</f>
        <v>0</v>
      </c>
      <c r="G28" s="35">
        <f t="shared" ref="G28:AF28" si="93">G29+G35+G36+G37</f>
        <v>0</v>
      </c>
      <c r="H28" s="35">
        <f t="shared" si="93"/>
        <v>0</v>
      </c>
      <c r="I28" s="35">
        <f t="shared" si="93"/>
        <v>0</v>
      </c>
      <c r="J28" s="35">
        <f>J29+J35+J36+J37</f>
        <v>9879</v>
      </c>
      <c r="K28" s="35">
        <f t="shared" si="93"/>
        <v>0</v>
      </c>
      <c r="L28" s="35">
        <f t="shared" ref="L28:S28" si="94">L29+L35+L36+L37</f>
        <v>0</v>
      </c>
      <c r="M28" s="35">
        <f t="shared" si="94"/>
        <v>0</v>
      </c>
      <c r="N28" s="35">
        <f t="shared" si="94"/>
        <v>0</v>
      </c>
      <c r="O28" s="35">
        <f t="shared" si="94"/>
        <v>334000</v>
      </c>
      <c r="P28" s="35">
        <f t="shared" si="94"/>
        <v>0</v>
      </c>
      <c r="Q28" s="35">
        <f t="shared" si="94"/>
        <v>0</v>
      </c>
      <c r="R28" s="35">
        <f t="shared" si="94"/>
        <v>0</v>
      </c>
      <c r="S28" s="35">
        <f t="shared" si="94"/>
        <v>0</v>
      </c>
      <c r="T28" s="35">
        <f t="shared" ref="T28:W28" si="95">T29+T35+T36+T37</f>
        <v>0</v>
      </c>
      <c r="U28" s="35">
        <f>U29+U35+U36+U37</f>
        <v>0</v>
      </c>
      <c r="V28" s="35">
        <f>V29+V35+V36+V37</f>
        <v>0</v>
      </c>
      <c r="W28" s="35">
        <f t="shared" si="95"/>
        <v>0</v>
      </c>
      <c r="X28" s="35">
        <f t="shared" si="93"/>
        <v>59379</v>
      </c>
      <c r="Y28" s="35">
        <f>Y29+Y35+Y36+Y37</f>
        <v>0</v>
      </c>
      <c r="Z28" s="35">
        <f t="shared" ref="Z28" si="96">Z29+Z35+Z36+Z37</f>
        <v>0</v>
      </c>
      <c r="AA28" s="35">
        <f>AA29+AA35+AA36+AA37</f>
        <v>0</v>
      </c>
      <c r="AB28" s="35">
        <f t="shared" ref="AB28" si="97">AB29+AB35+AB36+AB37</f>
        <v>0</v>
      </c>
      <c r="AC28" s="35">
        <f t="shared" si="93"/>
        <v>66850</v>
      </c>
      <c r="AD28" s="35">
        <f t="shared" si="93"/>
        <v>0</v>
      </c>
      <c r="AE28" s="35">
        <f t="shared" si="93"/>
        <v>0</v>
      </c>
      <c r="AF28" s="35">
        <f t="shared" si="93"/>
        <v>0</v>
      </c>
      <c r="AG28" s="35">
        <f t="shared" ref="AG28" si="98">AG29+AG35+AG36+AG37</f>
        <v>0</v>
      </c>
      <c r="AH28" s="35">
        <f t="shared" ref="AH28:AO28" si="99">AH29+AH35+AH36+AH37</f>
        <v>0</v>
      </c>
      <c r="AI28" s="35">
        <f t="shared" si="99"/>
        <v>0</v>
      </c>
      <c r="AJ28" s="35">
        <f t="shared" si="99"/>
        <v>0</v>
      </c>
      <c r="AK28" s="35">
        <f t="shared" si="99"/>
        <v>0</v>
      </c>
      <c r="AL28" s="35">
        <f t="shared" si="99"/>
        <v>0</v>
      </c>
      <c r="AM28" s="35">
        <f t="shared" si="99"/>
        <v>0</v>
      </c>
      <c r="AN28" s="35">
        <f t="shared" si="99"/>
        <v>0</v>
      </c>
      <c r="AO28" s="35">
        <f t="shared" si="99"/>
        <v>100000</v>
      </c>
      <c r="AP28" s="195">
        <f t="shared" ref="AP28:BR28" si="100">AP29+AP35+AP36+AP37</f>
        <v>570108</v>
      </c>
      <c r="AQ28" s="35">
        <f t="shared" si="100"/>
        <v>0</v>
      </c>
      <c r="AR28" s="35">
        <f t="shared" ref="AR28:AW28" si="101">AR29+AR35+AR36+AR37</f>
        <v>0</v>
      </c>
      <c r="AS28" s="35">
        <f t="shared" si="101"/>
        <v>0</v>
      </c>
      <c r="AT28" s="35">
        <f t="shared" si="101"/>
        <v>0</v>
      </c>
      <c r="AU28" s="35">
        <f t="shared" si="101"/>
        <v>0</v>
      </c>
      <c r="AV28" s="35">
        <f t="shared" ref="AV28" si="102">AV29+AV35+AV36+AV37</f>
        <v>0</v>
      </c>
      <c r="AW28" s="35">
        <f t="shared" si="101"/>
        <v>0</v>
      </c>
      <c r="AX28" s="35">
        <f t="shared" ref="AX28:AY28" si="103">AX29+AX35+AX36+AX37</f>
        <v>0</v>
      </c>
      <c r="AY28" s="35">
        <f t="shared" si="103"/>
        <v>0</v>
      </c>
      <c r="AZ28" s="195">
        <f t="shared" si="100"/>
        <v>0</v>
      </c>
      <c r="BA28" s="35">
        <f t="shared" si="100"/>
        <v>3000</v>
      </c>
      <c r="BB28" s="35">
        <f t="shared" ref="BB28:BN28" si="104">BB29+BB35+BB36+BB37</f>
        <v>0</v>
      </c>
      <c r="BC28" s="35">
        <f t="shared" si="104"/>
        <v>0</v>
      </c>
      <c r="BD28" s="35">
        <f t="shared" si="104"/>
        <v>1084</v>
      </c>
      <c r="BE28" s="35">
        <f t="shared" ref="BE28" si="105">BE29+BE35+BE36+BE37</f>
        <v>0</v>
      </c>
      <c r="BF28" s="35">
        <f t="shared" si="104"/>
        <v>0</v>
      </c>
      <c r="BG28" s="35">
        <f t="shared" si="104"/>
        <v>8319</v>
      </c>
      <c r="BH28" s="35">
        <f t="shared" si="104"/>
        <v>444</v>
      </c>
      <c r="BI28" s="35">
        <f t="shared" si="104"/>
        <v>633</v>
      </c>
      <c r="BJ28" s="35">
        <f t="shared" si="104"/>
        <v>0</v>
      </c>
      <c r="BK28" s="35">
        <f t="shared" si="104"/>
        <v>0</v>
      </c>
      <c r="BL28" s="35">
        <f t="shared" si="104"/>
        <v>0</v>
      </c>
      <c r="BM28" s="35">
        <f t="shared" si="104"/>
        <v>0</v>
      </c>
      <c r="BN28" s="35">
        <f t="shared" si="104"/>
        <v>0</v>
      </c>
      <c r="BO28" s="35">
        <f t="shared" si="100"/>
        <v>13480</v>
      </c>
      <c r="BP28" s="35">
        <f t="shared" si="100"/>
        <v>26667</v>
      </c>
      <c r="BQ28" s="35">
        <f t="shared" si="100"/>
        <v>15135</v>
      </c>
      <c r="BR28" s="35">
        <f t="shared" si="100"/>
        <v>0</v>
      </c>
      <c r="BS28" s="35">
        <f>BS29+BS35+BS36+BS37</f>
        <v>55282</v>
      </c>
      <c r="BT28" s="209">
        <f>BT29+BT35+BT36+BT37</f>
        <v>625390</v>
      </c>
    </row>
    <row r="29" spans="1:74" s="13" customFormat="1" x14ac:dyDescent="0.25">
      <c r="A29" s="217" t="s">
        <v>355</v>
      </c>
      <c r="B29" s="6">
        <f>B30+B31+B32+B33+B34</f>
        <v>0</v>
      </c>
      <c r="C29" s="6">
        <f>C30+C31+C32+C33+C34</f>
        <v>0</v>
      </c>
      <c r="D29" s="6">
        <f>D30+D31+D32+D33+D34</f>
        <v>0</v>
      </c>
      <c r="E29" s="6">
        <f>E30+E31+E32+E33+E34</f>
        <v>0</v>
      </c>
      <c r="F29" s="6">
        <f>F30+F31+F32+F33+F34</f>
        <v>0</v>
      </c>
      <c r="G29" s="6">
        <f t="shared" ref="G29:AF29" si="106">G30+G31+G32+G33+G34</f>
        <v>0</v>
      </c>
      <c r="H29" s="6">
        <f t="shared" si="106"/>
        <v>0</v>
      </c>
      <c r="I29" s="6">
        <f t="shared" si="106"/>
        <v>0</v>
      </c>
      <c r="J29" s="6">
        <f>J30+J31+J32+J33+J34</f>
        <v>9879</v>
      </c>
      <c r="K29" s="6">
        <f t="shared" si="106"/>
        <v>0</v>
      </c>
      <c r="L29" s="6">
        <f t="shared" ref="L29:S29" si="107">L30+L31+L32+L33+L34</f>
        <v>0</v>
      </c>
      <c r="M29" s="6">
        <f t="shared" si="107"/>
        <v>0</v>
      </c>
      <c r="N29" s="6">
        <f t="shared" si="107"/>
        <v>0</v>
      </c>
      <c r="O29" s="6">
        <f t="shared" si="107"/>
        <v>0</v>
      </c>
      <c r="P29" s="6">
        <f t="shared" si="107"/>
        <v>0</v>
      </c>
      <c r="Q29" s="6">
        <f t="shared" si="107"/>
        <v>0</v>
      </c>
      <c r="R29" s="6">
        <f t="shared" si="107"/>
        <v>0</v>
      </c>
      <c r="S29" s="6">
        <f t="shared" si="107"/>
        <v>0</v>
      </c>
      <c r="T29" s="6">
        <f t="shared" ref="T29:W29" si="108">T30+T31+T32+T33+T34</f>
        <v>0</v>
      </c>
      <c r="U29" s="6">
        <f>U30+U31+U32+U33+U34</f>
        <v>0</v>
      </c>
      <c r="V29" s="6">
        <f>V30+V31+V32+V33+V34</f>
        <v>0</v>
      </c>
      <c r="W29" s="6">
        <f t="shared" si="108"/>
        <v>0</v>
      </c>
      <c r="X29" s="6">
        <f t="shared" si="106"/>
        <v>0</v>
      </c>
      <c r="Y29" s="6">
        <f>Y30+Y31+Y32+Y33+Y34</f>
        <v>0</v>
      </c>
      <c r="Z29" s="6">
        <f t="shared" ref="Z29" si="109">Z30+Z31+Z32+Z33+Z34</f>
        <v>0</v>
      </c>
      <c r="AA29" s="6">
        <f>AA30+AA31+AA32+AA33+AA34</f>
        <v>0</v>
      </c>
      <c r="AB29" s="6">
        <f t="shared" ref="AB29" si="110">AB30+AB31+AB32+AB33+AB34</f>
        <v>0</v>
      </c>
      <c r="AC29" s="6">
        <f t="shared" si="106"/>
        <v>0</v>
      </c>
      <c r="AD29" s="6">
        <f t="shared" si="106"/>
        <v>0</v>
      </c>
      <c r="AE29" s="6">
        <f t="shared" si="106"/>
        <v>0</v>
      </c>
      <c r="AF29" s="6">
        <f t="shared" si="106"/>
        <v>0</v>
      </c>
      <c r="AG29" s="6">
        <f t="shared" ref="AG29" si="111">AG30+AG31+AG32+AG33+AG34</f>
        <v>0</v>
      </c>
      <c r="AH29" s="6">
        <f t="shared" ref="AH29:AO29" si="112">AH30+AH31+AH32+AH33+AH34</f>
        <v>0</v>
      </c>
      <c r="AI29" s="6">
        <f t="shared" si="112"/>
        <v>0</v>
      </c>
      <c r="AJ29" s="6">
        <f t="shared" si="112"/>
        <v>0</v>
      </c>
      <c r="AK29" s="6">
        <f t="shared" si="112"/>
        <v>0</v>
      </c>
      <c r="AL29" s="6">
        <f t="shared" si="112"/>
        <v>0</v>
      </c>
      <c r="AM29" s="6">
        <f t="shared" si="112"/>
        <v>0</v>
      </c>
      <c r="AN29" s="6">
        <f t="shared" si="112"/>
        <v>0</v>
      </c>
      <c r="AO29" s="6">
        <f t="shared" si="112"/>
        <v>0</v>
      </c>
      <c r="AP29" s="197">
        <f t="shared" ref="AP29:BR29" si="113">AP30+AP31+AP32+AP33+AP34</f>
        <v>9879</v>
      </c>
      <c r="AQ29" s="6">
        <f t="shared" si="113"/>
        <v>0</v>
      </c>
      <c r="AR29" s="6">
        <f t="shared" ref="AR29:AW29" si="114">AR30+AR31+AR32+AR33+AR34</f>
        <v>0</v>
      </c>
      <c r="AS29" s="6">
        <f t="shared" si="114"/>
        <v>0</v>
      </c>
      <c r="AT29" s="6">
        <f t="shared" si="114"/>
        <v>0</v>
      </c>
      <c r="AU29" s="6">
        <f t="shared" si="114"/>
        <v>0</v>
      </c>
      <c r="AV29" s="6">
        <f t="shared" ref="AV29" si="115">AV30+AV31+AV32+AV33+AV34</f>
        <v>0</v>
      </c>
      <c r="AW29" s="6">
        <f t="shared" si="114"/>
        <v>0</v>
      </c>
      <c r="AX29" s="6">
        <f t="shared" ref="AX29:AY29" si="116">AX30+AX31+AX32+AX33+AX34</f>
        <v>0</v>
      </c>
      <c r="AY29" s="6">
        <f t="shared" si="116"/>
        <v>0</v>
      </c>
      <c r="AZ29" s="197">
        <f t="shared" si="113"/>
        <v>0</v>
      </c>
      <c r="BA29" s="6">
        <f t="shared" si="113"/>
        <v>0</v>
      </c>
      <c r="BB29" s="6">
        <f t="shared" ref="BB29:BN29" si="117">BB30+BB31+BB32+BB33+BB34</f>
        <v>0</v>
      </c>
      <c r="BC29" s="6">
        <f t="shared" si="117"/>
        <v>0</v>
      </c>
      <c r="BD29" s="6">
        <f t="shared" si="117"/>
        <v>0</v>
      </c>
      <c r="BE29" s="6">
        <f t="shared" ref="BE29" si="118">BE30+BE31+BE32+BE33+BE34</f>
        <v>0</v>
      </c>
      <c r="BF29" s="6">
        <f t="shared" si="117"/>
        <v>0</v>
      </c>
      <c r="BG29" s="6">
        <f t="shared" si="117"/>
        <v>0</v>
      </c>
      <c r="BH29" s="6">
        <f t="shared" si="117"/>
        <v>0</v>
      </c>
      <c r="BI29" s="6">
        <f t="shared" si="117"/>
        <v>0</v>
      </c>
      <c r="BJ29" s="6">
        <f t="shared" si="117"/>
        <v>0</v>
      </c>
      <c r="BK29" s="6">
        <f t="shared" si="117"/>
        <v>0</v>
      </c>
      <c r="BL29" s="6">
        <f t="shared" si="117"/>
        <v>0</v>
      </c>
      <c r="BM29" s="6">
        <f t="shared" si="117"/>
        <v>0</v>
      </c>
      <c r="BN29" s="6">
        <f t="shared" si="117"/>
        <v>0</v>
      </c>
      <c r="BO29" s="6">
        <f t="shared" si="113"/>
        <v>0</v>
      </c>
      <c r="BP29" s="6">
        <f t="shared" si="113"/>
        <v>0</v>
      </c>
      <c r="BQ29" s="6">
        <f t="shared" si="113"/>
        <v>0</v>
      </c>
      <c r="BR29" s="6">
        <f t="shared" si="113"/>
        <v>0</v>
      </c>
      <c r="BS29" s="6">
        <f>BS30+BS31+BS32+BS33+BS34</f>
        <v>0</v>
      </c>
      <c r="BT29" s="213">
        <f>BT30+BT31+BT32+BT33+BT34</f>
        <v>9879</v>
      </c>
    </row>
    <row r="30" spans="1:74" x14ac:dyDescent="0.25">
      <c r="A30" s="218" t="s">
        <v>356</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196">
        <f t="shared" ref="AP30:AP36" si="119">SUM(B30:AO30)</f>
        <v>0</v>
      </c>
      <c r="AQ30" s="7"/>
      <c r="AR30" s="7"/>
      <c r="AS30" s="7"/>
      <c r="AT30" s="7"/>
      <c r="AU30" s="7"/>
      <c r="AV30" s="7"/>
      <c r="AW30" s="7"/>
      <c r="AX30" s="7"/>
      <c r="AY30" s="7"/>
      <c r="AZ30" s="196">
        <f t="shared" ref="AZ30:AZ36" si="120">SUM(AQ30:AY30)</f>
        <v>0</v>
      </c>
      <c r="BA30" s="7"/>
      <c r="BB30" s="7"/>
      <c r="BC30" s="7"/>
      <c r="BD30" s="7"/>
      <c r="BE30" s="7"/>
      <c r="BF30" s="7"/>
      <c r="BG30" s="7"/>
      <c r="BH30" s="7"/>
      <c r="BI30" s="7"/>
      <c r="BJ30" s="7"/>
      <c r="BK30" s="7"/>
      <c r="BL30" s="7"/>
      <c r="BM30" s="7"/>
      <c r="BN30" s="7"/>
      <c r="BO30" s="8">
        <f t="shared" ref="BO30:BO36" si="121">SUM(BA30:BN30)</f>
        <v>0</v>
      </c>
      <c r="BP30" s="7"/>
      <c r="BQ30" s="7"/>
      <c r="BR30" s="7"/>
      <c r="BS30" s="11">
        <f t="shared" ref="BS30:BS36" si="122">BO30+BP30+BQ30+BR30</f>
        <v>0</v>
      </c>
      <c r="BT30" s="211">
        <f t="shared" ref="BT30:BT36" si="123">AP30+AZ30+BS30</f>
        <v>0</v>
      </c>
      <c r="BU30" s="17"/>
      <c r="BV30" s="17"/>
    </row>
    <row r="31" spans="1:74" x14ac:dyDescent="0.25">
      <c r="A31" s="218" t="s">
        <v>357</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196">
        <f t="shared" si="119"/>
        <v>0</v>
      </c>
      <c r="AQ31" s="7"/>
      <c r="AR31" s="7"/>
      <c r="AS31" s="7"/>
      <c r="AT31" s="7"/>
      <c r="AU31" s="7"/>
      <c r="AV31" s="7"/>
      <c r="AW31" s="7"/>
      <c r="AX31" s="7"/>
      <c r="AY31" s="7"/>
      <c r="AZ31" s="196">
        <f t="shared" si="120"/>
        <v>0</v>
      </c>
      <c r="BA31" s="7"/>
      <c r="BB31" s="7"/>
      <c r="BC31" s="7"/>
      <c r="BD31" s="7"/>
      <c r="BE31" s="7"/>
      <c r="BF31" s="7"/>
      <c r="BG31" s="7"/>
      <c r="BH31" s="7"/>
      <c r="BI31" s="7"/>
      <c r="BJ31" s="7"/>
      <c r="BK31" s="7"/>
      <c r="BL31" s="7"/>
      <c r="BM31" s="7"/>
      <c r="BN31" s="7"/>
      <c r="BO31" s="8">
        <f t="shared" si="121"/>
        <v>0</v>
      </c>
      <c r="BP31" s="7"/>
      <c r="BQ31" s="7"/>
      <c r="BR31" s="7"/>
      <c r="BS31" s="11">
        <f t="shared" si="122"/>
        <v>0</v>
      </c>
      <c r="BT31" s="211">
        <f t="shared" si="123"/>
        <v>0</v>
      </c>
    </row>
    <row r="32" spans="1:74" x14ac:dyDescent="0.25">
      <c r="A32" s="218" t="s">
        <v>358</v>
      </c>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196">
        <f t="shared" si="119"/>
        <v>0</v>
      </c>
      <c r="AQ32" s="7"/>
      <c r="AR32" s="7"/>
      <c r="AS32" s="7"/>
      <c r="AT32" s="7"/>
      <c r="AU32" s="7"/>
      <c r="AV32" s="7"/>
      <c r="AW32" s="7"/>
      <c r="AX32" s="7"/>
      <c r="AY32" s="7"/>
      <c r="AZ32" s="196">
        <f t="shared" si="120"/>
        <v>0</v>
      </c>
      <c r="BA32" s="7"/>
      <c r="BB32" s="7"/>
      <c r="BC32" s="7"/>
      <c r="BD32" s="7"/>
      <c r="BE32" s="7"/>
      <c r="BF32" s="7"/>
      <c r="BG32" s="7"/>
      <c r="BH32" s="7"/>
      <c r="BI32" s="7"/>
      <c r="BJ32" s="7"/>
      <c r="BK32" s="7"/>
      <c r="BL32" s="7"/>
      <c r="BM32" s="7"/>
      <c r="BN32" s="7"/>
      <c r="BO32" s="8">
        <f t="shared" si="121"/>
        <v>0</v>
      </c>
      <c r="BP32" s="7"/>
      <c r="BQ32" s="7"/>
      <c r="BR32" s="7"/>
      <c r="BS32" s="11">
        <f t="shared" si="122"/>
        <v>0</v>
      </c>
      <c r="BT32" s="211">
        <f t="shared" si="123"/>
        <v>0</v>
      </c>
    </row>
    <row r="33" spans="1:72" x14ac:dyDescent="0.25">
      <c r="A33" s="218" t="s">
        <v>359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196">
        <f t="shared" si="119"/>
        <v>0</v>
      </c>
      <c r="AQ33" s="7"/>
      <c r="AR33" s="7"/>
      <c r="AS33" s="7"/>
      <c r="AT33" s="7"/>
      <c r="AU33" s="7"/>
      <c r="AV33" s="7"/>
      <c r="AW33" s="7"/>
      <c r="AX33" s="7"/>
      <c r="AY33" s="7"/>
      <c r="AZ33" s="196">
        <f t="shared" si="120"/>
        <v>0</v>
      </c>
      <c r="BA33" s="7"/>
      <c r="BB33" s="7"/>
      <c r="BC33" s="7"/>
      <c r="BD33" s="7"/>
      <c r="BE33" s="7"/>
      <c r="BF33" s="7"/>
      <c r="BG33" s="7"/>
      <c r="BH33" s="7"/>
      <c r="BI33" s="7"/>
      <c r="BJ33" s="7"/>
      <c r="BK33" s="7"/>
      <c r="BL33" s="7"/>
      <c r="BM33" s="7"/>
      <c r="BN33" s="7"/>
      <c r="BO33" s="8">
        <f t="shared" si="121"/>
        <v>0</v>
      </c>
      <c r="BP33" s="7"/>
      <c r="BQ33" s="7"/>
      <c r="BR33" s="7"/>
      <c r="BS33" s="11">
        <f t="shared" si="122"/>
        <v>0</v>
      </c>
      <c r="BT33" s="211">
        <f t="shared" si="123"/>
        <v>0</v>
      </c>
    </row>
    <row r="34" spans="1:72" x14ac:dyDescent="0.25">
      <c r="A34" s="218" t="s">
        <v>360</v>
      </c>
      <c r="B34" s="7">
        <f>SUM(Tervezőönkorm.!F263)</f>
        <v>0</v>
      </c>
      <c r="C34" s="7">
        <f>SUM(Tervezőönkorm.!H263)</f>
        <v>0</v>
      </c>
      <c r="D34" s="7">
        <f>SUM(Tervezőönkorm.!J263)</f>
        <v>0</v>
      </c>
      <c r="E34" s="7">
        <f>SUM(Tervezőönkorm.!L263)</f>
        <v>0</v>
      </c>
      <c r="F34" s="7">
        <f>SUM(Tervezőönkorm.!P263)</f>
        <v>0</v>
      </c>
      <c r="G34" s="7"/>
      <c r="H34" s="7"/>
      <c r="I34" s="7"/>
      <c r="J34" s="7">
        <f>SUM(Tervezőönkorm.!AS263)</f>
        <v>9879</v>
      </c>
      <c r="K34" s="7"/>
      <c r="L34" s="7">
        <f>SUM(Tervezőönkorm.!T263)</f>
        <v>0</v>
      </c>
      <c r="M34" s="7">
        <f>SUM(Tervezőönkorm.!X263)</f>
        <v>0</v>
      </c>
      <c r="N34" s="7">
        <f>SUM(Tervezőönkorm.!BD263)</f>
        <v>0</v>
      </c>
      <c r="O34" s="7">
        <f>SUM(Tervezőönkorm.!BJ263)</f>
        <v>0</v>
      </c>
      <c r="P34" s="7">
        <f>SUM(Tervezőönkorm.!BX263)</f>
        <v>0</v>
      </c>
      <c r="Q34" s="7">
        <f>SUM(Tervezőönkorm.!CJ263)</f>
        <v>0</v>
      </c>
      <c r="R34" s="7">
        <f>SUM(Tervezőönkorm.!BN263)</f>
        <v>0</v>
      </c>
      <c r="S34" s="7">
        <f>SUM(Tervezőönkorm.!BP263)</f>
        <v>0</v>
      </c>
      <c r="T34" s="7"/>
      <c r="U34" s="7">
        <f>SUM(Tervezőönkorm.!BV263)</f>
        <v>0</v>
      </c>
      <c r="V34" s="7">
        <f>SUM(Tervezőönkorm.!CB263)</f>
        <v>0</v>
      </c>
      <c r="W34" s="7"/>
      <c r="X34" s="7"/>
      <c r="Y34" s="7">
        <f>SUM(Tervezőönkorm.!CT263)</f>
        <v>0</v>
      </c>
      <c r="Z34" s="7"/>
      <c r="AA34" s="7">
        <f>SUM(Tervezőönkorm.!CX263)</f>
        <v>0</v>
      </c>
      <c r="AB34" s="7"/>
      <c r="AC34" s="7"/>
      <c r="AD34" s="7"/>
      <c r="AE34" s="7">
        <f>'bevétel 11604 cím  '!B9</f>
        <v>0</v>
      </c>
      <c r="AF34" s="7">
        <f>'bevétel 11605 cím  '!B10</f>
        <v>0</v>
      </c>
      <c r="AG34" s="7"/>
      <c r="AH34" s="7">
        <f>SUM(Tervezőönkorm.!ED263)</f>
        <v>0</v>
      </c>
      <c r="AI34" s="7">
        <f>SUM(Tervezőönkorm.!DV263)</f>
        <v>0</v>
      </c>
      <c r="AJ34" s="7">
        <f>SUM(Tervezőönkorm.!AB263)</f>
        <v>0</v>
      </c>
      <c r="AK34" s="7">
        <f>SUM(Tervezőönkorm.!DD263)</f>
        <v>0</v>
      </c>
      <c r="AL34" s="7">
        <f>SUM(Tervezőönkorm.!DH263)</f>
        <v>0</v>
      </c>
      <c r="AM34" s="7">
        <f>SUM(Tervezőönkorm.!EB263)</f>
        <v>0</v>
      </c>
      <c r="AN34" s="7">
        <f>SUM(Tervezőönkorm.!EH263)</f>
        <v>0</v>
      </c>
      <c r="AO34" s="7">
        <f>SUM(Tervezőönkorm.!EL263)</f>
        <v>0</v>
      </c>
      <c r="AP34" s="196">
        <f t="shared" si="119"/>
        <v>9879</v>
      </c>
      <c r="AQ34" s="7"/>
      <c r="AR34" s="7"/>
      <c r="AS34" s="7"/>
      <c r="AT34" s="7">
        <f>Tervezőhiv.!S278</f>
        <v>0</v>
      </c>
      <c r="AU34" s="7"/>
      <c r="AV34" s="7">
        <f>Tervezőhiv.!AF278</f>
        <v>0</v>
      </c>
      <c r="AW34" s="7"/>
      <c r="AX34" s="7">
        <f>Tervezőhiv.!AM278</f>
        <v>0</v>
      </c>
      <c r="AY34" s="7">
        <f>Tervezőhiv.!AT278</f>
        <v>0</v>
      </c>
      <c r="AZ34" s="196">
        <f t="shared" si="120"/>
        <v>0</v>
      </c>
      <c r="BA34" s="7"/>
      <c r="BB34" s="7"/>
      <c r="BC34" s="7"/>
      <c r="BD34" s="7"/>
      <c r="BE34" s="7"/>
      <c r="BF34" s="7"/>
      <c r="BG34" s="7"/>
      <c r="BH34" s="7"/>
      <c r="BI34" s="7"/>
      <c r="BJ34" s="7"/>
      <c r="BK34" s="7"/>
      <c r="BL34" s="7"/>
      <c r="BM34" s="7"/>
      <c r="BN34" s="7"/>
      <c r="BO34" s="8">
        <f t="shared" si="121"/>
        <v>0</v>
      </c>
      <c r="BP34" s="7"/>
      <c r="BQ34" s="7"/>
      <c r="BR34" s="7"/>
      <c r="BS34" s="11">
        <f t="shared" si="122"/>
        <v>0</v>
      </c>
      <c r="BT34" s="211">
        <f t="shared" si="123"/>
        <v>9879</v>
      </c>
    </row>
    <row r="35" spans="1:72" x14ac:dyDescent="0.25">
      <c r="A35" s="218" t="s">
        <v>361</v>
      </c>
      <c r="B35" s="7">
        <f>SUM(Tervezőönkorm.!F274)</f>
        <v>0</v>
      </c>
      <c r="C35" s="7">
        <f>SUM(Tervezőönkorm.!H274)</f>
        <v>0</v>
      </c>
      <c r="D35" s="7">
        <f>SUM(Tervezőönkorm.!J274)</f>
        <v>0</v>
      </c>
      <c r="E35" s="7">
        <f>SUM(Tervezőönkorm.!L274)</f>
        <v>0</v>
      </c>
      <c r="F35" s="7">
        <f>SUM(Tervezőönkorm.!P274)</f>
        <v>0</v>
      </c>
      <c r="G35" s="7"/>
      <c r="H35" s="7"/>
      <c r="I35" s="7"/>
      <c r="J35" s="7">
        <f>SUM(Tervezőönkorm.!AS274)</f>
        <v>0</v>
      </c>
      <c r="K35" s="7"/>
      <c r="L35" s="7">
        <f>SUM(Tervezőönkorm.!T274)</f>
        <v>0</v>
      </c>
      <c r="M35" s="7">
        <f>SUM(Tervezőönkorm.!X274)</f>
        <v>0</v>
      </c>
      <c r="N35" s="7">
        <f>SUM(Tervezőönkorm.!BD274)</f>
        <v>0</v>
      </c>
      <c r="O35" s="7">
        <f>SUM(Tervezőönkorm.!BJ274)</f>
        <v>0</v>
      </c>
      <c r="P35" s="7">
        <f>SUM(Tervezőönkorm.!BX274)</f>
        <v>0</v>
      </c>
      <c r="Q35" s="7">
        <f>SUM(Tervezőönkorm.!CJ274)</f>
        <v>0</v>
      </c>
      <c r="R35" s="7">
        <f>SUM(Tervezőönkorm.!BN274)</f>
        <v>0</v>
      </c>
      <c r="S35" s="7">
        <f>SUM(Tervezőönkorm.!BP274)</f>
        <v>0</v>
      </c>
      <c r="T35" s="7"/>
      <c r="U35" s="7">
        <f>SUM(Tervezőönkorm.!BV274)</f>
        <v>0</v>
      </c>
      <c r="V35" s="7">
        <f>SUM(Tervezőönkorm.!CB274)</f>
        <v>0</v>
      </c>
      <c r="W35" s="7"/>
      <c r="X35" s="7"/>
      <c r="Y35" s="7">
        <f>SUM(Tervezőönkorm.!CT274)</f>
        <v>0</v>
      </c>
      <c r="Z35" s="7"/>
      <c r="AA35" s="7">
        <f>SUM(Tervezőönkorm.!CX274)</f>
        <v>0</v>
      </c>
      <c r="AB35" s="7"/>
      <c r="AC35" s="7"/>
      <c r="AD35" s="7"/>
      <c r="AE35" s="7"/>
      <c r="AF35" s="7"/>
      <c r="AG35" s="7"/>
      <c r="AH35" s="7">
        <f>SUM(Tervezőönkorm.!ED274)</f>
        <v>0</v>
      </c>
      <c r="AI35" s="7">
        <f>SUM(Tervezőönkorm.!DV274)</f>
        <v>0</v>
      </c>
      <c r="AJ35" s="7">
        <f>SUM(Tervezőönkorm.!AB274)</f>
        <v>0</v>
      </c>
      <c r="AK35" s="7">
        <f>SUM(Tervezőönkorm.!DD274)</f>
        <v>0</v>
      </c>
      <c r="AL35" s="7">
        <f>SUM(Tervezőönkorm.!DH274)</f>
        <v>0</v>
      </c>
      <c r="AM35" s="7">
        <f>SUM(Tervezőönkorm.!EB274)</f>
        <v>0</v>
      </c>
      <c r="AN35" s="7">
        <f>SUM(Tervezőönkorm.!EH274)</f>
        <v>0</v>
      </c>
      <c r="AO35" s="7">
        <f>SUM(Tervezőönkorm.!EL274)</f>
        <v>0</v>
      </c>
      <c r="AP35" s="196">
        <f t="shared" si="119"/>
        <v>0</v>
      </c>
      <c r="AQ35" s="7"/>
      <c r="AR35" s="7"/>
      <c r="AS35" s="7"/>
      <c r="AT35" s="7">
        <f>Tervezőhiv.!S285</f>
        <v>0</v>
      </c>
      <c r="AU35" s="7"/>
      <c r="AV35" s="7">
        <f>Tervezőhiv.!AF285</f>
        <v>0</v>
      </c>
      <c r="AW35" s="7"/>
      <c r="AX35" s="7">
        <f>Tervezőhiv.!AM285</f>
        <v>0</v>
      </c>
      <c r="AY35" s="7">
        <f>Tervezőhiv.!AT285</f>
        <v>0</v>
      </c>
      <c r="AZ35" s="196">
        <f t="shared" si="120"/>
        <v>0</v>
      </c>
      <c r="BA35" s="7"/>
      <c r="BB35" s="7"/>
      <c r="BC35" s="7"/>
      <c r="BD35" s="7"/>
      <c r="BE35" s="7"/>
      <c r="BF35" s="7"/>
      <c r="BG35" s="7"/>
      <c r="BH35" s="7"/>
      <c r="BI35" s="7"/>
      <c r="BJ35" s="7"/>
      <c r="BK35" s="7"/>
      <c r="BL35" s="7"/>
      <c r="BM35" s="7"/>
      <c r="BN35" s="7"/>
      <c r="BO35" s="8">
        <f t="shared" si="121"/>
        <v>0</v>
      </c>
      <c r="BP35" s="7"/>
      <c r="BQ35" s="7"/>
      <c r="BR35" s="7"/>
      <c r="BS35" s="11">
        <f t="shared" si="122"/>
        <v>0</v>
      </c>
      <c r="BT35" s="211">
        <f t="shared" si="123"/>
        <v>0</v>
      </c>
    </row>
    <row r="36" spans="1:72" x14ac:dyDescent="0.25">
      <c r="A36" s="218" t="s">
        <v>362</v>
      </c>
      <c r="B36" s="7">
        <f>SUM(Tervezőönkorm.!F312)</f>
        <v>0</v>
      </c>
      <c r="C36" s="7">
        <f>SUM(Tervezőönkorm.!H312)</f>
        <v>0</v>
      </c>
      <c r="D36" s="7">
        <f>SUM(Tervezőönkorm.!J312)</f>
        <v>0</v>
      </c>
      <c r="E36" s="7">
        <f>SUM(Tervezőönkorm.!L312)</f>
        <v>0</v>
      </c>
      <c r="F36" s="7">
        <f>SUM(Tervezőönkorm.!P312)</f>
        <v>0</v>
      </c>
      <c r="G36" s="7"/>
      <c r="H36" s="7"/>
      <c r="I36" s="7"/>
      <c r="J36" s="7">
        <f>SUM(Tervezőönkorm.!AS312)</f>
        <v>0</v>
      </c>
      <c r="K36" s="7"/>
      <c r="L36" s="7">
        <f>SUM(Tervezőönkorm.!T312)</f>
        <v>0</v>
      </c>
      <c r="M36" s="7">
        <f>SUM(Tervezőönkorm.!X312)</f>
        <v>0</v>
      </c>
      <c r="N36" s="7">
        <f>SUM(Tervezőönkorm.!BD312)</f>
        <v>0</v>
      </c>
      <c r="O36" s="7">
        <f>SUM(Tervezőönkorm.!BJ312)</f>
        <v>334000</v>
      </c>
      <c r="P36" s="7">
        <f>SUM(Tervezőönkorm.!BX312)</f>
        <v>0</v>
      </c>
      <c r="Q36" s="7">
        <f>SUM(Tervezőönkorm.!CJ312)</f>
        <v>0</v>
      </c>
      <c r="R36" s="7">
        <f>SUM(Tervezőönkorm.!BN312)</f>
        <v>0</v>
      </c>
      <c r="S36" s="7">
        <f>SUM(Tervezőönkorm.!BP312)</f>
        <v>0</v>
      </c>
      <c r="T36" s="7"/>
      <c r="U36" s="7">
        <f>SUM(Tervezőönkorm.!BV312)</f>
        <v>0</v>
      </c>
      <c r="V36" s="7">
        <f>SUM(Tervezőönkorm.!CB312)</f>
        <v>0</v>
      </c>
      <c r="W36" s="7"/>
      <c r="X36" s="7">
        <f>'bevétel 11601 cím '!B15</f>
        <v>59379</v>
      </c>
      <c r="Y36" s="7">
        <f>SUM(Tervezőönkorm.!CT312)</f>
        <v>0</v>
      </c>
      <c r="Z36" s="7"/>
      <c r="AA36" s="7">
        <f>SUM(Tervezőönkorm.!CX312)</f>
        <v>0</v>
      </c>
      <c r="AB36" s="7"/>
      <c r="AC36" s="7">
        <f>'bevétel 11602'!B39</f>
        <v>66850</v>
      </c>
      <c r="AD36" s="7"/>
      <c r="AE36" s="7"/>
      <c r="AF36" s="7"/>
      <c r="AG36" s="7"/>
      <c r="AH36" s="7">
        <f>SUM(Tervezőönkorm.!ED312)</f>
        <v>0</v>
      </c>
      <c r="AI36" s="7">
        <f>SUM(Tervezőönkorm.!DV312)</f>
        <v>0</v>
      </c>
      <c r="AJ36" s="7">
        <f>SUM(Tervezőönkorm.!AB312)</f>
        <v>0</v>
      </c>
      <c r="AK36" s="7">
        <f>SUM(Tervezőönkorm.!DD312)</f>
        <v>0</v>
      </c>
      <c r="AL36" s="7">
        <f>SUM(Tervezőönkorm.!DH312)</f>
        <v>0</v>
      </c>
      <c r="AM36" s="7">
        <f>SUM(Tervezőönkorm.!EB312)</f>
        <v>0</v>
      </c>
      <c r="AN36" s="7">
        <f>SUM(Tervezőönkorm.!EH312)</f>
        <v>0</v>
      </c>
      <c r="AO36" s="7">
        <f>SUM(Tervezőönkorm.!EL312)</f>
        <v>0</v>
      </c>
      <c r="AP36" s="196">
        <f t="shared" si="119"/>
        <v>460229</v>
      </c>
      <c r="AQ36" s="7"/>
      <c r="AR36" s="7"/>
      <c r="AS36" s="7"/>
      <c r="AT36" s="7">
        <f>Tervezőhiv.!S292</f>
        <v>0</v>
      </c>
      <c r="AU36" s="7"/>
      <c r="AV36" s="7">
        <f>Tervezőhiv.!AF292</f>
        <v>0</v>
      </c>
      <c r="AW36" s="7"/>
      <c r="AX36" s="7">
        <f>Tervezőhiv.!AM292</f>
        <v>0</v>
      </c>
      <c r="AY36" s="7">
        <f>Tervezőhiv.!AT292</f>
        <v>0</v>
      </c>
      <c r="AZ36" s="196">
        <f t="shared" si="120"/>
        <v>0</v>
      </c>
      <c r="BA36" s="7">
        <v>3000</v>
      </c>
      <c r="BB36" s="7"/>
      <c r="BC36" s="7"/>
      <c r="BD36" s="7">
        <v>1084</v>
      </c>
      <c r="BE36" s="7"/>
      <c r="BF36" s="7"/>
      <c r="BG36" s="7">
        <v>8319</v>
      </c>
      <c r="BH36" s="7">
        <v>444</v>
      </c>
      <c r="BI36" s="7">
        <v>633</v>
      </c>
      <c r="BJ36" s="7"/>
      <c r="BK36" s="7"/>
      <c r="BL36" s="7"/>
      <c r="BM36" s="7"/>
      <c r="BN36" s="7"/>
      <c r="BO36" s="8">
        <f t="shared" si="121"/>
        <v>13480</v>
      </c>
      <c r="BP36" s="7">
        <v>15803</v>
      </c>
      <c r="BQ36" s="7">
        <v>15135</v>
      </c>
      <c r="BR36" s="7"/>
      <c r="BS36" s="11">
        <f t="shared" si="122"/>
        <v>44418</v>
      </c>
      <c r="BT36" s="211">
        <f t="shared" si="123"/>
        <v>504647</v>
      </c>
    </row>
    <row r="37" spans="1:72" s="13" customFormat="1" x14ac:dyDescent="0.25">
      <c r="A37" s="219" t="s">
        <v>363</v>
      </c>
      <c r="B37" s="6">
        <f>B38+B39</f>
        <v>0</v>
      </c>
      <c r="C37" s="6">
        <f>C38+C39</f>
        <v>0</v>
      </c>
      <c r="D37" s="6">
        <f>D38+D39</f>
        <v>0</v>
      </c>
      <c r="E37" s="6">
        <f>E38+E39</f>
        <v>0</v>
      </c>
      <c r="F37" s="6">
        <f>F38+F39</f>
        <v>0</v>
      </c>
      <c r="G37" s="6">
        <f t="shared" ref="G37:AF37" si="124">G38+G39</f>
        <v>0</v>
      </c>
      <c r="H37" s="6">
        <f t="shared" si="124"/>
        <v>0</v>
      </c>
      <c r="I37" s="6">
        <f t="shared" si="124"/>
        <v>0</v>
      </c>
      <c r="J37" s="6">
        <f>J38+J39</f>
        <v>0</v>
      </c>
      <c r="K37" s="6">
        <f t="shared" si="124"/>
        <v>0</v>
      </c>
      <c r="L37" s="6">
        <f t="shared" ref="L37:S37" si="125">L38+L39</f>
        <v>0</v>
      </c>
      <c r="M37" s="6">
        <f t="shared" si="125"/>
        <v>0</v>
      </c>
      <c r="N37" s="6">
        <f t="shared" si="125"/>
        <v>0</v>
      </c>
      <c r="O37" s="6">
        <f t="shared" si="125"/>
        <v>0</v>
      </c>
      <c r="P37" s="6">
        <f t="shared" si="125"/>
        <v>0</v>
      </c>
      <c r="Q37" s="6">
        <f t="shared" si="125"/>
        <v>0</v>
      </c>
      <c r="R37" s="6">
        <f t="shared" si="125"/>
        <v>0</v>
      </c>
      <c r="S37" s="6">
        <f t="shared" si="125"/>
        <v>0</v>
      </c>
      <c r="T37" s="6">
        <f t="shared" ref="T37:W37" si="126">T38+T39</f>
        <v>0</v>
      </c>
      <c r="U37" s="6">
        <f>U38+U39</f>
        <v>0</v>
      </c>
      <c r="V37" s="6">
        <f>V38+V39</f>
        <v>0</v>
      </c>
      <c r="W37" s="6">
        <f t="shared" si="126"/>
        <v>0</v>
      </c>
      <c r="X37" s="6">
        <f t="shared" si="124"/>
        <v>0</v>
      </c>
      <c r="Y37" s="6">
        <f>Y38+Y39</f>
        <v>0</v>
      </c>
      <c r="Z37" s="6">
        <f t="shared" ref="Z37" si="127">Z38+Z39</f>
        <v>0</v>
      </c>
      <c r="AA37" s="6">
        <f>AA38+AA39</f>
        <v>0</v>
      </c>
      <c r="AB37" s="6">
        <f t="shared" ref="AB37" si="128">AB38+AB39</f>
        <v>0</v>
      </c>
      <c r="AC37" s="6">
        <f t="shared" si="124"/>
        <v>0</v>
      </c>
      <c r="AD37" s="6">
        <f t="shared" si="124"/>
        <v>0</v>
      </c>
      <c r="AE37" s="6">
        <f t="shared" si="124"/>
        <v>0</v>
      </c>
      <c r="AF37" s="6">
        <f t="shared" si="124"/>
        <v>0</v>
      </c>
      <c r="AG37" s="6">
        <f t="shared" ref="AG37" si="129">AG38+AG39</f>
        <v>0</v>
      </c>
      <c r="AH37" s="6">
        <f t="shared" ref="AH37:AO37" si="130">AH38+AH39</f>
        <v>0</v>
      </c>
      <c r="AI37" s="6">
        <f t="shared" si="130"/>
        <v>0</v>
      </c>
      <c r="AJ37" s="6">
        <f t="shared" si="130"/>
        <v>0</v>
      </c>
      <c r="AK37" s="6">
        <f t="shared" si="130"/>
        <v>0</v>
      </c>
      <c r="AL37" s="6">
        <f t="shared" si="130"/>
        <v>0</v>
      </c>
      <c r="AM37" s="6">
        <f t="shared" si="130"/>
        <v>0</v>
      </c>
      <c r="AN37" s="6">
        <f t="shared" si="130"/>
        <v>0</v>
      </c>
      <c r="AO37" s="6">
        <f t="shared" si="130"/>
        <v>100000</v>
      </c>
      <c r="AP37" s="197">
        <f t="shared" ref="AP37:BR37" si="131">AP38+AP39</f>
        <v>100000</v>
      </c>
      <c r="AQ37" s="6">
        <f t="shared" si="131"/>
        <v>0</v>
      </c>
      <c r="AR37" s="6">
        <f t="shared" ref="AR37:AW37" si="132">AR38+AR39</f>
        <v>0</v>
      </c>
      <c r="AS37" s="6">
        <f t="shared" si="132"/>
        <v>0</v>
      </c>
      <c r="AT37" s="6">
        <f t="shared" si="132"/>
        <v>0</v>
      </c>
      <c r="AU37" s="6">
        <f t="shared" si="132"/>
        <v>0</v>
      </c>
      <c r="AV37" s="6">
        <f t="shared" ref="AV37" si="133">AV38+AV39</f>
        <v>0</v>
      </c>
      <c r="AW37" s="6">
        <f t="shared" si="132"/>
        <v>0</v>
      </c>
      <c r="AX37" s="6">
        <f t="shared" ref="AX37:AY37" si="134">AX38+AX39</f>
        <v>0</v>
      </c>
      <c r="AY37" s="6">
        <f t="shared" si="134"/>
        <v>0</v>
      </c>
      <c r="AZ37" s="197">
        <f t="shared" si="131"/>
        <v>0</v>
      </c>
      <c r="BA37" s="6">
        <f t="shared" si="131"/>
        <v>0</v>
      </c>
      <c r="BB37" s="6">
        <f t="shared" ref="BB37:BN37" si="135">BB38+BB39</f>
        <v>0</v>
      </c>
      <c r="BC37" s="6">
        <f t="shared" si="135"/>
        <v>0</v>
      </c>
      <c r="BD37" s="6">
        <f t="shared" si="135"/>
        <v>0</v>
      </c>
      <c r="BE37" s="6">
        <f t="shared" ref="BE37" si="136">BE38+BE39</f>
        <v>0</v>
      </c>
      <c r="BF37" s="6">
        <f t="shared" si="135"/>
        <v>0</v>
      </c>
      <c r="BG37" s="6">
        <f t="shared" si="135"/>
        <v>0</v>
      </c>
      <c r="BH37" s="6">
        <f t="shared" si="135"/>
        <v>0</v>
      </c>
      <c r="BI37" s="6">
        <f t="shared" si="135"/>
        <v>0</v>
      </c>
      <c r="BJ37" s="6">
        <f t="shared" si="135"/>
        <v>0</v>
      </c>
      <c r="BK37" s="6">
        <f t="shared" si="135"/>
        <v>0</v>
      </c>
      <c r="BL37" s="6">
        <f t="shared" si="135"/>
        <v>0</v>
      </c>
      <c r="BM37" s="6">
        <f t="shared" si="135"/>
        <v>0</v>
      </c>
      <c r="BN37" s="6">
        <f t="shared" si="135"/>
        <v>0</v>
      </c>
      <c r="BO37" s="6">
        <f t="shared" si="131"/>
        <v>0</v>
      </c>
      <c r="BP37" s="6">
        <f t="shared" si="131"/>
        <v>10864</v>
      </c>
      <c r="BQ37" s="6">
        <f t="shared" si="131"/>
        <v>0</v>
      </c>
      <c r="BR37" s="6">
        <f t="shared" si="131"/>
        <v>0</v>
      </c>
      <c r="BS37" s="6">
        <f>BS38+BS39</f>
        <v>10864</v>
      </c>
      <c r="BT37" s="213">
        <f>BT38+BT39</f>
        <v>110864</v>
      </c>
    </row>
    <row r="38" spans="1:72" x14ac:dyDescent="0.25">
      <c r="A38" s="218" t="s">
        <v>364</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196">
        <f>SUM(B38:AO38)</f>
        <v>0</v>
      </c>
      <c r="AQ38" s="7"/>
      <c r="AR38" s="7"/>
      <c r="AS38" s="7"/>
      <c r="AT38" s="7"/>
      <c r="AU38" s="7"/>
      <c r="AV38" s="7"/>
      <c r="AW38" s="7"/>
      <c r="AX38" s="7"/>
      <c r="AY38" s="7"/>
      <c r="AZ38" s="196">
        <f>SUM(AQ38:AY38)</f>
        <v>0</v>
      </c>
      <c r="BA38" s="7"/>
      <c r="BB38" s="7"/>
      <c r="BC38" s="7"/>
      <c r="BD38" s="7"/>
      <c r="BE38" s="7"/>
      <c r="BF38" s="7"/>
      <c r="BG38" s="7"/>
      <c r="BH38" s="7"/>
      <c r="BI38" s="7"/>
      <c r="BJ38" s="7"/>
      <c r="BK38" s="7"/>
      <c r="BL38" s="7"/>
      <c r="BM38" s="7"/>
      <c r="BN38" s="7"/>
      <c r="BO38" s="8">
        <f>SUM(BA38:BN38)</f>
        <v>0</v>
      </c>
      <c r="BP38" s="7"/>
      <c r="BQ38" s="7"/>
      <c r="BR38" s="7"/>
      <c r="BS38" s="11">
        <f>BO38+BP38+BQ38+BR38</f>
        <v>0</v>
      </c>
      <c r="BT38" s="211">
        <f>AP38+AZ38+BS38</f>
        <v>0</v>
      </c>
    </row>
    <row r="39" spans="1:72" x14ac:dyDescent="0.25">
      <c r="A39" s="218" t="s">
        <v>365</v>
      </c>
      <c r="B39" s="7">
        <f>SUM(Tervezőönkorm.!F317)</f>
        <v>0</v>
      </c>
      <c r="C39" s="7">
        <f>SUM(Tervezőönkorm.!H317)</f>
        <v>0</v>
      </c>
      <c r="D39" s="7">
        <f>SUM(Tervezőönkorm.!J317)</f>
        <v>0</v>
      </c>
      <c r="E39" s="7">
        <f>SUM(Tervezőönkorm.!L317)</f>
        <v>0</v>
      </c>
      <c r="F39" s="7">
        <f>SUM(Tervezőönkorm.!P317)</f>
        <v>0</v>
      </c>
      <c r="G39" s="7"/>
      <c r="H39" s="7"/>
      <c r="I39" s="7"/>
      <c r="J39" s="7">
        <f>SUM(Tervezőönkorm.!AS317)</f>
        <v>0</v>
      </c>
      <c r="K39" s="7"/>
      <c r="L39" s="7">
        <f>SUM(Tervezőönkorm.!T317)</f>
        <v>0</v>
      </c>
      <c r="M39" s="7">
        <f>SUM(Tervezőönkorm.!X317)</f>
        <v>0</v>
      </c>
      <c r="N39" s="7">
        <f>SUM(Tervezőönkorm.!BD317)</f>
        <v>0</v>
      </c>
      <c r="O39" s="7">
        <f>SUM(Tervezőönkorm.!BJ317)</f>
        <v>0</v>
      </c>
      <c r="P39" s="7">
        <f>SUM(Tervezőönkorm.!BX317)</f>
        <v>0</v>
      </c>
      <c r="Q39" s="7">
        <f>SUM(Tervezőönkorm.!CJ317)</f>
        <v>0</v>
      </c>
      <c r="R39" s="7">
        <f>SUM(Tervezőönkorm.!BN317)</f>
        <v>0</v>
      </c>
      <c r="S39" s="7">
        <f>SUM(Tervezőönkorm.!BP317)</f>
        <v>0</v>
      </c>
      <c r="T39" s="7"/>
      <c r="U39" s="7">
        <f>SUM(Tervezőönkorm.!BV317)</f>
        <v>0</v>
      </c>
      <c r="V39" s="7">
        <f>SUM(Tervezőönkorm.!CB317)</f>
        <v>0</v>
      </c>
      <c r="W39" s="7"/>
      <c r="X39" s="7"/>
      <c r="Y39" s="7">
        <f>SUM(Tervezőönkorm.!CT317)</f>
        <v>0</v>
      </c>
      <c r="Z39" s="7"/>
      <c r="AA39" s="7">
        <f>SUM(Tervezőönkorm.!CX317)</f>
        <v>0</v>
      </c>
      <c r="AB39" s="7"/>
      <c r="AC39" s="7"/>
      <c r="AD39" s="7"/>
      <c r="AE39" s="7"/>
      <c r="AF39" s="7"/>
      <c r="AG39" s="7"/>
      <c r="AH39" s="7">
        <f>SUM(Tervezőönkorm.!ED317)</f>
        <v>0</v>
      </c>
      <c r="AI39" s="7">
        <f>SUM(Tervezőönkorm.!DV317)</f>
        <v>0</v>
      </c>
      <c r="AJ39" s="7">
        <f>SUM(Tervezőönkorm.!AB317)</f>
        <v>0</v>
      </c>
      <c r="AK39" s="7">
        <f>SUM(Tervezőönkorm.!DD317)</f>
        <v>0</v>
      </c>
      <c r="AL39" s="7">
        <f>SUM(Tervezőönkorm.!DH317)</f>
        <v>0</v>
      </c>
      <c r="AM39" s="7">
        <f>SUM(Tervezőönkorm.!EB317)</f>
        <v>0</v>
      </c>
      <c r="AN39" s="7">
        <f>SUM(Tervezőönkorm.!EH317)</f>
        <v>0</v>
      </c>
      <c r="AO39" s="7">
        <f>SUM(Tervezőönkorm.!EL317)</f>
        <v>100000</v>
      </c>
      <c r="AP39" s="196">
        <f>SUM(B39:AO39)</f>
        <v>100000</v>
      </c>
      <c r="AQ39" s="7"/>
      <c r="AR39" s="7"/>
      <c r="AS39" s="7"/>
      <c r="AT39" s="7">
        <f>Tervezőhiv.!S299</f>
        <v>0</v>
      </c>
      <c r="AU39" s="7"/>
      <c r="AV39" s="7">
        <f>Tervezőhiv.!AF299</f>
        <v>0</v>
      </c>
      <c r="AW39" s="7"/>
      <c r="AX39" s="7">
        <f>Tervezőhiv.!AM299</f>
        <v>0</v>
      </c>
      <c r="AY39" s="7">
        <f>Tervezőhiv.!AT299</f>
        <v>0</v>
      </c>
      <c r="AZ39" s="196">
        <f>SUM(AQ39:AY39)</f>
        <v>0</v>
      </c>
      <c r="BA39" s="7"/>
      <c r="BB39" s="7"/>
      <c r="BC39" s="7"/>
      <c r="BD39" s="7"/>
      <c r="BE39" s="7"/>
      <c r="BF39" s="7"/>
      <c r="BG39" s="7"/>
      <c r="BH39" s="7"/>
      <c r="BI39" s="7"/>
      <c r="BJ39" s="7"/>
      <c r="BK39" s="7"/>
      <c r="BL39" s="7"/>
      <c r="BM39" s="7"/>
      <c r="BN39" s="7"/>
      <c r="BO39" s="8">
        <f>SUM(BA39:BN39)</f>
        <v>0</v>
      </c>
      <c r="BP39" s="7">
        <v>10864</v>
      </c>
      <c r="BQ39" s="7"/>
      <c r="BR39" s="7"/>
      <c r="BS39" s="11">
        <f>BO39+BP39+BQ39+BR39</f>
        <v>10864</v>
      </c>
      <c r="BT39" s="211">
        <f>AP39+AZ39+BS39</f>
        <v>110864</v>
      </c>
    </row>
    <row r="40" spans="1:72" s="13" customFormat="1" x14ac:dyDescent="0.25">
      <c r="A40" s="219" t="s">
        <v>366</v>
      </c>
      <c r="B40" s="6">
        <f>B41+B46+B47+B48+B49</f>
        <v>0</v>
      </c>
      <c r="C40" s="6">
        <f>C41+C46+C47+C48+C49</f>
        <v>0</v>
      </c>
      <c r="D40" s="6">
        <f>D41+D46+D47+D48+D49</f>
        <v>0</v>
      </c>
      <c r="E40" s="6">
        <f>E41+E46+E47+E48+E49</f>
        <v>300</v>
      </c>
      <c r="F40" s="6">
        <f>F41+F46+F47+F48+F49</f>
        <v>0</v>
      </c>
      <c r="G40" s="6">
        <f t="shared" ref="G40:AF40" si="137">G41+G46+G47+G48+G49</f>
        <v>0</v>
      </c>
      <c r="H40" s="6">
        <f t="shared" si="137"/>
        <v>0</v>
      </c>
      <c r="I40" s="6">
        <f t="shared" si="137"/>
        <v>0</v>
      </c>
      <c r="J40" s="6">
        <f>J41+J46+J47+J48+J49</f>
        <v>0</v>
      </c>
      <c r="K40" s="6">
        <f t="shared" si="137"/>
        <v>0</v>
      </c>
      <c r="L40" s="6">
        <f t="shared" ref="L40:S40" si="138">L41+L46+L47+L48+L49</f>
        <v>0</v>
      </c>
      <c r="M40" s="6">
        <f t="shared" si="138"/>
        <v>0</v>
      </c>
      <c r="N40" s="6">
        <f t="shared" si="138"/>
        <v>0</v>
      </c>
      <c r="O40" s="6">
        <f t="shared" si="138"/>
        <v>0</v>
      </c>
      <c r="P40" s="6">
        <f t="shared" si="138"/>
        <v>0</v>
      </c>
      <c r="Q40" s="6">
        <f t="shared" si="138"/>
        <v>0</v>
      </c>
      <c r="R40" s="6">
        <f t="shared" si="138"/>
        <v>0</v>
      </c>
      <c r="S40" s="6">
        <f t="shared" si="138"/>
        <v>0</v>
      </c>
      <c r="T40" s="6">
        <f t="shared" ref="T40:W40" si="139">T41+T46+T47+T48+T49</f>
        <v>0</v>
      </c>
      <c r="U40" s="6">
        <f>U41+U46+U47+U48+U49</f>
        <v>0</v>
      </c>
      <c r="V40" s="6">
        <f>V41+V46+V47+V48+V49</f>
        <v>0</v>
      </c>
      <c r="W40" s="6">
        <f t="shared" si="139"/>
        <v>0</v>
      </c>
      <c r="X40" s="6">
        <f t="shared" si="137"/>
        <v>0</v>
      </c>
      <c r="Y40" s="6">
        <f>Y41+Y46+Y47+Y48+Y49</f>
        <v>0</v>
      </c>
      <c r="Z40" s="6">
        <f t="shared" ref="Z40" si="140">Z41+Z46+Z47+Z48+Z49</f>
        <v>0</v>
      </c>
      <c r="AA40" s="6">
        <f>AA41+AA46+AA47+AA48+AA49</f>
        <v>0</v>
      </c>
      <c r="AB40" s="6">
        <f t="shared" ref="AB40" si="141">AB41+AB46+AB47+AB48+AB49</f>
        <v>0</v>
      </c>
      <c r="AC40" s="6">
        <f t="shared" si="137"/>
        <v>791850</v>
      </c>
      <c r="AD40" s="6">
        <f t="shared" si="137"/>
        <v>0</v>
      </c>
      <c r="AE40" s="6">
        <f t="shared" si="137"/>
        <v>0</v>
      </c>
      <c r="AF40" s="6">
        <f t="shared" si="137"/>
        <v>0</v>
      </c>
      <c r="AG40" s="6">
        <f t="shared" ref="AG40" si="142">AG41+AG46+AG47+AG48+AG49</f>
        <v>0</v>
      </c>
      <c r="AH40" s="6">
        <f t="shared" ref="AH40:AO40" si="143">AH41+AH46+AH47+AH48+AH49</f>
        <v>0</v>
      </c>
      <c r="AI40" s="6">
        <f t="shared" si="143"/>
        <v>0</v>
      </c>
      <c r="AJ40" s="6">
        <f t="shared" si="143"/>
        <v>0</v>
      </c>
      <c r="AK40" s="6">
        <f t="shared" si="143"/>
        <v>350000</v>
      </c>
      <c r="AL40" s="6">
        <f t="shared" si="143"/>
        <v>0</v>
      </c>
      <c r="AM40" s="6">
        <f t="shared" si="143"/>
        <v>0</v>
      </c>
      <c r="AN40" s="6">
        <f t="shared" si="143"/>
        <v>0</v>
      </c>
      <c r="AO40" s="6">
        <f t="shared" si="143"/>
        <v>0</v>
      </c>
      <c r="AP40" s="197">
        <f t="shared" ref="AP40:BR40" si="144">AP41+AP46+AP47+AP48+AP49</f>
        <v>1142150</v>
      </c>
      <c r="AQ40" s="6">
        <f t="shared" si="144"/>
        <v>0</v>
      </c>
      <c r="AR40" s="6">
        <f t="shared" ref="AR40:AW40" si="145">AR41+AR46+AR47+AR48+AR49</f>
        <v>0</v>
      </c>
      <c r="AS40" s="6">
        <f t="shared" si="145"/>
        <v>0</v>
      </c>
      <c r="AT40" s="6">
        <f t="shared" si="145"/>
        <v>0</v>
      </c>
      <c r="AU40" s="6">
        <f t="shared" si="145"/>
        <v>0</v>
      </c>
      <c r="AV40" s="6">
        <f t="shared" ref="AV40" si="146">AV41+AV46+AV47+AV48+AV49</f>
        <v>0</v>
      </c>
      <c r="AW40" s="6">
        <f t="shared" si="145"/>
        <v>0</v>
      </c>
      <c r="AX40" s="6">
        <f t="shared" ref="AX40:AY40" si="147">AX41+AX46+AX47+AX48+AX49</f>
        <v>0</v>
      </c>
      <c r="AY40" s="6">
        <f t="shared" si="147"/>
        <v>0</v>
      </c>
      <c r="AZ40" s="197">
        <f t="shared" si="144"/>
        <v>0</v>
      </c>
      <c r="BA40" s="6">
        <f t="shared" si="144"/>
        <v>0</v>
      </c>
      <c r="BB40" s="6">
        <f t="shared" ref="BB40:BN40" si="148">BB41+BB46+BB47+BB48+BB49</f>
        <v>0</v>
      </c>
      <c r="BC40" s="6">
        <f t="shared" si="148"/>
        <v>0</v>
      </c>
      <c r="BD40" s="6">
        <f t="shared" si="148"/>
        <v>0</v>
      </c>
      <c r="BE40" s="6">
        <f t="shared" ref="BE40" si="149">BE41+BE46+BE47+BE48+BE49</f>
        <v>0</v>
      </c>
      <c r="BF40" s="6">
        <f t="shared" si="148"/>
        <v>0</v>
      </c>
      <c r="BG40" s="6">
        <f t="shared" si="148"/>
        <v>0</v>
      </c>
      <c r="BH40" s="6">
        <f t="shared" si="148"/>
        <v>0</v>
      </c>
      <c r="BI40" s="6">
        <f t="shared" si="148"/>
        <v>0</v>
      </c>
      <c r="BJ40" s="6">
        <f t="shared" si="148"/>
        <v>0</v>
      </c>
      <c r="BK40" s="6">
        <f t="shared" si="148"/>
        <v>0</v>
      </c>
      <c r="BL40" s="6">
        <f t="shared" si="148"/>
        <v>0</v>
      </c>
      <c r="BM40" s="6">
        <f t="shared" si="148"/>
        <v>0</v>
      </c>
      <c r="BN40" s="6">
        <f t="shared" si="148"/>
        <v>0</v>
      </c>
      <c r="BO40" s="6">
        <f t="shared" si="144"/>
        <v>0</v>
      </c>
      <c r="BP40" s="6">
        <f t="shared" si="144"/>
        <v>0</v>
      </c>
      <c r="BQ40" s="6">
        <f t="shared" si="144"/>
        <v>0</v>
      </c>
      <c r="BR40" s="6">
        <f t="shared" si="144"/>
        <v>0</v>
      </c>
      <c r="BS40" s="6">
        <f>BS41+BS46+BS47+BS48+BS49</f>
        <v>0</v>
      </c>
      <c r="BT40" s="213">
        <f>BT41+BT46+BT47+BT48+BT49</f>
        <v>1142150</v>
      </c>
    </row>
    <row r="41" spans="1:72" s="13" customFormat="1" ht="26.4" x14ac:dyDescent="0.25">
      <c r="A41" s="219" t="s">
        <v>367</v>
      </c>
      <c r="B41" s="6">
        <f>B42+B43+B44+B45</f>
        <v>0</v>
      </c>
      <c r="C41" s="6">
        <f>C42+C43+C44+C45</f>
        <v>0</v>
      </c>
      <c r="D41" s="6">
        <f>D42+D43+D44+D45</f>
        <v>0</v>
      </c>
      <c r="E41" s="6">
        <f>E42+E43+E44+E45</f>
        <v>0</v>
      </c>
      <c r="F41" s="6">
        <f>F42+F43+F44+F45</f>
        <v>0</v>
      </c>
      <c r="G41" s="6">
        <f t="shared" ref="G41:AF41" si="150">G42+G43+G44+G45</f>
        <v>0</v>
      </c>
      <c r="H41" s="6">
        <f t="shared" si="150"/>
        <v>0</v>
      </c>
      <c r="I41" s="6">
        <f t="shared" si="150"/>
        <v>0</v>
      </c>
      <c r="J41" s="6">
        <f>J42+J43+J44+J45</f>
        <v>0</v>
      </c>
      <c r="K41" s="6">
        <f t="shared" si="150"/>
        <v>0</v>
      </c>
      <c r="L41" s="6">
        <f t="shared" ref="L41:S41" si="151">L42+L43+L44+L45</f>
        <v>0</v>
      </c>
      <c r="M41" s="6">
        <f t="shared" si="151"/>
        <v>0</v>
      </c>
      <c r="N41" s="6">
        <f t="shared" si="151"/>
        <v>0</v>
      </c>
      <c r="O41" s="6">
        <f t="shared" si="151"/>
        <v>0</v>
      </c>
      <c r="P41" s="6">
        <f t="shared" si="151"/>
        <v>0</v>
      </c>
      <c r="Q41" s="6">
        <f t="shared" si="151"/>
        <v>0</v>
      </c>
      <c r="R41" s="6">
        <f t="shared" si="151"/>
        <v>0</v>
      </c>
      <c r="S41" s="6">
        <f t="shared" si="151"/>
        <v>0</v>
      </c>
      <c r="T41" s="6">
        <f t="shared" ref="T41:W41" si="152">T42+T43+T44+T45</f>
        <v>0</v>
      </c>
      <c r="U41" s="6">
        <f>U42+U43+U44+U45</f>
        <v>0</v>
      </c>
      <c r="V41" s="6">
        <f>V42+V43+V44+V45</f>
        <v>0</v>
      </c>
      <c r="W41" s="6">
        <f t="shared" si="152"/>
        <v>0</v>
      </c>
      <c r="X41" s="6">
        <f t="shared" si="150"/>
        <v>0</v>
      </c>
      <c r="Y41" s="6">
        <f>Y42+Y43+Y44+Y45</f>
        <v>0</v>
      </c>
      <c r="Z41" s="6">
        <f t="shared" ref="Z41" si="153">Z42+Z43+Z44+Z45</f>
        <v>0</v>
      </c>
      <c r="AA41" s="6">
        <f>AA42+AA43+AA44+AA45</f>
        <v>0</v>
      </c>
      <c r="AB41" s="6">
        <f t="shared" ref="AB41" si="154">AB42+AB43+AB44+AB45</f>
        <v>0</v>
      </c>
      <c r="AC41" s="6">
        <f t="shared" si="150"/>
        <v>0</v>
      </c>
      <c r="AD41" s="6">
        <f t="shared" si="150"/>
        <v>0</v>
      </c>
      <c r="AE41" s="6">
        <f t="shared" si="150"/>
        <v>0</v>
      </c>
      <c r="AF41" s="6">
        <f t="shared" si="150"/>
        <v>0</v>
      </c>
      <c r="AG41" s="6">
        <f t="shared" ref="AG41" si="155">AG42+AG43+AG44+AG45</f>
        <v>0</v>
      </c>
      <c r="AH41" s="6">
        <f t="shared" ref="AH41:AO41" si="156">AH42+AH43+AH44+AH45</f>
        <v>0</v>
      </c>
      <c r="AI41" s="6">
        <f t="shared" si="156"/>
        <v>0</v>
      </c>
      <c r="AJ41" s="6">
        <f t="shared" si="156"/>
        <v>0</v>
      </c>
      <c r="AK41" s="6">
        <f t="shared" si="156"/>
        <v>0</v>
      </c>
      <c r="AL41" s="6">
        <f t="shared" si="156"/>
        <v>0</v>
      </c>
      <c r="AM41" s="6">
        <f t="shared" si="156"/>
        <v>0</v>
      </c>
      <c r="AN41" s="6">
        <f t="shared" si="156"/>
        <v>0</v>
      </c>
      <c r="AO41" s="6">
        <f t="shared" si="156"/>
        <v>0</v>
      </c>
      <c r="AP41" s="197">
        <f t="shared" ref="AP41:BR41" si="157">AP42+AP43+AP44+AP45</f>
        <v>0</v>
      </c>
      <c r="AQ41" s="6">
        <f t="shared" si="157"/>
        <v>0</v>
      </c>
      <c r="AR41" s="6">
        <f t="shared" ref="AR41:AW41" si="158">AR42+AR43+AR44+AR45</f>
        <v>0</v>
      </c>
      <c r="AS41" s="6">
        <f t="shared" si="158"/>
        <v>0</v>
      </c>
      <c r="AT41" s="6">
        <f t="shared" si="158"/>
        <v>0</v>
      </c>
      <c r="AU41" s="6">
        <f t="shared" si="158"/>
        <v>0</v>
      </c>
      <c r="AV41" s="6">
        <f t="shared" ref="AV41" si="159">AV42+AV43+AV44+AV45</f>
        <v>0</v>
      </c>
      <c r="AW41" s="6">
        <f t="shared" si="158"/>
        <v>0</v>
      </c>
      <c r="AX41" s="6">
        <f t="shared" ref="AX41:AY41" si="160">AX42+AX43+AX44+AX45</f>
        <v>0</v>
      </c>
      <c r="AY41" s="6">
        <f t="shared" si="160"/>
        <v>0</v>
      </c>
      <c r="AZ41" s="197">
        <f t="shared" si="157"/>
        <v>0</v>
      </c>
      <c r="BA41" s="6">
        <f t="shared" si="157"/>
        <v>0</v>
      </c>
      <c r="BB41" s="6">
        <f t="shared" ref="BB41:BN41" si="161">BB42+BB43+BB44+BB45</f>
        <v>0</v>
      </c>
      <c r="BC41" s="6">
        <f t="shared" si="161"/>
        <v>0</v>
      </c>
      <c r="BD41" s="6">
        <f t="shared" si="161"/>
        <v>0</v>
      </c>
      <c r="BE41" s="6">
        <f t="shared" ref="BE41" si="162">BE42+BE43+BE44+BE45</f>
        <v>0</v>
      </c>
      <c r="BF41" s="6">
        <f t="shared" si="161"/>
        <v>0</v>
      </c>
      <c r="BG41" s="6">
        <f t="shared" si="161"/>
        <v>0</v>
      </c>
      <c r="BH41" s="6">
        <f t="shared" si="161"/>
        <v>0</v>
      </c>
      <c r="BI41" s="6">
        <f t="shared" si="161"/>
        <v>0</v>
      </c>
      <c r="BJ41" s="6">
        <f t="shared" si="161"/>
        <v>0</v>
      </c>
      <c r="BK41" s="6">
        <f t="shared" si="161"/>
        <v>0</v>
      </c>
      <c r="BL41" s="6">
        <f t="shared" si="161"/>
        <v>0</v>
      </c>
      <c r="BM41" s="6">
        <f t="shared" si="161"/>
        <v>0</v>
      </c>
      <c r="BN41" s="6">
        <f t="shared" si="161"/>
        <v>0</v>
      </c>
      <c r="BO41" s="6">
        <f t="shared" si="157"/>
        <v>0</v>
      </c>
      <c r="BP41" s="6">
        <f t="shared" si="157"/>
        <v>0</v>
      </c>
      <c r="BQ41" s="6">
        <f t="shared" si="157"/>
        <v>0</v>
      </c>
      <c r="BR41" s="6">
        <f t="shared" si="157"/>
        <v>0</v>
      </c>
      <c r="BS41" s="6">
        <f>BS42+BS43+BS44+BS45</f>
        <v>0</v>
      </c>
      <c r="BT41" s="213">
        <f>BT42+BT43+BT44+BT45</f>
        <v>0</v>
      </c>
    </row>
    <row r="42" spans="1:72" x14ac:dyDescent="0.25">
      <c r="A42" s="218" t="s">
        <v>368</v>
      </c>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196">
        <f t="shared" ref="AP42:AP48" si="163">SUM(B42:AO42)</f>
        <v>0</v>
      </c>
      <c r="AQ42" s="7"/>
      <c r="AR42" s="7"/>
      <c r="AS42" s="7"/>
      <c r="AT42" s="7"/>
      <c r="AU42" s="7"/>
      <c r="AV42" s="7"/>
      <c r="AW42" s="7"/>
      <c r="AX42" s="7"/>
      <c r="AY42" s="7"/>
      <c r="AZ42" s="196">
        <f t="shared" ref="AZ42:AZ48" si="164">SUM(AQ42:AY42)</f>
        <v>0</v>
      </c>
      <c r="BA42" s="7"/>
      <c r="BB42" s="7"/>
      <c r="BC42" s="7"/>
      <c r="BD42" s="7"/>
      <c r="BE42" s="7"/>
      <c r="BF42" s="7"/>
      <c r="BG42" s="7"/>
      <c r="BH42" s="7"/>
      <c r="BI42" s="7"/>
      <c r="BJ42" s="7"/>
      <c r="BK42" s="7"/>
      <c r="BL42" s="7"/>
      <c r="BM42" s="7"/>
      <c r="BN42" s="7"/>
      <c r="BO42" s="8">
        <f t="shared" ref="BO42:BO48" si="165">SUM(BA42:BN42)</f>
        <v>0</v>
      </c>
      <c r="BP42" s="7"/>
      <c r="BQ42" s="7"/>
      <c r="BR42" s="7"/>
      <c r="BS42" s="11">
        <f t="shared" ref="BS42:BS48" si="166">BO42+BP42+BQ42+BR42</f>
        <v>0</v>
      </c>
      <c r="BT42" s="211">
        <f t="shared" ref="BT42:BT48" si="167">AP42+AZ42+BS42</f>
        <v>0</v>
      </c>
    </row>
    <row r="43" spans="1:72" ht="26.4" x14ac:dyDescent="0.25">
      <c r="A43" s="218" t="s">
        <v>369</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196">
        <f t="shared" si="163"/>
        <v>0</v>
      </c>
      <c r="AQ43" s="7"/>
      <c r="AR43" s="7"/>
      <c r="AS43" s="7"/>
      <c r="AT43" s="7"/>
      <c r="AU43" s="7"/>
      <c r="AV43" s="7"/>
      <c r="AW43" s="7"/>
      <c r="AX43" s="7"/>
      <c r="AY43" s="7"/>
      <c r="AZ43" s="196">
        <f t="shared" si="164"/>
        <v>0</v>
      </c>
      <c r="BA43" s="7"/>
      <c r="BB43" s="7"/>
      <c r="BC43" s="7"/>
      <c r="BD43" s="7"/>
      <c r="BE43" s="7"/>
      <c r="BF43" s="7"/>
      <c r="BG43" s="7"/>
      <c r="BH43" s="7"/>
      <c r="BI43" s="7"/>
      <c r="BJ43" s="7"/>
      <c r="BK43" s="7"/>
      <c r="BL43" s="7"/>
      <c r="BM43" s="7"/>
      <c r="BN43" s="7"/>
      <c r="BO43" s="8">
        <f t="shared" si="165"/>
        <v>0</v>
      </c>
      <c r="BP43" s="7"/>
      <c r="BQ43" s="7"/>
      <c r="BR43" s="7"/>
      <c r="BS43" s="11">
        <f t="shared" si="166"/>
        <v>0</v>
      </c>
      <c r="BT43" s="211">
        <f t="shared" si="167"/>
        <v>0</v>
      </c>
    </row>
    <row r="44" spans="1:72" x14ac:dyDescent="0.25">
      <c r="A44" s="218" t="s">
        <v>370</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196">
        <f t="shared" si="163"/>
        <v>0</v>
      </c>
      <c r="AQ44" s="7"/>
      <c r="AR44" s="7"/>
      <c r="AS44" s="7"/>
      <c r="AT44" s="7"/>
      <c r="AU44" s="7"/>
      <c r="AV44" s="7"/>
      <c r="AW44" s="7"/>
      <c r="AX44" s="7"/>
      <c r="AY44" s="7"/>
      <c r="AZ44" s="196">
        <f t="shared" si="164"/>
        <v>0</v>
      </c>
      <c r="BA44" s="7"/>
      <c r="BB44" s="7"/>
      <c r="BC44" s="7"/>
      <c r="BD44" s="7"/>
      <c r="BE44" s="7"/>
      <c r="BF44" s="7"/>
      <c r="BG44" s="7"/>
      <c r="BH44" s="7"/>
      <c r="BI44" s="7"/>
      <c r="BJ44" s="7"/>
      <c r="BK44" s="7"/>
      <c r="BL44" s="7"/>
      <c r="BM44" s="7"/>
      <c r="BN44" s="7"/>
      <c r="BO44" s="8">
        <f t="shared" si="165"/>
        <v>0</v>
      </c>
      <c r="BP44" s="7"/>
      <c r="BQ44" s="7"/>
      <c r="BR44" s="7"/>
      <c r="BS44" s="11">
        <f t="shared" si="166"/>
        <v>0</v>
      </c>
      <c r="BT44" s="211">
        <f t="shared" si="167"/>
        <v>0</v>
      </c>
    </row>
    <row r="45" spans="1:72" x14ac:dyDescent="0.25">
      <c r="A45" s="218" t="s">
        <v>371</v>
      </c>
      <c r="B45" s="7">
        <f>SUM(Tervezőönkorm.!F346)</f>
        <v>0</v>
      </c>
      <c r="C45" s="7">
        <f>SUM(Tervezőönkorm.!H346)</f>
        <v>0</v>
      </c>
      <c r="D45" s="7">
        <f>SUM(Tervezőönkorm.!J346)</f>
        <v>0</v>
      </c>
      <c r="E45" s="7">
        <f>SUM(Tervezőönkorm.!L346)</f>
        <v>0</v>
      </c>
      <c r="F45" s="7">
        <f>SUM(Tervezőönkorm.!P346)</f>
        <v>0</v>
      </c>
      <c r="G45" s="7"/>
      <c r="H45" s="7"/>
      <c r="I45" s="7"/>
      <c r="J45" s="7">
        <f>SUM(Tervezőönkorm.!AS346)</f>
        <v>0</v>
      </c>
      <c r="K45" s="7"/>
      <c r="L45" s="7">
        <f>SUM(Tervezőönkorm.!T346)</f>
        <v>0</v>
      </c>
      <c r="M45" s="7">
        <f>SUM(Tervezőönkorm.!X346)</f>
        <v>0</v>
      </c>
      <c r="N45" s="7">
        <f>SUM(Tervezőönkorm.!BD346)</f>
        <v>0</v>
      </c>
      <c r="O45" s="7">
        <f>SUM(Tervezőönkorm.!BJ346)</f>
        <v>0</v>
      </c>
      <c r="P45" s="7">
        <f>SUM(Tervezőönkorm.!BX346)</f>
        <v>0</v>
      </c>
      <c r="Q45" s="7">
        <f>SUM(Tervezőönkorm.!CJ346)</f>
        <v>0</v>
      </c>
      <c r="R45" s="7">
        <f>SUM(Tervezőönkorm.!BN346)</f>
        <v>0</v>
      </c>
      <c r="S45" s="7">
        <f>SUM(Tervezőönkorm.!BP346)</f>
        <v>0</v>
      </c>
      <c r="T45" s="7"/>
      <c r="U45" s="7">
        <f>SUM(Tervezőönkorm.!BV346)</f>
        <v>0</v>
      </c>
      <c r="V45" s="7">
        <f>SUM(Tervezőönkorm.!CB346)</f>
        <v>0</v>
      </c>
      <c r="W45" s="7"/>
      <c r="X45" s="7"/>
      <c r="Y45" s="7">
        <f>SUM(Tervezőönkorm.!CT346)</f>
        <v>0</v>
      </c>
      <c r="Z45" s="7"/>
      <c r="AA45" s="7">
        <f>SUM(Tervezőönkorm.!CX346)</f>
        <v>0</v>
      </c>
      <c r="AB45" s="7"/>
      <c r="AC45" s="7">
        <f>'bevétel 11602'!D39</f>
        <v>0</v>
      </c>
      <c r="AD45" s="7"/>
      <c r="AE45" s="7">
        <f>'bevétel 11604 cím  '!D9</f>
        <v>0</v>
      </c>
      <c r="AF45" s="7">
        <f>'bevétel 11605 cím  '!D10</f>
        <v>0</v>
      </c>
      <c r="AG45" s="7"/>
      <c r="AH45" s="7">
        <f>SUM(Tervezőönkorm.!ED346)</f>
        <v>0</v>
      </c>
      <c r="AI45" s="7">
        <f>SUM(Tervezőönkorm.!DV346)</f>
        <v>0</v>
      </c>
      <c r="AJ45" s="7">
        <f>SUM(Tervezőönkorm.!AB346)</f>
        <v>0</v>
      </c>
      <c r="AK45" s="7">
        <f>SUM(Tervezőönkorm.!DD346)</f>
        <v>0</v>
      </c>
      <c r="AL45" s="7">
        <f>SUM(Tervezőönkorm.!DH346)</f>
        <v>0</v>
      </c>
      <c r="AM45" s="7">
        <f>SUM(Tervezőönkorm.!EB346)</f>
        <v>0</v>
      </c>
      <c r="AN45" s="7">
        <f>SUM(Tervezőönkorm.!EH346)</f>
        <v>0</v>
      </c>
      <c r="AO45" s="7">
        <f>SUM(Tervezőönkorm.!EL346)</f>
        <v>0</v>
      </c>
      <c r="AP45" s="196">
        <f t="shared" si="163"/>
        <v>0</v>
      </c>
      <c r="AQ45" s="7"/>
      <c r="AR45" s="7"/>
      <c r="AS45" s="7"/>
      <c r="AT45" s="7">
        <f>Tervezőhiv.!S322</f>
        <v>0</v>
      </c>
      <c r="AU45" s="7"/>
      <c r="AV45" s="7">
        <f>Tervezőhiv.!AF322</f>
        <v>0</v>
      </c>
      <c r="AW45" s="7"/>
      <c r="AX45" s="7">
        <f>Tervezőhiv.!AM322</f>
        <v>0</v>
      </c>
      <c r="AY45" s="7">
        <f>Tervezőhiv.!AT322</f>
        <v>0</v>
      </c>
      <c r="AZ45" s="196">
        <f t="shared" si="164"/>
        <v>0</v>
      </c>
      <c r="BA45" s="7"/>
      <c r="BB45" s="7"/>
      <c r="BC45" s="7"/>
      <c r="BD45" s="7"/>
      <c r="BE45" s="7"/>
      <c r="BF45" s="7"/>
      <c r="BG45" s="7"/>
      <c r="BH45" s="7"/>
      <c r="BI45" s="7"/>
      <c r="BJ45" s="7"/>
      <c r="BK45" s="7"/>
      <c r="BL45" s="7"/>
      <c r="BM45" s="7"/>
      <c r="BN45" s="7"/>
      <c r="BO45" s="8">
        <f t="shared" si="165"/>
        <v>0</v>
      </c>
      <c r="BP45" s="7"/>
      <c r="BQ45" s="7"/>
      <c r="BR45" s="7"/>
      <c r="BS45" s="11">
        <f t="shared" si="166"/>
        <v>0</v>
      </c>
      <c r="BT45" s="211">
        <f t="shared" si="167"/>
        <v>0</v>
      </c>
    </row>
    <row r="46" spans="1:72" x14ac:dyDescent="0.25">
      <c r="A46" s="218" t="s">
        <v>372</v>
      </c>
      <c r="B46" s="7">
        <f>SUM(Tervezőönkorm.!F368)</f>
        <v>0</v>
      </c>
      <c r="C46" s="7">
        <f>SUM(Tervezőönkorm.!H368)</f>
        <v>0</v>
      </c>
      <c r="D46" s="7">
        <f>SUM(Tervezőönkorm.!J368)</f>
        <v>0</v>
      </c>
      <c r="E46" s="7">
        <f>SUM(Tervezőönkorm.!L368)</f>
        <v>0</v>
      </c>
      <c r="F46" s="7">
        <f>SUM(Tervezőönkorm.!P368)</f>
        <v>0</v>
      </c>
      <c r="G46" s="7"/>
      <c r="H46" s="7"/>
      <c r="I46" s="7"/>
      <c r="J46" s="7">
        <f>SUM(Tervezőönkorm.!AS368)</f>
        <v>0</v>
      </c>
      <c r="K46" s="7"/>
      <c r="L46" s="7">
        <f>SUM(Tervezőönkorm.!T368)</f>
        <v>0</v>
      </c>
      <c r="M46" s="7">
        <f>SUM(Tervezőönkorm.!X368)</f>
        <v>0</v>
      </c>
      <c r="N46" s="7">
        <f>SUM(Tervezőönkorm.!BD368)</f>
        <v>0</v>
      </c>
      <c r="O46" s="7">
        <f>SUM(Tervezőönkorm.!BJ368)</f>
        <v>0</v>
      </c>
      <c r="P46" s="7">
        <f>SUM(Tervezőönkorm.!BX368)</f>
        <v>0</v>
      </c>
      <c r="Q46" s="7">
        <f>SUM(Tervezőönkorm.!CJ368)</f>
        <v>0</v>
      </c>
      <c r="R46" s="7">
        <f>SUM(Tervezőönkorm.!BN368)</f>
        <v>0</v>
      </c>
      <c r="S46" s="7">
        <f>SUM(Tervezőönkorm.!BP368)</f>
        <v>0</v>
      </c>
      <c r="T46" s="7"/>
      <c r="U46" s="7">
        <f>SUM(Tervezőönkorm.!BV368)</f>
        <v>0</v>
      </c>
      <c r="V46" s="7">
        <f>SUM(Tervezőönkorm.!CB368)</f>
        <v>0</v>
      </c>
      <c r="W46" s="7"/>
      <c r="X46" s="7">
        <f>'bevétel 11601 cím '!E12</f>
        <v>0</v>
      </c>
      <c r="Y46" s="7">
        <f>SUM(Tervezőönkorm.!CT368)</f>
        <v>0</v>
      </c>
      <c r="Z46" s="7"/>
      <c r="AA46" s="7">
        <f>SUM(Tervezőönkorm.!CX368)</f>
        <v>0</v>
      </c>
      <c r="AB46" s="7"/>
      <c r="AC46" s="7">
        <f>'bevétel 11602'!E39</f>
        <v>791850</v>
      </c>
      <c r="AD46" s="7"/>
      <c r="AE46" s="7">
        <f>'bevétel 11604 cím  '!E9</f>
        <v>0</v>
      </c>
      <c r="AF46" s="7"/>
      <c r="AG46" s="7"/>
      <c r="AH46" s="7">
        <f>SUM(Tervezőönkorm.!ED368)</f>
        <v>0</v>
      </c>
      <c r="AI46" s="7">
        <f>SUM(Tervezőönkorm.!DV368)</f>
        <v>0</v>
      </c>
      <c r="AJ46" s="7">
        <f>SUM(Tervezőönkorm.!AB368)</f>
        <v>0</v>
      </c>
      <c r="AK46" s="7">
        <f>SUM(Tervezőönkorm.!DD368)</f>
        <v>0</v>
      </c>
      <c r="AL46" s="7">
        <f>SUM(Tervezőönkorm.!DH368)</f>
        <v>0</v>
      </c>
      <c r="AM46" s="7">
        <f>SUM(Tervezőönkorm.!EB368)</f>
        <v>0</v>
      </c>
      <c r="AN46" s="7">
        <f>SUM(Tervezőönkorm.!EH368)</f>
        <v>0</v>
      </c>
      <c r="AO46" s="7">
        <f>SUM(Tervezőönkorm.!EL368)</f>
        <v>0</v>
      </c>
      <c r="AP46" s="196">
        <f t="shared" si="163"/>
        <v>791850</v>
      </c>
      <c r="AQ46" s="7"/>
      <c r="AR46" s="7"/>
      <c r="AS46" s="7"/>
      <c r="AT46" s="7">
        <f>Tervezőhiv.!S327</f>
        <v>0</v>
      </c>
      <c r="AU46" s="7"/>
      <c r="AV46" s="7">
        <f>Tervezőhiv.!AF327</f>
        <v>0</v>
      </c>
      <c r="AW46" s="7"/>
      <c r="AX46" s="7">
        <f>Tervezőhiv.!AM327</f>
        <v>0</v>
      </c>
      <c r="AY46" s="7">
        <f>Tervezőhiv.!AT327</f>
        <v>0</v>
      </c>
      <c r="AZ46" s="196">
        <f t="shared" si="164"/>
        <v>0</v>
      </c>
      <c r="BA46" s="7"/>
      <c r="BB46" s="7"/>
      <c r="BC46" s="7"/>
      <c r="BD46" s="7"/>
      <c r="BE46" s="7"/>
      <c r="BF46" s="7"/>
      <c r="BG46" s="7"/>
      <c r="BH46" s="7"/>
      <c r="BI46" s="7"/>
      <c r="BJ46" s="7"/>
      <c r="BK46" s="7"/>
      <c r="BL46" s="7"/>
      <c r="BM46" s="7"/>
      <c r="BN46" s="7"/>
      <c r="BO46" s="8">
        <f t="shared" si="165"/>
        <v>0</v>
      </c>
      <c r="BP46" s="7"/>
      <c r="BQ46" s="7"/>
      <c r="BR46" s="7"/>
      <c r="BS46" s="11">
        <f t="shared" si="166"/>
        <v>0</v>
      </c>
      <c r="BT46" s="211">
        <f t="shared" si="167"/>
        <v>791850</v>
      </c>
    </row>
    <row r="47" spans="1:72" x14ac:dyDescent="0.25">
      <c r="A47" s="218" t="s">
        <v>373</v>
      </c>
      <c r="B47" s="7">
        <f>SUM(Tervezőönkorm.!F374)</f>
        <v>0</v>
      </c>
      <c r="C47" s="7">
        <f>SUM(Tervezőönkorm.!H374)</f>
        <v>0</v>
      </c>
      <c r="D47" s="7">
        <f>SUM(Tervezőönkorm.!J374)</f>
        <v>0</v>
      </c>
      <c r="E47" s="7">
        <f>SUM(Tervezőönkorm.!L374)</f>
        <v>0</v>
      </c>
      <c r="F47" s="7">
        <f>SUM(Tervezőönkorm.!P374)</f>
        <v>0</v>
      </c>
      <c r="G47" s="7"/>
      <c r="H47" s="7"/>
      <c r="I47" s="7"/>
      <c r="J47" s="7">
        <f>SUM(Tervezőönkorm.!AS374)</f>
        <v>0</v>
      </c>
      <c r="K47" s="7"/>
      <c r="L47" s="7">
        <f>SUM(Tervezőönkorm.!T374)</f>
        <v>0</v>
      </c>
      <c r="M47" s="7">
        <f>SUM(Tervezőönkorm.!X374)</f>
        <v>0</v>
      </c>
      <c r="N47" s="7">
        <f>SUM(Tervezőönkorm.!BD374)</f>
        <v>0</v>
      </c>
      <c r="O47" s="7">
        <f>SUM(Tervezőönkorm.!BJ374)</f>
        <v>0</v>
      </c>
      <c r="P47" s="7">
        <f>SUM(Tervezőönkorm.!BX374)</f>
        <v>0</v>
      </c>
      <c r="Q47" s="7">
        <f>SUM(Tervezőönkorm.!CJ374)</f>
        <v>0</v>
      </c>
      <c r="R47" s="7">
        <f>SUM(Tervezőönkorm.!BN374)</f>
        <v>0</v>
      </c>
      <c r="S47" s="7">
        <f>SUM(Tervezőönkorm.!BP374)</f>
        <v>0</v>
      </c>
      <c r="T47" s="7"/>
      <c r="U47" s="7">
        <f>SUM(Tervezőönkorm.!BV374)</f>
        <v>0</v>
      </c>
      <c r="V47" s="7">
        <f>SUM(Tervezőönkorm.!CB374)</f>
        <v>0</v>
      </c>
      <c r="W47" s="7"/>
      <c r="X47" s="7"/>
      <c r="Y47" s="7">
        <f>SUM(Tervezőönkorm.!CT374)</f>
        <v>0</v>
      </c>
      <c r="Z47" s="7"/>
      <c r="AA47" s="7">
        <f>SUM(Tervezőönkorm.!CX374)</f>
        <v>0</v>
      </c>
      <c r="AB47" s="7"/>
      <c r="AC47" s="7"/>
      <c r="AD47" s="7"/>
      <c r="AE47" s="7"/>
      <c r="AF47" s="7"/>
      <c r="AG47" s="7"/>
      <c r="AH47" s="7">
        <f>SUM(Tervezőönkorm.!ED374)</f>
        <v>0</v>
      </c>
      <c r="AI47" s="7">
        <f>SUM(Tervezőönkorm.!DV374)</f>
        <v>0</v>
      </c>
      <c r="AJ47" s="7">
        <f>SUM(Tervezőönkorm.!AB374)</f>
        <v>0</v>
      </c>
      <c r="AK47" s="7">
        <f>SUM(Tervezőönkorm.!DD374)</f>
        <v>0</v>
      </c>
      <c r="AL47" s="7">
        <f>SUM(Tervezőönkorm.!DH374)</f>
        <v>0</v>
      </c>
      <c r="AM47" s="7">
        <f>SUM(Tervezőönkorm.!EB374)</f>
        <v>0</v>
      </c>
      <c r="AN47" s="7">
        <f>SUM(Tervezőönkorm.!EH374)</f>
        <v>0</v>
      </c>
      <c r="AO47" s="7">
        <f>SUM(Tervezőönkorm.!EL374)</f>
        <v>0</v>
      </c>
      <c r="AP47" s="196">
        <f t="shared" si="163"/>
        <v>0</v>
      </c>
      <c r="AQ47" s="7"/>
      <c r="AR47" s="7"/>
      <c r="AS47" s="7"/>
      <c r="AT47" s="7">
        <f>Tervezőhiv.!S333</f>
        <v>0</v>
      </c>
      <c r="AU47" s="7"/>
      <c r="AV47" s="7">
        <f>Tervezőhiv.!AF333</f>
        <v>0</v>
      </c>
      <c r="AW47" s="7"/>
      <c r="AX47" s="7">
        <f>Tervezőhiv.!AM333</f>
        <v>0</v>
      </c>
      <c r="AY47" s="7">
        <f>Tervezőhiv.!AT333</f>
        <v>0</v>
      </c>
      <c r="AZ47" s="196">
        <f t="shared" si="164"/>
        <v>0</v>
      </c>
      <c r="BA47" s="7"/>
      <c r="BB47" s="7"/>
      <c r="BC47" s="7"/>
      <c r="BD47" s="7"/>
      <c r="BE47" s="7"/>
      <c r="BF47" s="7"/>
      <c r="BG47" s="7"/>
      <c r="BH47" s="7"/>
      <c r="BI47" s="7"/>
      <c r="BJ47" s="7"/>
      <c r="BK47" s="7"/>
      <c r="BL47" s="7"/>
      <c r="BM47" s="7"/>
      <c r="BN47" s="7"/>
      <c r="BO47" s="8">
        <f t="shared" si="165"/>
        <v>0</v>
      </c>
      <c r="BP47" s="7"/>
      <c r="BQ47" s="7"/>
      <c r="BR47" s="7"/>
      <c r="BS47" s="11">
        <f t="shared" si="166"/>
        <v>0</v>
      </c>
      <c r="BT47" s="211">
        <f t="shared" si="167"/>
        <v>0</v>
      </c>
    </row>
    <row r="48" spans="1:72" ht="26.4" x14ac:dyDescent="0.25">
      <c r="A48" s="218" t="s">
        <v>374</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196">
        <f t="shared" si="163"/>
        <v>0</v>
      </c>
      <c r="AQ48" s="7"/>
      <c r="AR48" s="7"/>
      <c r="AS48" s="7"/>
      <c r="AT48" s="7"/>
      <c r="AU48" s="7"/>
      <c r="AV48" s="7"/>
      <c r="AW48" s="7"/>
      <c r="AX48" s="7"/>
      <c r="AY48" s="7"/>
      <c r="AZ48" s="196">
        <f t="shared" si="164"/>
        <v>0</v>
      </c>
      <c r="BA48" s="7"/>
      <c r="BB48" s="7"/>
      <c r="BC48" s="7"/>
      <c r="BD48" s="7"/>
      <c r="BE48" s="7"/>
      <c r="BF48" s="7"/>
      <c r="BG48" s="7"/>
      <c r="BH48" s="7"/>
      <c r="BI48" s="7"/>
      <c r="BJ48" s="7"/>
      <c r="BK48" s="7"/>
      <c r="BL48" s="7"/>
      <c r="BM48" s="7"/>
      <c r="BN48" s="7"/>
      <c r="BO48" s="8">
        <f t="shared" si="165"/>
        <v>0</v>
      </c>
      <c r="BP48" s="7"/>
      <c r="BQ48" s="7"/>
      <c r="BR48" s="7"/>
      <c r="BS48" s="11">
        <f t="shared" si="166"/>
        <v>0</v>
      </c>
      <c r="BT48" s="211">
        <f t="shared" si="167"/>
        <v>0</v>
      </c>
    </row>
    <row r="49" spans="1:72" s="13" customFormat="1" x14ac:dyDescent="0.25">
      <c r="A49" s="219" t="s">
        <v>375</v>
      </c>
      <c r="B49" s="6">
        <f>B50+B51</f>
        <v>0</v>
      </c>
      <c r="C49" s="6">
        <f>C50+C51</f>
        <v>0</v>
      </c>
      <c r="D49" s="6">
        <f>D50+D51</f>
        <v>0</v>
      </c>
      <c r="E49" s="6">
        <f>E50+E51</f>
        <v>300</v>
      </c>
      <c r="F49" s="6">
        <f>F50+F51</f>
        <v>0</v>
      </c>
      <c r="G49" s="6">
        <f t="shared" ref="G49:AF49" si="168">G50+G51</f>
        <v>0</v>
      </c>
      <c r="H49" s="6">
        <f t="shared" si="168"/>
        <v>0</v>
      </c>
      <c r="I49" s="6">
        <f t="shared" si="168"/>
        <v>0</v>
      </c>
      <c r="J49" s="6">
        <f>J50+J51</f>
        <v>0</v>
      </c>
      <c r="K49" s="6">
        <f t="shared" si="168"/>
        <v>0</v>
      </c>
      <c r="L49" s="6">
        <f t="shared" ref="L49:S49" si="169">L50+L51</f>
        <v>0</v>
      </c>
      <c r="M49" s="6">
        <f t="shared" si="169"/>
        <v>0</v>
      </c>
      <c r="N49" s="6">
        <f t="shared" si="169"/>
        <v>0</v>
      </c>
      <c r="O49" s="6">
        <f t="shared" si="169"/>
        <v>0</v>
      </c>
      <c r="P49" s="6">
        <f t="shared" si="169"/>
        <v>0</v>
      </c>
      <c r="Q49" s="6">
        <f t="shared" si="169"/>
        <v>0</v>
      </c>
      <c r="R49" s="6">
        <f t="shared" si="169"/>
        <v>0</v>
      </c>
      <c r="S49" s="6">
        <f t="shared" si="169"/>
        <v>0</v>
      </c>
      <c r="T49" s="6">
        <f t="shared" ref="T49:W49" si="170">T50+T51</f>
        <v>0</v>
      </c>
      <c r="U49" s="6">
        <f>U50+U51</f>
        <v>0</v>
      </c>
      <c r="V49" s="6">
        <f>V50+V51</f>
        <v>0</v>
      </c>
      <c r="W49" s="6">
        <f t="shared" si="170"/>
        <v>0</v>
      </c>
      <c r="X49" s="6">
        <f t="shared" si="168"/>
        <v>0</v>
      </c>
      <c r="Y49" s="6">
        <f>Y50+Y51</f>
        <v>0</v>
      </c>
      <c r="Z49" s="6">
        <f t="shared" ref="Z49" si="171">Z50+Z51</f>
        <v>0</v>
      </c>
      <c r="AA49" s="6">
        <f>AA50+AA51</f>
        <v>0</v>
      </c>
      <c r="AB49" s="6">
        <f t="shared" ref="AB49" si="172">AB50+AB51</f>
        <v>0</v>
      </c>
      <c r="AC49" s="6">
        <f t="shared" si="168"/>
        <v>0</v>
      </c>
      <c r="AD49" s="6">
        <f t="shared" si="168"/>
        <v>0</v>
      </c>
      <c r="AE49" s="6">
        <f t="shared" si="168"/>
        <v>0</v>
      </c>
      <c r="AF49" s="6">
        <f t="shared" si="168"/>
        <v>0</v>
      </c>
      <c r="AG49" s="6">
        <f t="shared" ref="AG49" si="173">AG50+AG51</f>
        <v>0</v>
      </c>
      <c r="AH49" s="6">
        <f t="shared" ref="AH49:AO49" si="174">AH50+AH51</f>
        <v>0</v>
      </c>
      <c r="AI49" s="6">
        <f t="shared" si="174"/>
        <v>0</v>
      </c>
      <c r="AJ49" s="6">
        <f t="shared" si="174"/>
        <v>0</v>
      </c>
      <c r="AK49" s="6">
        <f t="shared" si="174"/>
        <v>350000</v>
      </c>
      <c r="AL49" s="6">
        <f t="shared" si="174"/>
        <v>0</v>
      </c>
      <c r="AM49" s="6">
        <f t="shared" si="174"/>
        <v>0</v>
      </c>
      <c r="AN49" s="6">
        <f t="shared" si="174"/>
        <v>0</v>
      </c>
      <c r="AO49" s="6">
        <f t="shared" si="174"/>
        <v>0</v>
      </c>
      <c r="AP49" s="197">
        <f t="shared" ref="AP49:BR49" si="175">AP50+AP51</f>
        <v>350300</v>
      </c>
      <c r="AQ49" s="6">
        <f t="shared" si="175"/>
        <v>0</v>
      </c>
      <c r="AR49" s="6">
        <f t="shared" ref="AR49:AW49" si="176">AR50+AR51</f>
        <v>0</v>
      </c>
      <c r="AS49" s="6">
        <f t="shared" si="176"/>
        <v>0</v>
      </c>
      <c r="AT49" s="6">
        <f t="shared" si="176"/>
        <v>0</v>
      </c>
      <c r="AU49" s="6">
        <f t="shared" si="176"/>
        <v>0</v>
      </c>
      <c r="AV49" s="6">
        <f t="shared" ref="AV49" si="177">AV50+AV51</f>
        <v>0</v>
      </c>
      <c r="AW49" s="6">
        <f t="shared" si="176"/>
        <v>0</v>
      </c>
      <c r="AX49" s="6">
        <f t="shared" ref="AX49:AY49" si="178">AX50+AX51</f>
        <v>0</v>
      </c>
      <c r="AY49" s="6">
        <f t="shared" si="178"/>
        <v>0</v>
      </c>
      <c r="AZ49" s="197">
        <f t="shared" si="175"/>
        <v>0</v>
      </c>
      <c r="BA49" s="6">
        <f t="shared" si="175"/>
        <v>0</v>
      </c>
      <c r="BB49" s="6">
        <f t="shared" ref="BB49:BN49" si="179">BB50+BB51</f>
        <v>0</v>
      </c>
      <c r="BC49" s="6">
        <f t="shared" si="179"/>
        <v>0</v>
      </c>
      <c r="BD49" s="6">
        <f t="shared" si="179"/>
        <v>0</v>
      </c>
      <c r="BE49" s="6">
        <f t="shared" ref="BE49" si="180">BE50+BE51</f>
        <v>0</v>
      </c>
      <c r="BF49" s="6">
        <f t="shared" si="179"/>
        <v>0</v>
      </c>
      <c r="BG49" s="6">
        <f t="shared" si="179"/>
        <v>0</v>
      </c>
      <c r="BH49" s="6">
        <f t="shared" si="179"/>
        <v>0</v>
      </c>
      <c r="BI49" s="6">
        <f t="shared" si="179"/>
        <v>0</v>
      </c>
      <c r="BJ49" s="6">
        <f t="shared" si="179"/>
        <v>0</v>
      </c>
      <c r="BK49" s="6">
        <f t="shared" si="179"/>
        <v>0</v>
      </c>
      <c r="BL49" s="6">
        <f t="shared" si="179"/>
        <v>0</v>
      </c>
      <c r="BM49" s="6">
        <f t="shared" si="179"/>
        <v>0</v>
      </c>
      <c r="BN49" s="6">
        <f t="shared" si="179"/>
        <v>0</v>
      </c>
      <c r="BO49" s="6">
        <f t="shared" si="175"/>
        <v>0</v>
      </c>
      <c r="BP49" s="6">
        <f t="shared" si="175"/>
        <v>0</v>
      </c>
      <c r="BQ49" s="6">
        <f t="shared" si="175"/>
        <v>0</v>
      </c>
      <c r="BR49" s="6">
        <f t="shared" si="175"/>
        <v>0</v>
      </c>
      <c r="BS49" s="6">
        <f>BS50+BS51</f>
        <v>0</v>
      </c>
      <c r="BT49" s="213">
        <f>BT50+BT51</f>
        <v>350300</v>
      </c>
    </row>
    <row r="50" spans="1:72" ht="26.4" x14ac:dyDescent="0.25">
      <c r="A50" s="218" t="s">
        <v>376</v>
      </c>
      <c r="B50" s="7"/>
      <c r="C50" s="7"/>
      <c r="D50" s="7"/>
      <c r="E50" s="7">
        <f>Tervezőönkorm.!L384</f>
        <v>300</v>
      </c>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f>SUM(Tervezőönkorm.!DD384)</f>
        <v>350000</v>
      </c>
      <c r="AL50" s="7"/>
      <c r="AM50" s="7"/>
      <c r="AN50" s="7"/>
      <c r="AO50" s="7"/>
      <c r="AP50" s="196">
        <f>SUM(B50:AO50)</f>
        <v>350300</v>
      </c>
      <c r="AQ50" s="7"/>
      <c r="AR50" s="7"/>
      <c r="AS50" s="7"/>
      <c r="AT50" s="7"/>
      <c r="AU50" s="7"/>
      <c r="AV50" s="7"/>
      <c r="AW50" s="7"/>
      <c r="AX50" s="7"/>
      <c r="AY50" s="7"/>
      <c r="AZ50" s="196">
        <f>SUM(AQ50:AY50)</f>
        <v>0</v>
      </c>
      <c r="BA50" s="7"/>
      <c r="BB50" s="7"/>
      <c r="BC50" s="7"/>
      <c r="BD50" s="7"/>
      <c r="BE50" s="7"/>
      <c r="BF50" s="7"/>
      <c r="BG50" s="7"/>
      <c r="BH50" s="7"/>
      <c r="BI50" s="7"/>
      <c r="BJ50" s="7"/>
      <c r="BK50" s="7"/>
      <c r="BL50" s="7"/>
      <c r="BM50" s="7"/>
      <c r="BN50" s="7"/>
      <c r="BO50" s="8">
        <f>SUM(BA50:BN50)</f>
        <v>0</v>
      </c>
      <c r="BP50" s="7"/>
      <c r="BQ50" s="7"/>
      <c r="BR50" s="7"/>
      <c r="BS50" s="11">
        <f>BO50+BP50+BQ50+BR50</f>
        <v>0</v>
      </c>
      <c r="BT50" s="211">
        <f>AP50+AZ50+BS50</f>
        <v>350300</v>
      </c>
    </row>
    <row r="51" spans="1:72" x14ac:dyDescent="0.25">
      <c r="A51" s="218" t="s">
        <v>377</v>
      </c>
      <c r="B51" s="7">
        <f>SUM(Tervezőönkorm.!F389)</f>
        <v>0</v>
      </c>
      <c r="C51" s="7">
        <f>SUM(Tervezőönkorm.!H389)</f>
        <v>0</v>
      </c>
      <c r="D51" s="7">
        <f>SUM(Tervezőönkorm.!J389)</f>
        <v>0</v>
      </c>
      <c r="E51" s="7">
        <f>SUM(Tervezőönkorm.!L389)</f>
        <v>0</v>
      </c>
      <c r="F51" s="7">
        <f>SUM(Tervezőönkorm.!P389)</f>
        <v>0</v>
      </c>
      <c r="G51" s="7"/>
      <c r="H51" s="7"/>
      <c r="I51" s="7"/>
      <c r="J51" s="7">
        <f>SUM(Tervezőönkorm.!AS389)</f>
        <v>0</v>
      </c>
      <c r="K51" s="7"/>
      <c r="L51" s="7">
        <f>SUM(Tervezőönkorm.!T389)</f>
        <v>0</v>
      </c>
      <c r="M51" s="7">
        <f>SUM(Tervezőönkorm.!X389)</f>
        <v>0</v>
      </c>
      <c r="N51" s="7">
        <f>SUM(Tervezőönkorm.!BD389)</f>
        <v>0</v>
      </c>
      <c r="O51" s="7">
        <f>SUM(Tervezőönkorm.!BJ389)</f>
        <v>0</v>
      </c>
      <c r="P51" s="7">
        <f>SUM(Tervezőönkorm.!BX389)</f>
        <v>0</v>
      </c>
      <c r="Q51" s="7">
        <f>SUM(Tervezőönkorm.!CJ389)</f>
        <v>0</v>
      </c>
      <c r="R51" s="7">
        <f>SUM(Tervezőönkorm.!BN389)</f>
        <v>0</v>
      </c>
      <c r="S51" s="7">
        <f>SUM(Tervezőönkorm.!BP389)</f>
        <v>0</v>
      </c>
      <c r="T51" s="7"/>
      <c r="U51" s="7">
        <f>SUM(Tervezőönkorm.!BV389)</f>
        <v>0</v>
      </c>
      <c r="V51" s="7">
        <f>SUM(Tervezőönkorm.!CB389)</f>
        <v>0</v>
      </c>
      <c r="W51" s="7"/>
      <c r="X51" s="7"/>
      <c r="Y51" s="7">
        <f>SUM(Tervezőönkorm.!CT389)</f>
        <v>0</v>
      </c>
      <c r="Z51" s="7"/>
      <c r="AA51" s="7">
        <f>SUM(Tervezőönkorm.!CX389)</f>
        <v>0</v>
      </c>
      <c r="AB51" s="7"/>
      <c r="AC51" s="7"/>
      <c r="AD51" s="7"/>
      <c r="AE51" s="7"/>
      <c r="AF51" s="7"/>
      <c r="AG51" s="7"/>
      <c r="AH51" s="7">
        <f>SUM(Tervezőönkorm.!ED389)</f>
        <v>0</v>
      </c>
      <c r="AI51" s="7">
        <f>SUM(Tervezőönkorm.!DV389)</f>
        <v>0</v>
      </c>
      <c r="AJ51" s="7">
        <f>SUM(Tervezőönkorm.!AB389)</f>
        <v>0</v>
      </c>
      <c r="AK51" s="7">
        <f>SUM(Tervezőönkorm.!DD389)</f>
        <v>0</v>
      </c>
      <c r="AL51" s="7">
        <f>SUM(Tervezőönkorm.!DH389)</f>
        <v>0</v>
      </c>
      <c r="AM51" s="7">
        <f>SUM(Tervezőönkorm.!EB389)</f>
        <v>0</v>
      </c>
      <c r="AN51" s="7">
        <f>SUM(Tervezőönkorm.!EH389)</f>
        <v>0</v>
      </c>
      <c r="AO51" s="7">
        <f>SUM(Tervezőönkorm.!EL389)</f>
        <v>0</v>
      </c>
      <c r="AP51" s="196">
        <f>SUM(B51:AO51)</f>
        <v>0</v>
      </c>
      <c r="AQ51" s="7"/>
      <c r="AR51" s="7"/>
      <c r="AS51" s="7"/>
      <c r="AT51" s="7">
        <f>Tervezőhiv.!S338</f>
        <v>0</v>
      </c>
      <c r="AU51" s="7"/>
      <c r="AV51" s="7">
        <f>Tervezőhiv.!AF338</f>
        <v>0</v>
      </c>
      <c r="AW51" s="7"/>
      <c r="AX51" s="7">
        <f>Tervezőhiv.!AM338</f>
        <v>0</v>
      </c>
      <c r="AY51" s="7">
        <f>Tervezőhiv.!AT338</f>
        <v>0</v>
      </c>
      <c r="AZ51" s="196">
        <f>SUM(AQ51:AY51)</f>
        <v>0</v>
      </c>
      <c r="BA51" s="7"/>
      <c r="BB51" s="7"/>
      <c r="BC51" s="7"/>
      <c r="BD51" s="7"/>
      <c r="BE51" s="7"/>
      <c r="BF51" s="7"/>
      <c r="BG51" s="7"/>
      <c r="BH51" s="7"/>
      <c r="BI51" s="7"/>
      <c r="BJ51" s="7"/>
      <c r="BK51" s="7"/>
      <c r="BL51" s="7"/>
      <c r="BM51" s="7"/>
      <c r="BN51" s="7"/>
      <c r="BO51" s="8">
        <f>SUM(BA51:BN51)</f>
        <v>0</v>
      </c>
      <c r="BP51" s="7"/>
      <c r="BQ51" s="7"/>
      <c r="BR51" s="7"/>
      <c r="BS51" s="11">
        <f>BO51+BP51+BQ51+BR51</f>
        <v>0</v>
      </c>
      <c r="BT51" s="211">
        <f>AP51+AZ51+BS51</f>
        <v>0</v>
      </c>
    </row>
    <row r="52" spans="1:72" s="13" customFormat="1" x14ac:dyDescent="0.25">
      <c r="A52" s="219" t="s">
        <v>378</v>
      </c>
      <c r="B52" s="6">
        <f>B28+B40</f>
        <v>0</v>
      </c>
      <c r="C52" s="6">
        <f>C28+C40</f>
        <v>0</v>
      </c>
      <c r="D52" s="6">
        <f>D28+D40</f>
        <v>0</v>
      </c>
      <c r="E52" s="6">
        <f>E28+E40</f>
        <v>300</v>
      </c>
      <c r="F52" s="6">
        <f>F28+F40</f>
        <v>0</v>
      </c>
      <c r="G52" s="6">
        <f t="shared" ref="G52:AF52" si="181">G28+G40</f>
        <v>0</v>
      </c>
      <c r="H52" s="6">
        <f t="shared" si="181"/>
        <v>0</v>
      </c>
      <c r="I52" s="6">
        <f t="shared" si="181"/>
        <v>0</v>
      </c>
      <c r="J52" s="6">
        <f t="shared" si="181"/>
        <v>9879</v>
      </c>
      <c r="K52" s="6">
        <f t="shared" si="181"/>
        <v>0</v>
      </c>
      <c r="L52" s="6">
        <f t="shared" ref="L52:S52" si="182">L28+L40</f>
        <v>0</v>
      </c>
      <c r="M52" s="6">
        <f t="shared" si="182"/>
        <v>0</v>
      </c>
      <c r="N52" s="6">
        <f t="shared" si="182"/>
        <v>0</v>
      </c>
      <c r="O52" s="6">
        <f t="shared" si="182"/>
        <v>334000</v>
      </c>
      <c r="P52" s="6">
        <f t="shared" si="182"/>
        <v>0</v>
      </c>
      <c r="Q52" s="6">
        <f t="shared" si="182"/>
        <v>0</v>
      </c>
      <c r="R52" s="6">
        <f t="shared" si="182"/>
        <v>0</v>
      </c>
      <c r="S52" s="6">
        <f t="shared" si="182"/>
        <v>0</v>
      </c>
      <c r="T52" s="6">
        <f t="shared" ref="T52:W52" si="183">T28+T40</f>
        <v>0</v>
      </c>
      <c r="U52" s="6">
        <f>U28+U40</f>
        <v>0</v>
      </c>
      <c r="V52" s="6">
        <f>V28+V40</f>
        <v>0</v>
      </c>
      <c r="W52" s="6">
        <f t="shared" si="183"/>
        <v>0</v>
      </c>
      <c r="X52" s="6">
        <f t="shared" si="181"/>
        <v>59379</v>
      </c>
      <c r="Y52" s="6">
        <f>Y28+Y40</f>
        <v>0</v>
      </c>
      <c r="Z52" s="6">
        <f t="shared" ref="Z52" si="184">Z28+Z40</f>
        <v>0</v>
      </c>
      <c r="AA52" s="6">
        <f>AA28+AA40</f>
        <v>0</v>
      </c>
      <c r="AB52" s="6">
        <f t="shared" ref="AB52" si="185">AB28+AB40</f>
        <v>0</v>
      </c>
      <c r="AC52" s="6">
        <f t="shared" si="181"/>
        <v>858700</v>
      </c>
      <c r="AD52" s="6">
        <f t="shared" si="181"/>
        <v>0</v>
      </c>
      <c r="AE52" s="6">
        <f t="shared" si="181"/>
        <v>0</v>
      </c>
      <c r="AF52" s="6">
        <f t="shared" si="181"/>
        <v>0</v>
      </c>
      <c r="AG52" s="6">
        <f t="shared" ref="AG52" si="186">AG28+AG40</f>
        <v>0</v>
      </c>
      <c r="AH52" s="6">
        <f t="shared" ref="AH52:AO52" si="187">AH28+AH40</f>
        <v>0</v>
      </c>
      <c r="AI52" s="6">
        <f t="shared" si="187"/>
        <v>0</v>
      </c>
      <c r="AJ52" s="6">
        <f t="shared" si="187"/>
        <v>0</v>
      </c>
      <c r="AK52" s="6">
        <f t="shared" si="187"/>
        <v>350000</v>
      </c>
      <c r="AL52" s="6">
        <f t="shared" si="187"/>
        <v>0</v>
      </c>
      <c r="AM52" s="6">
        <f t="shared" si="187"/>
        <v>0</v>
      </c>
      <c r="AN52" s="6">
        <f t="shared" si="187"/>
        <v>0</v>
      </c>
      <c r="AO52" s="6">
        <f t="shared" si="187"/>
        <v>100000</v>
      </c>
      <c r="AP52" s="197">
        <f t="shared" ref="AP52:BR52" si="188">AP28+AP40</f>
        <v>1712258</v>
      </c>
      <c r="AQ52" s="6">
        <f t="shared" si="188"/>
        <v>0</v>
      </c>
      <c r="AR52" s="6">
        <f t="shared" ref="AR52:AW52" si="189">AR28+AR40</f>
        <v>0</v>
      </c>
      <c r="AS52" s="6">
        <f t="shared" si="189"/>
        <v>0</v>
      </c>
      <c r="AT52" s="6">
        <f t="shared" si="189"/>
        <v>0</v>
      </c>
      <c r="AU52" s="6">
        <f t="shared" si="189"/>
        <v>0</v>
      </c>
      <c r="AV52" s="6">
        <f t="shared" ref="AV52" si="190">AV28+AV40</f>
        <v>0</v>
      </c>
      <c r="AW52" s="6">
        <f t="shared" si="189"/>
        <v>0</v>
      </c>
      <c r="AX52" s="6">
        <f t="shared" ref="AX52:AY52" si="191">AX28+AX40</f>
        <v>0</v>
      </c>
      <c r="AY52" s="6">
        <f t="shared" si="191"/>
        <v>0</v>
      </c>
      <c r="AZ52" s="197">
        <f t="shared" si="188"/>
        <v>0</v>
      </c>
      <c r="BA52" s="6">
        <f t="shared" si="188"/>
        <v>3000</v>
      </c>
      <c r="BB52" s="6">
        <f t="shared" ref="BB52:BN52" si="192">BB28+BB40</f>
        <v>0</v>
      </c>
      <c r="BC52" s="6">
        <f t="shared" si="192"/>
        <v>0</v>
      </c>
      <c r="BD52" s="6">
        <f t="shared" si="192"/>
        <v>1084</v>
      </c>
      <c r="BE52" s="6">
        <f t="shared" ref="BE52" si="193">BE28+BE40</f>
        <v>0</v>
      </c>
      <c r="BF52" s="6">
        <f t="shared" si="192"/>
        <v>0</v>
      </c>
      <c r="BG52" s="6">
        <f t="shared" si="192"/>
        <v>8319</v>
      </c>
      <c r="BH52" s="6">
        <f t="shared" si="192"/>
        <v>444</v>
      </c>
      <c r="BI52" s="6">
        <f t="shared" si="192"/>
        <v>633</v>
      </c>
      <c r="BJ52" s="6">
        <f t="shared" si="192"/>
        <v>0</v>
      </c>
      <c r="BK52" s="6">
        <f t="shared" si="192"/>
        <v>0</v>
      </c>
      <c r="BL52" s="6">
        <f t="shared" si="192"/>
        <v>0</v>
      </c>
      <c r="BM52" s="6">
        <f t="shared" si="192"/>
        <v>0</v>
      </c>
      <c r="BN52" s="6">
        <f t="shared" si="192"/>
        <v>0</v>
      </c>
      <c r="BO52" s="6">
        <f t="shared" si="188"/>
        <v>13480</v>
      </c>
      <c r="BP52" s="6">
        <f t="shared" si="188"/>
        <v>26667</v>
      </c>
      <c r="BQ52" s="6">
        <f t="shared" si="188"/>
        <v>15135</v>
      </c>
      <c r="BR52" s="6">
        <f t="shared" si="188"/>
        <v>0</v>
      </c>
      <c r="BS52" s="6">
        <f>BS28+BS40</f>
        <v>55282</v>
      </c>
      <c r="BT52" s="213">
        <f>BT28+BT40</f>
        <v>1767540</v>
      </c>
    </row>
    <row r="53" spans="1:72" s="13" customFormat="1" x14ac:dyDescent="0.25">
      <c r="A53" s="219" t="s">
        <v>379</v>
      </c>
      <c r="B53" s="6">
        <f>B54+B58</f>
        <v>0</v>
      </c>
      <c r="C53" s="6">
        <f>C54+C58</f>
        <v>0</v>
      </c>
      <c r="D53" s="6">
        <f>D54+D58</f>
        <v>0</v>
      </c>
      <c r="E53" s="6">
        <f>E54+E58</f>
        <v>0</v>
      </c>
      <c r="F53" s="6">
        <f>F54+F58</f>
        <v>0</v>
      </c>
      <c r="G53" s="6">
        <f t="shared" ref="G53:AF53" si="194">G54+G58</f>
        <v>0</v>
      </c>
      <c r="H53" s="6">
        <f t="shared" si="194"/>
        <v>0</v>
      </c>
      <c r="I53" s="6">
        <f t="shared" si="194"/>
        <v>0</v>
      </c>
      <c r="J53" s="6">
        <f t="shared" si="194"/>
        <v>712623</v>
      </c>
      <c r="K53" s="6">
        <f t="shared" si="194"/>
        <v>0</v>
      </c>
      <c r="L53" s="6">
        <f t="shared" ref="L53:S53" si="195">L54+L58</f>
        <v>0</v>
      </c>
      <c r="M53" s="6">
        <f t="shared" si="195"/>
        <v>0</v>
      </c>
      <c r="N53" s="6">
        <f t="shared" si="195"/>
        <v>0</v>
      </c>
      <c r="O53" s="6">
        <f t="shared" si="195"/>
        <v>0</v>
      </c>
      <c r="P53" s="6">
        <f t="shared" si="195"/>
        <v>0</v>
      </c>
      <c r="Q53" s="6">
        <f t="shared" si="195"/>
        <v>0</v>
      </c>
      <c r="R53" s="6">
        <f t="shared" si="195"/>
        <v>0</v>
      </c>
      <c r="S53" s="6">
        <f t="shared" si="195"/>
        <v>0</v>
      </c>
      <c r="T53" s="6">
        <f t="shared" ref="T53:W53" si="196">T54+T58</f>
        <v>0</v>
      </c>
      <c r="U53" s="6">
        <f>U54+U58</f>
        <v>0</v>
      </c>
      <c r="V53" s="6">
        <f>V54+V58</f>
        <v>0</v>
      </c>
      <c r="W53" s="6">
        <f t="shared" si="196"/>
        <v>0</v>
      </c>
      <c r="X53" s="6">
        <f t="shared" si="194"/>
        <v>0</v>
      </c>
      <c r="Y53" s="6">
        <f>Y54+Y58</f>
        <v>0</v>
      </c>
      <c r="Z53" s="6">
        <f t="shared" ref="Z53" si="197">Z54+Z58</f>
        <v>0</v>
      </c>
      <c r="AA53" s="6">
        <f>AA54+AA58</f>
        <v>0</v>
      </c>
      <c r="AB53" s="6">
        <f t="shared" ref="AB53" si="198">AB54+AB58</f>
        <v>0</v>
      </c>
      <c r="AC53" s="6">
        <f t="shared" si="194"/>
        <v>0</v>
      </c>
      <c r="AD53" s="6">
        <f t="shared" si="194"/>
        <v>0</v>
      </c>
      <c r="AE53" s="6">
        <f t="shared" si="194"/>
        <v>0</v>
      </c>
      <c r="AF53" s="6">
        <f t="shared" si="194"/>
        <v>0</v>
      </c>
      <c r="AG53" s="6">
        <f t="shared" ref="AG53" si="199">AG54+AG58</f>
        <v>0</v>
      </c>
      <c r="AH53" s="6">
        <f t="shared" ref="AH53:AO53" si="200">AH54+AH58</f>
        <v>0</v>
      </c>
      <c r="AI53" s="6">
        <f t="shared" si="200"/>
        <v>0</v>
      </c>
      <c r="AJ53" s="6">
        <f t="shared" si="200"/>
        <v>0</v>
      </c>
      <c r="AK53" s="6">
        <f t="shared" si="200"/>
        <v>0</v>
      </c>
      <c r="AL53" s="6">
        <f t="shared" si="200"/>
        <v>0</v>
      </c>
      <c r="AM53" s="6">
        <f t="shared" si="200"/>
        <v>0</v>
      </c>
      <c r="AN53" s="6">
        <f t="shared" si="200"/>
        <v>0</v>
      </c>
      <c r="AO53" s="6">
        <f t="shared" si="200"/>
        <v>0</v>
      </c>
      <c r="AP53" s="197">
        <f t="shared" ref="AP53:BR53" si="201">AP54+AP58</f>
        <v>712623</v>
      </c>
      <c r="AQ53" s="6">
        <f t="shared" si="201"/>
        <v>0</v>
      </c>
      <c r="AR53" s="6">
        <f t="shared" ref="AR53:AW53" si="202">AR54+AR58</f>
        <v>0</v>
      </c>
      <c r="AS53" s="6">
        <f t="shared" si="202"/>
        <v>0</v>
      </c>
      <c r="AT53" s="6">
        <f t="shared" si="202"/>
        <v>0</v>
      </c>
      <c r="AU53" s="6">
        <f t="shared" si="202"/>
        <v>0</v>
      </c>
      <c r="AV53" s="6">
        <f t="shared" ref="AV53" si="203">AV54+AV58</f>
        <v>0</v>
      </c>
      <c r="AW53" s="6">
        <f t="shared" si="202"/>
        <v>0</v>
      </c>
      <c r="AX53" s="6">
        <f t="shared" ref="AX53:AY53" si="204">AX54+AX58</f>
        <v>0</v>
      </c>
      <c r="AY53" s="6">
        <f t="shared" si="204"/>
        <v>0</v>
      </c>
      <c r="AZ53" s="197">
        <f t="shared" si="201"/>
        <v>0</v>
      </c>
      <c r="BA53" s="6">
        <f t="shared" si="201"/>
        <v>0</v>
      </c>
      <c r="BB53" s="6">
        <f t="shared" ref="BB53:BN53" si="205">BB54+BB58</f>
        <v>0</v>
      </c>
      <c r="BC53" s="6">
        <f t="shared" si="205"/>
        <v>0</v>
      </c>
      <c r="BD53" s="6">
        <f t="shared" si="205"/>
        <v>0</v>
      </c>
      <c r="BE53" s="6">
        <f t="shared" ref="BE53" si="206">BE54+BE58</f>
        <v>0</v>
      </c>
      <c r="BF53" s="6">
        <f t="shared" si="205"/>
        <v>0</v>
      </c>
      <c r="BG53" s="6">
        <f t="shared" si="205"/>
        <v>0</v>
      </c>
      <c r="BH53" s="6">
        <f t="shared" si="205"/>
        <v>0</v>
      </c>
      <c r="BI53" s="6">
        <f t="shared" si="205"/>
        <v>0</v>
      </c>
      <c r="BJ53" s="6">
        <f t="shared" si="205"/>
        <v>0</v>
      </c>
      <c r="BK53" s="6">
        <f t="shared" si="205"/>
        <v>0</v>
      </c>
      <c r="BL53" s="6">
        <f t="shared" si="205"/>
        <v>0</v>
      </c>
      <c r="BM53" s="6">
        <f t="shared" si="205"/>
        <v>0</v>
      </c>
      <c r="BN53" s="6">
        <f t="shared" si="205"/>
        <v>0</v>
      </c>
      <c r="BO53" s="6">
        <f t="shared" si="201"/>
        <v>0</v>
      </c>
      <c r="BP53" s="6">
        <f t="shared" si="201"/>
        <v>0</v>
      </c>
      <c r="BQ53" s="6">
        <f t="shared" si="201"/>
        <v>0</v>
      </c>
      <c r="BR53" s="6">
        <f t="shared" si="201"/>
        <v>0</v>
      </c>
      <c r="BS53" s="6">
        <f>BS54+BS58</f>
        <v>0</v>
      </c>
      <c r="BT53" s="213">
        <f>BT54+BT58</f>
        <v>712623</v>
      </c>
    </row>
    <row r="54" spans="1:72" s="13" customFormat="1" x14ac:dyDescent="0.25">
      <c r="A54" s="219" t="s">
        <v>380</v>
      </c>
      <c r="B54" s="6">
        <f>B55+B56+B57</f>
        <v>0</v>
      </c>
      <c r="C54" s="6">
        <f>C55+C56+C57</f>
        <v>0</v>
      </c>
      <c r="D54" s="6">
        <f>D55+D56+D57</f>
        <v>0</v>
      </c>
      <c r="E54" s="6">
        <f>E55+E56+E57</f>
        <v>0</v>
      </c>
      <c r="F54" s="6">
        <f>F55+F56+F57</f>
        <v>0</v>
      </c>
      <c r="G54" s="6">
        <f t="shared" ref="G54:AF54" si="207">G55+G56+G57</f>
        <v>0</v>
      </c>
      <c r="H54" s="6">
        <f t="shared" si="207"/>
        <v>0</v>
      </c>
      <c r="I54" s="6">
        <f t="shared" si="207"/>
        <v>0</v>
      </c>
      <c r="J54" s="6">
        <f t="shared" si="207"/>
        <v>710749</v>
      </c>
      <c r="K54" s="6">
        <f t="shared" si="207"/>
        <v>0</v>
      </c>
      <c r="L54" s="6">
        <f t="shared" ref="L54:S54" si="208">L55+L56+L57</f>
        <v>0</v>
      </c>
      <c r="M54" s="6">
        <f t="shared" si="208"/>
        <v>0</v>
      </c>
      <c r="N54" s="6">
        <f t="shared" si="208"/>
        <v>0</v>
      </c>
      <c r="O54" s="6">
        <f t="shared" si="208"/>
        <v>0</v>
      </c>
      <c r="P54" s="6">
        <f t="shared" si="208"/>
        <v>0</v>
      </c>
      <c r="Q54" s="6">
        <f t="shared" si="208"/>
        <v>0</v>
      </c>
      <c r="R54" s="6">
        <f t="shared" si="208"/>
        <v>0</v>
      </c>
      <c r="S54" s="6">
        <f t="shared" si="208"/>
        <v>0</v>
      </c>
      <c r="T54" s="6">
        <f t="shared" ref="T54:W54" si="209">T55+T56+T57</f>
        <v>0</v>
      </c>
      <c r="U54" s="6">
        <f>U55+U56+U57</f>
        <v>0</v>
      </c>
      <c r="V54" s="6">
        <f>V55+V56+V57</f>
        <v>0</v>
      </c>
      <c r="W54" s="6">
        <f t="shared" si="209"/>
        <v>0</v>
      </c>
      <c r="X54" s="6">
        <f t="shared" si="207"/>
        <v>0</v>
      </c>
      <c r="Y54" s="6">
        <f>Y55+Y56+Y57</f>
        <v>0</v>
      </c>
      <c r="Z54" s="6">
        <f t="shared" ref="Z54" si="210">Z55+Z56+Z57</f>
        <v>0</v>
      </c>
      <c r="AA54" s="6">
        <f>AA55+AA56+AA57</f>
        <v>0</v>
      </c>
      <c r="AB54" s="6">
        <f t="shared" ref="AB54" si="211">AB55+AB56+AB57</f>
        <v>0</v>
      </c>
      <c r="AC54" s="6">
        <f t="shared" si="207"/>
        <v>0</v>
      </c>
      <c r="AD54" s="6">
        <f t="shared" si="207"/>
        <v>0</v>
      </c>
      <c r="AE54" s="6">
        <f t="shared" si="207"/>
        <v>0</v>
      </c>
      <c r="AF54" s="6">
        <f t="shared" si="207"/>
        <v>0</v>
      </c>
      <c r="AG54" s="6">
        <f t="shared" ref="AG54" si="212">AG55+AG56+AG57</f>
        <v>0</v>
      </c>
      <c r="AH54" s="6">
        <f t="shared" ref="AH54:AO54" si="213">AH55+AH56+AH57</f>
        <v>0</v>
      </c>
      <c r="AI54" s="6">
        <f t="shared" si="213"/>
        <v>0</v>
      </c>
      <c r="AJ54" s="6">
        <f t="shared" si="213"/>
        <v>0</v>
      </c>
      <c r="AK54" s="6">
        <f t="shared" si="213"/>
        <v>0</v>
      </c>
      <c r="AL54" s="6">
        <f t="shared" si="213"/>
        <v>0</v>
      </c>
      <c r="AM54" s="6">
        <f t="shared" si="213"/>
        <v>0</v>
      </c>
      <c r="AN54" s="6">
        <f t="shared" si="213"/>
        <v>0</v>
      </c>
      <c r="AO54" s="6">
        <f t="shared" si="213"/>
        <v>0</v>
      </c>
      <c r="AP54" s="197">
        <f t="shared" ref="AP54:BR54" si="214">AP55+AP56+AP57</f>
        <v>710749</v>
      </c>
      <c r="AQ54" s="6">
        <f t="shared" si="214"/>
        <v>0</v>
      </c>
      <c r="AR54" s="6">
        <f t="shared" ref="AR54:AW54" si="215">AR55+AR56+AR57</f>
        <v>0</v>
      </c>
      <c r="AS54" s="6">
        <f t="shared" si="215"/>
        <v>0</v>
      </c>
      <c r="AT54" s="6">
        <f t="shared" si="215"/>
        <v>0</v>
      </c>
      <c r="AU54" s="6">
        <f t="shared" si="215"/>
        <v>0</v>
      </c>
      <c r="AV54" s="6">
        <f t="shared" ref="AV54" si="216">AV55+AV56+AV57</f>
        <v>0</v>
      </c>
      <c r="AW54" s="6">
        <f t="shared" si="215"/>
        <v>0</v>
      </c>
      <c r="AX54" s="6">
        <f t="shared" ref="AX54:AY54" si="217">AX55+AX56+AX57</f>
        <v>0</v>
      </c>
      <c r="AY54" s="6">
        <f t="shared" si="217"/>
        <v>0</v>
      </c>
      <c r="AZ54" s="197">
        <f t="shared" si="214"/>
        <v>0</v>
      </c>
      <c r="BA54" s="6">
        <f t="shared" si="214"/>
        <v>0</v>
      </c>
      <c r="BB54" s="6">
        <f t="shared" ref="BB54:BN54" si="218">BB55+BB56+BB57</f>
        <v>0</v>
      </c>
      <c r="BC54" s="6">
        <f t="shared" si="218"/>
        <v>0</v>
      </c>
      <c r="BD54" s="6">
        <f t="shared" si="218"/>
        <v>0</v>
      </c>
      <c r="BE54" s="6">
        <f t="shared" ref="BE54" si="219">BE55+BE56+BE57</f>
        <v>0</v>
      </c>
      <c r="BF54" s="6">
        <f t="shared" si="218"/>
        <v>0</v>
      </c>
      <c r="BG54" s="6">
        <f t="shared" si="218"/>
        <v>0</v>
      </c>
      <c r="BH54" s="6">
        <f t="shared" si="218"/>
        <v>0</v>
      </c>
      <c r="BI54" s="6">
        <f t="shared" si="218"/>
        <v>0</v>
      </c>
      <c r="BJ54" s="6">
        <f t="shared" si="218"/>
        <v>0</v>
      </c>
      <c r="BK54" s="6">
        <f t="shared" si="218"/>
        <v>0</v>
      </c>
      <c r="BL54" s="6">
        <f t="shared" si="218"/>
        <v>0</v>
      </c>
      <c r="BM54" s="6">
        <f t="shared" si="218"/>
        <v>0</v>
      </c>
      <c r="BN54" s="6">
        <f t="shared" si="218"/>
        <v>0</v>
      </c>
      <c r="BO54" s="6">
        <f t="shared" si="214"/>
        <v>0</v>
      </c>
      <c r="BP54" s="6">
        <f t="shared" si="214"/>
        <v>0</v>
      </c>
      <c r="BQ54" s="6">
        <f t="shared" si="214"/>
        <v>0</v>
      </c>
      <c r="BR54" s="6">
        <f t="shared" si="214"/>
        <v>0</v>
      </c>
      <c r="BS54" s="6">
        <f>BS55+BS56+BS57</f>
        <v>0</v>
      </c>
      <c r="BT54" s="213">
        <f>BT55+BT56+BT57</f>
        <v>710749</v>
      </c>
    </row>
    <row r="55" spans="1:72" s="13" customFormat="1" x14ac:dyDescent="0.25">
      <c r="A55" s="218" t="s">
        <v>381</v>
      </c>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196">
        <f>SUM(B55:AO55)</f>
        <v>0</v>
      </c>
      <c r="AQ55" s="7"/>
      <c r="AR55" s="7"/>
      <c r="AS55" s="7"/>
      <c r="AT55" s="7"/>
      <c r="AU55" s="7"/>
      <c r="AV55" s="7"/>
      <c r="AW55" s="7"/>
      <c r="AX55" s="7"/>
      <c r="AY55" s="7"/>
      <c r="AZ55" s="196">
        <f>SUM(AQ55:AY55)</f>
        <v>0</v>
      </c>
      <c r="BA55" s="7"/>
      <c r="BB55" s="7"/>
      <c r="BC55" s="7"/>
      <c r="BD55" s="7"/>
      <c r="BE55" s="7"/>
      <c r="BF55" s="7"/>
      <c r="BG55" s="7"/>
      <c r="BH55" s="7"/>
      <c r="BI55" s="7"/>
      <c r="BJ55" s="7"/>
      <c r="BK55" s="7"/>
      <c r="BL55" s="7"/>
      <c r="BM55" s="7"/>
      <c r="BN55" s="7"/>
      <c r="BO55" s="8">
        <f>SUM(BA55:BN55)</f>
        <v>0</v>
      </c>
      <c r="BP55" s="7"/>
      <c r="BQ55" s="7"/>
      <c r="BR55" s="7"/>
      <c r="BS55" s="11">
        <f>BO55+BP55+BQ55+BR55</f>
        <v>0</v>
      </c>
      <c r="BT55" s="211">
        <f>AP55+AZ55+BS55</f>
        <v>0</v>
      </c>
    </row>
    <row r="56" spans="1:72" s="13" customFormat="1" x14ac:dyDescent="0.25">
      <c r="A56" s="218" t="s">
        <v>382</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196">
        <f>SUM(B56:AO56)</f>
        <v>0</v>
      </c>
      <c r="AQ56" s="7"/>
      <c r="AR56" s="7"/>
      <c r="AS56" s="7"/>
      <c r="AT56" s="7"/>
      <c r="AU56" s="7"/>
      <c r="AV56" s="7"/>
      <c r="AW56" s="7"/>
      <c r="AX56" s="7"/>
      <c r="AY56" s="7"/>
      <c r="AZ56" s="196">
        <f>SUM(AQ56:AY56)</f>
        <v>0</v>
      </c>
      <c r="BA56" s="7"/>
      <c r="BB56" s="7"/>
      <c r="BC56" s="7"/>
      <c r="BD56" s="7"/>
      <c r="BE56" s="7"/>
      <c r="BF56" s="7"/>
      <c r="BG56" s="7"/>
      <c r="BH56" s="7"/>
      <c r="BI56" s="7"/>
      <c r="BJ56" s="7"/>
      <c r="BK56" s="7"/>
      <c r="BL56" s="7"/>
      <c r="BM56" s="7"/>
      <c r="BN56" s="7"/>
      <c r="BO56" s="8">
        <f>SUM(BA56:BN56)</f>
        <v>0</v>
      </c>
      <c r="BP56" s="7"/>
      <c r="BQ56" s="7"/>
      <c r="BR56" s="7"/>
      <c r="BS56" s="11">
        <f>BO56+BP56+BQ56+BR56</f>
        <v>0</v>
      </c>
      <c r="BT56" s="211">
        <f>AP56+AZ56+BS56</f>
        <v>0</v>
      </c>
    </row>
    <row r="57" spans="1:72" x14ac:dyDescent="0.25">
      <c r="A57" s="220" t="s">
        <v>383</v>
      </c>
      <c r="B57" s="7"/>
      <c r="C57" s="7"/>
      <c r="D57" s="7"/>
      <c r="E57" s="7"/>
      <c r="F57" s="7"/>
      <c r="G57" s="7"/>
      <c r="H57" s="7"/>
      <c r="I57" s="7"/>
      <c r="J57" s="7">
        <f>AZ63+BS63</f>
        <v>710749</v>
      </c>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196">
        <f>SUM(B57:AO57)</f>
        <v>710749</v>
      </c>
      <c r="AQ57" s="7"/>
      <c r="AR57" s="7"/>
      <c r="AS57" s="7"/>
      <c r="AT57" s="7"/>
      <c r="AU57" s="7"/>
      <c r="AV57" s="7"/>
      <c r="AW57" s="7"/>
      <c r="AX57" s="7"/>
      <c r="AY57" s="7"/>
      <c r="AZ57" s="196">
        <f>SUM(AQ57:AY57)</f>
        <v>0</v>
      </c>
      <c r="BA57" s="7"/>
      <c r="BB57" s="7"/>
      <c r="BC57" s="7"/>
      <c r="BD57" s="7"/>
      <c r="BE57" s="7"/>
      <c r="BF57" s="7"/>
      <c r="BG57" s="7"/>
      <c r="BH57" s="7"/>
      <c r="BI57" s="7"/>
      <c r="BJ57" s="7"/>
      <c r="BK57" s="7"/>
      <c r="BL57" s="7"/>
      <c r="BM57" s="7"/>
      <c r="BN57" s="7"/>
      <c r="BO57" s="8">
        <f>SUM(BA57:BN57)</f>
        <v>0</v>
      </c>
      <c r="BP57" s="7"/>
      <c r="BQ57" s="7"/>
      <c r="BR57" s="7"/>
      <c r="BS57" s="11">
        <f>BO57+BP57+BQ57+BR57</f>
        <v>0</v>
      </c>
      <c r="BT57" s="211">
        <f>AP57+AZ57+BS57</f>
        <v>710749</v>
      </c>
    </row>
    <row r="58" spans="1:72" s="13" customFormat="1" x14ac:dyDescent="0.25">
      <c r="A58" s="219" t="s">
        <v>384</v>
      </c>
      <c r="B58" s="6">
        <f>B59+B60</f>
        <v>0</v>
      </c>
      <c r="C58" s="6">
        <f>C59+C60</f>
        <v>0</v>
      </c>
      <c r="D58" s="6">
        <f>D59+D60</f>
        <v>0</v>
      </c>
      <c r="E58" s="6">
        <f>E59+E60</f>
        <v>0</v>
      </c>
      <c r="F58" s="6">
        <f>F59+F60</f>
        <v>0</v>
      </c>
      <c r="G58" s="6">
        <f t="shared" ref="G58:AF58" si="220">G59+G60</f>
        <v>0</v>
      </c>
      <c r="H58" s="6">
        <f t="shared" si="220"/>
        <v>0</v>
      </c>
      <c r="I58" s="6">
        <f t="shared" si="220"/>
        <v>0</v>
      </c>
      <c r="J58" s="6">
        <f t="shared" si="220"/>
        <v>1874</v>
      </c>
      <c r="K58" s="6">
        <f t="shared" si="220"/>
        <v>0</v>
      </c>
      <c r="L58" s="6">
        <f t="shared" ref="L58:S58" si="221">L59+L60</f>
        <v>0</v>
      </c>
      <c r="M58" s="6">
        <f t="shared" si="221"/>
        <v>0</v>
      </c>
      <c r="N58" s="6">
        <f t="shared" si="221"/>
        <v>0</v>
      </c>
      <c r="O58" s="6">
        <f t="shared" si="221"/>
        <v>0</v>
      </c>
      <c r="P58" s="6">
        <f t="shared" si="221"/>
        <v>0</v>
      </c>
      <c r="Q58" s="6">
        <f t="shared" si="221"/>
        <v>0</v>
      </c>
      <c r="R58" s="6">
        <f t="shared" si="221"/>
        <v>0</v>
      </c>
      <c r="S58" s="6">
        <f t="shared" si="221"/>
        <v>0</v>
      </c>
      <c r="T58" s="6">
        <f t="shared" ref="T58:W58" si="222">T59+T60</f>
        <v>0</v>
      </c>
      <c r="U58" s="6">
        <f>U59+U60</f>
        <v>0</v>
      </c>
      <c r="V58" s="6">
        <f>V59+V60</f>
        <v>0</v>
      </c>
      <c r="W58" s="6">
        <f t="shared" si="222"/>
        <v>0</v>
      </c>
      <c r="X58" s="6">
        <f t="shared" si="220"/>
        <v>0</v>
      </c>
      <c r="Y58" s="6">
        <f>Y59+Y60</f>
        <v>0</v>
      </c>
      <c r="Z58" s="6">
        <f t="shared" ref="Z58" si="223">Z59+Z60</f>
        <v>0</v>
      </c>
      <c r="AA58" s="6">
        <f>AA59+AA60</f>
        <v>0</v>
      </c>
      <c r="AB58" s="6">
        <f t="shared" ref="AB58" si="224">AB59+AB60</f>
        <v>0</v>
      </c>
      <c r="AC58" s="6">
        <f t="shared" si="220"/>
        <v>0</v>
      </c>
      <c r="AD58" s="6">
        <f t="shared" si="220"/>
        <v>0</v>
      </c>
      <c r="AE58" s="6">
        <f t="shared" si="220"/>
        <v>0</v>
      </c>
      <c r="AF58" s="6">
        <f t="shared" si="220"/>
        <v>0</v>
      </c>
      <c r="AG58" s="6">
        <f t="shared" ref="AG58" si="225">AG59+AG60</f>
        <v>0</v>
      </c>
      <c r="AH58" s="6">
        <f t="shared" ref="AH58:AO58" si="226">AH59+AH60</f>
        <v>0</v>
      </c>
      <c r="AI58" s="6">
        <f t="shared" si="226"/>
        <v>0</v>
      </c>
      <c r="AJ58" s="6">
        <f t="shared" si="226"/>
        <v>0</v>
      </c>
      <c r="AK58" s="6">
        <f t="shared" si="226"/>
        <v>0</v>
      </c>
      <c r="AL58" s="6">
        <f t="shared" si="226"/>
        <v>0</v>
      </c>
      <c r="AM58" s="6">
        <f t="shared" si="226"/>
        <v>0</v>
      </c>
      <c r="AN58" s="6">
        <f t="shared" si="226"/>
        <v>0</v>
      </c>
      <c r="AO58" s="6">
        <f t="shared" si="226"/>
        <v>0</v>
      </c>
      <c r="AP58" s="197">
        <f t="shared" ref="AP58:BR58" si="227">AP59+AP60</f>
        <v>1874</v>
      </c>
      <c r="AQ58" s="6">
        <f t="shared" si="227"/>
        <v>0</v>
      </c>
      <c r="AR58" s="6">
        <f t="shared" ref="AR58:AW58" si="228">AR59+AR60</f>
        <v>0</v>
      </c>
      <c r="AS58" s="6">
        <f t="shared" si="228"/>
        <v>0</v>
      </c>
      <c r="AT58" s="6">
        <f t="shared" si="228"/>
        <v>0</v>
      </c>
      <c r="AU58" s="6">
        <f t="shared" si="228"/>
        <v>0</v>
      </c>
      <c r="AV58" s="6">
        <f t="shared" ref="AV58" si="229">AV59+AV60</f>
        <v>0</v>
      </c>
      <c r="AW58" s="6">
        <f t="shared" si="228"/>
        <v>0</v>
      </c>
      <c r="AX58" s="6">
        <f t="shared" ref="AX58:AY58" si="230">AX59+AX60</f>
        <v>0</v>
      </c>
      <c r="AY58" s="6">
        <f t="shared" si="230"/>
        <v>0</v>
      </c>
      <c r="AZ58" s="197">
        <f t="shared" si="227"/>
        <v>0</v>
      </c>
      <c r="BA58" s="6">
        <f t="shared" si="227"/>
        <v>0</v>
      </c>
      <c r="BB58" s="6">
        <f t="shared" ref="BB58:BN58" si="231">BB59+BB60</f>
        <v>0</v>
      </c>
      <c r="BC58" s="6">
        <f t="shared" si="231"/>
        <v>0</v>
      </c>
      <c r="BD58" s="6">
        <f t="shared" si="231"/>
        <v>0</v>
      </c>
      <c r="BE58" s="6">
        <f t="shared" ref="BE58" si="232">BE59+BE60</f>
        <v>0</v>
      </c>
      <c r="BF58" s="6">
        <f t="shared" si="231"/>
        <v>0</v>
      </c>
      <c r="BG58" s="6">
        <f t="shared" si="231"/>
        <v>0</v>
      </c>
      <c r="BH58" s="6">
        <f t="shared" si="231"/>
        <v>0</v>
      </c>
      <c r="BI58" s="6">
        <f t="shared" si="231"/>
        <v>0</v>
      </c>
      <c r="BJ58" s="6">
        <f t="shared" si="231"/>
        <v>0</v>
      </c>
      <c r="BK58" s="6">
        <f t="shared" si="231"/>
        <v>0</v>
      </c>
      <c r="BL58" s="6">
        <f t="shared" si="231"/>
        <v>0</v>
      </c>
      <c r="BM58" s="6">
        <f t="shared" si="231"/>
        <v>0</v>
      </c>
      <c r="BN58" s="6">
        <f t="shared" si="231"/>
        <v>0</v>
      </c>
      <c r="BO58" s="6">
        <f t="shared" si="227"/>
        <v>0</v>
      </c>
      <c r="BP58" s="6">
        <f t="shared" si="227"/>
        <v>0</v>
      </c>
      <c r="BQ58" s="6">
        <f t="shared" si="227"/>
        <v>0</v>
      </c>
      <c r="BR58" s="6">
        <f t="shared" si="227"/>
        <v>0</v>
      </c>
      <c r="BS58" s="6">
        <f>BS59+BS60</f>
        <v>0</v>
      </c>
      <c r="BT58" s="213">
        <f>BT59+BT60</f>
        <v>1874</v>
      </c>
    </row>
    <row r="59" spans="1:72" x14ac:dyDescent="0.25">
      <c r="A59" s="220" t="s">
        <v>385</v>
      </c>
      <c r="B59" s="7"/>
      <c r="C59" s="7"/>
      <c r="D59" s="7"/>
      <c r="E59" s="7"/>
      <c r="F59" s="7"/>
      <c r="G59" s="7"/>
      <c r="H59" s="7"/>
      <c r="I59" s="7"/>
      <c r="J59" s="7">
        <f>AZ68+BS68</f>
        <v>1874</v>
      </c>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196">
        <f>SUM(B59:AO59)</f>
        <v>1874</v>
      </c>
      <c r="AQ59" s="7"/>
      <c r="AR59" s="7"/>
      <c r="AS59" s="7"/>
      <c r="AT59" s="7"/>
      <c r="AU59" s="7"/>
      <c r="AV59" s="7"/>
      <c r="AW59" s="7"/>
      <c r="AX59" s="7"/>
      <c r="AY59" s="7"/>
      <c r="AZ59" s="196">
        <f>SUM(AQ59:AY59)</f>
        <v>0</v>
      </c>
      <c r="BA59" s="7"/>
      <c r="BB59" s="7"/>
      <c r="BC59" s="7"/>
      <c r="BD59" s="7"/>
      <c r="BE59" s="7"/>
      <c r="BF59" s="7"/>
      <c r="BG59" s="7"/>
      <c r="BH59" s="7"/>
      <c r="BI59" s="7"/>
      <c r="BJ59" s="7"/>
      <c r="BK59" s="7"/>
      <c r="BL59" s="7"/>
      <c r="BM59" s="7"/>
      <c r="BN59" s="7"/>
      <c r="BO59" s="8">
        <f>SUM(BA59:BN59)</f>
        <v>0</v>
      </c>
      <c r="BP59" s="7"/>
      <c r="BQ59" s="7"/>
      <c r="BR59" s="7"/>
      <c r="BS59" s="11">
        <f>BO59+BP59+BQ59+BR59</f>
        <v>0</v>
      </c>
      <c r="BT59" s="211">
        <f>AP59+AZ59+BS59</f>
        <v>1874</v>
      </c>
    </row>
    <row r="60" spans="1:72" x14ac:dyDescent="0.25">
      <c r="A60" s="218" t="s">
        <v>386</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196">
        <f>SUM(B60:AO60)</f>
        <v>0</v>
      </c>
      <c r="AQ60" s="7"/>
      <c r="AR60" s="7"/>
      <c r="AS60" s="7"/>
      <c r="AT60" s="7"/>
      <c r="AU60" s="7"/>
      <c r="AV60" s="7"/>
      <c r="AW60" s="7"/>
      <c r="AX60" s="7"/>
      <c r="AY60" s="7"/>
      <c r="AZ60" s="196">
        <f>SUM(AQ60:AY60)</f>
        <v>0</v>
      </c>
      <c r="BA60" s="7"/>
      <c r="BB60" s="7"/>
      <c r="BC60" s="7"/>
      <c r="BD60" s="7"/>
      <c r="BE60" s="7"/>
      <c r="BF60" s="7"/>
      <c r="BG60" s="7"/>
      <c r="BH60" s="7"/>
      <c r="BI60" s="7"/>
      <c r="BJ60" s="7"/>
      <c r="BK60" s="7"/>
      <c r="BL60" s="7"/>
      <c r="BM60" s="7"/>
      <c r="BN60" s="7"/>
      <c r="BO60" s="8">
        <f>SUM(BA60:BN60)</f>
        <v>0</v>
      </c>
      <c r="BP60" s="7"/>
      <c r="BQ60" s="7"/>
      <c r="BR60" s="7"/>
      <c r="BS60" s="11">
        <f>BO60+BP60+BQ60+BR60</f>
        <v>0</v>
      </c>
      <c r="BT60" s="211">
        <f>AP60+AZ60+BS60</f>
        <v>0</v>
      </c>
    </row>
    <row r="61" spans="1:72" s="13" customFormat="1" x14ac:dyDescent="0.25">
      <c r="A61" s="219" t="s">
        <v>387</v>
      </c>
      <c r="B61" s="6">
        <f>B62+B67</f>
        <v>0</v>
      </c>
      <c r="C61" s="6">
        <f>C62+C67</f>
        <v>0</v>
      </c>
      <c r="D61" s="6">
        <f>D62+D67</f>
        <v>0</v>
      </c>
      <c r="E61" s="6">
        <f>E62+E67</f>
        <v>0</v>
      </c>
      <c r="F61" s="6">
        <f>F62+F67</f>
        <v>0</v>
      </c>
      <c r="G61" s="6">
        <f t="shared" ref="G61:AF61" si="233">G62+G67</f>
        <v>0</v>
      </c>
      <c r="H61" s="6">
        <f t="shared" si="233"/>
        <v>0</v>
      </c>
      <c r="I61" s="6">
        <f t="shared" si="233"/>
        <v>0</v>
      </c>
      <c r="J61" s="6">
        <f t="shared" si="233"/>
        <v>0</v>
      </c>
      <c r="K61" s="6">
        <f t="shared" si="233"/>
        <v>4566684</v>
      </c>
      <c r="L61" s="6">
        <f t="shared" ref="L61:S61" si="234">L62+L67</f>
        <v>0</v>
      </c>
      <c r="M61" s="6">
        <f t="shared" si="234"/>
        <v>0</v>
      </c>
      <c r="N61" s="6">
        <f t="shared" si="234"/>
        <v>0</v>
      </c>
      <c r="O61" s="6">
        <f t="shared" si="234"/>
        <v>0</v>
      </c>
      <c r="P61" s="6">
        <f t="shared" si="234"/>
        <v>0</v>
      </c>
      <c r="Q61" s="6">
        <f t="shared" si="234"/>
        <v>0</v>
      </c>
      <c r="R61" s="6">
        <f t="shared" si="234"/>
        <v>0</v>
      </c>
      <c r="S61" s="6">
        <f t="shared" si="234"/>
        <v>0</v>
      </c>
      <c r="T61" s="6">
        <f t="shared" ref="T61:W61" si="235">T62+T67</f>
        <v>0</v>
      </c>
      <c r="U61" s="6">
        <f>U62+U67</f>
        <v>0</v>
      </c>
      <c r="V61" s="6">
        <f>V62+V67</f>
        <v>0</v>
      </c>
      <c r="W61" s="6">
        <f t="shared" si="235"/>
        <v>0</v>
      </c>
      <c r="X61" s="6">
        <f t="shared" si="233"/>
        <v>0</v>
      </c>
      <c r="Y61" s="6">
        <f>Y62+Y67</f>
        <v>0</v>
      </c>
      <c r="Z61" s="6">
        <f t="shared" ref="Z61" si="236">Z62+Z67</f>
        <v>0</v>
      </c>
      <c r="AA61" s="6">
        <f>AA62+AA67</f>
        <v>0</v>
      </c>
      <c r="AB61" s="6">
        <f t="shared" ref="AB61" si="237">AB62+AB67</f>
        <v>0</v>
      </c>
      <c r="AC61" s="6">
        <f t="shared" si="233"/>
        <v>0</v>
      </c>
      <c r="AD61" s="6">
        <f t="shared" si="233"/>
        <v>0</v>
      </c>
      <c r="AE61" s="6">
        <f t="shared" si="233"/>
        <v>0</v>
      </c>
      <c r="AF61" s="6">
        <f t="shared" si="233"/>
        <v>0</v>
      </c>
      <c r="AG61" s="6">
        <f t="shared" ref="AG61" si="238">AG62+AG67</f>
        <v>0</v>
      </c>
      <c r="AH61" s="6">
        <f t="shared" ref="AH61:AO61" si="239">AH62+AH67</f>
        <v>0</v>
      </c>
      <c r="AI61" s="6">
        <f t="shared" si="239"/>
        <v>0</v>
      </c>
      <c r="AJ61" s="6">
        <f t="shared" si="239"/>
        <v>0</v>
      </c>
      <c r="AK61" s="6">
        <f t="shared" si="239"/>
        <v>0</v>
      </c>
      <c r="AL61" s="6">
        <f t="shared" si="239"/>
        <v>0</v>
      </c>
      <c r="AM61" s="6">
        <f t="shared" si="239"/>
        <v>0</v>
      </c>
      <c r="AN61" s="6">
        <f t="shared" si="239"/>
        <v>0</v>
      </c>
      <c r="AO61" s="6">
        <f t="shared" si="239"/>
        <v>0</v>
      </c>
      <c r="AP61" s="197">
        <f t="shared" ref="AP61:BR61" si="240">AP62+AP67</f>
        <v>4566684</v>
      </c>
      <c r="AQ61" s="6">
        <f t="shared" si="240"/>
        <v>0</v>
      </c>
      <c r="AR61" s="6">
        <f t="shared" ref="AR61:AW61" si="241">AR62+AR67</f>
        <v>0</v>
      </c>
      <c r="AS61" s="6">
        <f t="shared" si="241"/>
        <v>0</v>
      </c>
      <c r="AT61" s="6">
        <f t="shared" si="241"/>
        <v>11823</v>
      </c>
      <c r="AU61" s="6">
        <f t="shared" si="241"/>
        <v>0</v>
      </c>
      <c r="AV61" s="6">
        <f t="shared" ref="AV61" si="242">AV62+AV67</f>
        <v>20293</v>
      </c>
      <c r="AW61" s="6">
        <f t="shared" si="241"/>
        <v>0</v>
      </c>
      <c r="AX61" s="6">
        <f t="shared" ref="AX61:AY61" si="243">AX62+AX67</f>
        <v>33954</v>
      </c>
      <c r="AY61" s="6">
        <f t="shared" si="243"/>
        <v>28485</v>
      </c>
      <c r="AZ61" s="197">
        <f t="shared" si="240"/>
        <v>94555</v>
      </c>
      <c r="BA61" s="6">
        <f t="shared" si="240"/>
        <v>67134</v>
      </c>
      <c r="BB61" s="6">
        <f t="shared" ref="BB61:BN61" si="244">BB62+BB67</f>
        <v>13294</v>
      </c>
      <c r="BC61" s="6">
        <f t="shared" si="244"/>
        <v>8438</v>
      </c>
      <c r="BD61" s="6">
        <f t="shared" si="244"/>
        <v>450485</v>
      </c>
      <c r="BE61" s="6">
        <f t="shared" ref="BE61" si="245">BE62+BE67</f>
        <v>6675</v>
      </c>
      <c r="BF61" s="6">
        <f t="shared" si="244"/>
        <v>16498</v>
      </c>
      <c r="BG61" s="6">
        <f t="shared" si="244"/>
        <v>22600</v>
      </c>
      <c r="BH61" s="6">
        <f t="shared" si="244"/>
        <v>22698</v>
      </c>
      <c r="BI61" s="6">
        <f t="shared" si="244"/>
        <v>19750</v>
      </c>
      <c r="BJ61" s="6">
        <f t="shared" si="244"/>
        <v>10705</v>
      </c>
      <c r="BK61" s="6">
        <f t="shared" si="244"/>
        <v>20276</v>
      </c>
      <c r="BL61" s="6">
        <f t="shared" si="244"/>
        <v>4802</v>
      </c>
      <c r="BM61" s="6">
        <f t="shared" si="244"/>
        <v>5343</v>
      </c>
      <c r="BN61" s="6">
        <f t="shared" si="244"/>
        <v>13755</v>
      </c>
      <c r="BO61" s="6">
        <f t="shared" si="240"/>
        <v>682453</v>
      </c>
      <c r="BP61" s="6">
        <f t="shared" si="240"/>
        <v>111377</v>
      </c>
      <c r="BQ61" s="6">
        <f t="shared" si="240"/>
        <v>46070</v>
      </c>
      <c r="BR61" s="6">
        <f t="shared" si="240"/>
        <v>127435</v>
      </c>
      <c r="BS61" s="6">
        <f>BS62+BS67</f>
        <v>967335</v>
      </c>
      <c r="BT61" s="213">
        <f>BT62+BT67</f>
        <v>5628574</v>
      </c>
    </row>
    <row r="62" spans="1:72" s="13" customFormat="1" x14ac:dyDescent="0.25">
      <c r="A62" s="219" t="s">
        <v>388</v>
      </c>
      <c r="B62" s="6">
        <f>B63+B64+B65+B66</f>
        <v>0</v>
      </c>
      <c r="C62" s="6">
        <f>C63+C64+C65+C66</f>
        <v>0</v>
      </c>
      <c r="D62" s="6">
        <f>D63+D64+D65+D66</f>
        <v>0</v>
      </c>
      <c r="E62" s="6">
        <f>E63+E64+E65+E66</f>
        <v>0</v>
      </c>
      <c r="F62" s="6">
        <f>F63+F64+F65+F66</f>
        <v>0</v>
      </c>
      <c r="G62" s="6">
        <f t="shared" ref="G62:AF62" si="246">G63+G64+G65+G66</f>
        <v>0</v>
      </c>
      <c r="H62" s="6">
        <f t="shared" si="246"/>
        <v>0</v>
      </c>
      <c r="I62" s="6">
        <f t="shared" si="246"/>
        <v>0</v>
      </c>
      <c r="J62" s="6">
        <f t="shared" si="246"/>
        <v>0</v>
      </c>
      <c r="K62" s="6">
        <f t="shared" si="246"/>
        <v>167891</v>
      </c>
      <c r="L62" s="6">
        <f t="shared" ref="L62:S62" si="247">L63+L64+L65+L66</f>
        <v>0</v>
      </c>
      <c r="M62" s="6">
        <f t="shared" si="247"/>
        <v>0</v>
      </c>
      <c r="N62" s="6">
        <f t="shared" si="247"/>
        <v>0</v>
      </c>
      <c r="O62" s="6">
        <f t="shared" si="247"/>
        <v>0</v>
      </c>
      <c r="P62" s="6">
        <f t="shared" si="247"/>
        <v>0</v>
      </c>
      <c r="Q62" s="6">
        <f t="shared" si="247"/>
        <v>0</v>
      </c>
      <c r="R62" s="6">
        <f t="shared" si="247"/>
        <v>0</v>
      </c>
      <c r="S62" s="6">
        <f t="shared" si="247"/>
        <v>0</v>
      </c>
      <c r="T62" s="6">
        <f t="shared" ref="T62:W62" si="248">T63+T64+T65+T66</f>
        <v>0</v>
      </c>
      <c r="U62" s="6">
        <f>U63+U64+U65+U66</f>
        <v>0</v>
      </c>
      <c r="V62" s="6">
        <f>V63+V64+V65+V66</f>
        <v>0</v>
      </c>
      <c r="W62" s="6">
        <f t="shared" si="248"/>
        <v>0</v>
      </c>
      <c r="X62" s="6">
        <f t="shared" si="246"/>
        <v>0</v>
      </c>
      <c r="Y62" s="6">
        <f>Y63+Y64+Y65+Y66</f>
        <v>0</v>
      </c>
      <c r="Z62" s="6">
        <f t="shared" ref="Z62" si="249">Z63+Z64+Z65+Z66</f>
        <v>0</v>
      </c>
      <c r="AA62" s="6">
        <f>AA63+AA64+AA65+AA66</f>
        <v>0</v>
      </c>
      <c r="AB62" s="6">
        <f t="shared" ref="AB62" si="250">AB63+AB64+AB65+AB66</f>
        <v>0</v>
      </c>
      <c r="AC62" s="6">
        <f t="shared" si="246"/>
        <v>0</v>
      </c>
      <c r="AD62" s="6">
        <f t="shared" si="246"/>
        <v>0</v>
      </c>
      <c r="AE62" s="6">
        <f t="shared" si="246"/>
        <v>0</v>
      </c>
      <c r="AF62" s="6">
        <f t="shared" si="246"/>
        <v>0</v>
      </c>
      <c r="AG62" s="6">
        <f t="shared" ref="AG62" si="251">AG63+AG64+AG65+AG66</f>
        <v>0</v>
      </c>
      <c r="AH62" s="6">
        <f t="shared" ref="AH62:AO62" si="252">AH63+AH64+AH65+AH66</f>
        <v>0</v>
      </c>
      <c r="AI62" s="6">
        <f t="shared" si="252"/>
        <v>0</v>
      </c>
      <c r="AJ62" s="6">
        <f t="shared" si="252"/>
        <v>0</v>
      </c>
      <c r="AK62" s="6">
        <f t="shared" si="252"/>
        <v>0</v>
      </c>
      <c r="AL62" s="6">
        <f t="shared" si="252"/>
        <v>0</v>
      </c>
      <c r="AM62" s="6">
        <f t="shared" si="252"/>
        <v>0</v>
      </c>
      <c r="AN62" s="6">
        <f t="shared" si="252"/>
        <v>0</v>
      </c>
      <c r="AO62" s="6">
        <f t="shared" si="252"/>
        <v>0</v>
      </c>
      <c r="AP62" s="197">
        <f t="shared" ref="AP62:BR62" si="253">AP63+AP64+AP65+AP66</f>
        <v>167891</v>
      </c>
      <c r="AQ62" s="6">
        <f t="shared" si="253"/>
        <v>0</v>
      </c>
      <c r="AR62" s="6">
        <f t="shared" ref="AR62:AW62" si="254">AR63+AR64+AR65+AR66</f>
        <v>0</v>
      </c>
      <c r="AS62" s="6">
        <f t="shared" si="254"/>
        <v>0</v>
      </c>
      <c r="AT62" s="6">
        <f t="shared" si="254"/>
        <v>11823</v>
      </c>
      <c r="AU62" s="6">
        <f t="shared" si="254"/>
        <v>0</v>
      </c>
      <c r="AV62" s="6">
        <f t="shared" ref="AV62" si="255">AV63+AV64+AV65+AV66</f>
        <v>20293</v>
      </c>
      <c r="AW62" s="6">
        <f t="shared" si="254"/>
        <v>0</v>
      </c>
      <c r="AX62" s="6">
        <f t="shared" ref="AX62:AY62" si="256">AX63+AX64+AX65+AX66</f>
        <v>33954</v>
      </c>
      <c r="AY62" s="6">
        <f t="shared" si="256"/>
        <v>28485</v>
      </c>
      <c r="AZ62" s="197">
        <f t="shared" si="253"/>
        <v>94555</v>
      </c>
      <c r="BA62" s="6">
        <f t="shared" si="253"/>
        <v>66834</v>
      </c>
      <c r="BB62" s="6">
        <f t="shared" ref="BB62:BN62" si="257">BB63+BB64+BB65+BB66</f>
        <v>13294</v>
      </c>
      <c r="BC62" s="6">
        <f t="shared" si="257"/>
        <v>8438</v>
      </c>
      <c r="BD62" s="6">
        <f t="shared" si="257"/>
        <v>400485</v>
      </c>
      <c r="BE62" s="6">
        <f t="shared" ref="BE62" si="258">BE63+BE64+BE65+BE66</f>
        <v>6675</v>
      </c>
      <c r="BF62" s="6">
        <f t="shared" si="257"/>
        <v>16498</v>
      </c>
      <c r="BG62" s="6">
        <f t="shared" si="257"/>
        <v>22600</v>
      </c>
      <c r="BH62" s="6">
        <f t="shared" si="257"/>
        <v>22698</v>
      </c>
      <c r="BI62" s="6">
        <f t="shared" si="257"/>
        <v>19750</v>
      </c>
      <c r="BJ62" s="6">
        <f t="shared" si="257"/>
        <v>10705</v>
      </c>
      <c r="BK62" s="6">
        <f t="shared" si="257"/>
        <v>20176</v>
      </c>
      <c r="BL62" s="6">
        <f t="shared" si="257"/>
        <v>4802</v>
      </c>
      <c r="BM62" s="6">
        <f t="shared" si="257"/>
        <v>5343</v>
      </c>
      <c r="BN62" s="6">
        <f t="shared" si="257"/>
        <v>13755</v>
      </c>
      <c r="BO62" s="6">
        <f t="shared" si="253"/>
        <v>632053</v>
      </c>
      <c r="BP62" s="6">
        <f t="shared" si="253"/>
        <v>109903</v>
      </c>
      <c r="BQ62" s="6">
        <f t="shared" si="253"/>
        <v>46070</v>
      </c>
      <c r="BR62" s="6">
        <f t="shared" si="253"/>
        <v>127435</v>
      </c>
      <c r="BS62" s="6">
        <f>BS63+BS64+BS65+BS66</f>
        <v>915461</v>
      </c>
      <c r="BT62" s="213">
        <f>BT63+BT64+BT65+BT66</f>
        <v>1177907</v>
      </c>
    </row>
    <row r="63" spans="1:72" x14ac:dyDescent="0.25">
      <c r="A63" s="220" t="s">
        <v>389</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196">
        <f>SUM(B63:AO63)</f>
        <v>0</v>
      </c>
      <c r="AQ63" s="7"/>
      <c r="AR63" s="7"/>
      <c r="AS63" s="7"/>
      <c r="AT63" s="7">
        <f>Tervezőhiv.!S304</f>
        <v>11823</v>
      </c>
      <c r="AU63" s="7"/>
      <c r="AV63" s="7">
        <f>Tervezőhiv.!AF304</f>
        <v>20293</v>
      </c>
      <c r="AW63" s="7"/>
      <c r="AX63" s="7">
        <f>Tervezőhiv.!AM304</f>
        <v>33954</v>
      </c>
      <c r="AY63" s="7">
        <f>Tervezőhiv.!AT304</f>
        <v>28485</v>
      </c>
      <c r="AZ63" s="196">
        <f>SUM(AQ63:AY63)</f>
        <v>94555</v>
      </c>
      <c r="BA63" s="7">
        <f>66889-55</f>
        <v>66834</v>
      </c>
      <c r="BB63" s="7">
        <f>13548-254</f>
        <v>13294</v>
      </c>
      <c r="BC63" s="7">
        <f>8692-254</f>
        <v>8438</v>
      </c>
      <c r="BD63" s="7">
        <f>101486-178-90</f>
        <v>101218</v>
      </c>
      <c r="BE63" s="7">
        <f>6675</f>
        <v>6675</v>
      </c>
      <c r="BF63" s="7">
        <f>17006-508</f>
        <v>16498</v>
      </c>
      <c r="BG63" s="7">
        <f>22522+78</f>
        <v>22600</v>
      </c>
      <c r="BH63" s="7">
        <f>23205-507</f>
        <v>22698</v>
      </c>
      <c r="BI63" s="7">
        <f>20187-508+71</f>
        <v>19750</v>
      </c>
      <c r="BJ63" s="7">
        <f>10804-255+156</f>
        <v>10705</v>
      </c>
      <c r="BK63" s="7">
        <f>20188-12</f>
        <v>20176</v>
      </c>
      <c r="BL63" s="7">
        <f>5005-203</f>
        <v>4802</v>
      </c>
      <c r="BM63" s="7">
        <f>5597-254</f>
        <v>5343</v>
      </c>
      <c r="BN63" s="7">
        <v>13755</v>
      </c>
      <c r="BO63" s="8">
        <f>SUM(BA63:BN63)</f>
        <v>332786</v>
      </c>
      <c r="BP63" s="7">
        <f>107522-635-984+4000</f>
        <v>109903</v>
      </c>
      <c r="BQ63" s="7">
        <f>46570-500</f>
        <v>46070</v>
      </c>
      <c r="BR63" s="7">
        <f>128935-1500</f>
        <v>127435</v>
      </c>
      <c r="BS63" s="7">
        <f>BO63+BP63+BQ63+BR63</f>
        <v>616194</v>
      </c>
      <c r="BT63" s="221">
        <f>AP63+AZ63+BS63</f>
        <v>710749</v>
      </c>
    </row>
    <row r="64" spans="1:72" x14ac:dyDescent="0.25">
      <c r="A64" s="218" t="s">
        <v>390</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196">
        <f>SUM(B64:AO64)</f>
        <v>0</v>
      </c>
      <c r="AQ64" s="7"/>
      <c r="AR64" s="7"/>
      <c r="AS64" s="7"/>
      <c r="AT64" s="7"/>
      <c r="AU64" s="7"/>
      <c r="AV64" s="7"/>
      <c r="AW64" s="7"/>
      <c r="AX64" s="7"/>
      <c r="AY64" s="7"/>
      <c r="AZ64" s="196">
        <f>SUM(AQ64:AY64)</f>
        <v>0</v>
      </c>
      <c r="BA64" s="7"/>
      <c r="BB64" s="7"/>
      <c r="BC64" s="7"/>
      <c r="BD64" s="7"/>
      <c r="BE64" s="7"/>
      <c r="BF64" s="7"/>
      <c r="BG64" s="7"/>
      <c r="BH64" s="7"/>
      <c r="BI64" s="7"/>
      <c r="BJ64" s="7"/>
      <c r="BK64" s="7"/>
      <c r="BL64" s="7"/>
      <c r="BM64" s="7"/>
      <c r="BN64" s="7"/>
      <c r="BO64" s="8">
        <f>SUM(BA64:BN64)</f>
        <v>0</v>
      </c>
      <c r="BP64" s="7"/>
      <c r="BQ64" s="7"/>
      <c r="BR64" s="7"/>
      <c r="BS64" s="7">
        <f>BO64+BP64+BQ64+BR64</f>
        <v>0</v>
      </c>
      <c r="BT64" s="221">
        <f>AP64+AZ64+BS64</f>
        <v>0</v>
      </c>
    </row>
    <row r="65" spans="1:72" x14ac:dyDescent="0.25">
      <c r="A65" s="218" t="s">
        <v>391</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196">
        <f>SUM(B65:AO65)</f>
        <v>0</v>
      </c>
      <c r="AQ65" s="7"/>
      <c r="AR65" s="7"/>
      <c r="AS65" s="7"/>
      <c r="AT65" s="7"/>
      <c r="AU65" s="7"/>
      <c r="AV65" s="7"/>
      <c r="AW65" s="7"/>
      <c r="AX65" s="7"/>
      <c r="AY65" s="7"/>
      <c r="AZ65" s="196">
        <f>SUM(AQ65:AY65)</f>
        <v>0</v>
      </c>
      <c r="BA65" s="7"/>
      <c r="BB65" s="7"/>
      <c r="BC65" s="7"/>
      <c r="BD65" s="7"/>
      <c r="BE65" s="7"/>
      <c r="BF65" s="7"/>
      <c r="BG65" s="7"/>
      <c r="BH65" s="7"/>
      <c r="BI65" s="7"/>
      <c r="BJ65" s="7"/>
      <c r="BK65" s="7"/>
      <c r="BL65" s="7"/>
      <c r="BM65" s="7"/>
      <c r="BN65" s="7"/>
      <c r="BO65" s="8">
        <f>SUM(BA65:BN65)</f>
        <v>0</v>
      </c>
      <c r="BP65" s="7"/>
      <c r="BQ65" s="7"/>
      <c r="BR65" s="7"/>
      <c r="BS65" s="7">
        <f>BO65+BP65+BQ65+BR65</f>
        <v>0</v>
      </c>
      <c r="BT65" s="221">
        <f>AP65+AZ65+BS65</f>
        <v>0</v>
      </c>
    </row>
    <row r="66" spans="1:72" x14ac:dyDescent="0.25">
      <c r="A66" s="218" t="s">
        <v>392</v>
      </c>
      <c r="B66" s="7"/>
      <c r="C66" s="7"/>
      <c r="D66" s="7"/>
      <c r="E66" s="7"/>
      <c r="F66" s="7"/>
      <c r="G66" s="7"/>
      <c r="H66" s="7"/>
      <c r="I66" s="7"/>
      <c r="J66" s="7"/>
      <c r="K66" s="7">
        <f>rendfeladattalterhpézmaradv!J24</f>
        <v>167891</v>
      </c>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196">
        <f>SUM(B66:AO66)</f>
        <v>167891</v>
      </c>
      <c r="AQ66" s="7"/>
      <c r="AR66" s="7"/>
      <c r="AS66" s="7"/>
      <c r="AT66" s="7"/>
      <c r="AU66" s="7"/>
      <c r="AV66" s="7"/>
      <c r="AW66" s="7"/>
      <c r="AX66" s="7"/>
      <c r="AY66" s="7"/>
      <c r="AZ66" s="196">
        <f>SUM(AQ66:AY66)</f>
        <v>0</v>
      </c>
      <c r="BA66" s="7"/>
      <c r="BB66" s="7"/>
      <c r="BC66" s="7"/>
      <c r="BD66" s="7">
        <f>171277+127990</f>
        <v>299267</v>
      </c>
      <c r="BE66" s="7"/>
      <c r="BF66" s="7"/>
      <c r="BG66" s="7"/>
      <c r="BH66" s="7"/>
      <c r="BI66" s="7"/>
      <c r="BJ66" s="7"/>
      <c r="BK66" s="7"/>
      <c r="BL66" s="7"/>
      <c r="BM66" s="7"/>
      <c r="BN66" s="7"/>
      <c r="BO66" s="8">
        <f>SUM(BA66:BN66)</f>
        <v>299267</v>
      </c>
      <c r="BP66" s="7"/>
      <c r="BQ66" s="7"/>
      <c r="BR66" s="7"/>
      <c r="BS66" s="7">
        <f>BO66+BP66+BQ66+BR66</f>
        <v>299267</v>
      </c>
      <c r="BT66" s="221">
        <f>AP66+AZ66+BS66</f>
        <v>467158</v>
      </c>
    </row>
    <row r="67" spans="1:72" s="13" customFormat="1" x14ac:dyDescent="0.25">
      <c r="A67" s="219" t="s">
        <v>393</v>
      </c>
      <c r="B67" s="6">
        <f t="shared" ref="B67:C67" si="259">B68+B70</f>
        <v>0</v>
      </c>
      <c r="C67" s="6">
        <f t="shared" si="259"/>
        <v>0</v>
      </c>
      <c r="D67" s="6">
        <f t="shared" ref="D67:E67" si="260">D68+D70</f>
        <v>0</v>
      </c>
      <c r="E67" s="6">
        <f t="shared" si="260"/>
        <v>0</v>
      </c>
      <c r="F67" s="6">
        <f t="shared" ref="F67" si="261">F68+F70</f>
        <v>0</v>
      </c>
      <c r="G67" s="6">
        <f t="shared" ref="G67:AF67" si="262">G68+G70</f>
        <v>0</v>
      </c>
      <c r="H67" s="6">
        <f t="shared" si="262"/>
        <v>0</v>
      </c>
      <c r="I67" s="6">
        <f t="shared" si="262"/>
        <v>0</v>
      </c>
      <c r="J67" s="6">
        <f t="shared" si="262"/>
        <v>0</v>
      </c>
      <c r="K67" s="6">
        <f>K68+K70+K69</f>
        <v>4398793</v>
      </c>
      <c r="L67" s="6">
        <f t="shared" ref="L67:N67" si="263">L68+L70</f>
        <v>0</v>
      </c>
      <c r="M67" s="6">
        <f t="shared" si="263"/>
        <v>0</v>
      </c>
      <c r="N67" s="6">
        <f t="shared" si="263"/>
        <v>0</v>
      </c>
      <c r="O67" s="6">
        <f t="shared" ref="O67:P67" si="264">O68+O70</f>
        <v>0</v>
      </c>
      <c r="P67" s="6">
        <f t="shared" si="264"/>
        <v>0</v>
      </c>
      <c r="Q67" s="6">
        <f t="shared" ref="Q67" si="265">Q68+Q70</f>
        <v>0</v>
      </c>
      <c r="R67" s="6">
        <f t="shared" ref="R67:S67" si="266">R68+R70</f>
        <v>0</v>
      </c>
      <c r="S67" s="6">
        <f t="shared" si="266"/>
        <v>0</v>
      </c>
      <c r="T67" s="6">
        <f t="shared" ref="T67:W67" si="267">T68+T70+T69</f>
        <v>0</v>
      </c>
      <c r="U67" s="6">
        <f t="shared" ref="U67:V67" si="268">U68+U70</f>
        <v>0</v>
      </c>
      <c r="V67" s="6">
        <f t="shared" si="268"/>
        <v>0</v>
      </c>
      <c r="W67" s="6">
        <f t="shared" si="267"/>
        <v>0</v>
      </c>
      <c r="X67" s="6">
        <f t="shared" si="262"/>
        <v>0</v>
      </c>
      <c r="Y67" s="6">
        <f t="shared" si="262"/>
        <v>0</v>
      </c>
      <c r="Z67" s="6">
        <f t="shared" ref="Z67" si="269">Z68+Z70+Z69</f>
        <v>0</v>
      </c>
      <c r="AA67" s="6">
        <f t="shared" ref="AA67" si="270">AA68+AA70</f>
        <v>0</v>
      </c>
      <c r="AB67" s="6">
        <f t="shared" ref="AB67" si="271">AB68+AB70+AB69</f>
        <v>0</v>
      </c>
      <c r="AC67" s="6">
        <f t="shared" si="262"/>
        <v>0</v>
      </c>
      <c r="AD67" s="6">
        <f t="shared" si="262"/>
        <v>0</v>
      </c>
      <c r="AE67" s="6">
        <f t="shared" si="262"/>
        <v>0</v>
      </c>
      <c r="AF67" s="6">
        <f t="shared" si="262"/>
        <v>0</v>
      </c>
      <c r="AG67" s="6">
        <f t="shared" ref="AG67" si="272">AG68+AG70+AG69</f>
        <v>0</v>
      </c>
      <c r="AH67" s="6">
        <f t="shared" ref="AH67:AI67" si="273">AH68+AH70</f>
        <v>0</v>
      </c>
      <c r="AI67" s="6">
        <f t="shared" si="273"/>
        <v>0</v>
      </c>
      <c r="AJ67" s="6">
        <f t="shared" ref="AJ67:AK67" si="274">AJ68+AJ70</f>
        <v>0</v>
      </c>
      <c r="AK67" s="6">
        <f t="shared" si="274"/>
        <v>0</v>
      </c>
      <c r="AL67" s="6">
        <f t="shared" ref="AL67:AM67" si="275">AL68+AL70</f>
        <v>0</v>
      </c>
      <c r="AM67" s="6">
        <f t="shared" si="275"/>
        <v>0</v>
      </c>
      <c r="AN67" s="6">
        <f t="shared" ref="AN67:AO67" si="276">AN68+AN70</f>
        <v>0</v>
      </c>
      <c r="AO67" s="6">
        <f t="shared" si="276"/>
        <v>0</v>
      </c>
      <c r="AP67" s="197">
        <f>AP68+AP70+AP69</f>
        <v>4398793</v>
      </c>
      <c r="AQ67" s="6">
        <f t="shared" ref="AQ67:BR67" si="277">AQ68+AQ70</f>
        <v>0</v>
      </c>
      <c r="AR67" s="6">
        <f t="shared" ref="AR67:AW67" si="278">AR68+AR70</f>
        <v>0</v>
      </c>
      <c r="AS67" s="6">
        <f t="shared" si="278"/>
        <v>0</v>
      </c>
      <c r="AT67" s="6">
        <f t="shared" si="278"/>
        <v>0</v>
      </c>
      <c r="AU67" s="6">
        <f t="shared" si="278"/>
        <v>0</v>
      </c>
      <c r="AV67" s="6">
        <f t="shared" ref="AV67" si="279">AV68+AV70</f>
        <v>0</v>
      </c>
      <c r="AW67" s="6">
        <f t="shared" si="278"/>
        <v>0</v>
      </c>
      <c r="AX67" s="6">
        <f t="shared" ref="AX67:AY67" si="280">AX68+AX70</f>
        <v>0</v>
      </c>
      <c r="AY67" s="6">
        <f t="shared" si="280"/>
        <v>0</v>
      </c>
      <c r="AZ67" s="197">
        <f t="shared" si="277"/>
        <v>0</v>
      </c>
      <c r="BA67" s="6">
        <f t="shared" si="277"/>
        <v>300</v>
      </c>
      <c r="BB67" s="6">
        <f t="shared" ref="BB67:BN67" si="281">BB68+BB70</f>
        <v>0</v>
      </c>
      <c r="BC67" s="6">
        <f t="shared" si="281"/>
        <v>0</v>
      </c>
      <c r="BD67" s="6">
        <f t="shared" si="281"/>
        <v>50000</v>
      </c>
      <c r="BE67" s="6">
        <f t="shared" ref="BE67" si="282">BE68+BE70</f>
        <v>0</v>
      </c>
      <c r="BF67" s="6">
        <f t="shared" si="281"/>
        <v>0</v>
      </c>
      <c r="BG67" s="6">
        <f t="shared" si="281"/>
        <v>0</v>
      </c>
      <c r="BH67" s="6">
        <f t="shared" si="281"/>
        <v>0</v>
      </c>
      <c r="BI67" s="6">
        <f t="shared" si="281"/>
        <v>0</v>
      </c>
      <c r="BJ67" s="6">
        <f t="shared" si="281"/>
        <v>0</v>
      </c>
      <c r="BK67" s="6">
        <f t="shared" si="281"/>
        <v>100</v>
      </c>
      <c r="BL67" s="6">
        <f t="shared" si="281"/>
        <v>0</v>
      </c>
      <c r="BM67" s="6">
        <f t="shared" si="281"/>
        <v>0</v>
      </c>
      <c r="BN67" s="6">
        <f t="shared" si="281"/>
        <v>0</v>
      </c>
      <c r="BO67" s="6">
        <f t="shared" si="277"/>
        <v>50400</v>
      </c>
      <c r="BP67" s="6">
        <f t="shared" si="277"/>
        <v>1474</v>
      </c>
      <c r="BQ67" s="6">
        <f t="shared" si="277"/>
        <v>0</v>
      </c>
      <c r="BR67" s="6">
        <f t="shared" si="277"/>
        <v>0</v>
      </c>
      <c r="BS67" s="6">
        <f>BS68+BS70</f>
        <v>51874</v>
      </c>
      <c r="BT67" s="213">
        <f>BT68+BT70</f>
        <v>4450667</v>
      </c>
    </row>
    <row r="68" spans="1:72" x14ac:dyDescent="0.25">
      <c r="A68" s="220" t="s">
        <v>394</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196">
        <f>SUM(B68:AO68)</f>
        <v>0</v>
      </c>
      <c r="AQ68" s="7"/>
      <c r="AR68" s="7"/>
      <c r="AS68" s="7"/>
      <c r="AT68" s="7">
        <f>Tervezőhiv.!S343</f>
        <v>0</v>
      </c>
      <c r="AU68" s="7"/>
      <c r="AV68" s="7">
        <f>Tervezőhiv.!AF343</f>
        <v>0</v>
      </c>
      <c r="AW68" s="7"/>
      <c r="AX68" s="7">
        <f>Tervezőhiv.!AM343</f>
        <v>0</v>
      </c>
      <c r="AY68" s="7">
        <f>Tervezőhiv.!AT343</f>
        <v>0</v>
      </c>
      <c r="AZ68" s="196">
        <f>SUM(AQ68:AY68)</f>
        <v>0</v>
      </c>
      <c r="BA68" s="7">
        <v>300</v>
      </c>
      <c r="BB68" s="7"/>
      <c r="BC68" s="7"/>
      <c r="BD68" s="7"/>
      <c r="BE68" s="7"/>
      <c r="BF68" s="7"/>
      <c r="BG68" s="7"/>
      <c r="BH68" s="7"/>
      <c r="BI68" s="7"/>
      <c r="BJ68" s="7"/>
      <c r="BK68" s="7">
        <v>100</v>
      </c>
      <c r="BL68" s="7"/>
      <c r="BM68" s="7"/>
      <c r="BN68" s="7"/>
      <c r="BO68" s="8">
        <f>SUM(BA68:BN68)</f>
        <v>400</v>
      </c>
      <c r="BP68" s="7">
        <v>1474</v>
      </c>
      <c r="BQ68" s="7"/>
      <c r="BR68" s="7"/>
      <c r="BS68" s="11">
        <f>BO68+BP68+BQ68+BR68</f>
        <v>1874</v>
      </c>
      <c r="BT68" s="211">
        <f>AP68+AZ68+BS68</f>
        <v>1874</v>
      </c>
    </row>
    <row r="69" spans="1:72" x14ac:dyDescent="0.25">
      <c r="A69" s="877" t="s">
        <v>1124</v>
      </c>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c r="AB69" s="878"/>
      <c r="AC69" s="878"/>
      <c r="AD69" s="878"/>
      <c r="AE69" s="878"/>
      <c r="AF69" s="878"/>
      <c r="AG69" s="878"/>
      <c r="AH69" s="878"/>
      <c r="AI69" s="878"/>
      <c r="AJ69" s="878"/>
      <c r="AK69" s="878"/>
      <c r="AL69" s="878"/>
      <c r="AM69" s="878"/>
      <c r="AN69" s="878"/>
      <c r="AO69" s="878"/>
      <c r="AP69" s="880">
        <f>SUM(B69:AO69)</f>
        <v>0</v>
      </c>
      <c r="AQ69" s="878"/>
      <c r="AR69" s="878"/>
      <c r="AS69" s="878"/>
      <c r="AT69" s="878"/>
      <c r="AU69" s="878"/>
      <c r="AV69" s="878"/>
      <c r="AW69" s="878"/>
      <c r="AX69" s="878"/>
      <c r="AY69" s="878"/>
      <c r="AZ69" s="880"/>
      <c r="BA69" s="878"/>
      <c r="BB69" s="878"/>
      <c r="BC69" s="878"/>
      <c r="BD69" s="878"/>
      <c r="BE69" s="878"/>
      <c r="BF69" s="878"/>
      <c r="BG69" s="878"/>
      <c r="BH69" s="878"/>
      <c r="BI69" s="878"/>
      <c r="BJ69" s="878"/>
      <c r="BK69" s="878"/>
      <c r="BL69" s="878"/>
      <c r="BM69" s="878"/>
      <c r="BN69" s="878"/>
      <c r="BO69" s="881"/>
      <c r="BP69" s="878"/>
      <c r="BQ69" s="878"/>
      <c r="BR69" s="878"/>
      <c r="BS69" s="882"/>
      <c r="BT69" s="883"/>
    </row>
    <row r="70" spans="1:72" ht="13.8" thickBot="1" x14ac:dyDescent="0.3">
      <c r="A70" s="222" t="s">
        <v>1125</v>
      </c>
      <c r="B70" s="223"/>
      <c r="C70" s="223"/>
      <c r="D70" s="223"/>
      <c r="E70" s="223"/>
      <c r="F70" s="223"/>
      <c r="G70" s="223"/>
      <c r="H70" s="223"/>
      <c r="I70" s="223"/>
      <c r="J70" s="223"/>
      <c r="K70" s="223">
        <f>rendfeladattalterhpézmaradv!K24</f>
        <v>4398793</v>
      </c>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4">
        <f>SUM(B70:AO70)</f>
        <v>4398793</v>
      </c>
      <c r="AQ70" s="223"/>
      <c r="AR70" s="223"/>
      <c r="AS70" s="223"/>
      <c r="AT70" s="223"/>
      <c r="AU70" s="223"/>
      <c r="AV70" s="223"/>
      <c r="AW70" s="223"/>
      <c r="AX70" s="223"/>
      <c r="AY70" s="223"/>
      <c r="AZ70" s="224">
        <f>SUM(AQ70:AY70)</f>
        <v>0</v>
      </c>
      <c r="BA70" s="223"/>
      <c r="BB70" s="223"/>
      <c r="BC70" s="223"/>
      <c r="BD70" s="223">
        <v>50000</v>
      </c>
      <c r="BE70" s="223"/>
      <c r="BF70" s="223"/>
      <c r="BG70" s="223"/>
      <c r="BH70" s="223"/>
      <c r="BI70" s="223"/>
      <c r="BJ70" s="223"/>
      <c r="BK70" s="223"/>
      <c r="BL70" s="223"/>
      <c r="BM70" s="223"/>
      <c r="BN70" s="223"/>
      <c r="BO70" s="225">
        <f>SUM(BA70:BN70)</f>
        <v>50000</v>
      </c>
      <c r="BP70" s="223"/>
      <c r="BQ70" s="223"/>
      <c r="BR70" s="223"/>
      <c r="BS70" s="226">
        <f>BO70+BP70+BQ70+BR70</f>
        <v>50000</v>
      </c>
      <c r="BT70" s="227">
        <f>AP70+AZ70+BS70</f>
        <v>4448793</v>
      </c>
    </row>
    <row r="71" spans="1:72" x14ac:dyDescent="0.25">
      <c r="B71" s="21"/>
    </row>
    <row r="72" spans="1:72" x14ac:dyDescent="0.25">
      <c r="B72" s="21">
        <f>SUM(B6)</f>
        <v>144607</v>
      </c>
      <c r="C72" s="21">
        <f>SUM(C6)</f>
        <v>0</v>
      </c>
      <c r="D72" s="21">
        <f t="shared" ref="D72:AO72" si="283">SUM(D6)</f>
        <v>3353</v>
      </c>
      <c r="E72" s="21">
        <f t="shared" si="283"/>
        <v>22185.599999999999</v>
      </c>
      <c r="F72" s="21">
        <f t="shared" si="283"/>
        <v>-15185</v>
      </c>
      <c r="G72" s="21">
        <f t="shared" si="283"/>
        <v>87707</v>
      </c>
      <c r="H72" s="21">
        <f t="shared" si="283"/>
        <v>761036</v>
      </c>
      <c r="I72" s="21">
        <f t="shared" si="283"/>
        <v>0</v>
      </c>
      <c r="J72" s="21">
        <f t="shared" si="283"/>
        <v>712623</v>
      </c>
      <c r="K72" s="21">
        <f t="shared" si="283"/>
        <v>0</v>
      </c>
      <c r="L72" s="21">
        <f t="shared" si="283"/>
        <v>14250</v>
      </c>
      <c r="M72" s="21">
        <f t="shared" si="283"/>
        <v>16890</v>
      </c>
      <c r="N72" s="21">
        <f t="shared" si="283"/>
        <v>57200</v>
      </c>
      <c r="O72" s="21">
        <f t="shared" si="283"/>
        <v>355767</v>
      </c>
      <c r="P72" s="21">
        <f t="shared" si="283"/>
        <v>10000</v>
      </c>
      <c r="Q72" s="21">
        <f t="shared" si="283"/>
        <v>1200</v>
      </c>
      <c r="R72" s="21">
        <f t="shared" si="283"/>
        <v>2500</v>
      </c>
      <c r="S72" s="21">
        <f t="shared" si="283"/>
        <v>20000</v>
      </c>
      <c r="T72" s="21">
        <f t="shared" si="283"/>
        <v>0</v>
      </c>
      <c r="U72" s="21">
        <f t="shared" si="283"/>
        <v>2642</v>
      </c>
      <c r="V72" s="21">
        <f t="shared" si="283"/>
        <v>0</v>
      </c>
      <c r="W72" s="21">
        <f t="shared" si="283"/>
        <v>0</v>
      </c>
      <c r="X72" s="21">
        <f t="shared" si="283"/>
        <v>2490597</v>
      </c>
      <c r="Y72" s="21">
        <f t="shared" si="283"/>
        <v>6144</v>
      </c>
      <c r="Z72" s="21">
        <f t="shared" si="283"/>
        <v>0</v>
      </c>
      <c r="AA72" s="21">
        <f t="shared" si="283"/>
        <v>404551</v>
      </c>
      <c r="AB72" s="21">
        <f t="shared" si="283"/>
        <v>0</v>
      </c>
      <c r="AC72" s="21">
        <f t="shared" si="283"/>
        <v>958654</v>
      </c>
      <c r="AD72" s="21">
        <f t="shared" si="283"/>
        <v>1298195</v>
      </c>
      <c r="AE72" s="21">
        <f t="shared" si="283"/>
        <v>193677</v>
      </c>
      <c r="AF72" s="21">
        <f t="shared" si="283"/>
        <v>530493</v>
      </c>
      <c r="AG72" s="21">
        <f t="shared" si="283"/>
        <v>0</v>
      </c>
      <c r="AH72" s="21">
        <f t="shared" si="283"/>
        <v>1000</v>
      </c>
      <c r="AI72" s="21">
        <f t="shared" si="283"/>
        <v>12200</v>
      </c>
      <c r="AJ72" s="21">
        <f t="shared" si="283"/>
        <v>63416</v>
      </c>
      <c r="AK72" s="21">
        <f t="shared" si="283"/>
        <v>300000</v>
      </c>
      <c r="AL72" s="21">
        <f t="shared" si="283"/>
        <v>227375</v>
      </c>
      <c r="AM72" s="21">
        <f t="shared" si="283"/>
        <v>64200</v>
      </c>
      <c r="AN72" s="21">
        <f t="shared" si="283"/>
        <v>132644</v>
      </c>
      <c r="AO72" s="21">
        <f t="shared" si="283"/>
        <v>677082</v>
      </c>
      <c r="AP72" s="193">
        <f>SUM(AP6)</f>
        <v>9557003.5999999996</v>
      </c>
      <c r="AQ72" s="21">
        <f t="shared" ref="AQ72:AZ72" si="284">SUM(AQ6)</f>
        <v>0</v>
      </c>
      <c r="AR72" s="21">
        <f t="shared" si="284"/>
        <v>0</v>
      </c>
      <c r="AS72" s="21">
        <f t="shared" si="284"/>
        <v>0</v>
      </c>
      <c r="AT72" s="21">
        <f t="shared" si="284"/>
        <v>11823</v>
      </c>
      <c r="AU72" s="21">
        <f t="shared" si="284"/>
        <v>0</v>
      </c>
      <c r="AV72" s="21">
        <f t="shared" si="284"/>
        <v>20293</v>
      </c>
      <c r="AW72" s="21">
        <f t="shared" si="284"/>
        <v>0</v>
      </c>
      <c r="AX72" s="21">
        <f t="shared" si="284"/>
        <v>33954</v>
      </c>
      <c r="AY72" s="21">
        <f t="shared" si="284"/>
        <v>28485</v>
      </c>
      <c r="AZ72" s="193">
        <f t="shared" si="284"/>
        <v>94555</v>
      </c>
      <c r="BA72" s="193">
        <f t="shared" ref="BA72:BT72" si="285">SUM(BA6)</f>
        <v>70134</v>
      </c>
      <c r="BB72" s="193">
        <f t="shared" si="285"/>
        <v>13294</v>
      </c>
      <c r="BC72" s="193">
        <f t="shared" si="285"/>
        <v>8438</v>
      </c>
      <c r="BD72" s="193">
        <f t="shared" si="285"/>
        <v>451569</v>
      </c>
      <c r="BE72" s="193">
        <f t="shared" ref="BE72" si="286">SUM(BE6)</f>
        <v>6675</v>
      </c>
      <c r="BF72" s="193">
        <f t="shared" si="285"/>
        <v>16498</v>
      </c>
      <c r="BG72" s="193">
        <f t="shared" si="285"/>
        <v>30919</v>
      </c>
      <c r="BH72" s="193">
        <f t="shared" si="285"/>
        <v>23142</v>
      </c>
      <c r="BI72" s="193">
        <f t="shared" si="285"/>
        <v>20383</v>
      </c>
      <c r="BJ72" s="193">
        <f t="shared" si="285"/>
        <v>10705</v>
      </c>
      <c r="BK72" s="193">
        <f t="shared" si="285"/>
        <v>20276</v>
      </c>
      <c r="BL72" s="193">
        <f t="shared" si="285"/>
        <v>4802</v>
      </c>
      <c r="BM72" s="193">
        <f t="shared" si="285"/>
        <v>5343</v>
      </c>
      <c r="BN72" s="193">
        <f t="shared" si="285"/>
        <v>13755</v>
      </c>
      <c r="BO72" s="193">
        <f t="shared" si="285"/>
        <v>695933</v>
      </c>
      <c r="BP72" s="193">
        <f t="shared" si="285"/>
        <v>138044</v>
      </c>
      <c r="BQ72" s="193">
        <f t="shared" si="285"/>
        <v>61205</v>
      </c>
      <c r="BR72" s="193">
        <f t="shared" si="285"/>
        <v>127435</v>
      </c>
      <c r="BS72" s="193">
        <f t="shared" si="285"/>
        <v>1022617</v>
      </c>
      <c r="BT72" s="193">
        <f t="shared" si="285"/>
        <v>10674175.6</v>
      </c>
    </row>
    <row r="73" spans="1:72" x14ac:dyDescent="0.25">
      <c r="B73" s="21">
        <f>SUM(B27)</f>
        <v>0</v>
      </c>
      <c r="C73" s="21">
        <f t="shared" ref="C73:AO73" si="287">SUM(C27)</f>
        <v>0</v>
      </c>
      <c r="D73" s="21">
        <f t="shared" si="287"/>
        <v>0</v>
      </c>
      <c r="E73" s="21">
        <f t="shared" si="287"/>
        <v>300</v>
      </c>
      <c r="F73" s="21">
        <f t="shared" si="287"/>
        <v>0</v>
      </c>
      <c r="G73" s="21">
        <f t="shared" si="287"/>
        <v>0</v>
      </c>
      <c r="H73" s="21">
        <f t="shared" si="287"/>
        <v>0</v>
      </c>
      <c r="I73" s="21">
        <f t="shared" si="287"/>
        <v>0</v>
      </c>
      <c r="J73" s="21">
        <f t="shared" si="287"/>
        <v>9879</v>
      </c>
      <c r="K73" s="21">
        <f t="shared" si="287"/>
        <v>4566684</v>
      </c>
      <c r="L73" s="21">
        <f t="shared" si="287"/>
        <v>0</v>
      </c>
      <c r="M73" s="21">
        <f t="shared" si="287"/>
        <v>0</v>
      </c>
      <c r="N73" s="21">
        <f t="shared" si="287"/>
        <v>0</v>
      </c>
      <c r="O73" s="21">
        <f t="shared" si="287"/>
        <v>334000</v>
      </c>
      <c r="P73" s="21">
        <f t="shared" si="287"/>
        <v>0</v>
      </c>
      <c r="Q73" s="21">
        <f t="shared" si="287"/>
        <v>0</v>
      </c>
      <c r="R73" s="21">
        <f t="shared" si="287"/>
        <v>0</v>
      </c>
      <c r="S73" s="21">
        <f t="shared" si="287"/>
        <v>0</v>
      </c>
      <c r="T73" s="21">
        <f t="shared" si="287"/>
        <v>0</v>
      </c>
      <c r="U73" s="21">
        <f t="shared" si="287"/>
        <v>0</v>
      </c>
      <c r="V73" s="21">
        <f t="shared" si="287"/>
        <v>0</v>
      </c>
      <c r="W73" s="21">
        <f t="shared" si="287"/>
        <v>0</v>
      </c>
      <c r="X73" s="21">
        <f t="shared" si="287"/>
        <v>59379</v>
      </c>
      <c r="Y73" s="21">
        <f t="shared" si="287"/>
        <v>0</v>
      </c>
      <c r="Z73" s="21">
        <f t="shared" si="287"/>
        <v>0</v>
      </c>
      <c r="AA73" s="21">
        <f t="shared" si="287"/>
        <v>0</v>
      </c>
      <c r="AB73" s="21">
        <f t="shared" si="287"/>
        <v>0</v>
      </c>
      <c r="AC73" s="21">
        <f t="shared" si="287"/>
        <v>858700</v>
      </c>
      <c r="AD73" s="21">
        <f t="shared" si="287"/>
        <v>0</v>
      </c>
      <c r="AE73" s="21">
        <f t="shared" si="287"/>
        <v>0</v>
      </c>
      <c r="AF73" s="21">
        <f t="shared" si="287"/>
        <v>0</v>
      </c>
      <c r="AG73" s="21">
        <f t="shared" si="287"/>
        <v>0</v>
      </c>
      <c r="AH73" s="21">
        <f t="shared" si="287"/>
        <v>0</v>
      </c>
      <c r="AI73" s="21">
        <f t="shared" si="287"/>
        <v>0</v>
      </c>
      <c r="AJ73" s="21">
        <f t="shared" si="287"/>
        <v>0</v>
      </c>
      <c r="AK73" s="21">
        <f t="shared" si="287"/>
        <v>350000</v>
      </c>
      <c r="AL73" s="21">
        <f t="shared" si="287"/>
        <v>0</v>
      </c>
      <c r="AM73" s="21">
        <f t="shared" si="287"/>
        <v>0</v>
      </c>
      <c r="AN73" s="21">
        <f t="shared" si="287"/>
        <v>0</v>
      </c>
      <c r="AO73" s="21">
        <f t="shared" si="287"/>
        <v>100000</v>
      </c>
      <c r="AP73" s="193">
        <f>SUM(AP27)</f>
        <v>6278942</v>
      </c>
      <c r="AQ73" s="21">
        <f t="shared" ref="AQ73:AZ73" si="288">SUM(AQ27)</f>
        <v>0</v>
      </c>
      <c r="AR73" s="21">
        <f t="shared" si="288"/>
        <v>0</v>
      </c>
      <c r="AS73" s="21">
        <f t="shared" si="288"/>
        <v>0</v>
      </c>
      <c r="AT73" s="21">
        <f t="shared" si="288"/>
        <v>11823</v>
      </c>
      <c r="AU73" s="21">
        <f t="shared" si="288"/>
        <v>0</v>
      </c>
      <c r="AV73" s="21">
        <f t="shared" si="288"/>
        <v>20293</v>
      </c>
      <c r="AW73" s="21">
        <f t="shared" si="288"/>
        <v>0</v>
      </c>
      <c r="AX73" s="21">
        <f t="shared" si="288"/>
        <v>33954</v>
      </c>
      <c r="AY73" s="21">
        <f t="shared" si="288"/>
        <v>28485</v>
      </c>
      <c r="AZ73" s="193">
        <f t="shared" si="288"/>
        <v>94555</v>
      </c>
      <c r="BA73" s="193">
        <f t="shared" ref="BA73:BT73" si="289">SUM(BA27)</f>
        <v>70134</v>
      </c>
      <c r="BB73" s="193">
        <f t="shared" si="289"/>
        <v>13294</v>
      </c>
      <c r="BC73" s="193">
        <f t="shared" si="289"/>
        <v>8438</v>
      </c>
      <c r="BD73" s="193">
        <f t="shared" si="289"/>
        <v>451569</v>
      </c>
      <c r="BE73" s="193">
        <f t="shared" ref="BE73" si="290">SUM(BE27)</f>
        <v>6675</v>
      </c>
      <c r="BF73" s="193">
        <f t="shared" si="289"/>
        <v>16498</v>
      </c>
      <c r="BG73" s="193">
        <f t="shared" si="289"/>
        <v>30919</v>
      </c>
      <c r="BH73" s="193">
        <f t="shared" si="289"/>
        <v>23142</v>
      </c>
      <c r="BI73" s="193">
        <f t="shared" si="289"/>
        <v>20383</v>
      </c>
      <c r="BJ73" s="193">
        <f t="shared" si="289"/>
        <v>10705</v>
      </c>
      <c r="BK73" s="193">
        <f t="shared" si="289"/>
        <v>20276</v>
      </c>
      <c r="BL73" s="193">
        <f t="shared" si="289"/>
        <v>4802</v>
      </c>
      <c r="BM73" s="193">
        <f t="shared" si="289"/>
        <v>5343</v>
      </c>
      <c r="BN73" s="193">
        <f t="shared" si="289"/>
        <v>13755</v>
      </c>
      <c r="BO73" s="193">
        <f t="shared" si="289"/>
        <v>695933</v>
      </c>
      <c r="BP73" s="193">
        <f t="shared" si="289"/>
        <v>138044</v>
      </c>
      <c r="BQ73" s="193">
        <f t="shared" si="289"/>
        <v>61205</v>
      </c>
      <c r="BR73" s="193">
        <f t="shared" si="289"/>
        <v>127435</v>
      </c>
      <c r="BS73" s="193">
        <f t="shared" si="289"/>
        <v>1022617</v>
      </c>
      <c r="BT73" s="193">
        <f t="shared" si="289"/>
        <v>7396114</v>
      </c>
    </row>
    <row r="74" spans="1:72" x14ac:dyDescent="0.25">
      <c r="B74" s="193">
        <f>SUM(B72-B73)</f>
        <v>144607</v>
      </c>
      <c r="C74" s="193">
        <f t="shared" ref="C74:AP74" si="291">SUM(C72-C73)</f>
        <v>0</v>
      </c>
      <c r="D74" s="193">
        <f t="shared" si="291"/>
        <v>3353</v>
      </c>
      <c r="E74" s="193">
        <f t="shared" si="291"/>
        <v>21885.599999999999</v>
      </c>
      <c r="F74" s="193">
        <f t="shared" si="291"/>
        <v>-15185</v>
      </c>
      <c r="G74" s="193">
        <f t="shared" si="291"/>
        <v>87707</v>
      </c>
      <c r="H74" s="193">
        <f t="shared" si="291"/>
        <v>761036</v>
      </c>
      <c r="I74" s="21">
        <f t="shared" si="291"/>
        <v>0</v>
      </c>
      <c r="J74" s="193">
        <f t="shared" si="291"/>
        <v>702744</v>
      </c>
      <c r="K74" s="193">
        <f t="shared" si="291"/>
        <v>-4566684</v>
      </c>
      <c r="L74" s="193">
        <f t="shared" si="291"/>
        <v>14250</v>
      </c>
      <c r="M74" s="193">
        <f t="shared" si="291"/>
        <v>16890</v>
      </c>
      <c r="N74" s="193">
        <f t="shared" si="291"/>
        <v>57200</v>
      </c>
      <c r="O74" s="21">
        <f t="shared" si="291"/>
        <v>21767</v>
      </c>
      <c r="P74" s="193">
        <f t="shared" si="291"/>
        <v>10000</v>
      </c>
      <c r="Q74" s="193">
        <f t="shared" si="291"/>
        <v>1200</v>
      </c>
      <c r="R74" s="193">
        <f t="shared" si="291"/>
        <v>2500</v>
      </c>
      <c r="S74" s="193">
        <f t="shared" si="291"/>
        <v>20000</v>
      </c>
      <c r="T74" s="21">
        <f t="shared" si="291"/>
        <v>0</v>
      </c>
      <c r="U74" s="193">
        <f t="shared" si="291"/>
        <v>2642</v>
      </c>
      <c r="V74" s="21">
        <f t="shared" si="291"/>
        <v>0</v>
      </c>
      <c r="W74" s="21">
        <f t="shared" si="291"/>
        <v>0</v>
      </c>
      <c r="X74" s="21">
        <f t="shared" si="291"/>
        <v>2431218</v>
      </c>
      <c r="Y74" s="21">
        <f t="shared" si="291"/>
        <v>6144</v>
      </c>
      <c r="Z74" s="21">
        <f t="shared" si="291"/>
        <v>0</v>
      </c>
      <c r="AA74" s="21">
        <f t="shared" si="291"/>
        <v>404551</v>
      </c>
      <c r="AB74" s="21">
        <f t="shared" si="291"/>
        <v>0</v>
      </c>
      <c r="AC74" s="21">
        <f t="shared" si="291"/>
        <v>99954</v>
      </c>
      <c r="AD74" s="21">
        <f t="shared" si="291"/>
        <v>1298195</v>
      </c>
      <c r="AE74" s="21">
        <f t="shared" si="291"/>
        <v>193677</v>
      </c>
      <c r="AF74" s="21">
        <f t="shared" si="291"/>
        <v>530493</v>
      </c>
      <c r="AG74" s="21">
        <f t="shared" si="291"/>
        <v>0</v>
      </c>
      <c r="AH74" s="193">
        <f t="shared" si="291"/>
        <v>1000</v>
      </c>
      <c r="AI74" s="21">
        <f t="shared" si="291"/>
        <v>12200</v>
      </c>
      <c r="AJ74" s="193">
        <f t="shared" si="291"/>
        <v>63416</v>
      </c>
      <c r="AK74" s="193">
        <f t="shared" si="291"/>
        <v>-50000</v>
      </c>
      <c r="AL74" s="193">
        <f t="shared" si="291"/>
        <v>227375</v>
      </c>
      <c r="AM74" s="193">
        <f t="shared" si="291"/>
        <v>64200</v>
      </c>
      <c r="AN74" s="21">
        <f t="shared" si="291"/>
        <v>132644</v>
      </c>
      <c r="AO74" s="21">
        <f t="shared" si="291"/>
        <v>577082</v>
      </c>
      <c r="AP74" s="193">
        <f t="shared" si="291"/>
        <v>3278061.5999999996</v>
      </c>
      <c r="AQ74" s="21">
        <f t="shared" ref="AQ74:BT74" si="292">SUM(AQ72-AQ73)</f>
        <v>0</v>
      </c>
      <c r="AR74" s="21">
        <f t="shared" si="292"/>
        <v>0</v>
      </c>
      <c r="AS74" s="21">
        <f t="shared" si="292"/>
        <v>0</v>
      </c>
      <c r="AT74" s="21">
        <f t="shared" si="292"/>
        <v>0</v>
      </c>
      <c r="AU74" s="21">
        <f t="shared" si="292"/>
        <v>0</v>
      </c>
      <c r="AV74" s="21">
        <f t="shared" si="292"/>
        <v>0</v>
      </c>
      <c r="AW74" s="21">
        <f t="shared" si="292"/>
        <v>0</v>
      </c>
      <c r="AX74" s="21">
        <f t="shared" si="292"/>
        <v>0</v>
      </c>
      <c r="AY74" s="21">
        <f t="shared" si="292"/>
        <v>0</v>
      </c>
      <c r="AZ74" s="193">
        <f t="shared" si="292"/>
        <v>0</v>
      </c>
      <c r="BA74" s="193">
        <f t="shared" si="292"/>
        <v>0</v>
      </c>
      <c r="BB74" s="193">
        <f t="shared" si="292"/>
        <v>0</v>
      </c>
      <c r="BC74" s="193">
        <f t="shared" si="292"/>
        <v>0</v>
      </c>
      <c r="BD74" s="193">
        <f t="shared" si="292"/>
        <v>0</v>
      </c>
      <c r="BE74" s="193">
        <f t="shared" ref="BE74" si="293">SUM(BE72-BE73)</f>
        <v>0</v>
      </c>
      <c r="BF74" s="193">
        <f t="shared" si="292"/>
        <v>0</v>
      </c>
      <c r="BG74" s="193">
        <f t="shared" si="292"/>
        <v>0</v>
      </c>
      <c r="BH74" s="193">
        <f t="shared" si="292"/>
        <v>0</v>
      </c>
      <c r="BI74" s="193">
        <f t="shared" si="292"/>
        <v>0</v>
      </c>
      <c r="BJ74" s="193">
        <f t="shared" si="292"/>
        <v>0</v>
      </c>
      <c r="BK74" s="193">
        <f t="shared" si="292"/>
        <v>0</v>
      </c>
      <c r="BL74" s="193">
        <f t="shared" si="292"/>
        <v>0</v>
      </c>
      <c r="BM74" s="193">
        <f t="shared" si="292"/>
        <v>0</v>
      </c>
      <c r="BN74" s="193">
        <f t="shared" si="292"/>
        <v>0</v>
      </c>
      <c r="BO74" s="193">
        <f t="shared" si="292"/>
        <v>0</v>
      </c>
      <c r="BP74" s="193">
        <f t="shared" si="292"/>
        <v>0</v>
      </c>
      <c r="BQ74" s="193">
        <f t="shared" si="292"/>
        <v>0</v>
      </c>
      <c r="BR74" s="193">
        <f t="shared" si="292"/>
        <v>0</v>
      </c>
      <c r="BS74" s="193">
        <f t="shared" si="292"/>
        <v>0</v>
      </c>
      <c r="BT74" s="193">
        <f t="shared" si="292"/>
        <v>3278061.5999999996</v>
      </c>
    </row>
    <row r="75" spans="1:72" x14ac:dyDescent="0.25">
      <c r="B75" s="21"/>
    </row>
    <row r="76" spans="1:72" x14ac:dyDescent="0.25">
      <c r="B76" s="21"/>
    </row>
    <row r="77" spans="1:72" x14ac:dyDescent="0.25">
      <c r="B77" s="21"/>
    </row>
    <row r="78" spans="1:72" x14ac:dyDescent="0.25">
      <c r="B78" s="21"/>
    </row>
    <row r="79" spans="1:72" x14ac:dyDescent="0.25">
      <c r="B79" s="21"/>
    </row>
    <row r="80" spans="1:72" x14ac:dyDescent="0.25">
      <c r="B80" s="21"/>
    </row>
    <row r="81" spans="2:2" x14ac:dyDescent="0.25">
      <c r="B81" s="21"/>
    </row>
    <row r="82" spans="2:2" x14ac:dyDescent="0.25">
      <c r="B82" s="21"/>
    </row>
    <row r="83" spans="2:2" x14ac:dyDescent="0.25">
      <c r="B83" s="21"/>
    </row>
    <row r="84" spans="2:2" x14ac:dyDescent="0.25">
      <c r="B84" s="21"/>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row r="92" spans="2:2" x14ac:dyDescent="0.25">
      <c r="B92" s="21"/>
    </row>
    <row r="93" spans="2:2" x14ac:dyDescent="0.25">
      <c r="B93" s="21"/>
    </row>
    <row r="94" spans="2:2" x14ac:dyDescent="0.25">
      <c r="B94" s="21"/>
    </row>
    <row r="95" spans="2:2" x14ac:dyDescent="0.25">
      <c r="B95" s="21"/>
    </row>
    <row r="96" spans="2:2" x14ac:dyDescent="0.25">
      <c r="B96" s="21"/>
    </row>
    <row r="97" spans="2:2" x14ac:dyDescent="0.25">
      <c r="B97" s="21"/>
    </row>
    <row r="98" spans="2:2" x14ac:dyDescent="0.25">
      <c r="B98" s="21"/>
    </row>
    <row r="99" spans="2:2" x14ac:dyDescent="0.25">
      <c r="B99" s="21"/>
    </row>
    <row r="100" spans="2:2" x14ac:dyDescent="0.25">
      <c r="B100" s="21"/>
    </row>
    <row r="101" spans="2:2" x14ac:dyDescent="0.25">
      <c r="B101" s="21"/>
    </row>
    <row r="102" spans="2:2" x14ac:dyDescent="0.25">
      <c r="B102" s="21"/>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21"/>
    </row>
    <row r="114" spans="2:2" x14ac:dyDescent="0.25">
      <c r="B114" s="21"/>
    </row>
    <row r="115" spans="2:2" x14ac:dyDescent="0.25">
      <c r="B115" s="21"/>
    </row>
    <row r="116" spans="2:2" x14ac:dyDescent="0.25">
      <c r="B116" s="21"/>
    </row>
    <row r="117" spans="2:2" x14ac:dyDescent="0.25">
      <c r="B117" s="21"/>
    </row>
    <row r="118" spans="2:2" x14ac:dyDescent="0.25">
      <c r="B118" s="21"/>
    </row>
    <row r="119" spans="2:2" x14ac:dyDescent="0.25">
      <c r="B119" s="21"/>
    </row>
    <row r="120" spans="2:2" x14ac:dyDescent="0.25">
      <c r="B120" s="21"/>
    </row>
    <row r="121" spans="2:2" x14ac:dyDescent="0.25">
      <c r="B121" s="21"/>
    </row>
    <row r="122" spans="2:2" x14ac:dyDescent="0.25">
      <c r="B122" s="21"/>
    </row>
    <row r="123" spans="2:2" x14ac:dyDescent="0.25">
      <c r="B123" s="21"/>
    </row>
    <row r="124" spans="2:2" x14ac:dyDescent="0.25">
      <c r="B124" s="21"/>
    </row>
    <row r="125" spans="2:2" x14ac:dyDescent="0.25">
      <c r="B125" s="21"/>
    </row>
    <row r="126" spans="2:2" x14ac:dyDescent="0.25">
      <c r="B126" s="21"/>
    </row>
    <row r="127" spans="2:2" x14ac:dyDescent="0.25">
      <c r="B127" s="21"/>
    </row>
    <row r="128" spans="2:2" x14ac:dyDescent="0.25">
      <c r="B128" s="21"/>
    </row>
    <row r="129" spans="2:2" x14ac:dyDescent="0.25">
      <c r="B129" s="21"/>
    </row>
    <row r="130" spans="2:2" x14ac:dyDescent="0.25">
      <c r="B130" s="21"/>
    </row>
    <row r="131" spans="2:2" x14ac:dyDescent="0.25">
      <c r="B131" s="21"/>
    </row>
    <row r="132" spans="2:2" x14ac:dyDescent="0.25">
      <c r="B132" s="21"/>
    </row>
    <row r="133" spans="2:2" x14ac:dyDescent="0.25">
      <c r="B133" s="21"/>
    </row>
    <row r="134" spans="2:2" x14ac:dyDescent="0.25">
      <c r="B134" s="21"/>
    </row>
    <row r="135" spans="2:2" x14ac:dyDescent="0.25">
      <c r="B135" s="21"/>
    </row>
    <row r="136" spans="2:2" x14ac:dyDescent="0.25">
      <c r="B136" s="21"/>
    </row>
    <row r="137" spans="2:2" x14ac:dyDescent="0.25">
      <c r="B137" s="21"/>
    </row>
    <row r="138" spans="2:2" x14ac:dyDescent="0.25">
      <c r="B138" s="21"/>
    </row>
    <row r="139" spans="2:2" x14ac:dyDescent="0.25">
      <c r="B139" s="21"/>
    </row>
    <row r="140" spans="2:2" x14ac:dyDescent="0.25">
      <c r="B140" s="21"/>
    </row>
    <row r="141" spans="2:2" x14ac:dyDescent="0.25">
      <c r="B141" s="21"/>
    </row>
    <row r="142" spans="2:2" x14ac:dyDescent="0.25">
      <c r="B142" s="21"/>
    </row>
    <row r="143" spans="2:2" x14ac:dyDescent="0.25">
      <c r="B143" s="21"/>
    </row>
    <row r="144" spans="2:2" x14ac:dyDescent="0.25">
      <c r="B144" s="21"/>
    </row>
    <row r="145" spans="2:2" x14ac:dyDescent="0.25">
      <c r="B145" s="21"/>
    </row>
    <row r="146" spans="2:2" x14ac:dyDescent="0.25">
      <c r="B146" s="21"/>
    </row>
    <row r="147" spans="2:2" x14ac:dyDescent="0.25">
      <c r="B147" s="21"/>
    </row>
    <row r="148" spans="2:2" x14ac:dyDescent="0.25">
      <c r="B148" s="21"/>
    </row>
    <row r="149" spans="2:2" x14ac:dyDescent="0.25">
      <c r="B149" s="21"/>
    </row>
    <row r="150" spans="2:2" x14ac:dyDescent="0.25">
      <c r="B150" s="21"/>
    </row>
    <row r="151" spans="2:2" x14ac:dyDescent="0.25">
      <c r="B151" s="21"/>
    </row>
    <row r="152" spans="2:2" x14ac:dyDescent="0.25">
      <c r="B152" s="21"/>
    </row>
    <row r="153" spans="2:2" x14ac:dyDescent="0.25">
      <c r="B153" s="21"/>
    </row>
    <row r="154" spans="2:2" x14ac:dyDescent="0.25">
      <c r="B154" s="21"/>
    </row>
    <row r="155" spans="2:2" x14ac:dyDescent="0.25">
      <c r="B155" s="21"/>
    </row>
    <row r="156" spans="2:2" x14ac:dyDescent="0.25">
      <c r="B156" s="21"/>
    </row>
    <row r="157" spans="2:2" x14ac:dyDescent="0.25">
      <c r="B157" s="21"/>
    </row>
    <row r="158" spans="2:2" x14ac:dyDescent="0.25">
      <c r="B158" s="21"/>
    </row>
    <row r="159" spans="2:2" x14ac:dyDescent="0.25">
      <c r="B159" s="21"/>
    </row>
    <row r="160" spans="2:2" x14ac:dyDescent="0.25">
      <c r="B160" s="21"/>
    </row>
    <row r="161" spans="2:2" x14ac:dyDescent="0.25">
      <c r="B161" s="21"/>
    </row>
    <row r="162" spans="2:2" x14ac:dyDescent="0.25">
      <c r="B162" s="21"/>
    </row>
    <row r="163" spans="2:2" x14ac:dyDescent="0.25">
      <c r="B163" s="21"/>
    </row>
    <row r="164" spans="2:2" x14ac:dyDescent="0.25">
      <c r="B164" s="21"/>
    </row>
    <row r="165" spans="2:2" x14ac:dyDescent="0.25">
      <c r="B165" s="21"/>
    </row>
    <row r="166" spans="2:2" x14ac:dyDescent="0.25">
      <c r="B166" s="21"/>
    </row>
    <row r="167" spans="2:2" x14ac:dyDescent="0.25">
      <c r="B167" s="21"/>
    </row>
    <row r="168" spans="2:2" x14ac:dyDescent="0.25">
      <c r="B168" s="21"/>
    </row>
    <row r="169" spans="2:2" x14ac:dyDescent="0.25">
      <c r="B169" s="21"/>
    </row>
    <row r="170" spans="2:2" x14ac:dyDescent="0.25">
      <c r="B170" s="21"/>
    </row>
    <row r="171" spans="2:2" x14ac:dyDescent="0.25">
      <c r="B171" s="21"/>
    </row>
    <row r="172" spans="2:2" x14ac:dyDescent="0.25">
      <c r="B172" s="21"/>
    </row>
    <row r="173" spans="2:2" x14ac:dyDescent="0.25">
      <c r="B173" s="21"/>
    </row>
    <row r="174" spans="2:2" x14ac:dyDescent="0.25">
      <c r="B174" s="21"/>
    </row>
    <row r="175" spans="2:2" x14ac:dyDescent="0.25">
      <c r="B175" s="21"/>
    </row>
    <row r="176" spans="2:2" x14ac:dyDescent="0.25">
      <c r="B176" s="21"/>
    </row>
    <row r="177" spans="2:2" x14ac:dyDescent="0.25">
      <c r="B177" s="21"/>
    </row>
    <row r="178" spans="2:2" x14ac:dyDescent="0.25">
      <c r="B178" s="21"/>
    </row>
    <row r="179" spans="2:2" x14ac:dyDescent="0.25">
      <c r="B179" s="21"/>
    </row>
    <row r="180" spans="2:2" x14ac:dyDescent="0.25">
      <c r="B180" s="21"/>
    </row>
    <row r="181" spans="2:2" x14ac:dyDescent="0.25">
      <c r="B181" s="21"/>
    </row>
    <row r="182" spans="2:2" x14ac:dyDescent="0.25">
      <c r="B182" s="21"/>
    </row>
    <row r="183" spans="2:2" x14ac:dyDescent="0.25">
      <c r="B183" s="21"/>
    </row>
    <row r="184" spans="2:2" x14ac:dyDescent="0.25">
      <c r="B184" s="21"/>
    </row>
    <row r="185" spans="2:2" x14ac:dyDescent="0.25">
      <c r="B185" s="21"/>
    </row>
    <row r="186" spans="2:2" x14ac:dyDescent="0.25">
      <c r="B186" s="21"/>
    </row>
    <row r="187" spans="2:2" x14ac:dyDescent="0.25">
      <c r="B187" s="21"/>
    </row>
    <row r="188" spans="2:2" x14ac:dyDescent="0.25">
      <c r="B188" s="21"/>
    </row>
    <row r="189" spans="2:2" x14ac:dyDescent="0.25">
      <c r="B189" s="21"/>
    </row>
    <row r="190" spans="2:2" x14ac:dyDescent="0.25">
      <c r="B190" s="21"/>
    </row>
    <row r="191" spans="2:2" x14ac:dyDescent="0.25">
      <c r="B191" s="21"/>
    </row>
    <row r="192" spans="2:2" x14ac:dyDescent="0.25">
      <c r="B192" s="21"/>
    </row>
    <row r="193" spans="2:2" x14ac:dyDescent="0.25">
      <c r="B193" s="21"/>
    </row>
    <row r="194" spans="2:2" x14ac:dyDescent="0.25">
      <c r="B194" s="21"/>
    </row>
    <row r="195" spans="2:2" x14ac:dyDescent="0.25">
      <c r="B195" s="21"/>
    </row>
    <row r="196" spans="2:2" x14ac:dyDescent="0.25">
      <c r="B196" s="21"/>
    </row>
    <row r="197" spans="2:2" x14ac:dyDescent="0.25">
      <c r="B197" s="21"/>
    </row>
    <row r="198" spans="2:2" x14ac:dyDescent="0.25">
      <c r="B198" s="21"/>
    </row>
    <row r="199" spans="2:2" x14ac:dyDescent="0.25">
      <c r="B199" s="21"/>
    </row>
    <row r="200" spans="2:2" x14ac:dyDescent="0.25">
      <c r="B200" s="21"/>
    </row>
    <row r="201" spans="2:2" x14ac:dyDescent="0.25">
      <c r="B201" s="21"/>
    </row>
    <row r="202" spans="2:2" x14ac:dyDescent="0.25">
      <c r="B202" s="21"/>
    </row>
    <row r="203" spans="2:2" x14ac:dyDescent="0.25">
      <c r="B203" s="21"/>
    </row>
    <row r="204" spans="2:2" x14ac:dyDescent="0.25">
      <c r="B204" s="21"/>
    </row>
    <row r="205" spans="2:2" x14ac:dyDescent="0.25">
      <c r="B205" s="21"/>
    </row>
    <row r="206" spans="2:2" x14ac:dyDescent="0.25">
      <c r="B206" s="21"/>
    </row>
    <row r="207" spans="2:2" x14ac:dyDescent="0.25">
      <c r="B207" s="21"/>
    </row>
    <row r="208" spans="2:2" x14ac:dyDescent="0.25">
      <c r="B208" s="21"/>
    </row>
    <row r="209" spans="2:2" x14ac:dyDescent="0.25">
      <c r="B209" s="21"/>
    </row>
    <row r="210" spans="2:2" x14ac:dyDescent="0.25">
      <c r="B210" s="21"/>
    </row>
    <row r="211" spans="2:2" x14ac:dyDescent="0.25">
      <c r="B211" s="21"/>
    </row>
    <row r="212" spans="2:2" x14ac:dyDescent="0.25">
      <c r="B212" s="21"/>
    </row>
    <row r="213" spans="2:2" x14ac:dyDescent="0.25">
      <c r="B213" s="21"/>
    </row>
    <row r="214" spans="2:2" x14ac:dyDescent="0.25">
      <c r="B214" s="21"/>
    </row>
    <row r="215" spans="2:2" x14ac:dyDescent="0.25">
      <c r="B215" s="21"/>
    </row>
    <row r="216" spans="2:2" x14ac:dyDescent="0.25">
      <c r="B216" s="21"/>
    </row>
    <row r="217" spans="2:2" x14ac:dyDescent="0.25">
      <c r="B217" s="21"/>
    </row>
    <row r="218" spans="2:2" x14ac:dyDescent="0.25">
      <c r="B218" s="21"/>
    </row>
    <row r="219" spans="2:2" x14ac:dyDescent="0.25">
      <c r="B219" s="21"/>
    </row>
    <row r="220" spans="2:2" x14ac:dyDescent="0.25">
      <c r="B220" s="21"/>
    </row>
    <row r="221" spans="2:2" x14ac:dyDescent="0.25">
      <c r="B221" s="21"/>
    </row>
    <row r="222" spans="2:2" x14ac:dyDescent="0.25">
      <c r="B222" s="21"/>
    </row>
    <row r="223" spans="2:2" x14ac:dyDescent="0.25">
      <c r="B223" s="21"/>
    </row>
    <row r="224" spans="2:2" x14ac:dyDescent="0.25">
      <c r="B224" s="21"/>
    </row>
    <row r="225" spans="2:2" x14ac:dyDescent="0.25">
      <c r="B225" s="21"/>
    </row>
    <row r="226" spans="2:2" x14ac:dyDescent="0.25">
      <c r="B226" s="21"/>
    </row>
    <row r="227" spans="2:2" x14ac:dyDescent="0.25">
      <c r="B227" s="21"/>
    </row>
    <row r="228" spans="2:2" x14ac:dyDescent="0.25">
      <c r="B228" s="21"/>
    </row>
    <row r="229" spans="2:2" x14ac:dyDescent="0.25">
      <c r="B229" s="21"/>
    </row>
    <row r="230" spans="2:2" x14ac:dyDescent="0.25">
      <c r="B230" s="21"/>
    </row>
    <row r="231" spans="2:2" x14ac:dyDescent="0.25">
      <c r="B231" s="21"/>
    </row>
    <row r="232" spans="2:2" x14ac:dyDescent="0.25">
      <c r="B232" s="21"/>
    </row>
    <row r="233" spans="2:2" x14ac:dyDescent="0.25">
      <c r="B233" s="21"/>
    </row>
    <row r="234" spans="2:2" x14ac:dyDescent="0.25">
      <c r="B234" s="21"/>
    </row>
    <row r="235" spans="2:2" x14ac:dyDescent="0.25">
      <c r="B235" s="21"/>
    </row>
    <row r="236" spans="2:2" x14ac:dyDescent="0.25">
      <c r="B236" s="21"/>
    </row>
    <row r="237" spans="2:2" x14ac:dyDescent="0.25">
      <c r="B237" s="21"/>
    </row>
    <row r="238" spans="2:2" x14ac:dyDescent="0.25">
      <c r="B238" s="21"/>
    </row>
    <row r="239" spans="2:2" x14ac:dyDescent="0.25">
      <c r="B239" s="21"/>
    </row>
    <row r="240" spans="2:2" x14ac:dyDescent="0.25">
      <c r="B240" s="21"/>
    </row>
    <row r="241" spans="2:2" x14ac:dyDescent="0.25">
      <c r="B241" s="21"/>
    </row>
    <row r="242" spans="2:2" x14ac:dyDescent="0.25">
      <c r="B242" s="21"/>
    </row>
    <row r="243" spans="2:2" x14ac:dyDescent="0.25">
      <c r="B243" s="21"/>
    </row>
    <row r="244" spans="2:2" x14ac:dyDescent="0.25">
      <c r="B244" s="21"/>
    </row>
    <row r="245" spans="2:2" x14ac:dyDescent="0.25">
      <c r="B245" s="21"/>
    </row>
    <row r="246" spans="2:2" x14ac:dyDescent="0.25">
      <c r="B246" s="21"/>
    </row>
    <row r="247" spans="2:2" x14ac:dyDescent="0.25">
      <c r="B247" s="21"/>
    </row>
    <row r="248" spans="2:2" x14ac:dyDescent="0.25">
      <c r="B248" s="21"/>
    </row>
    <row r="249" spans="2:2" x14ac:dyDescent="0.25">
      <c r="B249" s="21"/>
    </row>
    <row r="250" spans="2:2" x14ac:dyDescent="0.25">
      <c r="B250" s="21"/>
    </row>
    <row r="251" spans="2:2" x14ac:dyDescent="0.25">
      <c r="B251" s="21"/>
    </row>
    <row r="252" spans="2:2" x14ac:dyDescent="0.25">
      <c r="B252" s="21"/>
    </row>
    <row r="253" spans="2:2" x14ac:dyDescent="0.25">
      <c r="B253" s="21"/>
    </row>
    <row r="254" spans="2:2" x14ac:dyDescent="0.25">
      <c r="B254" s="21"/>
    </row>
    <row r="255" spans="2:2" x14ac:dyDescent="0.25">
      <c r="B255" s="21"/>
    </row>
    <row r="256" spans="2:2" x14ac:dyDescent="0.25">
      <c r="B256" s="21"/>
    </row>
    <row r="257" spans="2:2" x14ac:dyDescent="0.25">
      <c r="B257" s="21"/>
    </row>
    <row r="258" spans="2:2" x14ac:dyDescent="0.25">
      <c r="B258" s="21"/>
    </row>
    <row r="259" spans="2:2" x14ac:dyDescent="0.25">
      <c r="B259" s="21"/>
    </row>
    <row r="260" spans="2:2" x14ac:dyDescent="0.25">
      <c r="B260" s="21"/>
    </row>
    <row r="261" spans="2:2" x14ac:dyDescent="0.25">
      <c r="B261" s="21"/>
    </row>
    <row r="262" spans="2:2" x14ac:dyDescent="0.25">
      <c r="B262" s="21"/>
    </row>
    <row r="263" spans="2:2" x14ac:dyDescent="0.25">
      <c r="B263" s="21"/>
    </row>
    <row r="264" spans="2:2" x14ac:dyDescent="0.25">
      <c r="B264" s="21"/>
    </row>
    <row r="265" spans="2:2" x14ac:dyDescent="0.25">
      <c r="B265" s="21"/>
    </row>
    <row r="266" spans="2:2" x14ac:dyDescent="0.25">
      <c r="B266" s="21"/>
    </row>
    <row r="267" spans="2:2" x14ac:dyDescent="0.25">
      <c r="B267" s="21"/>
    </row>
    <row r="268" spans="2:2" x14ac:dyDescent="0.25">
      <c r="B268" s="21"/>
    </row>
    <row r="269" spans="2:2" x14ac:dyDescent="0.25">
      <c r="B269" s="21"/>
    </row>
    <row r="270" spans="2:2" x14ac:dyDescent="0.25">
      <c r="B270" s="21"/>
    </row>
    <row r="271" spans="2:2" x14ac:dyDescent="0.25">
      <c r="B271" s="21"/>
    </row>
    <row r="272" spans="2:2" x14ac:dyDescent="0.25">
      <c r="B272" s="21"/>
    </row>
    <row r="273" spans="2:2" x14ac:dyDescent="0.25">
      <c r="B273" s="21"/>
    </row>
    <row r="274" spans="2:2" x14ac:dyDescent="0.25">
      <c r="B274" s="21"/>
    </row>
    <row r="275" spans="2:2" x14ac:dyDescent="0.25">
      <c r="B275" s="21"/>
    </row>
    <row r="276" spans="2:2" x14ac:dyDescent="0.25">
      <c r="B276" s="21"/>
    </row>
    <row r="277" spans="2:2" x14ac:dyDescent="0.25">
      <c r="B277" s="21"/>
    </row>
    <row r="278" spans="2:2" x14ac:dyDescent="0.25">
      <c r="B278" s="21"/>
    </row>
    <row r="279" spans="2:2" x14ac:dyDescent="0.25">
      <c r="B279" s="21"/>
    </row>
    <row r="280" spans="2:2" x14ac:dyDescent="0.25">
      <c r="B280" s="21"/>
    </row>
    <row r="281" spans="2:2" x14ac:dyDescent="0.25">
      <c r="B281" s="21"/>
    </row>
    <row r="282" spans="2:2" x14ac:dyDescent="0.25">
      <c r="B282" s="21"/>
    </row>
    <row r="283" spans="2:2" x14ac:dyDescent="0.25">
      <c r="B283" s="21"/>
    </row>
    <row r="284" spans="2:2" x14ac:dyDescent="0.25">
      <c r="B284" s="21"/>
    </row>
    <row r="285" spans="2:2" x14ac:dyDescent="0.25">
      <c r="B285" s="21"/>
    </row>
    <row r="286" spans="2:2" x14ac:dyDescent="0.25">
      <c r="B286" s="21"/>
    </row>
    <row r="287" spans="2:2" x14ac:dyDescent="0.25">
      <c r="B287" s="21"/>
    </row>
    <row r="288" spans="2:2" x14ac:dyDescent="0.25">
      <c r="B288" s="21"/>
    </row>
    <row r="289" spans="2:2" x14ac:dyDescent="0.25">
      <c r="B289" s="21"/>
    </row>
    <row r="290" spans="2:2" x14ac:dyDescent="0.25">
      <c r="B290" s="21"/>
    </row>
    <row r="291" spans="2:2" x14ac:dyDescent="0.25">
      <c r="B291" s="21"/>
    </row>
    <row r="292" spans="2:2" x14ac:dyDescent="0.25">
      <c r="B292" s="21"/>
    </row>
    <row r="293" spans="2:2" x14ac:dyDescent="0.25">
      <c r="B293" s="21"/>
    </row>
    <row r="294" spans="2:2" x14ac:dyDescent="0.25">
      <c r="B294" s="21"/>
    </row>
    <row r="295" spans="2:2" x14ac:dyDescent="0.25">
      <c r="B295" s="21"/>
    </row>
    <row r="296" spans="2:2" x14ac:dyDescent="0.25">
      <c r="B296" s="21"/>
    </row>
    <row r="297" spans="2:2" x14ac:dyDescent="0.25">
      <c r="B297" s="21"/>
    </row>
    <row r="298" spans="2:2" x14ac:dyDescent="0.25">
      <c r="B298" s="21"/>
    </row>
    <row r="299" spans="2:2" x14ac:dyDescent="0.25">
      <c r="B299" s="21"/>
    </row>
    <row r="300" spans="2:2" x14ac:dyDescent="0.25">
      <c r="B300" s="21"/>
    </row>
    <row r="301" spans="2:2" x14ac:dyDescent="0.25">
      <c r="B301" s="21"/>
    </row>
    <row r="302" spans="2:2" x14ac:dyDescent="0.25">
      <c r="B302" s="21"/>
    </row>
    <row r="303" spans="2:2" x14ac:dyDescent="0.25">
      <c r="B303" s="21"/>
    </row>
    <row r="304" spans="2:2" x14ac:dyDescent="0.25">
      <c r="B304" s="21"/>
    </row>
    <row r="305" spans="2:2" x14ac:dyDescent="0.25">
      <c r="B305" s="21"/>
    </row>
    <row r="306" spans="2:2" x14ac:dyDescent="0.25">
      <c r="B306" s="21"/>
    </row>
    <row r="307" spans="2:2" x14ac:dyDescent="0.25">
      <c r="B307" s="21"/>
    </row>
    <row r="308" spans="2:2" x14ac:dyDescent="0.25">
      <c r="B308" s="21"/>
    </row>
    <row r="309" spans="2:2" x14ac:dyDescent="0.25">
      <c r="B309" s="21"/>
    </row>
    <row r="310" spans="2:2" x14ac:dyDescent="0.25">
      <c r="B310" s="21"/>
    </row>
    <row r="311" spans="2:2" x14ac:dyDescent="0.25">
      <c r="B311" s="21"/>
    </row>
    <row r="312" spans="2:2" x14ac:dyDescent="0.25">
      <c r="B312" s="21"/>
    </row>
    <row r="313" spans="2:2" x14ac:dyDescent="0.25">
      <c r="B313" s="21"/>
    </row>
    <row r="314" spans="2:2" x14ac:dyDescent="0.25">
      <c r="B314" s="21"/>
    </row>
    <row r="315" spans="2:2" x14ac:dyDescent="0.25">
      <c r="B315" s="21"/>
    </row>
    <row r="316" spans="2:2" x14ac:dyDescent="0.25">
      <c r="B316" s="21"/>
    </row>
    <row r="317" spans="2:2" x14ac:dyDescent="0.25">
      <c r="B317" s="21"/>
    </row>
    <row r="318" spans="2:2" x14ac:dyDescent="0.25">
      <c r="B318" s="21"/>
    </row>
    <row r="319" spans="2:2" x14ac:dyDescent="0.25">
      <c r="B319" s="21"/>
    </row>
    <row r="320" spans="2:2" x14ac:dyDescent="0.25">
      <c r="B320" s="21"/>
    </row>
    <row r="321" spans="2:2" x14ac:dyDescent="0.25">
      <c r="B321" s="21"/>
    </row>
    <row r="322" spans="2:2" x14ac:dyDescent="0.25">
      <c r="B322" s="21"/>
    </row>
    <row r="323" spans="2:2" x14ac:dyDescent="0.25">
      <c r="B323" s="21"/>
    </row>
    <row r="324" spans="2:2" x14ac:dyDescent="0.25">
      <c r="B324" s="21"/>
    </row>
    <row r="325" spans="2:2" x14ac:dyDescent="0.25">
      <c r="B325" s="21"/>
    </row>
    <row r="326" spans="2:2" x14ac:dyDescent="0.25">
      <c r="B326" s="21"/>
    </row>
    <row r="327" spans="2:2" x14ac:dyDescent="0.25">
      <c r="B327" s="21"/>
    </row>
    <row r="328" spans="2:2" x14ac:dyDescent="0.25">
      <c r="B328" s="21"/>
    </row>
    <row r="329" spans="2:2" x14ac:dyDescent="0.25">
      <c r="B329" s="21"/>
    </row>
    <row r="330" spans="2:2" x14ac:dyDescent="0.25">
      <c r="B330" s="21"/>
    </row>
    <row r="331" spans="2:2" x14ac:dyDescent="0.25">
      <c r="B331" s="21"/>
    </row>
    <row r="332" spans="2:2" x14ac:dyDescent="0.25">
      <c r="B332" s="21"/>
    </row>
    <row r="333" spans="2:2" x14ac:dyDescent="0.25">
      <c r="B333" s="21"/>
    </row>
    <row r="334" spans="2:2" x14ac:dyDescent="0.25">
      <c r="B334" s="21"/>
    </row>
    <row r="335" spans="2:2" x14ac:dyDescent="0.25">
      <c r="B335" s="21"/>
    </row>
    <row r="336" spans="2:2" x14ac:dyDescent="0.25">
      <c r="B336" s="21"/>
    </row>
    <row r="337" spans="2:2" x14ac:dyDescent="0.25">
      <c r="B337" s="21"/>
    </row>
    <row r="338" spans="2:2" x14ac:dyDescent="0.25">
      <c r="B338" s="21"/>
    </row>
    <row r="339" spans="2:2" x14ac:dyDescent="0.25">
      <c r="B339" s="21"/>
    </row>
    <row r="340" spans="2:2" x14ac:dyDescent="0.25">
      <c r="B340" s="21"/>
    </row>
    <row r="341" spans="2:2" x14ac:dyDescent="0.25">
      <c r="B341" s="21"/>
    </row>
    <row r="342" spans="2:2" x14ac:dyDescent="0.25">
      <c r="B342" s="21"/>
    </row>
    <row r="343" spans="2:2" x14ac:dyDescent="0.25">
      <c r="B343" s="21"/>
    </row>
    <row r="344" spans="2:2" x14ac:dyDescent="0.25">
      <c r="B344" s="21"/>
    </row>
    <row r="345" spans="2:2" x14ac:dyDescent="0.25">
      <c r="B345" s="21"/>
    </row>
    <row r="346" spans="2:2" x14ac:dyDescent="0.25">
      <c r="B346" s="21"/>
    </row>
    <row r="347" spans="2:2" x14ac:dyDescent="0.25">
      <c r="B347" s="21"/>
    </row>
    <row r="348" spans="2:2" x14ac:dyDescent="0.25">
      <c r="B348" s="21"/>
    </row>
    <row r="349" spans="2:2" x14ac:dyDescent="0.25">
      <c r="B349" s="21"/>
    </row>
    <row r="350" spans="2:2" x14ac:dyDescent="0.25">
      <c r="B350" s="21"/>
    </row>
    <row r="351" spans="2:2" x14ac:dyDescent="0.25">
      <c r="B351" s="21"/>
    </row>
    <row r="352" spans="2:2" x14ac:dyDescent="0.25">
      <c r="B352" s="21"/>
    </row>
    <row r="353" spans="2:2" x14ac:dyDescent="0.25">
      <c r="B353" s="21"/>
    </row>
    <row r="354" spans="2:2" x14ac:dyDescent="0.25">
      <c r="B354" s="21"/>
    </row>
    <row r="355" spans="2:2" x14ac:dyDescent="0.25">
      <c r="B355" s="21"/>
    </row>
    <row r="356" spans="2:2" x14ac:dyDescent="0.25">
      <c r="B356" s="21"/>
    </row>
    <row r="357" spans="2:2" x14ac:dyDescent="0.25">
      <c r="B357" s="21"/>
    </row>
    <row r="358" spans="2:2" x14ac:dyDescent="0.25">
      <c r="B358" s="21"/>
    </row>
    <row r="359" spans="2:2" x14ac:dyDescent="0.25">
      <c r="B359" s="21"/>
    </row>
    <row r="360" spans="2:2" x14ac:dyDescent="0.25">
      <c r="B360" s="21"/>
    </row>
    <row r="361" spans="2:2" x14ac:dyDescent="0.25">
      <c r="B361" s="21"/>
    </row>
    <row r="362" spans="2:2" x14ac:dyDescent="0.25">
      <c r="B362" s="21"/>
    </row>
    <row r="363" spans="2:2" x14ac:dyDescent="0.25">
      <c r="B363" s="21"/>
    </row>
    <row r="364" spans="2:2" x14ac:dyDescent="0.25">
      <c r="B364" s="21"/>
    </row>
    <row r="365" spans="2:2" x14ac:dyDescent="0.25">
      <c r="B365" s="21"/>
    </row>
    <row r="366" spans="2:2" x14ac:dyDescent="0.25">
      <c r="B366" s="21"/>
    </row>
    <row r="367" spans="2:2" x14ac:dyDescent="0.25">
      <c r="B367" s="21"/>
    </row>
    <row r="368" spans="2:2" x14ac:dyDescent="0.25">
      <c r="B368" s="21"/>
    </row>
    <row r="369" spans="2:2" x14ac:dyDescent="0.25">
      <c r="B369" s="21"/>
    </row>
    <row r="370" spans="2:2" x14ac:dyDescent="0.25">
      <c r="B370" s="21"/>
    </row>
    <row r="371" spans="2:2" x14ac:dyDescent="0.25">
      <c r="B371" s="21"/>
    </row>
    <row r="372" spans="2:2" x14ac:dyDescent="0.25">
      <c r="B372" s="21"/>
    </row>
    <row r="373" spans="2:2" x14ac:dyDescent="0.25">
      <c r="B373" s="21"/>
    </row>
    <row r="374" spans="2:2" x14ac:dyDescent="0.25">
      <c r="B374" s="21"/>
    </row>
    <row r="375" spans="2:2" x14ac:dyDescent="0.25">
      <c r="B375" s="21"/>
    </row>
    <row r="376" spans="2:2" x14ac:dyDescent="0.25">
      <c r="B376" s="21"/>
    </row>
    <row r="377" spans="2:2" x14ac:dyDescent="0.25">
      <c r="B377" s="21"/>
    </row>
    <row r="378" spans="2:2" x14ac:dyDescent="0.25">
      <c r="B378" s="21"/>
    </row>
    <row r="379" spans="2:2" x14ac:dyDescent="0.25">
      <c r="B379" s="21"/>
    </row>
    <row r="380" spans="2:2" x14ac:dyDescent="0.25">
      <c r="B380" s="21"/>
    </row>
    <row r="381" spans="2:2" x14ac:dyDescent="0.25">
      <c r="B381" s="21"/>
    </row>
    <row r="382" spans="2:2" x14ac:dyDescent="0.25">
      <c r="B382" s="21"/>
    </row>
    <row r="383" spans="2:2" x14ac:dyDescent="0.25">
      <c r="B383" s="21"/>
    </row>
    <row r="384" spans="2:2" x14ac:dyDescent="0.25">
      <c r="B384" s="21"/>
    </row>
    <row r="385" spans="2:2" x14ac:dyDescent="0.25">
      <c r="B385" s="21"/>
    </row>
    <row r="386" spans="2:2" x14ac:dyDescent="0.25">
      <c r="B386" s="21"/>
    </row>
    <row r="387" spans="2:2" x14ac:dyDescent="0.25">
      <c r="B387" s="21"/>
    </row>
    <row r="388" spans="2:2" x14ac:dyDescent="0.25">
      <c r="B388" s="21"/>
    </row>
    <row r="389" spans="2:2" x14ac:dyDescent="0.25">
      <c r="B389" s="21"/>
    </row>
    <row r="390" spans="2:2" x14ac:dyDescent="0.25">
      <c r="B390" s="21"/>
    </row>
    <row r="391" spans="2:2" x14ac:dyDescent="0.25">
      <c r="B391" s="21"/>
    </row>
    <row r="392" spans="2:2" x14ac:dyDescent="0.25">
      <c r="B392" s="21"/>
    </row>
    <row r="393" spans="2:2" x14ac:dyDescent="0.25">
      <c r="B393" s="21"/>
    </row>
    <row r="394" spans="2:2" x14ac:dyDescent="0.25">
      <c r="B394" s="21"/>
    </row>
    <row r="395" spans="2:2" x14ac:dyDescent="0.25">
      <c r="B395" s="21"/>
    </row>
    <row r="396" spans="2:2" x14ac:dyDescent="0.25">
      <c r="B396" s="21"/>
    </row>
    <row r="397" spans="2:2" x14ac:dyDescent="0.25">
      <c r="B397" s="21"/>
    </row>
    <row r="398" spans="2:2" x14ac:dyDescent="0.25">
      <c r="B398" s="21"/>
    </row>
    <row r="399" spans="2:2" x14ac:dyDescent="0.25">
      <c r="B399" s="21"/>
    </row>
    <row r="400" spans="2:2" x14ac:dyDescent="0.25">
      <c r="B400" s="21"/>
    </row>
    <row r="401" spans="2:2" x14ac:dyDescent="0.25">
      <c r="B401" s="21"/>
    </row>
    <row r="402" spans="2:2" x14ac:dyDescent="0.25">
      <c r="B402" s="21"/>
    </row>
    <row r="403" spans="2:2" x14ac:dyDescent="0.25">
      <c r="B403" s="21"/>
    </row>
    <row r="404" spans="2:2" x14ac:dyDescent="0.25">
      <c r="B404" s="21"/>
    </row>
    <row r="405" spans="2:2" x14ac:dyDescent="0.25">
      <c r="B405" s="21"/>
    </row>
    <row r="406" spans="2:2" x14ac:dyDescent="0.25">
      <c r="B406" s="21"/>
    </row>
    <row r="407" spans="2:2" x14ac:dyDescent="0.25">
      <c r="B407" s="21"/>
    </row>
    <row r="408" spans="2:2" x14ac:dyDescent="0.25">
      <c r="B408" s="21"/>
    </row>
    <row r="409" spans="2:2" x14ac:dyDescent="0.25">
      <c r="B409" s="21"/>
    </row>
    <row r="410" spans="2:2" x14ac:dyDescent="0.25">
      <c r="B410" s="21"/>
    </row>
    <row r="411" spans="2:2" x14ac:dyDescent="0.25">
      <c r="B411" s="21"/>
    </row>
    <row r="412" spans="2:2" x14ac:dyDescent="0.25">
      <c r="B412" s="21"/>
    </row>
    <row r="413" spans="2:2" x14ac:dyDescent="0.25">
      <c r="B413" s="21"/>
    </row>
    <row r="414" spans="2:2" x14ac:dyDescent="0.25">
      <c r="B414" s="21"/>
    </row>
    <row r="415" spans="2:2" x14ac:dyDescent="0.25">
      <c r="B415" s="21"/>
    </row>
    <row r="416" spans="2:2" x14ac:dyDescent="0.25">
      <c r="B416" s="21"/>
    </row>
    <row r="417" spans="2:2" x14ac:dyDescent="0.25">
      <c r="B417" s="21"/>
    </row>
    <row r="418" spans="2:2" x14ac:dyDescent="0.25">
      <c r="B418" s="21"/>
    </row>
    <row r="419" spans="2:2" x14ac:dyDescent="0.25">
      <c r="B419" s="21"/>
    </row>
    <row r="420" spans="2:2" x14ac:dyDescent="0.25">
      <c r="B420" s="21"/>
    </row>
    <row r="421" spans="2:2" x14ac:dyDescent="0.25">
      <c r="B421" s="21"/>
    </row>
    <row r="422" spans="2:2" x14ac:dyDescent="0.25">
      <c r="B422" s="21"/>
    </row>
    <row r="423" spans="2:2" x14ac:dyDescent="0.25">
      <c r="B423" s="21"/>
    </row>
    <row r="424" spans="2:2" x14ac:dyDescent="0.25">
      <c r="B424" s="21"/>
    </row>
    <row r="425" spans="2:2" x14ac:dyDescent="0.25">
      <c r="B425" s="21"/>
    </row>
    <row r="426" spans="2:2" x14ac:dyDescent="0.25">
      <c r="B426" s="21"/>
    </row>
    <row r="427" spans="2:2" x14ac:dyDescent="0.25">
      <c r="B427" s="21"/>
    </row>
    <row r="428" spans="2:2" x14ac:dyDescent="0.25">
      <c r="B428" s="21"/>
    </row>
    <row r="429" spans="2:2" x14ac:dyDescent="0.25">
      <c r="B429" s="21"/>
    </row>
    <row r="430" spans="2:2" x14ac:dyDescent="0.25">
      <c r="B430" s="21"/>
    </row>
    <row r="431" spans="2:2" x14ac:dyDescent="0.25">
      <c r="B431" s="21"/>
    </row>
    <row r="432" spans="2:2" x14ac:dyDescent="0.25">
      <c r="B432" s="21"/>
    </row>
    <row r="433" spans="2:2" x14ac:dyDescent="0.25">
      <c r="B433" s="21"/>
    </row>
    <row r="434" spans="2:2" x14ac:dyDescent="0.25">
      <c r="B434" s="21"/>
    </row>
    <row r="435" spans="2:2" x14ac:dyDescent="0.25">
      <c r="B435" s="21"/>
    </row>
    <row r="436" spans="2:2" x14ac:dyDescent="0.25">
      <c r="B436" s="21"/>
    </row>
    <row r="437" spans="2:2" x14ac:dyDescent="0.25">
      <c r="B437" s="21"/>
    </row>
    <row r="438" spans="2:2" x14ac:dyDescent="0.25">
      <c r="B438" s="21"/>
    </row>
    <row r="439" spans="2:2" x14ac:dyDescent="0.25">
      <c r="B439" s="21"/>
    </row>
    <row r="440" spans="2:2" x14ac:dyDescent="0.25">
      <c r="B440" s="21"/>
    </row>
    <row r="441" spans="2:2" x14ac:dyDescent="0.25">
      <c r="B441" s="21"/>
    </row>
    <row r="442" spans="2:2" x14ac:dyDescent="0.25">
      <c r="B442" s="21"/>
    </row>
    <row r="443" spans="2:2" x14ac:dyDescent="0.25">
      <c r="B443" s="21"/>
    </row>
    <row r="444" spans="2:2" x14ac:dyDescent="0.25">
      <c r="B444" s="21"/>
    </row>
    <row r="445" spans="2:2" x14ac:dyDescent="0.25">
      <c r="B445" s="21"/>
    </row>
    <row r="446" spans="2:2" x14ac:dyDescent="0.25">
      <c r="B446" s="21"/>
    </row>
    <row r="447" spans="2:2" x14ac:dyDescent="0.25">
      <c r="B447" s="21"/>
    </row>
    <row r="448" spans="2:2" x14ac:dyDescent="0.25">
      <c r="B448" s="21"/>
    </row>
    <row r="449" spans="2:2" x14ac:dyDescent="0.25">
      <c r="B449" s="21"/>
    </row>
    <row r="450" spans="2:2" x14ac:dyDescent="0.25">
      <c r="B450" s="21"/>
    </row>
    <row r="451" spans="2:2" x14ac:dyDescent="0.25">
      <c r="B451" s="21"/>
    </row>
    <row r="452" spans="2:2" x14ac:dyDescent="0.25">
      <c r="B452" s="21"/>
    </row>
    <row r="453" spans="2:2" x14ac:dyDescent="0.25">
      <c r="B453" s="21"/>
    </row>
    <row r="454" spans="2:2" x14ac:dyDescent="0.25">
      <c r="B454" s="21"/>
    </row>
    <row r="455" spans="2:2" x14ac:dyDescent="0.25">
      <c r="B455" s="21"/>
    </row>
    <row r="456" spans="2:2" x14ac:dyDescent="0.25">
      <c r="B456" s="21"/>
    </row>
    <row r="457" spans="2:2" x14ac:dyDescent="0.25">
      <c r="B457" s="21"/>
    </row>
    <row r="458" spans="2:2" x14ac:dyDescent="0.25">
      <c r="B458" s="21"/>
    </row>
    <row r="459" spans="2:2" x14ac:dyDescent="0.25">
      <c r="B459" s="21"/>
    </row>
    <row r="460" spans="2:2" x14ac:dyDescent="0.25">
      <c r="B460" s="21"/>
    </row>
    <row r="461" spans="2:2" x14ac:dyDescent="0.25">
      <c r="B461" s="21"/>
    </row>
    <row r="462" spans="2:2" x14ac:dyDescent="0.25">
      <c r="B462" s="21"/>
    </row>
    <row r="463" spans="2:2" x14ac:dyDescent="0.25">
      <c r="B463" s="21"/>
    </row>
    <row r="464" spans="2:2" x14ac:dyDescent="0.25">
      <c r="B464" s="21"/>
    </row>
    <row r="465" spans="2:2" x14ac:dyDescent="0.25">
      <c r="B465" s="21"/>
    </row>
    <row r="466" spans="2:2" x14ac:dyDescent="0.25">
      <c r="B466" s="21"/>
    </row>
    <row r="467" spans="2:2" x14ac:dyDescent="0.25">
      <c r="B467" s="21"/>
    </row>
    <row r="468" spans="2:2" x14ac:dyDescent="0.25">
      <c r="B468" s="21"/>
    </row>
    <row r="469" spans="2:2" x14ac:dyDescent="0.25">
      <c r="B469" s="21"/>
    </row>
    <row r="470" spans="2:2" x14ac:dyDescent="0.25">
      <c r="B470" s="21"/>
    </row>
    <row r="471" spans="2:2" x14ac:dyDescent="0.25">
      <c r="B471" s="21"/>
    </row>
    <row r="472" spans="2:2" x14ac:dyDescent="0.25">
      <c r="B472" s="21"/>
    </row>
    <row r="473" spans="2:2" x14ac:dyDescent="0.25">
      <c r="B473" s="21"/>
    </row>
    <row r="474" spans="2:2" x14ac:dyDescent="0.25">
      <c r="B474" s="21"/>
    </row>
    <row r="475" spans="2:2" x14ac:dyDescent="0.25">
      <c r="B475" s="21"/>
    </row>
    <row r="476" spans="2:2" x14ac:dyDescent="0.25">
      <c r="B476" s="21"/>
    </row>
    <row r="477" spans="2:2" x14ac:dyDescent="0.25">
      <c r="B477" s="21"/>
    </row>
    <row r="478" spans="2:2" x14ac:dyDescent="0.25">
      <c r="B478" s="21"/>
    </row>
    <row r="479" spans="2:2" x14ac:dyDescent="0.25">
      <c r="B479" s="21"/>
    </row>
    <row r="480" spans="2:2" x14ac:dyDescent="0.25">
      <c r="B480" s="21"/>
    </row>
    <row r="481" spans="2:2" x14ac:dyDescent="0.25">
      <c r="B481" s="21"/>
    </row>
    <row r="482" spans="2:2" x14ac:dyDescent="0.25">
      <c r="B482" s="21"/>
    </row>
    <row r="483" spans="2:2" x14ac:dyDescent="0.25">
      <c r="B483" s="21"/>
    </row>
    <row r="484" spans="2:2" x14ac:dyDescent="0.25">
      <c r="B484" s="21"/>
    </row>
    <row r="485" spans="2:2" x14ac:dyDescent="0.25">
      <c r="B485" s="21"/>
    </row>
    <row r="486" spans="2:2" x14ac:dyDescent="0.25">
      <c r="B486" s="21"/>
    </row>
    <row r="487" spans="2:2" x14ac:dyDescent="0.25">
      <c r="B487" s="21"/>
    </row>
    <row r="488" spans="2:2" x14ac:dyDescent="0.25">
      <c r="B488" s="21"/>
    </row>
    <row r="489" spans="2:2" x14ac:dyDescent="0.25">
      <c r="B489" s="21"/>
    </row>
    <row r="490" spans="2:2" x14ac:dyDescent="0.25">
      <c r="B490" s="21"/>
    </row>
    <row r="491" spans="2:2" x14ac:dyDescent="0.25">
      <c r="B491" s="21"/>
    </row>
    <row r="492" spans="2:2" x14ac:dyDescent="0.25">
      <c r="B492" s="21"/>
    </row>
    <row r="493" spans="2:2" x14ac:dyDescent="0.25">
      <c r="B493" s="21"/>
    </row>
    <row r="494" spans="2:2" x14ac:dyDescent="0.25">
      <c r="B494" s="21"/>
    </row>
    <row r="495" spans="2:2" x14ac:dyDescent="0.25">
      <c r="B495" s="21"/>
    </row>
    <row r="496" spans="2:2" x14ac:dyDescent="0.25">
      <c r="B496" s="21"/>
    </row>
    <row r="497" spans="2:2" x14ac:dyDescent="0.25">
      <c r="B497" s="21"/>
    </row>
    <row r="498" spans="2:2" x14ac:dyDescent="0.25">
      <c r="B498" s="21"/>
    </row>
    <row r="499" spans="2:2" x14ac:dyDescent="0.25">
      <c r="B499" s="21"/>
    </row>
    <row r="500" spans="2:2" x14ac:dyDescent="0.25">
      <c r="B500" s="21"/>
    </row>
    <row r="501" spans="2:2" x14ac:dyDescent="0.25">
      <c r="B501" s="21"/>
    </row>
    <row r="502" spans="2:2" x14ac:dyDescent="0.25">
      <c r="B502" s="21"/>
    </row>
    <row r="503" spans="2:2" x14ac:dyDescent="0.25">
      <c r="B503" s="21"/>
    </row>
    <row r="504" spans="2:2" x14ac:dyDescent="0.25">
      <c r="B504" s="21"/>
    </row>
    <row r="505" spans="2:2" x14ac:dyDescent="0.25">
      <c r="B505" s="21"/>
    </row>
    <row r="506" spans="2:2" x14ac:dyDescent="0.25">
      <c r="B506" s="21"/>
    </row>
    <row r="507" spans="2:2" x14ac:dyDescent="0.25">
      <c r="B507" s="21"/>
    </row>
    <row r="508" spans="2:2" x14ac:dyDescent="0.25">
      <c r="B508" s="21"/>
    </row>
    <row r="509" spans="2:2" x14ac:dyDescent="0.25">
      <c r="B509" s="21"/>
    </row>
    <row r="510" spans="2:2" x14ac:dyDescent="0.25">
      <c r="B510" s="21"/>
    </row>
    <row r="511" spans="2:2" x14ac:dyDescent="0.25">
      <c r="B511" s="21"/>
    </row>
    <row r="512" spans="2:2" x14ac:dyDescent="0.25">
      <c r="B512" s="21"/>
    </row>
    <row r="513" spans="2:2" x14ac:dyDescent="0.25">
      <c r="B513" s="21"/>
    </row>
    <row r="514" spans="2:2" x14ac:dyDescent="0.25">
      <c r="B514" s="21"/>
    </row>
    <row r="515" spans="2:2" x14ac:dyDescent="0.25">
      <c r="B515" s="21"/>
    </row>
    <row r="516" spans="2:2" x14ac:dyDescent="0.25">
      <c r="B516" s="21"/>
    </row>
    <row r="517" spans="2:2" x14ac:dyDescent="0.25">
      <c r="B517" s="21"/>
    </row>
    <row r="518" spans="2:2" x14ac:dyDescent="0.25">
      <c r="B518" s="21"/>
    </row>
    <row r="519" spans="2:2" x14ac:dyDescent="0.25">
      <c r="B519" s="21"/>
    </row>
    <row r="520" spans="2:2" x14ac:dyDescent="0.25">
      <c r="B520" s="21"/>
    </row>
    <row r="521" spans="2:2" x14ac:dyDescent="0.25">
      <c r="B521" s="21"/>
    </row>
    <row r="522" spans="2:2" x14ac:dyDescent="0.25">
      <c r="B522" s="21"/>
    </row>
    <row r="523" spans="2:2" x14ac:dyDescent="0.25">
      <c r="B523" s="21"/>
    </row>
    <row r="524" spans="2:2" x14ac:dyDescent="0.25">
      <c r="B524" s="21"/>
    </row>
    <row r="525" spans="2:2" x14ac:dyDescent="0.25">
      <c r="B525" s="21"/>
    </row>
    <row r="526" spans="2:2" x14ac:dyDescent="0.25">
      <c r="B526" s="21"/>
    </row>
    <row r="527" spans="2:2" x14ac:dyDescent="0.25">
      <c r="B527" s="21"/>
    </row>
    <row r="528" spans="2:2" x14ac:dyDescent="0.25">
      <c r="B528" s="21"/>
    </row>
    <row r="529" spans="2:2" x14ac:dyDescent="0.25">
      <c r="B529" s="21"/>
    </row>
    <row r="530" spans="2:2" x14ac:dyDescent="0.25">
      <c r="B530" s="21"/>
    </row>
    <row r="531" spans="2:2" x14ac:dyDescent="0.25">
      <c r="B531" s="21"/>
    </row>
    <row r="532" spans="2:2" x14ac:dyDescent="0.25">
      <c r="B532" s="21"/>
    </row>
    <row r="533" spans="2:2" x14ac:dyDescent="0.25">
      <c r="B533" s="21"/>
    </row>
    <row r="534" spans="2:2" x14ac:dyDescent="0.25">
      <c r="B534" s="21"/>
    </row>
    <row r="535" spans="2:2" x14ac:dyDescent="0.25">
      <c r="B535" s="21"/>
    </row>
    <row r="536" spans="2:2" x14ac:dyDescent="0.25">
      <c r="B536" s="21"/>
    </row>
    <row r="537" spans="2:2" x14ac:dyDescent="0.25">
      <c r="B537" s="21"/>
    </row>
    <row r="538" spans="2:2" x14ac:dyDescent="0.25">
      <c r="B538" s="21"/>
    </row>
    <row r="539" spans="2:2" x14ac:dyDescent="0.25">
      <c r="B539" s="21"/>
    </row>
    <row r="540" spans="2:2" x14ac:dyDescent="0.25">
      <c r="B540" s="21"/>
    </row>
    <row r="541" spans="2:2" x14ac:dyDescent="0.25">
      <c r="B541" s="21"/>
    </row>
    <row r="542" spans="2:2" x14ac:dyDescent="0.25">
      <c r="B542" s="21"/>
    </row>
    <row r="543" spans="2:2" x14ac:dyDescent="0.25">
      <c r="B543" s="21"/>
    </row>
    <row r="544" spans="2:2" x14ac:dyDescent="0.25">
      <c r="B544" s="21"/>
    </row>
    <row r="545" spans="2:2" x14ac:dyDescent="0.25">
      <c r="B545" s="21"/>
    </row>
    <row r="546" spans="2:2" x14ac:dyDescent="0.25">
      <c r="B546" s="21"/>
    </row>
    <row r="547" spans="2:2" x14ac:dyDescent="0.25">
      <c r="B547" s="21"/>
    </row>
    <row r="548" spans="2:2" x14ac:dyDescent="0.25">
      <c r="B548" s="21"/>
    </row>
    <row r="549" spans="2:2" x14ac:dyDescent="0.25">
      <c r="B549" s="21"/>
    </row>
    <row r="550" spans="2:2" x14ac:dyDescent="0.25">
      <c r="B550" s="21"/>
    </row>
    <row r="551" spans="2:2" x14ac:dyDescent="0.25">
      <c r="B551" s="21"/>
    </row>
    <row r="552" spans="2:2" x14ac:dyDescent="0.25">
      <c r="B552" s="21"/>
    </row>
    <row r="553" spans="2:2" x14ac:dyDescent="0.25">
      <c r="B553" s="21"/>
    </row>
    <row r="554" spans="2:2" x14ac:dyDescent="0.25">
      <c r="B554" s="21"/>
    </row>
    <row r="555" spans="2:2" x14ac:dyDescent="0.25">
      <c r="B555" s="21"/>
    </row>
    <row r="556" spans="2:2" x14ac:dyDescent="0.25">
      <c r="B556" s="21"/>
    </row>
    <row r="557" spans="2:2" x14ac:dyDescent="0.25">
      <c r="B557" s="21"/>
    </row>
    <row r="558" spans="2:2" x14ac:dyDescent="0.25">
      <c r="B558" s="21"/>
    </row>
    <row r="559" spans="2:2" x14ac:dyDescent="0.25">
      <c r="B559" s="21"/>
    </row>
    <row r="560" spans="2:2" x14ac:dyDescent="0.25">
      <c r="B560" s="21"/>
    </row>
    <row r="561" spans="2:2" x14ac:dyDescent="0.25">
      <c r="B561" s="21"/>
    </row>
    <row r="562" spans="2:2" x14ac:dyDescent="0.25">
      <c r="B562" s="21"/>
    </row>
    <row r="563" spans="2:2" x14ac:dyDescent="0.25">
      <c r="B563" s="21"/>
    </row>
    <row r="564" spans="2:2" x14ac:dyDescent="0.25">
      <c r="B564" s="21"/>
    </row>
    <row r="565" spans="2:2" x14ac:dyDescent="0.25">
      <c r="B565" s="21"/>
    </row>
    <row r="566" spans="2:2" x14ac:dyDescent="0.25">
      <c r="B566" s="21"/>
    </row>
    <row r="567" spans="2:2" x14ac:dyDescent="0.25">
      <c r="B567" s="21"/>
    </row>
    <row r="568" spans="2:2" x14ac:dyDescent="0.25">
      <c r="B568" s="21"/>
    </row>
    <row r="569" spans="2:2" x14ac:dyDescent="0.25">
      <c r="B569" s="21"/>
    </row>
    <row r="570" spans="2:2" x14ac:dyDescent="0.25">
      <c r="B570" s="21"/>
    </row>
    <row r="571" spans="2:2" x14ac:dyDescent="0.25">
      <c r="B571" s="21"/>
    </row>
    <row r="572" spans="2:2" x14ac:dyDescent="0.25">
      <c r="B572" s="21"/>
    </row>
    <row r="573" spans="2:2" x14ac:dyDescent="0.25">
      <c r="B573" s="21"/>
    </row>
    <row r="574" spans="2:2" x14ac:dyDescent="0.25">
      <c r="B574" s="21"/>
    </row>
    <row r="575" spans="2:2" x14ac:dyDescent="0.25">
      <c r="B575" s="21"/>
    </row>
    <row r="576" spans="2:2" x14ac:dyDescent="0.25">
      <c r="B576" s="21"/>
    </row>
    <row r="577" spans="2:2" x14ac:dyDescent="0.25">
      <c r="B577" s="21"/>
    </row>
    <row r="578" spans="2:2" x14ac:dyDescent="0.25">
      <c r="B578" s="21"/>
    </row>
    <row r="579" spans="2:2" x14ac:dyDescent="0.25">
      <c r="B579" s="21"/>
    </row>
    <row r="580" spans="2:2" x14ac:dyDescent="0.25">
      <c r="B580" s="21"/>
    </row>
    <row r="581" spans="2:2" x14ac:dyDescent="0.25">
      <c r="B581" s="21"/>
    </row>
    <row r="582" spans="2:2" x14ac:dyDescent="0.25">
      <c r="B582" s="21"/>
    </row>
    <row r="583" spans="2:2" x14ac:dyDescent="0.25">
      <c r="B583" s="21"/>
    </row>
    <row r="584" spans="2:2" x14ac:dyDescent="0.25">
      <c r="B584" s="21"/>
    </row>
    <row r="585" spans="2:2" x14ac:dyDescent="0.25">
      <c r="B585" s="21"/>
    </row>
    <row r="586" spans="2:2" x14ac:dyDescent="0.25">
      <c r="B586" s="21"/>
    </row>
    <row r="587" spans="2:2" x14ac:dyDescent="0.25">
      <c r="B587" s="21"/>
    </row>
    <row r="588" spans="2:2" x14ac:dyDescent="0.25">
      <c r="B588" s="21"/>
    </row>
    <row r="589" spans="2:2" x14ac:dyDescent="0.25">
      <c r="B589" s="21"/>
    </row>
    <row r="590" spans="2:2" x14ac:dyDescent="0.25">
      <c r="B590" s="21"/>
    </row>
    <row r="591" spans="2:2" x14ac:dyDescent="0.25">
      <c r="B591" s="21"/>
    </row>
    <row r="592" spans="2:2" x14ac:dyDescent="0.25">
      <c r="B592" s="21"/>
    </row>
    <row r="593" spans="2:2" x14ac:dyDescent="0.25">
      <c r="B593" s="21"/>
    </row>
    <row r="594" spans="2:2" x14ac:dyDescent="0.25">
      <c r="B594" s="21"/>
    </row>
    <row r="595" spans="2:2" x14ac:dyDescent="0.25">
      <c r="B595" s="21"/>
    </row>
    <row r="596" spans="2:2" x14ac:dyDescent="0.25">
      <c r="B596" s="21"/>
    </row>
    <row r="597" spans="2:2" x14ac:dyDescent="0.25">
      <c r="B597" s="21"/>
    </row>
    <row r="598" spans="2:2" x14ac:dyDescent="0.25">
      <c r="B598" s="21"/>
    </row>
    <row r="599" spans="2:2" x14ac:dyDescent="0.25">
      <c r="B599" s="21"/>
    </row>
    <row r="600" spans="2:2" x14ac:dyDescent="0.25">
      <c r="B600" s="21"/>
    </row>
    <row r="601" spans="2:2" x14ac:dyDescent="0.25">
      <c r="B601" s="21"/>
    </row>
    <row r="602" spans="2:2" x14ac:dyDescent="0.25">
      <c r="B602" s="21"/>
    </row>
    <row r="603" spans="2:2" x14ac:dyDescent="0.25">
      <c r="B603" s="21"/>
    </row>
    <row r="604" spans="2:2" x14ac:dyDescent="0.25">
      <c r="B604" s="21"/>
    </row>
    <row r="605" spans="2:2" x14ac:dyDescent="0.25">
      <c r="B605" s="21"/>
    </row>
    <row r="606" spans="2:2" x14ac:dyDescent="0.25">
      <c r="B606" s="21"/>
    </row>
    <row r="607" spans="2:2" x14ac:dyDescent="0.25">
      <c r="B607" s="21"/>
    </row>
    <row r="608" spans="2:2" x14ac:dyDescent="0.25">
      <c r="B608" s="21"/>
    </row>
    <row r="609" spans="2:2" x14ac:dyDescent="0.25">
      <c r="B609" s="21"/>
    </row>
    <row r="610" spans="2:2" x14ac:dyDescent="0.25">
      <c r="B610" s="21"/>
    </row>
    <row r="611" spans="2:2" x14ac:dyDescent="0.25">
      <c r="B611" s="21"/>
    </row>
    <row r="612" spans="2:2" x14ac:dyDescent="0.25">
      <c r="B612" s="21"/>
    </row>
    <row r="613" spans="2:2" x14ac:dyDescent="0.25">
      <c r="B613" s="21"/>
    </row>
    <row r="614" spans="2:2" x14ac:dyDescent="0.25">
      <c r="B614" s="21"/>
    </row>
    <row r="615" spans="2:2" x14ac:dyDescent="0.25">
      <c r="B615" s="21"/>
    </row>
    <row r="616" spans="2:2" x14ac:dyDescent="0.25">
      <c r="B616" s="21"/>
    </row>
    <row r="617" spans="2:2" x14ac:dyDescent="0.25">
      <c r="B617" s="21"/>
    </row>
    <row r="618" spans="2:2" x14ac:dyDescent="0.25">
      <c r="B618" s="21"/>
    </row>
    <row r="619" spans="2:2" x14ac:dyDescent="0.25">
      <c r="B619" s="21"/>
    </row>
    <row r="620" spans="2:2" x14ac:dyDescent="0.25">
      <c r="B620" s="21"/>
    </row>
    <row r="621" spans="2:2" x14ac:dyDescent="0.25">
      <c r="B621" s="21"/>
    </row>
    <row r="622" spans="2:2" x14ac:dyDescent="0.25">
      <c r="B622" s="21"/>
    </row>
    <row r="623" spans="2:2" x14ac:dyDescent="0.25">
      <c r="B623" s="21"/>
    </row>
    <row r="624" spans="2:2" x14ac:dyDescent="0.25">
      <c r="B624" s="21"/>
    </row>
    <row r="625" spans="2:2" x14ac:dyDescent="0.25">
      <c r="B625" s="21"/>
    </row>
    <row r="626" spans="2:2" x14ac:dyDescent="0.25">
      <c r="B626" s="21"/>
    </row>
    <row r="627" spans="2:2" x14ac:dyDescent="0.25">
      <c r="B627" s="21"/>
    </row>
    <row r="628" spans="2:2" x14ac:dyDescent="0.25">
      <c r="B628" s="21"/>
    </row>
    <row r="629" spans="2:2" x14ac:dyDescent="0.25">
      <c r="B629" s="21"/>
    </row>
    <row r="630" spans="2:2" x14ac:dyDescent="0.25">
      <c r="B630" s="21"/>
    </row>
    <row r="631" spans="2:2" x14ac:dyDescent="0.25">
      <c r="B631" s="21"/>
    </row>
    <row r="632" spans="2:2" x14ac:dyDescent="0.25">
      <c r="B632" s="21"/>
    </row>
    <row r="633" spans="2:2" x14ac:dyDescent="0.25">
      <c r="B633" s="21"/>
    </row>
    <row r="634" spans="2:2" x14ac:dyDescent="0.25">
      <c r="B634" s="21"/>
    </row>
    <row r="635" spans="2:2" x14ac:dyDescent="0.25">
      <c r="B635" s="21"/>
    </row>
    <row r="636" spans="2:2" x14ac:dyDescent="0.25">
      <c r="B636" s="21"/>
    </row>
    <row r="637" spans="2:2" x14ac:dyDescent="0.25">
      <c r="B637" s="21"/>
    </row>
    <row r="638" spans="2:2" x14ac:dyDescent="0.25">
      <c r="B638" s="21"/>
    </row>
    <row r="639" spans="2:2" x14ac:dyDescent="0.25">
      <c r="B639" s="21"/>
    </row>
    <row r="640" spans="2:2" x14ac:dyDescent="0.25">
      <c r="B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row r="704" spans="2:2" x14ac:dyDescent="0.25">
      <c r="B704" s="21"/>
    </row>
    <row r="705" spans="2:2" x14ac:dyDescent="0.25">
      <c r="B705" s="21"/>
    </row>
    <row r="706" spans="2:2" x14ac:dyDescent="0.25">
      <c r="B706" s="21"/>
    </row>
    <row r="707" spans="2:2" x14ac:dyDescent="0.25">
      <c r="B707" s="21"/>
    </row>
    <row r="708" spans="2:2" x14ac:dyDescent="0.25">
      <c r="B708" s="21"/>
    </row>
    <row r="709" spans="2:2" x14ac:dyDescent="0.25">
      <c r="B709" s="21"/>
    </row>
    <row r="710" spans="2:2" x14ac:dyDescent="0.25">
      <c r="B710" s="21"/>
    </row>
    <row r="711" spans="2:2" x14ac:dyDescent="0.25">
      <c r="B711" s="21"/>
    </row>
    <row r="712" spans="2:2" x14ac:dyDescent="0.25">
      <c r="B712" s="21"/>
    </row>
    <row r="713" spans="2:2" x14ac:dyDescent="0.25">
      <c r="B713" s="21"/>
    </row>
    <row r="714" spans="2:2" x14ac:dyDescent="0.25">
      <c r="B714" s="21"/>
    </row>
    <row r="715" spans="2:2" x14ac:dyDescent="0.25">
      <c r="B715" s="21"/>
    </row>
    <row r="716" spans="2:2" x14ac:dyDescent="0.25">
      <c r="B716" s="21"/>
    </row>
    <row r="717" spans="2:2" x14ac:dyDescent="0.25">
      <c r="B717" s="21"/>
    </row>
    <row r="718" spans="2:2" x14ac:dyDescent="0.25">
      <c r="B718" s="21"/>
    </row>
    <row r="719" spans="2:2" x14ac:dyDescent="0.25">
      <c r="B719" s="21"/>
    </row>
    <row r="720" spans="2:2" x14ac:dyDescent="0.25">
      <c r="B720" s="21"/>
    </row>
    <row r="721" spans="2:2" x14ac:dyDescent="0.25">
      <c r="B721" s="21"/>
    </row>
    <row r="722" spans="2:2" x14ac:dyDescent="0.25">
      <c r="B722" s="21"/>
    </row>
    <row r="723" spans="2:2" x14ac:dyDescent="0.25">
      <c r="B723" s="21"/>
    </row>
    <row r="724" spans="2:2" x14ac:dyDescent="0.25">
      <c r="B724" s="21"/>
    </row>
    <row r="725" spans="2:2" x14ac:dyDescent="0.25">
      <c r="B725" s="21"/>
    </row>
    <row r="726" spans="2:2" x14ac:dyDescent="0.25">
      <c r="B726" s="21"/>
    </row>
    <row r="727" spans="2:2" x14ac:dyDescent="0.25">
      <c r="B727" s="21"/>
    </row>
    <row r="728" spans="2:2" x14ac:dyDescent="0.25">
      <c r="B728" s="21"/>
    </row>
    <row r="729" spans="2:2" x14ac:dyDescent="0.25">
      <c r="B729" s="21"/>
    </row>
    <row r="730" spans="2:2" x14ac:dyDescent="0.25">
      <c r="B730" s="21"/>
    </row>
    <row r="731" spans="2:2" x14ac:dyDescent="0.25">
      <c r="B731" s="21"/>
    </row>
    <row r="732" spans="2:2" x14ac:dyDescent="0.25">
      <c r="B732" s="21"/>
    </row>
    <row r="733" spans="2:2" x14ac:dyDescent="0.25">
      <c r="B733" s="21"/>
    </row>
    <row r="734" spans="2:2" x14ac:dyDescent="0.25">
      <c r="B734" s="21"/>
    </row>
    <row r="735" spans="2:2" x14ac:dyDescent="0.25">
      <c r="B735" s="21"/>
    </row>
    <row r="736" spans="2:2" x14ac:dyDescent="0.25">
      <c r="B736" s="21"/>
    </row>
    <row r="737" spans="2:2" x14ac:dyDescent="0.25">
      <c r="B737" s="21"/>
    </row>
    <row r="738" spans="2:2" x14ac:dyDescent="0.25">
      <c r="B738" s="21"/>
    </row>
    <row r="739" spans="2:2" x14ac:dyDescent="0.25">
      <c r="B739" s="21"/>
    </row>
    <row r="740" spans="2:2" x14ac:dyDescent="0.25">
      <c r="B740" s="21"/>
    </row>
    <row r="741" spans="2:2" x14ac:dyDescent="0.25">
      <c r="B741" s="21"/>
    </row>
    <row r="742" spans="2:2" x14ac:dyDescent="0.25">
      <c r="B742" s="21"/>
    </row>
    <row r="743" spans="2:2" x14ac:dyDescent="0.25">
      <c r="B743" s="21"/>
    </row>
    <row r="744" spans="2:2" x14ac:dyDescent="0.25">
      <c r="B744" s="21"/>
    </row>
    <row r="745" spans="2:2" x14ac:dyDescent="0.25">
      <c r="B745" s="21"/>
    </row>
    <row r="746" spans="2:2" x14ac:dyDescent="0.25">
      <c r="B746" s="21"/>
    </row>
    <row r="747" spans="2:2" x14ac:dyDescent="0.25">
      <c r="B747" s="21"/>
    </row>
    <row r="748" spans="2:2" x14ac:dyDescent="0.25">
      <c r="B748" s="21"/>
    </row>
    <row r="749" spans="2:2" x14ac:dyDescent="0.25">
      <c r="B749" s="21"/>
    </row>
    <row r="750" spans="2:2" x14ac:dyDescent="0.25">
      <c r="B750" s="21"/>
    </row>
    <row r="751" spans="2:2" x14ac:dyDescent="0.25">
      <c r="B751" s="21"/>
    </row>
    <row r="752" spans="2:2" x14ac:dyDescent="0.25">
      <c r="B752" s="21"/>
    </row>
    <row r="753" spans="2:2" x14ac:dyDescent="0.25">
      <c r="B753" s="21"/>
    </row>
    <row r="754" spans="2:2" x14ac:dyDescent="0.25">
      <c r="B754" s="21"/>
    </row>
    <row r="755" spans="2:2" x14ac:dyDescent="0.25">
      <c r="B755" s="21"/>
    </row>
    <row r="756" spans="2:2" x14ac:dyDescent="0.25">
      <c r="B756" s="21"/>
    </row>
    <row r="757" spans="2:2" x14ac:dyDescent="0.25">
      <c r="B757" s="21"/>
    </row>
    <row r="758" spans="2:2" x14ac:dyDescent="0.25">
      <c r="B758" s="21"/>
    </row>
    <row r="759" spans="2:2" x14ac:dyDescent="0.25">
      <c r="B759" s="21"/>
    </row>
    <row r="760" spans="2:2" x14ac:dyDescent="0.25">
      <c r="B760" s="21"/>
    </row>
    <row r="761" spans="2:2" x14ac:dyDescent="0.25">
      <c r="B761" s="21"/>
    </row>
    <row r="762" spans="2:2" x14ac:dyDescent="0.25">
      <c r="B762" s="21"/>
    </row>
    <row r="763" spans="2:2" x14ac:dyDescent="0.25">
      <c r="B763" s="21"/>
    </row>
    <row r="764" spans="2:2" x14ac:dyDescent="0.25">
      <c r="B764" s="21"/>
    </row>
    <row r="765" spans="2:2" x14ac:dyDescent="0.25">
      <c r="B765" s="21"/>
    </row>
    <row r="766" spans="2:2" x14ac:dyDescent="0.25">
      <c r="B766" s="21"/>
    </row>
    <row r="767" spans="2:2" x14ac:dyDescent="0.25">
      <c r="B767" s="21"/>
    </row>
    <row r="768" spans="2:2" x14ac:dyDescent="0.25">
      <c r="B768" s="21"/>
    </row>
    <row r="769" spans="2:2" x14ac:dyDescent="0.25">
      <c r="B769" s="21"/>
    </row>
    <row r="770" spans="2:2" x14ac:dyDescent="0.25">
      <c r="B770" s="21"/>
    </row>
    <row r="771" spans="2:2" x14ac:dyDescent="0.25">
      <c r="B771" s="21"/>
    </row>
    <row r="772" spans="2:2" x14ac:dyDescent="0.25">
      <c r="B772" s="21"/>
    </row>
    <row r="773" spans="2:2" x14ac:dyDescent="0.25">
      <c r="B773" s="21"/>
    </row>
    <row r="774" spans="2:2" x14ac:dyDescent="0.25">
      <c r="B774" s="21"/>
    </row>
    <row r="775" spans="2:2" x14ac:dyDescent="0.25">
      <c r="B775" s="21"/>
    </row>
    <row r="776" spans="2:2" x14ac:dyDescent="0.25">
      <c r="B776" s="21"/>
    </row>
    <row r="777" spans="2:2" x14ac:dyDescent="0.25">
      <c r="B777" s="21"/>
    </row>
    <row r="778" spans="2:2" x14ac:dyDescent="0.25">
      <c r="B778" s="21"/>
    </row>
    <row r="779" spans="2:2" x14ac:dyDescent="0.25">
      <c r="B779" s="21"/>
    </row>
    <row r="780" spans="2:2" x14ac:dyDescent="0.25">
      <c r="B780" s="21"/>
    </row>
    <row r="781" spans="2:2" x14ac:dyDescent="0.25">
      <c r="B781" s="21"/>
    </row>
    <row r="782" spans="2:2" x14ac:dyDescent="0.25">
      <c r="B782" s="21"/>
    </row>
    <row r="783" spans="2:2" x14ac:dyDescent="0.25">
      <c r="B783" s="21"/>
    </row>
    <row r="784" spans="2:2" x14ac:dyDescent="0.25">
      <c r="B784" s="21"/>
    </row>
    <row r="785" spans="2:2" x14ac:dyDescent="0.25">
      <c r="B785" s="21"/>
    </row>
    <row r="786" spans="2:2" x14ac:dyDescent="0.25">
      <c r="B786" s="21"/>
    </row>
    <row r="787" spans="2:2" x14ac:dyDescent="0.25">
      <c r="B787" s="21"/>
    </row>
    <row r="788" spans="2:2" x14ac:dyDescent="0.25">
      <c r="B788" s="21"/>
    </row>
    <row r="789" spans="2:2" x14ac:dyDescent="0.25">
      <c r="B789" s="21"/>
    </row>
    <row r="790" spans="2:2" x14ac:dyDescent="0.25">
      <c r="B790" s="21"/>
    </row>
    <row r="791" spans="2:2" x14ac:dyDescent="0.25">
      <c r="B791" s="21"/>
    </row>
    <row r="792" spans="2:2" x14ac:dyDescent="0.25">
      <c r="B792" s="21"/>
    </row>
    <row r="793" spans="2:2" x14ac:dyDescent="0.25">
      <c r="B793" s="21"/>
    </row>
    <row r="794" spans="2:2" x14ac:dyDescent="0.25">
      <c r="B794" s="21"/>
    </row>
    <row r="795" spans="2:2" x14ac:dyDescent="0.25">
      <c r="B795" s="21"/>
    </row>
    <row r="796" spans="2:2" x14ac:dyDescent="0.25">
      <c r="B796" s="21"/>
    </row>
    <row r="797" spans="2:2" x14ac:dyDescent="0.25">
      <c r="B797" s="21"/>
    </row>
    <row r="798" spans="2:2" x14ac:dyDescent="0.25">
      <c r="B798" s="21"/>
    </row>
    <row r="799" spans="2:2" x14ac:dyDescent="0.25">
      <c r="B799" s="21"/>
    </row>
    <row r="800" spans="2:2" x14ac:dyDescent="0.25">
      <c r="B800" s="21"/>
    </row>
    <row r="801" spans="2:2" x14ac:dyDescent="0.25">
      <c r="B801" s="21"/>
    </row>
    <row r="802" spans="2:2" x14ac:dyDescent="0.25">
      <c r="B802" s="21"/>
    </row>
    <row r="803" spans="2:2" x14ac:dyDescent="0.25">
      <c r="B803" s="21"/>
    </row>
    <row r="804" spans="2:2" x14ac:dyDescent="0.25">
      <c r="B804" s="21"/>
    </row>
    <row r="805" spans="2:2" x14ac:dyDescent="0.25">
      <c r="B805" s="21"/>
    </row>
    <row r="806" spans="2:2" x14ac:dyDescent="0.25">
      <c r="B806" s="21"/>
    </row>
    <row r="807" spans="2:2" x14ac:dyDescent="0.25">
      <c r="B807" s="21"/>
    </row>
    <row r="808" spans="2:2" x14ac:dyDescent="0.25">
      <c r="B808" s="21"/>
    </row>
    <row r="809" spans="2:2" x14ac:dyDescent="0.25">
      <c r="B809" s="21"/>
    </row>
    <row r="810" spans="2:2" x14ac:dyDescent="0.25">
      <c r="B810" s="21"/>
    </row>
    <row r="811" spans="2:2" x14ac:dyDescent="0.25">
      <c r="B811" s="21"/>
    </row>
    <row r="812" spans="2:2" x14ac:dyDescent="0.25">
      <c r="B812" s="21"/>
    </row>
    <row r="813" spans="2:2" x14ac:dyDescent="0.25">
      <c r="B813" s="21"/>
    </row>
    <row r="814" spans="2:2" x14ac:dyDescent="0.25">
      <c r="B814" s="21"/>
    </row>
    <row r="815" spans="2:2" x14ac:dyDescent="0.25">
      <c r="B815" s="21"/>
    </row>
    <row r="816" spans="2:2" x14ac:dyDescent="0.25">
      <c r="B816" s="21"/>
    </row>
    <row r="817" spans="2:2" x14ac:dyDescent="0.25">
      <c r="B817" s="21"/>
    </row>
    <row r="818" spans="2:2" x14ac:dyDescent="0.25">
      <c r="B818" s="21"/>
    </row>
    <row r="819" spans="2:2" x14ac:dyDescent="0.25">
      <c r="B819" s="21"/>
    </row>
    <row r="820" spans="2:2" x14ac:dyDescent="0.25">
      <c r="B820" s="21"/>
    </row>
    <row r="821" spans="2:2" x14ac:dyDescent="0.25">
      <c r="B821" s="21"/>
    </row>
    <row r="822" spans="2:2" x14ac:dyDescent="0.25">
      <c r="B822" s="21"/>
    </row>
    <row r="823" spans="2:2" x14ac:dyDescent="0.25">
      <c r="B823" s="21"/>
    </row>
    <row r="824" spans="2:2" x14ac:dyDescent="0.25">
      <c r="B824" s="21"/>
    </row>
    <row r="825" spans="2:2" x14ac:dyDescent="0.25">
      <c r="B825" s="21"/>
    </row>
    <row r="826" spans="2:2" x14ac:dyDescent="0.25">
      <c r="B826" s="21"/>
    </row>
    <row r="827" spans="2:2" x14ac:dyDescent="0.25">
      <c r="B827" s="21"/>
    </row>
    <row r="828" spans="2:2" x14ac:dyDescent="0.25">
      <c r="B828" s="21"/>
    </row>
    <row r="829" spans="2:2" x14ac:dyDescent="0.25">
      <c r="B829" s="21"/>
    </row>
    <row r="830" spans="2:2" x14ac:dyDescent="0.25">
      <c r="B830" s="21"/>
    </row>
    <row r="831" spans="2:2" x14ac:dyDescent="0.25">
      <c r="B831" s="21"/>
    </row>
    <row r="832" spans="2:2" x14ac:dyDescent="0.25">
      <c r="B832" s="21"/>
    </row>
    <row r="833" spans="2:2" x14ac:dyDescent="0.25">
      <c r="B833" s="21"/>
    </row>
    <row r="834" spans="2:2" x14ac:dyDescent="0.25">
      <c r="B834" s="21"/>
    </row>
    <row r="835" spans="2:2" x14ac:dyDescent="0.25">
      <c r="B835" s="21"/>
    </row>
    <row r="836" spans="2:2" x14ac:dyDescent="0.25">
      <c r="B836" s="21"/>
    </row>
    <row r="837" spans="2:2" x14ac:dyDescent="0.25">
      <c r="B837" s="21"/>
    </row>
    <row r="838" spans="2:2" x14ac:dyDescent="0.25">
      <c r="B838" s="21"/>
    </row>
    <row r="839" spans="2:2" x14ac:dyDescent="0.25">
      <c r="B839" s="21"/>
    </row>
    <row r="840" spans="2:2" x14ac:dyDescent="0.25">
      <c r="B840" s="21"/>
    </row>
    <row r="841" spans="2:2" x14ac:dyDescent="0.25">
      <c r="B841" s="21"/>
    </row>
    <row r="842" spans="2:2" x14ac:dyDescent="0.25">
      <c r="B842" s="21"/>
    </row>
    <row r="843" spans="2:2" x14ac:dyDescent="0.25">
      <c r="B843" s="21"/>
    </row>
    <row r="844" spans="2:2" x14ac:dyDescent="0.25">
      <c r="B844" s="21"/>
    </row>
    <row r="845" spans="2:2" x14ac:dyDescent="0.25">
      <c r="B845" s="21"/>
    </row>
    <row r="846" spans="2:2" x14ac:dyDescent="0.25">
      <c r="B846" s="21"/>
    </row>
    <row r="847" spans="2:2" x14ac:dyDescent="0.25">
      <c r="B847" s="21"/>
    </row>
    <row r="848" spans="2:2" x14ac:dyDescent="0.25">
      <c r="B848" s="21"/>
    </row>
    <row r="849" spans="2:2" x14ac:dyDescent="0.25">
      <c r="B849" s="21"/>
    </row>
    <row r="850" spans="2:2" x14ac:dyDescent="0.25">
      <c r="B850" s="21"/>
    </row>
    <row r="851" spans="2:2" x14ac:dyDescent="0.25">
      <c r="B851" s="21"/>
    </row>
    <row r="852" spans="2:2" x14ac:dyDescent="0.25">
      <c r="B852" s="21"/>
    </row>
    <row r="853" spans="2:2" x14ac:dyDescent="0.25">
      <c r="B853" s="21"/>
    </row>
    <row r="854" spans="2:2" x14ac:dyDescent="0.25">
      <c r="B854" s="21"/>
    </row>
    <row r="855" spans="2:2" x14ac:dyDescent="0.25">
      <c r="B855" s="21"/>
    </row>
    <row r="856" spans="2:2" x14ac:dyDescent="0.25">
      <c r="B856" s="21"/>
    </row>
    <row r="857" spans="2:2" x14ac:dyDescent="0.25">
      <c r="B857" s="21"/>
    </row>
    <row r="858" spans="2:2" x14ac:dyDescent="0.25">
      <c r="B858" s="21"/>
    </row>
    <row r="859" spans="2:2" x14ac:dyDescent="0.25">
      <c r="B859" s="21"/>
    </row>
    <row r="860" spans="2:2" x14ac:dyDescent="0.25">
      <c r="B860" s="21"/>
    </row>
    <row r="861" spans="2:2" x14ac:dyDescent="0.25">
      <c r="B861" s="21"/>
    </row>
    <row r="862" spans="2:2" x14ac:dyDescent="0.25">
      <c r="B862" s="21"/>
    </row>
    <row r="863" spans="2:2" x14ac:dyDescent="0.25">
      <c r="B863" s="21"/>
    </row>
    <row r="864" spans="2:2" x14ac:dyDescent="0.25">
      <c r="B864" s="21"/>
    </row>
    <row r="865" spans="2:2" x14ac:dyDescent="0.25">
      <c r="B865" s="21"/>
    </row>
    <row r="866" spans="2:2" x14ac:dyDescent="0.25">
      <c r="B866" s="21"/>
    </row>
    <row r="867" spans="2:2" x14ac:dyDescent="0.25">
      <c r="B867" s="21"/>
    </row>
    <row r="868" spans="2:2" x14ac:dyDescent="0.25">
      <c r="B868" s="21"/>
    </row>
    <row r="869" spans="2:2" x14ac:dyDescent="0.25">
      <c r="B869" s="21"/>
    </row>
    <row r="870" spans="2:2" x14ac:dyDescent="0.25">
      <c r="B870" s="21"/>
    </row>
    <row r="871" spans="2:2" x14ac:dyDescent="0.25">
      <c r="B871" s="21"/>
    </row>
    <row r="872" spans="2:2" x14ac:dyDescent="0.25">
      <c r="B872" s="21"/>
    </row>
    <row r="873" spans="2:2" x14ac:dyDescent="0.25">
      <c r="B873" s="21"/>
    </row>
    <row r="874" spans="2:2" x14ac:dyDescent="0.25">
      <c r="B874" s="21"/>
    </row>
    <row r="875" spans="2:2" x14ac:dyDescent="0.25">
      <c r="B875" s="21"/>
    </row>
    <row r="876" spans="2:2" x14ac:dyDescent="0.25">
      <c r="B876" s="21"/>
    </row>
    <row r="877" spans="2:2" x14ac:dyDescent="0.25">
      <c r="B877" s="21"/>
    </row>
    <row r="878" spans="2:2" x14ac:dyDescent="0.25">
      <c r="B878" s="21"/>
    </row>
    <row r="879" spans="2:2" x14ac:dyDescent="0.25">
      <c r="B879" s="21"/>
    </row>
    <row r="880" spans="2:2" x14ac:dyDescent="0.25">
      <c r="B880" s="21"/>
    </row>
    <row r="881" spans="2:2" x14ac:dyDescent="0.25">
      <c r="B881" s="21"/>
    </row>
    <row r="882" spans="2:2" x14ac:dyDescent="0.25">
      <c r="B882" s="21"/>
    </row>
    <row r="883" spans="2:2" x14ac:dyDescent="0.25">
      <c r="B883" s="21"/>
    </row>
    <row r="884" spans="2:2" x14ac:dyDescent="0.25">
      <c r="B884" s="21"/>
    </row>
    <row r="885" spans="2:2" x14ac:dyDescent="0.25">
      <c r="B885" s="21"/>
    </row>
    <row r="886" spans="2:2" x14ac:dyDescent="0.25">
      <c r="B886" s="21"/>
    </row>
    <row r="887" spans="2:2" x14ac:dyDescent="0.25">
      <c r="B887" s="21"/>
    </row>
    <row r="888" spans="2:2" x14ac:dyDescent="0.25">
      <c r="B888" s="21"/>
    </row>
    <row r="889" spans="2:2" x14ac:dyDescent="0.25">
      <c r="B889" s="21"/>
    </row>
    <row r="890" spans="2:2" x14ac:dyDescent="0.25">
      <c r="B890" s="21"/>
    </row>
    <row r="891" spans="2:2" x14ac:dyDescent="0.25">
      <c r="B891" s="21"/>
    </row>
    <row r="892" spans="2:2" x14ac:dyDescent="0.25">
      <c r="B892" s="21"/>
    </row>
    <row r="893" spans="2:2" x14ac:dyDescent="0.25">
      <c r="B893" s="21"/>
    </row>
    <row r="894" spans="2:2" x14ac:dyDescent="0.25">
      <c r="B894" s="21"/>
    </row>
    <row r="895" spans="2:2" x14ac:dyDescent="0.25">
      <c r="B895" s="21"/>
    </row>
    <row r="896" spans="2:2" x14ac:dyDescent="0.25">
      <c r="B896" s="21"/>
    </row>
    <row r="897" spans="2:2" x14ac:dyDescent="0.25">
      <c r="B897" s="21"/>
    </row>
    <row r="898" spans="2:2" x14ac:dyDescent="0.25">
      <c r="B898" s="21"/>
    </row>
    <row r="899" spans="2:2" x14ac:dyDescent="0.25">
      <c r="B899" s="21"/>
    </row>
    <row r="900" spans="2:2" x14ac:dyDescent="0.25">
      <c r="B900" s="21"/>
    </row>
    <row r="901" spans="2:2" x14ac:dyDescent="0.25">
      <c r="B901" s="21"/>
    </row>
    <row r="902" spans="2:2" x14ac:dyDescent="0.25">
      <c r="B902" s="21"/>
    </row>
    <row r="903" spans="2:2" x14ac:dyDescent="0.25">
      <c r="B903" s="21"/>
    </row>
    <row r="904" spans="2:2" x14ac:dyDescent="0.25">
      <c r="B904" s="21"/>
    </row>
    <row r="905" spans="2:2" x14ac:dyDescent="0.25">
      <c r="B905" s="21"/>
    </row>
    <row r="906" spans="2:2" x14ac:dyDescent="0.25">
      <c r="B906" s="21"/>
    </row>
    <row r="907" spans="2:2" x14ac:dyDescent="0.25">
      <c r="B907" s="21"/>
    </row>
    <row r="908" spans="2:2" x14ac:dyDescent="0.25">
      <c r="B908" s="21"/>
    </row>
    <row r="909" spans="2:2" x14ac:dyDescent="0.25">
      <c r="B909" s="21"/>
    </row>
    <row r="910" spans="2:2" x14ac:dyDescent="0.25">
      <c r="B910" s="21"/>
    </row>
    <row r="911" spans="2:2" x14ac:dyDescent="0.25">
      <c r="B911" s="21"/>
    </row>
    <row r="912" spans="2:2" x14ac:dyDescent="0.25">
      <c r="B912" s="21"/>
    </row>
    <row r="913" spans="2:2" x14ac:dyDescent="0.25">
      <c r="B913" s="21"/>
    </row>
    <row r="914" spans="2:2" x14ac:dyDescent="0.25">
      <c r="B914" s="21"/>
    </row>
    <row r="915" spans="2:2" x14ac:dyDescent="0.25">
      <c r="B915" s="21"/>
    </row>
    <row r="916" spans="2:2" x14ac:dyDescent="0.25">
      <c r="B916" s="21"/>
    </row>
    <row r="917" spans="2:2" x14ac:dyDescent="0.25">
      <c r="B917" s="21"/>
    </row>
    <row r="918" spans="2:2" x14ac:dyDescent="0.25">
      <c r="B918" s="21"/>
    </row>
    <row r="919" spans="2:2" x14ac:dyDescent="0.25">
      <c r="B919" s="21"/>
    </row>
    <row r="920" spans="2:2" x14ac:dyDescent="0.25">
      <c r="B920" s="21"/>
    </row>
    <row r="921" spans="2:2" x14ac:dyDescent="0.25">
      <c r="B921" s="21"/>
    </row>
    <row r="922" spans="2:2" x14ac:dyDescent="0.25">
      <c r="B922" s="21"/>
    </row>
    <row r="923" spans="2:2" x14ac:dyDescent="0.25">
      <c r="B923" s="21"/>
    </row>
    <row r="924" spans="2:2" x14ac:dyDescent="0.25">
      <c r="B924" s="21"/>
    </row>
    <row r="925" spans="2:2" x14ac:dyDescent="0.25">
      <c r="B925" s="21"/>
    </row>
    <row r="926" spans="2:2" x14ac:dyDescent="0.25">
      <c r="B926" s="21"/>
    </row>
    <row r="927" spans="2:2" x14ac:dyDescent="0.25">
      <c r="B927" s="21"/>
    </row>
    <row r="928" spans="2:2" x14ac:dyDescent="0.25">
      <c r="B928" s="21"/>
    </row>
    <row r="929" spans="2:2" x14ac:dyDescent="0.25">
      <c r="B929" s="21"/>
    </row>
    <row r="930" spans="2:2" x14ac:dyDescent="0.25">
      <c r="B930" s="21"/>
    </row>
    <row r="931" spans="2:2" x14ac:dyDescent="0.25">
      <c r="B931" s="21"/>
    </row>
    <row r="932" spans="2:2" x14ac:dyDescent="0.25">
      <c r="B932" s="21"/>
    </row>
    <row r="933" spans="2:2" x14ac:dyDescent="0.25">
      <c r="B933" s="21"/>
    </row>
    <row r="934" spans="2:2" x14ac:dyDescent="0.25">
      <c r="B934" s="21"/>
    </row>
    <row r="935" spans="2:2" x14ac:dyDescent="0.25">
      <c r="B935" s="21"/>
    </row>
    <row r="936" spans="2:2" x14ac:dyDescent="0.25">
      <c r="B936" s="21"/>
    </row>
    <row r="937" spans="2:2" x14ac:dyDescent="0.25">
      <c r="B937" s="21"/>
    </row>
    <row r="938" spans="2:2" x14ac:dyDescent="0.25">
      <c r="B938" s="21"/>
    </row>
    <row r="939" spans="2:2" x14ac:dyDescent="0.25">
      <c r="B939" s="21"/>
    </row>
    <row r="940" spans="2:2" x14ac:dyDescent="0.25">
      <c r="B940" s="21"/>
    </row>
    <row r="941" spans="2:2" x14ac:dyDescent="0.25">
      <c r="B941" s="21"/>
    </row>
    <row r="942" spans="2:2" x14ac:dyDescent="0.25">
      <c r="B942" s="21"/>
    </row>
    <row r="943" spans="2:2" x14ac:dyDescent="0.25">
      <c r="B943" s="21"/>
    </row>
    <row r="944" spans="2:2" x14ac:dyDescent="0.25">
      <c r="B944" s="21"/>
    </row>
    <row r="945" spans="2:2" x14ac:dyDescent="0.25">
      <c r="B945" s="21"/>
    </row>
    <row r="946" spans="2:2" x14ac:dyDescent="0.25">
      <c r="B946" s="21"/>
    </row>
    <row r="947" spans="2:2" x14ac:dyDescent="0.25">
      <c r="B947" s="21"/>
    </row>
    <row r="948" spans="2:2" x14ac:dyDescent="0.25">
      <c r="B948" s="21"/>
    </row>
    <row r="949" spans="2:2" x14ac:dyDescent="0.25">
      <c r="B949" s="21"/>
    </row>
    <row r="950" spans="2:2" x14ac:dyDescent="0.25">
      <c r="B950" s="21"/>
    </row>
    <row r="951" spans="2:2" x14ac:dyDescent="0.25">
      <c r="B951" s="21"/>
    </row>
    <row r="952" spans="2:2" x14ac:dyDescent="0.25">
      <c r="B952" s="21"/>
    </row>
    <row r="953" spans="2:2" x14ac:dyDescent="0.25">
      <c r="B953" s="21"/>
    </row>
    <row r="954" spans="2:2" x14ac:dyDescent="0.25">
      <c r="B954" s="21"/>
    </row>
    <row r="955" spans="2:2" x14ac:dyDescent="0.25">
      <c r="B955" s="21"/>
    </row>
    <row r="956" spans="2:2" x14ac:dyDescent="0.25">
      <c r="B956" s="21"/>
    </row>
    <row r="957" spans="2:2" x14ac:dyDescent="0.25">
      <c r="B957" s="21"/>
    </row>
    <row r="958" spans="2:2" x14ac:dyDescent="0.25">
      <c r="B958" s="21"/>
    </row>
    <row r="959" spans="2:2" x14ac:dyDescent="0.25">
      <c r="B959" s="21"/>
    </row>
    <row r="960" spans="2:2" x14ac:dyDescent="0.25">
      <c r="B960" s="21"/>
    </row>
    <row r="961" spans="2:2" x14ac:dyDescent="0.25">
      <c r="B961" s="21"/>
    </row>
    <row r="962" spans="2:2" x14ac:dyDescent="0.25">
      <c r="B962" s="21"/>
    </row>
    <row r="963" spans="2:2" x14ac:dyDescent="0.25">
      <c r="B963" s="21"/>
    </row>
    <row r="964" spans="2:2" x14ac:dyDescent="0.25">
      <c r="B964" s="21"/>
    </row>
    <row r="965" spans="2:2" x14ac:dyDescent="0.25">
      <c r="B965" s="21"/>
    </row>
    <row r="966" spans="2:2" x14ac:dyDescent="0.25">
      <c r="B966" s="21"/>
    </row>
    <row r="967" spans="2:2" x14ac:dyDescent="0.25">
      <c r="B967" s="21"/>
    </row>
    <row r="968" spans="2:2" x14ac:dyDescent="0.25">
      <c r="B968" s="21"/>
    </row>
    <row r="969" spans="2:2" x14ac:dyDescent="0.25">
      <c r="B969" s="21"/>
    </row>
    <row r="970" spans="2:2" x14ac:dyDescent="0.25">
      <c r="B970" s="21"/>
    </row>
    <row r="971" spans="2:2" x14ac:dyDescent="0.25">
      <c r="B971" s="21"/>
    </row>
    <row r="972" spans="2:2" x14ac:dyDescent="0.25">
      <c r="B972" s="21"/>
    </row>
    <row r="973" spans="2:2" x14ac:dyDescent="0.25">
      <c r="B973" s="21"/>
    </row>
    <row r="974" spans="2:2" x14ac:dyDescent="0.25">
      <c r="B974" s="21"/>
    </row>
    <row r="975" spans="2:2" x14ac:dyDescent="0.25">
      <c r="B975" s="21"/>
    </row>
    <row r="976" spans="2:2" x14ac:dyDescent="0.25">
      <c r="B976" s="21"/>
    </row>
    <row r="977" spans="2:2" x14ac:dyDescent="0.25">
      <c r="B977" s="21"/>
    </row>
    <row r="978" spans="2:2" x14ac:dyDescent="0.25">
      <c r="B978" s="21"/>
    </row>
    <row r="979" spans="2:2" x14ac:dyDescent="0.25">
      <c r="B979" s="21"/>
    </row>
    <row r="980" spans="2:2" x14ac:dyDescent="0.25">
      <c r="B980" s="21"/>
    </row>
    <row r="981" spans="2:2" x14ac:dyDescent="0.25">
      <c r="B981" s="21"/>
    </row>
    <row r="982" spans="2:2" x14ac:dyDescent="0.25">
      <c r="B982" s="21"/>
    </row>
    <row r="983" spans="2:2" x14ac:dyDescent="0.25">
      <c r="B983" s="21"/>
    </row>
    <row r="984" spans="2:2" x14ac:dyDescent="0.25">
      <c r="B984" s="21"/>
    </row>
    <row r="985" spans="2:2" x14ac:dyDescent="0.25">
      <c r="B985" s="21"/>
    </row>
    <row r="986" spans="2:2" x14ac:dyDescent="0.25">
      <c r="B986" s="21"/>
    </row>
    <row r="987" spans="2:2" x14ac:dyDescent="0.25">
      <c r="B987" s="21"/>
    </row>
    <row r="988" spans="2:2" x14ac:dyDescent="0.25">
      <c r="B988" s="21"/>
    </row>
    <row r="989" spans="2:2" x14ac:dyDescent="0.25">
      <c r="B989" s="21"/>
    </row>
    <row r="990" spans="2:2" x14ac:dyDescent="0.25">
      <c r="B990" s="21"/>
    </row>
    <row r="991" spans="2:2" x14ac:dyDescent="0.25">
      <c r="B991" s="21"/>
    </row>
    <row r="992" spans="2:2" x14ac:dyDescent="0.25">
      <c r="B992" s="21"/>
    </row>
    <row r="993" spans="2:2" x14ac:dyDescent="0.25">
      <c r="B993" s="21"/>
    </row>
    <row r="994" spans="2:2" x14ac:dyDescent="0.25">
      <c r="B994" s="21"/>
    </row>
    <row r="995" spans="2:2" x14ac:dyDescent="0.25">
      <c r="B995" s="21"/>
    </row>
    <row r="996" spans="2:2" x14ac:dyDescent="0.25">
      <c r="B996" s="21"/>
    </row>
    <row r="997" spans="2:2" x14ac:dyDescent="0.25">
      <c r="B997" s="21"/>
    </row>
    <row r="998" spans="2:2" x14ac:dyDescent="0.25">
      <c r="B998" s="21"/>
    </row>
    <row r="999" spans="2:2" x14ac:dyDescent="0.25">
      <c r="B999" s="21"/>
    </row>
    <row r="1000" spans="2:2" x14ac:dyDescent="0.25">
      <c r="B1000" s="21"/>
    </row>
    <row r="1001" spans="2:2" x14ac:dyDescent="0.25">
      <c r="B1001" s="21"/>
    </row>
    <row r="1002" spans="2:2" x14ac:dyDescent="0.25">
      <c r="B1002" s="21"/>
    </row>
    <row r="1003" spans="2:2" x14ac:dyDescent="0.25">
      <c r="B1003" s="21"/>
    </row>
    <row r="1004" spans="2:2" x14ac:dyDescent="0.25">
      <c r="B1004" s="21"/>
    </row>
    <row r="1005" spans="2:2" x14ac:dyDescent="0.25">
      <c r="B1005" s="21"/>
    </row>
    <row r="1006" spans="2:2" x14ac:dyDescent="0.25">
      <c r="B1006" s="21"/>
    </row>
    <row r="1007" spans="2:2" x14ac:dyDescent="0.25">
      <c r="B1007" s="21"/>
    </row>
    <row r="1008" spans="2:2" x14ac:dyDescent="0.25">
      <c r="B1008" s="21"/>
    </row>
    <row r="1009" spans="2:2" x14ac:dyDescent="0.25">
      <c r="B1009" s="21"/>
    </row>
    <row r="1010" spans="2:2" x14ac:dyDescent="0.25">
      <c r="B1010" s="21"/>
    </row>
    <row r="1011" spans="2:2" x14ac:dyDescent="0.25">
      <c r="B1011" s="21"/>
    </row>
    <row r="1012" spans="2:2" x14ac:dyDescent="0.25">
      <c r="B1012" s="21"/>
    </row>
    <row r="1013" spans="2:2" x14ac:dyDescent="0.25">
      <c r="B1013" s="21"/>
    </row>
    <row r="1014" spans="2:2" x14ac:dyDescent="0.25">
      <c r="B1014" s="21"/>
    </row>
    <row r="1015" spans="2:2" x14ac:dyDescent="0.25">
      <c r="B1015" s="21"/>
    </row>
    <row r="1016" spans="2:2" x14ac:dyDescent="0.25">
      <c r="B1016" s="21"/>
    </row>
    <row r="1017" spans="2:2" x14ac:dyDescent="0.25">
      <c r="B1017" s="21"/>
    </row>
    <row r="1018" spans="2:2" x14ac:dyDescent="0.25">
      <c r="B1018" s="21"/>
    </row>
    <row r="1019" spans="2:2" x14ac:dyDescent="0.25">
      <c r="B1019" s="21"/>
    </row>
    <row r="1020" spans="2:2" x14ac:dyDescent="0.25">
      <c r="B1020" s="21"/>
    </row>
    <row r="1021" spans="2:2" x14ac:dyDescent="0.25">
      <c r="B1021" s="21"/>
    </row>
    <row r="1022" spans="2:2" x14ac:dyDescent="0.25">
      <c r="B1022" s="21"/>
    </row>
    <row r="1023" spans="2:2" x14ac:dyDescent="0.25">
      <c r="B1023" s="21"/>
    </row>
    <row r="1024" spans="2:2" x14ac:dyDescent="0.25">
      <c r="B1024" s="21"/>
    </row>
    <row r="1025" spans="2:2" x14ac:dyDescent="0.25">
      <c r="B1025" s="21"/>
    </row>
    <row r="1026" spans="2:2" x14ac:dyDescent="0.25">
      <c r="B1026" s="21"/>
    </row>
    <row r="1027" spans="2:2" x14ac:dyDescent="0.25">
      <c r="B1027" s="21"/>
    </row>
    <row r="1028" spans="2:2" x14ac:dyDescent="0.25">
      <c r="B1028" s="21"/>
    </row>
    <row r="1029" spans="2:2" x14ac:dyDescent="0.25">
      <c r="B1029" s="21"/>
    </row>
    <row r="1030" spans="2:2" x14ac:dyDescent="0.25">
      <c r="B1030" s="21"/>
    </row>
    <row r="1031" spans="2:2" x14ac:dyDescent="0.25">
      <c r="B1031" s="21"/>
    </row>
    <row r="1032" spans="2:2" x14ac:dyDescent="0.25">
      <c r="B1032" s="21"/>
    </row>
    <row r="1033" spans="2:2" x14ac:dyDescent="0.25">
      <c r="B1033" s="21"/>
    </row>
    <row r="1034" spans="2:2" x14ac:dyDescent="0.25">
      <c r="B1034" s="21"/>
    </row>
    <row r="1035" spans="2:2" x14ac:dyDescent="0.25">
      <c r="B1035" s="21"/>
    </row>
    <row r="1036" spans="2:2" x14ac:dyDescent="0.25">
      <c r="B1036" s="21"/>
    </row>
    <row r="1037" spans="2:2" x14ac:dyDescent="0.25">
      <c r="B1037" s="21"/>
    </row>
    <row r="1038" spans="2:2" x14ac:dyDescent="0.25">
      <c r="B1038" s="21"/>
    </row>
    <row r="1039" spans="2:2" x14ac:dyDescent="0.25">
      <c r="B1039" s="21"/>
    </row>
    <row r="1040" spans="2:2" x14ac:dyDescent="0.25">
      <c r="B1040" s="21"/>
    </row>
    <row r="1041" spans="2:2" x14ac:dyDescent="0.25">
      <c r="B1041" s="21"/>
    </row>
    <row r="1042" spans="2:2" x14ac:dyDescent="0.25">
      <c r="B1042" s="21"/>
    </row>
    <row r="1043" spans="2:2" x14ac:dyDescent="0.25">
      <c r="B1043" s="21"/>
    </row>
    <row r="1044" spans="2:2" x14ac:dyDescent="0.25">
      <c r="B1044" s="21"/>
    </row>
    <row r="1045" spans="2:2" x14ac:dyDescent="0.25">
      <c r="B1045" s="21"/>
    </row>
    <row r="1046" spans="2:2" x14ac:dyDescent="0.25">
      <c r="B1046" s="21"/>
    </row>
    <row r="1047" spans="2:2" x14ac:dyDescent="0.25">
      <c r="B1047" s="21"/>
    </row>
    <row r="1048" spans="2:2" x14ac:dyDescent="0.25">
      <c r="B1048" s="21"/>
    </row>
    <row r="1049" spans="2:2" x14ac:dyDescent="0.25">
      <c r="B1049" s="21"/>
    </row>
    <row r="1050" spans="2:2" x14ac:dyDescent="0.25">
      <c r="B1050" s="21"/>
    </row>
    <row r="1051" spans="2:2" x14ac:dyDescent="0.25">
      <c r="B1051" s="21"/>
    </row>
    <row r="1052" spans="2:2" x14ac:dyDescent="0.25">
      <c r="B1052" s="21"/>
    </row>
    <row r="1053" spans="2:2" x14ac:dyDescent="0.25">
      <c r="B1053" s="21"/>
    </row>
    <row r="1054" spans="2:2" x14ac:dyDescent="0.25">
      <c r="B1054" s="21"/>
    </row>
    <row r="1055" spans="2:2" x14ac:dyDescent="0.25">
      <c r="B1055" s="21"/>
    </row>
    <row r="1056" spans="2:2" x14ac:dyDescent="0.25">
      <c r="B1056" s="21"/>
    </row>
    <row r="1057" spans="2:2" x14ac:dyDescent="0.25">
      <c r="B1057" s="21"/>
    </row>
    <row r="1058" spans="2:2" x14ac:dyDescent="0.25">
      <c r="B1058" s="21"/>
    </row>
    <row r="1059" spans="2:2" x14ac:dyDescent="0.25">
      <c r="B1059" s="21"/>
    </row>
    <row r="1060" spans="2:2" x14ac:dyDescent="0.25">
      <c r="B1060" s="21"/>
    </row>
    <row r="1061" spans="2:2" x14ac:dyDescent="0.25">
      <c r="B1061" s="21"/>
    </row>
    <row r="1062" spans="2:2" x14ac:dyDescent="0.25">
      <c r="B1062" s="21"/>
    </row>
    <row r="1063" spans="2:2" x14ac:dyDescent="0.25">
      <c r="B1063" s="21"/>
    </row>
    <row r="1064" spans="2:2" x14ac:dyDescent="0.25">
      <c r="B1064" s="21"/>
    </row>
    <row r="1065" spans="2:2" x14ac:dyDescent="0.25">
      <c r="B1065" s="21"/>
    </row>
    <row r="1066" spans="2:2" x14ac:dyDescent="0.25">
      <c r="B1066" s="21"/>
    </row>
    <row r="1067" spans="2:2" x14ac:dyDescent="0.25">
      <c r="B1067" s="21"/>
    </row>
    <row r="1068" spans="2:2" x14ac:dyDescent="0.25">
      <c r="B1068" s="21"/>
    </row>
    <row r="1069" spans="2:2" x14ac:dyDescent="0.25">
      <c r="B1069" s="21"/>
    </row>
    <row r="1070" spans="2:2" x14ac:dyDescent="0.25">
      <c r="B1070" s="21"/>
    </row>
    <row r="1071" spans="2:2" x14ac:dyDescent="0.25">
      <c r="B1071" s="21"/>
    </row>
    <row r="1072" spans="2:2" x14ac:dyDescent="0.25">
      <c r="B1072" s="21"/>
    </row>
    <row r="1073" spans="2:2" x14ac:dyDescent="0.25">
      <c r="B1073" s="21"/>
    </row>
    <row r="1074" spans="2:2" x14ac:dyDescent="0.25">
      <c r="B1074" s="21"/>
    </row>
    <row r="1075" spans="2:2" x14ac:dyDescent="0.25">
      <c r="B1075" s="21"/>
    </row>
    <row r="1076" spans="2:2" x14ac:dyDescent="0.25">
      <c r="B1076" s="21"/>
    </row>
    <row r="1077" spans="2:2" x14ac:dyDescent="0.25">
      <c r="B1077" s="21"/>
    </row>
    <row r="1078" spans="2:2" x14ac:dyDescent="0.25">
      <c r="B1078" s="21"/>
    </row>
    <row r="1079" spans="2:2" x14ac:dyDescent="0.25">
      <c r="B1079" s="21"/>
    </row>
    <row r="1080" spans="2:2" x14ac:dyDescent="0.25">
      <c r="B1080" s="21"/>
    </row>
    <row r="1081" spans="2:2" x14ac:dyDescent="0.25">
      <c r="B1081" s="21"/>
    </row>
    <row r="1082" spans="2:2" x14ac:dyDescent="0.25">
      <c r="B1082" s="21"/>
    </row>
    <row r="1083" spans="2:2" x14ac:dyDescent="0.25">
      <c r="B1083" s="21"/>
    </row>
    <row r="1084" spans="2:2" x14ac:dyDescent="0.25">
      <c r="B1084" s="21"/>
    </row>
    <row r="1085" spans="2:2" x14ac:dyDescent="0.25">
      <c r="B1085" s="21"/>
    </row>
    <row r="1086" spans="2:2" x14ac:dyDescent="0.25">
      <c r="B1086" s="21"/>
    </row>
    <row r="1087" spans="2:2" x14ac:dyDescent="0.25">
      <c r="B1087" s="21"/>
    </row>
    <row r="1088" spans="2:2" x14ac:dyDescent="0.25">
      <c r="B1088" s="21"/>
    </row>
    <row r="1089" spans="2:2" x14ac:dyDescent="0.25">
      <c r="B1089" s="21"/>
    </row>
    <row r="1090" spans="2:2" x14ac:dyDescent="0.25">
      <c r="B1090" s="21"/>
    </row>
    <row r="1091" spans="2:2" x14ac:dyDescent="0.25">
      <c r="B1091" s="21"/>
    </row>
    <row r="1092" spans="2:2" x14ac:dyDescent="0.25">
      <c r="B1092" s="21"/>
    </row>
    <row r="1093" spans="2:2" x14ac:dyDescent="0.25">
      <c r="B1093" s="21"/>
    </row>
    <row r="1094" spans="2:2" x14ac:dyDescent="0.25">
      <c r="B1094" s="21"/>
    </row>
    <row r="1095" spans="2:2" x14ac:dyDescent="0.25">
      <c r="B1095" s="21"/>
    </row>
    <row r="1096" spans="2:2" x14ac:dyDescent="0.25">
      <c r="B1096" s="21"/>
    </row>
    <row r="1097" spans="2:2" x14ac:dyDescent="0.25">
      <c r="B1097" s="21"/>
    </row>
    <row r="1098" spans="2:2" x14ac:dyDescent="0.25">
      <c r="B1098" s="21"/>
    </row>
    <row r="1099" spans="2:2" x14ac:dyDescent="0.25">
      <c r="B1099" s="21"/>
    </row>
    <row r="1100" spans="2:2" x14ac:dyDescent="0.25">
      <c r="B1100" s="21"/>
    </row>
    <row r="1101" spans="2:2" x14ac:dyDescent="0.25">
      <c r="B1101" s="21"/>
    </row>
    <row r="1102" spans="2:2" x14ac:dyDescent="0.25">
      <c r="B1102" s="21"/>
    </row>
    <row r="1103" spans="2:2" x14ac:dyDescent="0.25">
      <c r="B1103" s="21"/>
    </row>
    <row r="1104" spans="2:2" x14ac:dyDescent="0.25">
      <c r="B1104" s="21"/>
    </row>
    <row r="1105" spans="2:2" x14ac:dyDescent="0.25">
      <c r="B1105" s="21"/>
    </row>
    <row r="1106" spans="2:2" x14ac:dyDescent="0.25">
      <c r="B1106" s="21"/>
    </row>
    <row r="1107" spans="2:2" x14ac:dyDescent="0.25">
      <c r="B1107" s="21"/>
    </row>
    <row r="1108" spans="2:2" x14ac:dyDescent="0.25">
      <c r="B1108" s="21"/>
    </row>
    <row r="1109" spans="2:2" x14ac:dyDescent="0.25">
      <c r="B1109" s="21"/>
    </row>
    <row r="1110" spans="2:2" x14ac:dyDescent="0.25">
      <c r="B1110" s="21"/>
    </row>
    <row r="1111" spans="2:2" x14ac:dyDescent="0.25">
      <c r="B1111" s="21"/>
    </row>
    <row r="1112" spans="2:2" x14ac:dyDescent="0.25">
      <c r="B1112" s="21"/>
    </row>
    <row r="1113" spans="2:2" x14ac:dyDescent="0.25">
      <c r="B1113" s="21"/>
    </row>
    <row r="1114" spans="2:2" x14ac:dyDescent="0.25">
      <c r="B1114" s="21"/>
    </row>
    <row r="1115" spans="2:2" x14ac:dyDescent="0.25">
      <c r="B1115" s="21"/>
    </row>
    <row r="1116" spans="2:2" x14ac:dyDescent="0.25">
      <c r="B1116" s="21"/>
    </row>
    <row r="1117" spans="2:2" x14ac:dyDescent="0.25">
      <c r="B1117" s="21"/>
    </row>
    <row r="1118" spans="2:2" x14ac:dyDescent="0.25">
      <c r="B1118" s="21"/>
    </row>
    <row r="1119" spans="2:2" x14ac:dyDescent="0.25">
      <c r="B1119" s="21"/>
    </row>
    <row r="1120" spans="2:2" x14ac:dyDescent="0.25">
      <c r="B1120" s="21"/>
    </row>
    <row r="1121" spans="2:2" x14ac:dyDescent="0.25">
      <c r="B1121" s="21"/>
    </row>
    <row r="1122" spans="2:2" x14ac:dyDescent="0.25">
      <c r="B1122" s="21"/>
    </row>
    <row r="1123" spans="2:2" x14ac:dyDescent="0.25">
      <c r="B1123" s="21"/>
    </row>
    <row r="1124" spans="2:2" x14ac:dyDescent="0.25">
      <c r="B1124" s="21"/>
    </row>
    <row r="1125" spans="2:2" x14ac:dyDescent="0.25">
      <c r="B1125" s="21"/>
    </row>
    <row r="1126" spans="2:2" x14ac:dyDescent="0.25">
      <c r="B1126" s="21"/>
    </row>
    <row r="1127" spans="2:2" x14ac:dyDescent="0.25">
      <c r="B1127" s="21"/>
    </row>
    <row r="1128" spans="2:2" x14ac:dyDescent="0.25">
      <c r="B1128" s="21"/>
    </row>
    <row r="1129" spans="2:2" x14ac:dyDescent="0.25">
      <c r="B1129" s="21"/>
    </row>
    <row r="1130" spans="2:2" x14ac:dyDescent="0.25">
      <c r="B1130" s="21"/>
    </row>
    <row r="1131" spans="2:2" x14ac:dyDescent="0.25">
      <c r="B1131" s="21"/>
    </row>
    <row r="1132" spans="2:2" x14ac:dyDescent="0.25">
      <c r="B1132" s="21"/>
    </row>
    <row r="1133" spans="2:2" x14ac:dyDescent="0.25">
      <c r="B1133" s="21"/>
    </row>
    <row r="1134" spans="2:2" x14ac:dyDescent="0.25">
      <c r="B1134" s="21"/>
    </row>
    <row r="1135" spans="2:2" x14ac:dyDescent="0.25">
      <c r="B1135" s="21"/>
    </row>
    <row r="1136" spans="2:2" x14ac:dyDescent="0.25">
      <c r="B1136" s="21"/>
    </row>
    <row r="1137" spans="2:2" x14ac:dyDescent="0.25">
      <c r="B1137" s="21"/>
    </row>
    <row r="1138" spans="2:2" x14ac:dyDescent="0.25">
      <c r="B1138" s="21"/>
    </row>
    <row r="1139" spans="2:2" x14ac:dyDescent="0.25">
      <c r="B1139" s="21"/>
    </row>
    <row r="1140" spans="2:2" x14ac:dyDescent="0.25">
      <c r="B1140" s="21"/>
    </row>
    <row r="1141" spans="2:2" x14ac:dyDescent="0.25">
      <c r="B1141" s="21"/>
    </row>
    <row r="1142" spans="2:2" x14ac:dyDescent="0.25">
      <c r="B1142" s="21"/>
    </row>
    <row r="1143" spans="2:2" x14ac:dyDescent="0.25">
      <c r="B1143" s="21"/>
    </row>
    <row r="1144" spans="2:2" x14ac:dyDescent="0.25">
      <c r="B1144" s="21"/>
    </row>
    <row r="1145" spans="2:2" x14ac:dyDescent="0.25">
      <c r="B1145" s="21"/>
    </row>
    <row r="1146" spans="2:2" x14ac:dyDescent="0.25">
      <c r="B1146" s="21"/>
    </row>
    <row r="1147" spans="2:2" x14ac:dyDescent="0.25">
      <c r="B1147" s="21"/>
    </row>
    <row r="1148" spans="2:2" x14ac:dyDescent="0.25">
      <c r="B1148" s="21"/>
    </row>
    <row r="1149" spans="2:2" x14ac:dyDescent="0.25">
      <c r="B1149" s="21"/>
    </row>
    <row r="1150" spans="2:2" x14ac:dyDescent="0.25">
      <c r="B1150" s="21"/>
    </row>
    <row r="1151" spans="2:2" x14ac:dyDescent="0.25">
      <c r="B1151" s="21"/>
    </row>
    <row r="1152" spans="2:2" x14ac:dyDescent="0.25">
      <c r="B1152" s="21"/>
    </row>
    <row r="1153" spans="2:2" x14ac:dyDescent="0.25">
      <c r="B1153" s="21"/>
    </row>
    <row r="1154" spans="2:2" x14ac:dyDescent="0.25">
      <c r="B1154" s="21"/>
    </row>
    <row r="1155" spans="2:2" x14ac:dyDescent="0.25">
      <c r="B1155" s="21"/>
    </row>
    <row r="1156" spans="2:2" x14ac:dyDescent="0.25">
      <c r="B1156" s="21"/>
    </row>
    <row r="1157" spans="2:2" x14ac:dyDescent="0.25">
      <c r="B1157" s="21"/>
    </row>
    <row r="1158" spans="2:2" x14ac:dyDescent="0.25">
      <c r="B1158" s="21"/>
    </row>
    <row r="1159" spans="2:2" x14ac:dyDescent="0.25">
      <c r="B1159" s="21"/>
    </row>
    <row r="1160" spans="2:2" x14ac:dyDescent="0.25">
      <c r="B1160" s="21"/>
    </row>
    <row r="1161" spans="2:2" x14ac:dyDescent="0.25">
      <c r="B1161" s="21"/>
    </row>
    <row r="1162" spans="2:2" x14ac:dyDescent="0.25">
      <c r="B1162" s="21"/>
    </row>
    <row r="1163" spans="2:2" x14ac:dyDescent="0.25">
      <c r="B1163" s="21"/>
    </row>
    <row r="1164" spans="2:2" x14ac:dyDescent="0.25">
      <c r="B1164" s="21"/>
    </row>
    <row r="1165" spans="2:2" x14ac:dyDescent="0.25">
      <c r="B1165" s="21"/>
    </row>
    <row r="1166" spans="2:2" x14ac:dyDescent="0.25">
      <c r="B1166" s="21"/>
    </row>
    <row r="1167" spans="2:2" x14ac:dyDescent="0.25">
      <c r="B1167" s="21"/>
    </row>
    <row r="1168" spans="2:2" x14ac:dyDescent="0.25">
      <c r="B1168" s="21"/>
    </row>
    <row r="1169" spans="2:2" x14ac:dyDescent="0.25">
      <c r="B1169" s="21"/>
    </row>
    <row r="1170" spans="2:2" x14ac:dyDescent="0.25">
      <c r="B1170" s="21"/>
    </row>
    <row r="1171" spans="2:2" x14ac:dyDescent="0.25">
      <c r="B1171" s="21"/>
    </row>
    <row r="1172" spans="2:2" x14ac:dyDescent="0.25">
      <c r="B1172" s="21"/>
    </row>
    <row r="1173" spans="2:2" x14ac:dyDescent="0.25">
      <c r="B1173" s="21"/>
    </row>
    <row r="1174" spans="2:2" x14ac:dyDescent="0.25">
      <c r="B1174" s="21"/>
    </row>
    <row r="1175" spans="2:2" x14ac:dyDescent="0.25">
      <c r="B1175" s="21"/>
    </row>
    <row r="1176" spans="2:2" x14ac:dyDescent="0.25">
      <c r="B1176" s="21"/>
    </row>
    <row r="1177" spans="2:2" x14ac:dyDescent="0.25">
      <c r="B1177" s="21"/>
    </row>
    <row r="1178" spans="2:2" x14ac:dyDescent="0.25">
      <c r="B1178" s="21"/>
    </row>
    <row r="1179" spans="2:2" x14ac:dyDescent="0.25">
      <c r="B1179" s="21"/>
    </row>
    <row r="1180" spans="2:2" x14ac:dyDescent="0.25">
      <c r="B1180" s="21"/>
    </row>
    <row r="1181" spans="2:2" x14ac:dyDescent="0.25">
      <c r="B1181" s="21"/>
    </row>
    <row r="1182" spans="2:2" x14ac:dyDescent="0.25">
      <c r="B1182" s="21"/>
    </row>
    <row r="1183" spans="2:2" x14ac:dyDescent="0.25">
      <c r="B1183" s="21"/>
    </row>
    <row r="1184" spans="2:2" x14ac:dyDescent="0.25">
      <c r="B1184" s="21"/>
    </row>
    <row r="1185" spans="2:2" x14ac:dyDescent="0.25">
      <c r="B1185" s="21"/>
    </row>
    <row r="1186" spans="2:2" x14ac:dyDescent="0.25">
      <c r="B1186" s="21"/>
    </row>
    <row r="1187" spans="2:2" x14ac:dyDescent="0.25">
      <c r="B1187" s="21"/>
    </row>
    <row r="1188" spans="2:2" x14ac:dyDescent="0.25">
      <c r="B1188" s="21"/>
    </row>
    <row r="1189" spans="2:2" x14ac:dyDescent="0.25">
      <c r="B1189" s="21"/>
    </row>
    <row r="1190" spans="2:2" x14ac:dyDescent="0.25">
      <c r="B1190" s="21"/>
    </row>
    <row r="1191" spans="2:2" x14ac:dyDescent="0.25">
      <c r="B1191" s="21"/>
    </row>
    <row r="1192" spans="2:2" x14ac:dyDescent="0.25">
      <c r="B1192" s="21"/>
    </row>
    <row r="1193" spans="2:2" x14ac:dyDescent="0.25">
      <c r="B1193" s="21"/>
    </row>
    <row r="1194" spans="2:2" x14ac:dyDescent="0.25">
      <c r="B1194" s="21"/>
    </row>
    <row r="1195" spans="2:2" x14ac:dyDescent="0.25">
      <c r="B1195" s="21"/>
    </row>
    <row r="1196" spans="2:2" x14ac:dyDescent="0.25">
      <c r="B1196" s="21"/>
    </row>
    <row r="1197" spans="2:2" x14ac:dyDescent="0.25">
      <c r="B1197" s="21"/>
    </row>
    <row r="1198" spans="2:2" x14ac:dyDescent="0.25">
      <c r="B1198" s="21"/>
    </row>
    <row r="1199" spans="2:2" x14ac:dyDescent="0.25">
      <c r="B1199" s="21"/>
    </row>
    <row r="1200" spans="2:2" x14ac:dyDescent="0.25">
      <c r="B1200" s="21"/>
    </row>
    <row r="1201" spans="2:2" x14ac:dyDescent="0.25">
      <c r="B1201" s="21"/>
    </row>
    <row r="1202" spans="2:2" x14ac:dyDescent="0.25">
      <c r="B1202" s="21"/>
    </row>
    <row r="1203" spans="2:2" x14ac:dyDescent="0.25">
      <c r="B1203" s="21"/>
    </row>
    <row r="1204" spans="2:2" x14ac:dyDescent="0.25">
      <c r="B1204" s="21"/>
    </row>
    <row r="1205" spans="2:2" x14ac:dyDescent="0.25">
      <c r="B1205" s="21"/>
    </row>
    <row r="1206" spans="2:2" x14ac:dyDescent="0.25">
      <c r="B1206" s="21"/>
    </row>
    <row r="1207" spans="2:2" x14ac:dyDescent="0.25">
      <c r="B1207" s="21"/>
    </row>
    <row r="1208" spans="2:2" x14ac:dyDescent="0.25">
      <c r="B1208" s="21"/>
    </row>
    <row r="1209" spans="2:2" x14ac:dyDescent="0.25">
      <c r="B1209" s="21"/>
    </row>
    <row r="1210" spans="2:2" x14ac:dyDescent="0.25">
      <c r="B1210" s="21"/>
    </row>
    <row r="1211" spans="2:2" x14ac:dyDescent="0.25">
      <c r="B1211" s="21"/>
    </row>
    <row r="1212" spans="2:2" x14ac:dyDescent="0.25">
      <c r="B1212" s="21"/>
    </row>
    <row r="1213" spans="2:2" x14ac:dyDescent="0.25">
      <c r="B1213" s="21"/>
    </row>
    <row r="1214" spans="2:2" x14ac:dyDescent="0.25">
      <c r="B1214" s="21"/>
    </row>
    <row r="1215" spans="2:2" x14ac:dyDescent="0.25">
      <c r="B1215" s="21"/>
    </row>
    <row r="1216" spans="2:2" x14ac:dyDescent="0.25">
      <c r="B1216" s="21"/>
    </row>
    <row r="1217" spans="2:2" x14ac:dyDescent="0.25">
      <c r="B1217" s="21"/>
    </row>
    <row r="1218" spans="2:2" x14ac:dyDescent="0.25">
      <c r="B1218" s="21"/>
    </row>
    <row r="1219" spans="2:2" x14ac:dyDescent="0.25">
      <c r="B1219" s="21"/>
    </row>
    <row r="1220" spans="2:2" x14ac:dyDescent="0.25">
      <c r="B1220" s="21"/>
    </row>
    <row r="1221" spans="2:2" x14ac:dyDescent="0.25">
      <c r="B1221" s="21"/>
    </row>
    <row r="1222" spans="2:2" x14ac:dyDescent="0.25">
      <c r="B1222" s="21"/>
    </row>
    <row r="1223" spans="2:2" x14ac:dyDescent="0.25">
      <c r="B1223" s="21"/>
    </row>
    <row r="1224" spans="2:2" x14ac:dyDescent="0.25">
      <c r="B1224" s="21"/>
    </row>
    <row r="1225" spans="2:2" x14ac:dyDescent="0.25">
      <c r="B1225" s="21"/>
    </row>
    <row r="1226" spans="2:2" x14ac:dyDescent="0.25">
      <c r="B1226" s="21"/>
    </row>
    <row r="1227" spans="2:2" x14ac:dyDescent="0.25">
      <c r="B1227" s="21"/>
    </row>
    <row r="1228" spans="2:2" x14ac:dyDescent="0.25">
      <c r="B1228" s="21"/>
    </row>
    <row r="1229" spans="2:2" x14ac:dyDescent="0.25">
      <c r="B1229" s="21"/>
    </row>
    <row r="1230" spans="2:2" x14ac:dyDescent="0.25">
      <c r="B1230" s="21"/>
    </row>
    <row r="1231" spans="2:2" x14ac:dyDescent="0.25">
      <c r="B1231" s="21"/>
    </row>
    <row r="1232" spans="2:2" x14ac:dyDescent="0.25">
      <c r="B1232" s="21"/>
    </row>
    <row r="1233" spans="2:2" x14ac:dyDescent="0.25">
      <c r="B1233" s="21"/>
    </row>
    <row r="1234" spans="2:2" x14ac:dyDescent="0.25">
      <c r="B1234" s="21"/>
    </row>
    <row r="1235" spans="2:2" x14ac:dyDescent="0.25">
      <c r="B1235" s="21"/>
    </row>
    <row r="1236" spans="2:2" x14ac:dyDescent="0.25">
      <c r="B1236" s="21"/>
    </row>
    <row r="1237" spans="2:2" x14ac:dyDescent="0.25">
      <c r="B1237" s="21"/>
    </row>
    <row r="1238" spans="2:2" x14ac:dyDescent="0.25">
      <c r="B1238" s="21"/>
    </row>
    <row r="1239" spans="2:2" x14ac:dyDescent="0.25">
      <c r="B1239" s="21"/>
    </row>
    <row r="1240" spans="2:2" x14ac:dyDescent="0.25">
      <c r="B1240" s="21"/>
    </row>
    <row r="1241" spans="2:2" x14ac:dyDescent="0.25">
      <c r="B1241" s="21"/>
    </row>
    <row r="1242" spans="2:2" x14ac:dyDescent="0.25">
      <c r="B1242" s="21"/>
    </row>
    <row r="1243" spans="2:2" x14ac:dyDescent="0.25">
      <c r="B1243" s="21"/>
    </row>
    <row r="1244" spans="2:2" x14ac:dyDescent="0.25">
      <c r="B1244" s="21"/>
    </row>
    <row r="1245" spans="2:2" x14ac:dyDescent="0.25">
      <c r="B1245" s="21"/>
    </row>
    <row r="1246" spans="2:2" x14ac:dyDescent="0.25">
      <c r="B1246" s="21"/>
    </row>
    <row r="1247" spans="2:2" x14ac:dyDescent="0.25">
      <c r="B1247" s="21"/>
    </row>
    <row r="1248" spans="2:2" x14ac:dyDescent="0.25">
      <c r="B1248" s="21"/>
    </row>
    <row r="1249" spans="2:2" x14ac:dyDescent="0.25">
      <c r="B1249" s="21"/>
    </row>
    <row r="1250" spans="2:2" x14ac:dyDescent="0.25">
      <c r="B1250" s="21"/>
    </row>
    <row r="1251" spans="2:2" x14ac:dyDescent="0.25">
      <c r="B1251" s="21"/>
    </row>
    <row r="1252" spans="2:2" x14ac:dyDescent="0.25">
      <c r="B1252" s="21"/>
    </row>
    <row r="1253" spans="2:2" x14ac:dyDescent="0.25">
      <c r="B1253" s="21"/>
    </row>
    <row r="1254" spans="2:2" x14ac:dyDescent="0.25">
      <c r="B1254" s="21"/>
    </row>
    <row r="1255" spans="2:2" x14ac:dyDescent="0.25">
      <c r="B1255" s="21"/>
    </row>
    <row r="1256" spans="2:2" x14ac:dyDescent="0.25">
      <c r="B1256" s="21"/>
    </row>
    <row r="1257" spans="2:2" x14ac:dyDescent="0.25">
      <c r="B1257" s="21"/>
    </row>
    <row r="1258" spans="2:2" x14ac:dyDescent="0.25">
      <c r="B1258" s="21"/>
    </row>
    <row r="1259" spans="2:2" x14ac:dyDescent="0.25">
      <c r="B1259" s="21"/>
    </row>
    <row r="1260" spans="2:2" x14ac:dyDescent="0.25">
      <c r="B1260" s="21"/>
    </row>
    <row r="1261" spans="2:2" x14ac:dyDescent="0.25">
      <c r="B1261" s="21"/>
    </row>
    <row r="1262" spans="2:2" x14ac:dyDescent="0.25">
      <c r="B1262" s="21"/>
    </row>
    <row r="1263" spans="2:2" x14ac:dyDescent="0.25">
      <c r="B1263" s="21"/>
    </row>
    <row r="1264" spans="2:2" x14ac:dyDescent="0.25">
      <c r="B1264" s="21"/>
    </row>
    <row r="1265" spans="2:2" x14ac:dyDescent="0.25">
      <c r="B1265" s="21"/>
    </row>
    <row r="1266" spans="2:2" x14ac:dyDescent="0.25">
      <c r="B1266" s="21"/>
    </row>
    <row r="1267" spans="2:2" x14ac:dyDescent="0.25">
      <c r="B1267" s="21"/>
    </row>
    <row r="1268" spans="2:2" x14ac:dyDescent="0.25">
      <c r="B1268" s="21"/>
    </row>
    <row r="1269" spans="2:2" x14ac:dyDescent="0.25">
      <c r="B1269" s="21"/>
    </row>
    <row r="1270" spans="2:2" x14ac:dyDescent="0.25">
      <c r="B1270" s="21"/>
    </row>
    <row r="1271" spans="2:2" x14ac:dyDescent="0.25">
      <c r="B1271" s="21"/>
    </row>
    <row r="1272" spans="2:2" x14ac:dyDescent="0.25">
      <c r="B1272" s="21"/>
    </row>
    <row r="1273" spans="2:2" x14ac:dyDescent="0.25">
      <c r="B1273" s="21"/>
    </row>
    <row r="1274" spans="2:2" x14ac:dyDescent="0.25">
      <c r="B1274" s="21"/>
    </row>
    <row r="1275" spans="2:2" x14ac:dyDescent="0.25">
      <c r="B1275" s="21"/>
    </row>
    <row r="1276" spans="2:2" x14ac:dyDescent="0.25">
      <c r="B1276" s="21"/>
    </row>
    <row r="1277" spans="2:2" x14ac:dyDescent="0.25">
      <c r="B1277" s="21"/>
    </row>
    <row r="1278" spans="2:2" x14ac:dyDescent="0.25">
      <c r="B1278" s="21"/>
    </row>
    <row r="1279" spans="2:2" x14ac:dyDescent="0.25">
      <c r="B1279" s="21"/>
    </row>
    <row r="1280" spans="2:2" x14ac:dyDescent="0.25">
      <c r="B1280" s="21"/>
    </row>
    <row r="1281" spans="2:2" x14ac:dyDescent="0.25">
      <c r="B1281" s="21"/>
    </row>
    <row r="1282" spans="2:2" x14ac:dyDescent="0.25">
      <c r="B1282" s="21"/>
    </row>
    <row r="1283" spans="2:2" x14ac:dyDescent="0.25">
      <c r="B1283" s="21"/>
    </row>
    <row r="1284" spans="2:2" x14ac:dyDescent="0.25">
      <c r="B1284" s="21"/>
    </row>
    <row r="1285" spans="2:2" x14ac:dyDescent="0.25">
      <c r="B1285" s="21"/>
    </row>
    <row r="1286" spans="2:2" x14ac:dyDescent="0.25">
      <c r="B1286" s="21"/>
    </row>
    <row r="1287" spans="2:2" x14ac:dyDescent="0.25">
      <c r="B1287" s="21"/>
    </row>
    <row r="1288" spans="2:2" x14ac:dyDescent="0.25">
      <c r="B1288" s="21"/>
    </row>
    <row r="1289" spans="2:2" x14ac:dyDescent="0.25">
      <c r="B1289" s="21"/>
    </row>
    <row r="1290" spans="2:2" x14ac:dyDescent="0.25">
      <c r="B1290" s="21"/>
    </row>
    <row r="1291" spans="2:2" x14ac:dyDescent="0.25">
      <c r="B1291" s="21"/>
    </row>
    <row r="1292" spans="2:2" x14ac:dyDescent="0.25">
      <c r="B1292" s="21"/>
    </row>
    <row r="1293" spans="2:2" x14ac:dyDescent="0.25">
      <c r="B1293" s="21"/>
    </row>
    <row r="1294" spans="2:2" x14ac:dyDescent="0.25">
      <c r="B1294" s="21"/>
    </row>
    <row r="1295" spans="2:2" x14ac:dyDescent="0.25">
      <c r="B1295" s="21"/>
    </row>
    <row r="1296" spans="2:2" x14ac:dyDescent="0.25">
      <c r="B1296" s="21"/>
    </row>
    <row r="1297" spans="2:2" x14ac:dyDescent="0.25">
      <c r="B1297" s="21"/>
    </row>
    <row r="1298" spans="2:2" x14ac:dyDescent="0.25">
      <c r="B1298" s="21"/>
    </row>
    <row r="1299" spans="2:2" x14ac:dyDescent="0.25">
      <c r="B1299" s="21"/>
    </row>
    <row r="1300" spans="2:2" x14ac:dyDescent="0.25">
      <c r="B1300" s="21"/>
    </row>
    <row r="1301" spans="2:2" x14ac:dyDescent="0.25">
      <c r="B1301" s="21"/>
    </row>
    <row r="1302" spans="2:2" x14ac:dyDescent="0.25">
      <c r="B1302" s="21"/>
    </row>
    <row r="1303" spans="2:2" x14ac:dyDescent="0.25">
      <c r="B1303" s="21"/>
    </row>
    <row r="1304" spans="2:2" x14ac:dyDescent="0.25">
      <c r="B1304" s="21"/>
    </row>
    <row r="1305" spans="2:2" x14ac:dyDescent="0.25">
      <c r="B1305" s="21"/>
    </row>
    <row r="1306" spans="2:2" x14ac:dyDescent="0.25">
      <c r="B1306" s="21"/>
    </row>
    <row r="1307" spans="2:2" x14ac:dyDescent="0.25">
      <c r="B1307" s="21"/>
    </row>
    <row r="1308" spans="2:2" x14ac:dyDescent="0.25">
      <c r="B1308" s="21"/>
    </row>
    <row r="1309" spans="2:2" x14ac:dyDescent="0.25">
      <c r="B1309" s="21"/>
    </row>
    <row r="1310" spans="2:2" x14ac:dyDescent="0.25">
      <c r="B1310" s="21"/>
    </row>
    <row r="1311" spans="2:2" x14ac:dyDescent="0.25">
      <c r="B1311" s="21"/>
    </row>
    <row r="1312" spans="2:2" x14ac:dyDescent="0.25">
      <c r="B1312" s="21"/>
    </row>
    <row r="1313" spans="2:2" x14ac:dyDescent="0.25">
      <c r="B1313" s="21"/>
    </row>
    <row r="1314" spans="2:2" x14ac:dyDescent="0.25">
      <c r="B1314" s="21"/>
    </row>
    <row r="1315" spans="2:2" x14ac:dyDescent="0.25">
      <c r="B1315" s="21"/>
    </row>
    <row r="1316" spans="2:2" x14ac:dyDescent="0.25">
      <c r="B1316" s="21"/>
    </row>
    <row r="1317" spans="2:2" x14ac:dyDescent="0.25">
      <c r="B1317" s="21"/>
    </row>
    <row r="1318" spans="2:2" x14ac:dyDescent="0.25">
      <c r="B1318" s="21"/>
    </row>
    <row r="1319" spans="2:2" x14ac:dyDescent="0.25">
      <c r="B1319" s="21"/>
    </row>
    <row r="1320" spans="2:2" x14ac:dyDescent="0.25">
      <c r="B1320" s="21"/>
    </row>
    <row r="1321" spans="2:2" x14ac:dyDescent="0.25">
      <c r="B1321" s="21"/>
    </row>
    <row r="1322" spans="2:2" x14ac:dyDescent="0.25">
      <c r="B1322" s="21"/>
    </row>
    <row r="1323" spans="2:2" x14ac:dyDescent="0.25">
      <c r="B1323" s="21"/>
    </row>
    <row r="1324" spans="2:2" x14ac:dyDescent="0.25">
      <c r="B1324" s="21"/>
    </row>
    <row r="1325" spans="2:2" x14ac:dyDescent="0.25">
      <c r="B1325" s="21"/>
    </row>
    <row r="1326" spans="2:2" x14ac:dyDescent="0.25">
      <c r="B1326" s="21"/>
    </row>
    <row r="1327" spans="2:2" x14ac:dyDescent="0.25">
      <c r="B1327" s="21"/>
    </row>
    <row r="1328" spans="2:2" x14ac:dyDescent="0.25">
      <c r="B1328" s="21"/>
    </row>
    <row r="1329" spans="2:2" x14ac:dyDescent="0.25">
      <c r="B1329" s="21"/>
    </row>
    <row r="1330" spans="2:2" x14ac:dyDescent="0.25">
      <c r="B1330" s="21"/>
    </row>
    <row r="1331" spans="2:2" x14ac:dyDescent="0.25">
      <c r="B1331" s="21"/>
    </row>
    <row r="1332" spans="2:2" x14ac:dyDescent="0.25">
      <c r="B1332" s="21"/>
    </row>
    <row r="1333" spans="2:2" x14ac:dyDescent="0.25">
      <c r="B1333" s="21"/>
    </row>
    <row r="1334" spans="2:2" x14ac:dyDescent="0.25">
      <c r="B1334" s="21"/>
    </row>
    <row r="1335" spans="2:2" x14ac:dyDescent="0.25">
      <c r="B1335" s="21"/>
    </row>
    <row r="1336" spans="2:2" x14ac:dyDescent="0.25">
      <c r="B1336" s="21"/>
    </row>
    <row r="1337" spans="2:2" x14ac:dyDescent="0.25">
      <c r="B1337" s="21"/>
    </row>
    <row r="1338" spans="2:2" x14ac:dyDescent="0.25">
      <c r="B1338" s="21"/>
    </row>
    <row r="1339" spans="2:2" x14ac:dyDescent="0.25">
      <c r="B1339" s="21"/>
    </row>
    <row r="1340" spans="2:2" x14ac:dyDescent="0.25">
      <c r="B1340" s="21"/>
    </row>
    <row r="1341" spans="2:2" x14ac:dyDescent="0.25">
      <c r="B1341" s="21"/>
    </row>
    <row r="1342" spans="2:2" x14ac:dyDescent="0.25">
      <c r="B1342" s="21"/>
    </row>
    <row r="1343" spans="2:2" x14ac:dyDescent="0.25">
      <c r="B1343" s="21"/>
    </row>
    <row r="1344" spans="2:2" x14ac:dyDescent="0.25">
      <c r="B1344" s="21"/>
    </row>
    <row r="1345" spans="2:2" x14ac:dyDescent="0.25">
      <c r="B1345" s="21"/>
    </row>
    <row r="1346" spans="2:2" x14ac:dyDescent="0.25">
      <c r="B1346" s="21"/>
    </row>
    <row r="1347" spans="2:2" x14ac:dyDescent="0.25">
      <c r="B1347" s="21"/>
    </row>
    <row r="1348" spans="2:2" x14ac:dyDescent="0.25">
      <c r="B1348" s="21"/>
    </row>
    <row r="1349" spans="2:2" x14ac:dyDescent="0.25">
      <c r="B1349" s="21"/>
    </row>
    <row r="1350" spans="2:2" x14ac:dyDescent="0.25">
      <c r="B1350" s="21"/>
    </row>
    <row r="1351" spans="2:2" x14ac:dyDescent="0.25">
      <c r="B1351" s="21"/>
    </row>
    <row r="1352" spans="2:2" x14ac:dyDescent="0.25">
      <c r="B1352" s="21"/>
    </row>
    <row r="1353" spans="2:2" x14ac:dyDescent="0.25">
      <c r="B1353" s="21"/>
    </row>
    <row r="1354" spans="2:2" x14ac:dyDescent="0.25">
      <c r="B1354" s="21"/>
    </row>
    <row r="1355" spans="2:2" x14ac:dyDescent="0.25">
      <c r="B1355" s="21"/>
    </row>
    <row r="1356" spans="2:2" x14ac:dyDescent="0.25">
      <c r="B1356" s="21"/>
    </row>
    <row r="1357" spans="2:2" x14ac:dyDescent="0.25">
      <c r="B1357" s="21"/>
    </row>
    <row r="1358" spans="2:2" x14ac:dyDescent="0.25">
      <c r="B1358" s="21"/>
    </row>
    <row r="1359" spans="2:2" x14ac:dyDescent="0.25">
      <c r="B1359" s="21"/>
    </row>
    <row r="1360" spans="2:2" x14ac:dyDescent="0.25">
      <c r="B1360" s="21"/>
    </row>
    <row r="1361" spans="2:2" x14ac:dyDescent="0.25">
      <c r="B1361" s="21"/>
    </row>
    <row r="1362" spans="2:2" x14ac:dyDescent="0.25">
      <c r="B1362" s="21"/>
    </row>
    <row r="1363" spans="2:2" x14ac:dyDescent="0.25">
      <c r="B1363" s="21"/>
    </row>
    <row r="1364" spans="2:2" x14ac:dyDescent="0.25">
      <c r="B1364" s="21"/>
    </row>
    <row r="1365" spans="2:2" x14ac:dyDescent="0.25">
      <c r="B1365" s="21"/>
    </row>
    <row r="1366" spans="2:2" x14ac:dyDescent="0.25">
      <c r="B1366" s="21"/>
    </row>
    <row r="1367" spans="2:2" x14ac:dyDescent="0.25">
      <c r="B1367" s="21"/>
    </row>
    <row r="1368" spans="2:2" x14ac:dyDescent="0.25">
      <c r="B1368" s="21"/>
    </row>
    <row r="1369" spans="2:2" x14ac:dyDescent="0.25">
      <c r="B1369" s="21"/>
    </row>
    <row r="1370" spans="2:2" x14ac:dyDescent="0.25">
      <c r="B1370" s="21"/>
    </row>
    <row r="1371" spans="2:2" x14ac:dyDescent="0.25">
      <c r="B1371" s="21"/>
    </row>
    <row r="1372" spans="2:2" x14ac:dyDescent="0.25">
      <c r="B1372" s="21"/>
    </row>
    <row r="1373" spans="2:2" x14ac:dyDescent="0.25">
      <c r="B1373" s="21"/>
    </row>
    <row r="1374" spans="2:2" x14ac:dyDescent="0.25">
      <c r="B1374" s="21"/>
    </row>
    <row r="1375" spans="2:2" x14ac:dyDescent="0.25">
      <c r="B1375" s="21"/>
    </row>
    <row r="1376" spans="2:2" x14ac:dyDescent="0.25">
      <c r="B1376" s="21"/>
    </row>
    <row r="1377" spans="2:2" x14ac:dyDescent="0.25">
      <c r="B1377" s="21"/>
    </row>
    <row r="1378" spans="2:2" x14ac:dyDescent="0.25">
      <c r="B1378" s="21"/>
    </row>
    <row r="1379" spans="2:2" x14ac:dyDescent="0.25">
      <c r="B1379" s="21"/>
    </row>
    <row r="1380" spans="2:2" x14ac:dyDescent="0.25">
      <c r="B1380" s="21"/>
    </row>
    <row r="1381" spans="2:2" x14ac:dyDescent="0.25">
      <c r="B1381" s="21"/>
    </row>
    <row r="1382" spans="2:2" x14ac:dyDescent="0.25">
      <c r="B1382" s="21"/>
    </row>
    <row r="1383" spans="2:2" x14ac:dyDescent="0.25">
      <c r="B1383" s="21"/>
    </row>
    <row r="1384" spans="2:2" x14ac:dyDescent="0.25">
      <c r="B1384" s="21"/>
    </row>
    <row r="1385" spans="2:2" x14ac:dyDescent="0.25">
      <c r="B1385" s="21"/>
    </row>
    <row r="1386" spans="2:2" x14ac:dyDescent="0.25">
      <c r="B1386" s="21"/>
    </row>
    <row r="1387" spans="2:2" x14ac:dyDescent="0.25">
      <c r="B1387" s="21"/>
    </row>
    <row r="1388" spans="2:2" x14ac:dyDescent="0.25">
      <c r="B1388" s="21"/>
    </row>
    <row r="1389" spans="2:2" x14ac:dyDescent="0.25">
      <c r="B1389" s="21"/>
    </row>
    <row r="1390" spans="2:2" x14ac:dyDescent="0.25">
      <c r="B1390" s="21"/>
    </row>
    <row r="1391" spans="2:2" x14ac:dyDescent="0.25">
      <c r="B1391" s="21"/>
    </row>
    <row r="1392" spans="2:2" x14ac:dyDescent="0.25">
      <c r="B1392" s="21"/>
    </row>
    <row r="1393" spans="2:2" x14ac:dyDescent="0.25">
      <c r="B1393" s="21"/>
    </row>
    <row r="1394" spans="2:2" x14ac:dyDescent="0.25">
      <c r="B1394" s="21"/>
    </row>
    <row r="1395" spans="2:2" x14ac:dyDescent="0.25">
      <c r="B1395" s="21"/>
    </row>
    <row r="1396" spans="2:2" x14ac:dyDescent="0.25">
      <c r="B1396" s="21"/>
    </row>
    <row r="1397" spans="2:2" x14ac:dyDescent="0.25">
      <c r="B1397" s="21"/>
    </row>
    <row r="1398" spans="2:2" x14ac:dyDescent="0.25">
      <c r="B1398" s="21"/>
    </row>
    <row r="1399" spans="2:2" x14ac:dyDescent="0.25">
      <c r="B1399" s="21"/>
    </row>
    <row r="1400" spans="2:2" x14ac:dyDescent="0.25">
      <c r="B1400" s="21"/>
    </row>
    <row r="1401" spans="2:2" x14ac:dyDescent="0.25">
      <c r="B1401" s="21"/>
    </row>
    <row r="1402" spans="2:2" x14ac:dyDescent="0.25">
      <c r="B1402" s="21"/>
    </row>
    <row r="1403" spans="2:2" x14ac:dyDescent="0.25">
      <c r="B1403" s="21"/>
    </row>
    <row r="1404" spans="2:2" x14ac:dyDescent="0.25">
      <c r="B1404" s="21"/>
    </row>
    <row r="1405" spans="2:2" x14ac:dyDescent="0.25">
      <c r="B1405" s="21"/>
    </row>
    <row r="1406" spans="2:2" x14ac:dyDescent="0.25">
      <c r="B1406" s="21"/>
    </row>
    <row r="1407" spans="2:2" x14ac:dyDescent="0.25">
      <c r="B1407" s="21"/>
    </row>
    <row r="1408" spans="2:2" x14ac:dyDescent="0.25">
      <c r="B1408" s="21"/>
    </row>
    <row r="1409" spans="2:2" x14ac:dyDescent="0.25">
      <c r="B1409" s="21"/>
    </row>
    <row r="1410" spans="2:2" x14ac:dyDescent="0.25">
      <c r="B1410" s="21"/>
    </row>
    <row r="1411" spans="2:2" x14ac:dyDescent="0.25">
      <c r="B1411" s="21"/>
    </row>
    <row r="1412" spans="2:2" x14ac:dyDescent="0.25">
      <c r="B1412" s="21"/>
    </row>
    <row r="1413" spans="2:2" x14ac:dyDescent="0.25">
      <c r="B1413" s="21"/>
    </row>
    <row r="1414" spans="2:2" x14ac:dyDescent="0.25">
      <c r="B1414" s="21"/>
    </row>
    <row r="1415" spans="2:2" x14ac:dyDescent="0.25">
      <c r="B1415" s="21"/>
    </row>
    <row r="1416" spans="2:2" x14ac:dyDescent="0.25">
      <c r="B1416" s="21"/>
    </row>
    <row r="1417" spans="2:2" x14ac:dyDescent="0.25">
      <c r="B1417" s="21"/>
    </row>
    <row r="1418" spans="2:2" x14ac:dyDescent="0.25">
      <c r="B1418" s="21"/>
    </row>
    <row r="1419" spans="2:2" x14ac:dyDescent="0.25">
      <c r="B1419" s="21"/>
    </row>
    <row r="1420" spans="2:2" x14ac:dyDescent="0.25">
      <c r="B1420" s="21"/>
    </row>
    <row r="1421" spans="2:2" x14ac:dyDescent="0.25">
      <c r="B1421" s="21"/>
    </row>
    <row r="1422" spans="2:2" x14ac:dyDescent="0.25">
      <c r="B1422" s="21"/>
    </row>
    <row r="1423" spans="2:2" x14ac:dyDescent="0.25">
      <c r="B1423" s="21"/>
    </row>
    <row r="1424" spans="2:2" x14ac:dyDescent="0.25">
      <c r="B1424" s="21"/>
    </row>
    <row r="1425" spans="2:2" x14ac:dyDescent="0.25">
      <c r="B1425" s="21"/>
    </row>
    <row r="1426" spans="2:2" x14ac:dyDescent="0.25">
      <c r="B1426" s="21"/>
    </row>
    <row r="1427" spans="2:2" x14ac:dyDescent="0.25">
      <c r="B1427" s="21"/>
    </row>
    <row r="1428" spans="2:2" x14ac:dyDescent="0.25">
      <c r="B1428" s="21"/>
    </row>
    <row r="1429" spans="2:2" x14ac:dyDescent="0.25">
      <c r="B1429" s="21"/>
    </row>
    <row r="1430" spans="2:2" x14ac:dyDescent="0.25">
      <c r="B1430" s="21"/>
    </row>
    <row r="1431" spans="2:2" x14ac:dyDescent="0.25">
      <c r="B1431" s="21"/>
    </row>
    <row r="1432" spans="2:2" x14ac:dyDescent="0.25">
      <c r="B1432" s="21"/>
    </row>
    <row r="1433" spans="2:2" x14ac:dyDescent="0.25">
      <c r="B1433" s="21"/>
    </row>
    <row r="1434" spans="2:2" x14ac:dyDescent="0.25">
      <c r="B1434" s="21"/>
    </row>
    <row r="1435" spans="2:2" x14ac:dyDescent="0.25">
      <c r="B1435" s="21"/>
    </row>
    <row r="1436" spans="2:2" x14ac:dyDescent="0.25">
      <c r="B1436" s="21"/>
    </row>
    <row r="1437" spans="2:2" x14ac:dyDescent="0.25">
      <c r="B1437" s="21"/>
    </row>
    <row r="1438" spans="2:2" x14ac:dyDescent="0.25">
      <c r="B1438" s="21"/>
    </row>
    <row r="1439" spans="2:2" x14ac:dyDescent="0.25">
      <c r="B1439" s="21"/>
    </row>
    <row r="1440" spans="2:2" x14ac:dyDescent="0.25">
      <c r="B1440" s="21"/>
    </row>
    <row r="1441" spans="2:2" x14ac:dyDescent="0.25">
      <c r="B1441" s="21"/>
    </row>
    <row r="1442" spans="2:2" x14ac:dyDescent="0.25">
      <c r="B1442" s="21"/>
    </row>
    <row r="1443" spans="2:2" x14ac:dyDescent="0.25">
      <c r="B1443" s="21"/>
    </row>
    <row r="1444" spans="2:2" x14ac:dyDescent="0.25">
      <c r="B1444" s="21"/>
    </row>
    <row r="1445" spans="2:2" x14ac:dyDescent="0.25">
      <c r="B1445" s="21"/>
    </row>
    <row r="1446" spans="2:2" x14ac:dyDescent="0.25">
      <c r="B1446" s="21"/>
    </row>
    <row r="1447" spans="2:2" x14ac:dyDescent="0.25">
      <c r="B1447" s="21"/>
    </row>
    <row r="1448" spans="2:2" x14ac:dyDescent="0.25">
      <c r="B1448" s="21"/>
    </row>
    <row r="1449" spans="2:2" x14ac:dyDescent="0.25">
      <c r="B1449" s="21"/>
    </row>
    <row r="1450" spans="2:2" x14ac:dyDescent="0.25">
      <c r="B1450" s="21"/>
    </row>
    <row r="1451" spans="2:2" x14ac:dyDescent="0.25">
      <c r="B1451" s="21"/>
    </row>
    <row r="1452" spans="2:2" x14ac:dyDescent="0.25">
      <c r="B1452" s="21"/>
    </row>
    <row r="1453" spans="2:2" x14ac:dyDescent="0.25">
      <c r="B1453" s="21"/>
    </row>
    <row r="1454" spans="2:2" x14ac:dyDescent="0.25">
      <c r="B1454" s="21"/>
    </row>
    <row r="1455" spans="2:2" x14ac:dyDescent="0.25">
      <c r="B1455" s="21"/>
    </row>
    <row r="1456" spans="2:2" x14ac:dyDescent="0.25">
      <c r="B1456" s="21"/>
    </row>
    <row r="1457" spans="2:2" x14ac:dyDescent="0.25">
      <c r="B1457" s="21"/>
    </row>
    <row r="1458" spans="2:2" x14ac:dyDescent="0.25">
      <c r="B1458" s="21"/>
    </row>
    <row r="1459" spans="2:2" x14ac:dyDescent="0.25">
      <c r="B1459" s="21"/>
    </row>
    <row r="1460" spans="2:2" x14ac:dyDescent="0.25">
      <c r="B1460" s="21"/>
    </row>
    <row r="1461" spans="2:2" x14ac:dyDescent="0.25">
      <c r="B1461" s="21"/>
    </row>
    <row r="1462" spans="2:2" x14ac:dyDescent="0.25">
      <c r="B1462" s="21"/>
    </row>
    <row r="1463" spans="2:2" x14ac:dyDescent="0.25">
      <c r="B1463" s="21"/>
    </row>
    <row r="1464" spans="2:2" x14ac:dyDescent="0.25">
      <c r="B1464" s="21"/>
    </row>
    <row r="1465" spans="2:2" x14ac:dyDescent="0.25">
      <c r="B1465" s="21"/>
    </row>
    <row r="1466" spans="2:2" x14ac:dyDescent="0.25">
      <c r="B1466" s="21"/>
    </row>
    <row r="1467" spans="2:2" x14ac:dyDescent="0.25">
      <c r="B1467" s="21"/>
    </row>
    <row r="1468" spans="2:2" x14ac:dyDescent="0.25">
      <c r="B1468" s="21"/>
    </row>
    <row r="1469" spans="2:2" x14ac:dyDescent="0.25">
      <c r="B1469" s="21"/>
    </row>
    <row r="1470" spans="2:2" x14ac:dyDescent="0.25">
      <c r="B1470" s="21"/>
    </row>
    <row r="1471" spans="2:2" x14ac:dyDescent="0.25">
      <c r="B1471" s="21"/>
    </row>
    <row r="1472" spans="2:2" x14ac:dyDescent="0.25">
      <c r="B1472" s="21"/>
    </row>
    <row r="1473" spans="2:2" x14ac:dyDescent="0.25">
      <c r="B1473" s="21"/>
    </row>
    <row r="1474" spans="2:2" x14ac:dyDescent="0.25">
      <c r="B1474" s="21"/>
    </row>
    <row r="1475" spans="2:2" x14ac:dyDescent="0.25">
      <c r="B1475" s="21"/>
    </row>
    <row r="1476" spans="2:2" x14ac:dyDescent="0.25">
      <c r="B1476" s="21"/>
    </row>
    <row r="1477" spans="2:2" x14ac:dyDescent="0.25">
      <c r="B1477" s="21"/>
    </row>
    <row r="1478" spans="2:2" x14ac:dyDescent="0.25">
      <c r="B1478" s="21"/>
    </row>
    <row r="1479" spans="2:2" x14ac:dyDescent="0.25">
      <c r="B1479" s="21"/>
    </row>
    <row r="1480" spans="2:2" x14ac:dyDescent="0.25">
      <c r="B1480" s="21"/>
    </row>
    <row r="1481" spans="2:2" x14ac:dyDescent="0.25">
      <c r="B1481" s="21"/>
    </row>
    <row r="1482" spans="2:2" x14ac:dyDescent="0.25">
      <c r="B1482" s="21"/>
    </row>
    <row r="1483" spans="2:2" x14ac:dyDescent="0.25">
      <c r="B1483" s="21"/>
    </row>
    <row r="1484" spans="2:2" x14ac:dyDescent="0.25">
      <c r="B1484" s="21"/>
    </row>
    <row r="1485" spans="2:2" x14ac:dyDescent="0.25">
      <c r="B1485" s="21"/>
    </row>
    <row r="1486" spans="2:2" x14ac:dyDescent="0.25">
      <c r="B1486" s="21"/>
    </row>
    <row r="1487" spans="2:2" x14ac:dyDescent="0.25">
      <c r="B1487" s="21"/>
    </row>
    <row r="1488" spans="2:2" x14ac:dyDescent="0.25">
      <c r="B1488" s="21"/>
    </row>
    <row r="1489" spans="2:2" x14ac:dyDescent="0.25">
      <c r="B1489" s="21"/>
    </row>
    <row r="1490" spans="2:2" x14ac:dyDescent="0.25">
      <c r="B1490" s="21"/>
    </row>
    <row r="1491" spans="2:2" x14ac:dyDescent="0.25">
      <c r="B1491" s="21"/>
    </row>
    <row r="1492" spans="2:2" x14ac:dyDescent="0.25">
      <c r="B1492" s="21"/>
    </row>
    <row r="1493" spans="2:2" x14ac:dyDescent="0.25">
      <c r="B1493" s="21"/>
    </row>
    <row r="1494" spans="2:2" x14ac:dyDescent="0.25">
      <c r="B1494" s="21"/>
    </row>
    <row r="1495" spans="2:2" x14ac:dyDescent="0.25">
      <c r="B1495" s="21"/>
    </row>
    <row r="1496" spans="2:2" x14ac:dyDescent="0.25">
      <c r="B1496" s="21"/>
    </row>
    <row r="1497" spans="2:2" x14ac:dyDescent="0.25">
      <c r="B1497" s="21"/>
    </row>
    <row r="1498" spans="2:2" x14ac:dyDescent="0.25">
      <c r="B1498" s="21"/>
    </row>
    <row r="1499" spans="2:2" x14ac:dyDescent="0.25">
      <c r="B1499" s="21"/>
    </row>
    <row r="1500" spans="2:2" x14ac:dyDescent="0.25">
      <c r="B1500" s="21"/>
    </row>
    <row r="1501" spans="2:2" x14ac:dyDescent="0.25">
      <c r="B1501" s="21"/>
    </row>
    <row r="1502" spans="2:2" x14ac:dyDescent="0.25">
      <c r="B1502" s="21"/>
    </row>
    <row r="1503" spans="2:2" x14ac:dyDescent="0.25">
      <c r="B1503" s="21"/>
    </row>
    <row r="1504" spans="2:2" x14ac:dyDescent="0.25">
      <c r="B1504" s="21"/>
    </row>
    <row r="1505" spans="2:2" x14ac:dyDescent="0.25">
      <c r="B1505" s="21"/>
    </row>
    <row r="1506" spans="2:2" x14ac:dyDescent="0.25">
      <c r="B1506" s="21"/>
    </row>
    <row r="1507" spans="2:2" x14ac:dyDescent="0.25">
      <c r="B1507" s="21"/>
    </row>
    <row r="1508" spans="2:2" x14ac:dyDescent="0.25">
      <c r="B1508" s="21"/>
    </row>
    <row r="1509" spans="2:2" x14ac:dyDescent="0.25">
      <c r="B1509" s="21"/>
    </row>
    <row r="1510" spans="2:2" x14ac:dyDescent="0.25">
      <c r="B1510" s="21"/>
    </row>
    <row r="1511" spans="2:2" x14ac:dyDescent="0.25">
      <c r="B1511" s="21"/>
    </row>
    <row r="1512" spans="2:2" x14ac:dyDescent="0.25">
      <c r="B1512" s="21"/>
    </row>
    <row r="1513" spans="2:2" x14ac:dyDescent="0.25">
      <c r="B1513" s="21"/>
    </row>
    <row r="1514" spans="2:2" x14ac:dyDescent="0.25">
      <c r="B1514" s="21"/>
    </row>
    <row r="1515" spans="2:2" x14ac:dyDescent="0.25">
      <c r="B1515" s="21"/>
    </row>
    <row r="1516" spans="2:2" x14ac:dyDescent="0.25">
      <c r="B1516" s="21"/>
    </row>
    <row r="1517" spans="2:2" x14ac:dyDescent="0.25">
      <c r="B1517" s="21"/>
    </row>
    <row r="1518" spans="2:2" x14ac:dyDescent="0.25">
      <c r="B1518" s="21"/>
    </row>
    <row r="1519" spans="2:2" x14ac:dyDescent="0.25">
      <c r="B1519" s="21"/>
    </row>
    <row r="1520" spans="2:2" x14ac:dyDescent="0.25">
      <c r="B1520" s="21"/>
    </row>
    <row r="1521" spans="2:2" x14ac:dyDescent="0.25">
      <c r="B1521" s="21"/>
    </row>
    <row r="1522" spans="2:2" x14ac:dyDescent="0.25">
      <c r="B1522" s="21"/>
    </row>
    <row r="1523" spans="2:2" x14ac:dyDescent="0.25">
      <c r="B1523" s="21"/>
    </row>
    <row r="1524" spans="2:2" x14ac:dyDescent="0.25">
      <c r="B1524" s="21"/>
    </row>
    <row r="1525" spans="2:2" x14ac:dyDescent="0.25">
      <c r="B1525" s="21"/>
    </row>
    <row r="1526" spans="2:2" x14ac:dyDescent="0.25">
      <c r="B1526" s="21"/>
    </row>
    <row r="1527" spans="2:2" x14ac:dyDescent="0.25">
      <c r="B1527" s="21"/>
    </row>
    <row r="1528" spans="2:2" x14ac:dyDescent="0.25">
      <c r="B1528" s="21"/>
    </row>
    <row r="1529" spans="2:2" x14ac:dyDescent="0.25">
      <c r="B1529" s="21"/>
    </row>
    <row r="1530" spans="2:2" x14ac:dyDescent="0.25">
      <c r="B1530" s="21"/>
    </row>
    <row r="1531" spans="2:2" x14ac:dyDescent="0.25">
      <c r="B1531" s="21"/>
    </row>
    <row r="1532" spans="2:2" x14ac:dyDescent="0.25">
      <c r="B1532" s="21"/>
    </row>
    <row r="1533" spans="2:2" x14ac:dyDescent="0.25">
      <c r="B1533" s="21"/>
    </row>
    <row r="1534" spans="2:2" x14ac:dyDescent="0.25">
      <c r="B1534" s="21"/>
    </row>
    <row r="1535" spans="2:2" x14ac:dyDescent="0.25">
      <c r="B1535" s="21"/>
    </row>
    <row r="1536" spans="2:2" x14ac:dyDescent="0.25">
      <c r="B1536" s="21"/>
    </row>
    <row r="1537" spans="2:2" x14ac:dyDescent="0.25">
      <c r="B1537" s="21"/>
    </row>
    <row r="1538" spans="2:2" x14ac:dyDescent="0.25">
      <c r="B1538" s="21"/>
    </row>
    <row r="1539" spans="2:2" x14ac:dyDescent="0.25">
      <c r="B1539" s="21"/>
    </row>
    <row r="1540" spans="2:2" x14ac:dyDescent="0.25">
      <c r="B1540" s="21"/>
    </row>
    <row r="1541" spans="2:2" x14ac:dyDescent="0.25">
      <c r="B1541" s="21"/>
    </row>
    <row r="1542" spans="2:2" x14ac:dyDescent="0.25">
      <c r="B1542" s="21"/>
    </row>
    <row r="1543" spans="2:2" x14ac:dyDescent="0.25">
      <c r="B1543" s="21"/>
    </row>
    <row r="1544" spans="2:2" x14ac:dyDescent="0.25">
      <c r="B1544" s="21"/>
    </row>
    <row r="1545" spans="2:2" x14ac:dyDescent="0.25">
      <c r="B1545" s="21"/>
    </row>
    <row r="1546" spans="2:2" x14ac:dyDescent="0.25">
      <c r="B1546" s="21"/>
    </row>
    <row r="1547" spans="2:2" x14ac:dyDescent="0.25">
      <c r="B1547" s="21"/>
    </row>
    <row r="1548" spans="2:2" x14ac:dyDescent="0.25">
      <c r="B1548" s="21"/>
    </row>
    <row r="1549" spans="2:2" x14ac:dyDescent="0.25">
      <c r="B1549" s="21"/>
    </row>
    <row r="1550" spans="2:2" x14ac:dyDescent="0.25">
      <c r="B1550" s="21"/>
    </row>
    <row r="1551" spans="2:2" x14ac:dyDescent="0.25">
      <c r="B1551" s="21"/>
    </row>
    <row r="1552" spans="2:2" x14ac:dyDescent="0.25">
      <c r="B1552" s="21"/>
    </row>
    <row r="1553" spans="2:2" x14ac:dyDescent="0.25">
      <c r="B1553" s="21"/>
    </row>
    <row r="1554" spans="2:2" x14ac:dyDescent="0.25">
      <c r="B1554" s="21"/>
    </row>
    <row r="1555" spans="2:2" x14ac:dyDescent="0.25">
      <c r="B1555" s="21"/>
    </row>
    <row r="1556" spans="2:2" x14ac:dyDescent="0.25">
      <c r="B1556" s="21"/>
    </row>
    <row r="1557" spans="2:2" x14ac:dyDescent="0.25">
      <c r="B1557" s="21"/>
    </row>
    <row r="1558" spans="2:2" x14ac:dyDescent="0.25">
      <c r="B1558" s="21"/>
    </row>
    <row r="1559" spans="2:2" x14ac:dyDescent="0.25">
      <c r="B1559" s="21"/>
    </row>
    <row r="1560" spans="2:2" x14ac:dyDescent="0.25">
      <c r="B1560" s="21"/>
    </row>
    <row r="1561" spans="2:2" x14ac:dyDescent="0.25">
      <c r="B1561" s="21"/>
    </row>
    <row r="1562" spans="2:2" x14ac:dyDescent="0.25">
      <c r="B1562" s="21"/>
    </row>
    <row r="1563" spans="2:2" x14ac:dyDescent="0.25">
      <c r="B1563" s="21"/>
    </row>
    <row r="1564" spans="2:2" x14ac:dyDescent="0.25">
      <c r="B1564" s="21"/>
    </row>
    <row r="1565" spans="2:2" x14ac:dyDescent="0.25">
      <c r="B1565" s="21"/>
    </row>
    <row r="1566" spans="2:2" x14ac:dyDescent="0.25">
      <c r="B1566" s="21"/>
    </row>
    <row r="1567" spans="2:2" x14ac:dyDescent="0.25">
      <c r="B1567" s="21"/>
    </row>
    <row r="1568" spans="2:2" x14ac:dyDescent="0.25">
      <c r="B1568" s="21"/>
    </row>
    <row r="1569" spans="2:2" x14ac:dyDescent="0.25">
      <c r="B1569" s="21"/>
    </row>
    <row r="1570" spans="2:2" x14ac:dyDescent="0.25">
      <c r="B1570" s="21"/>
    </row>
    <row r="1571" spans="2:2" x14ac:dyDescent="0.25">
      <c r="B1571" s="21"/>
    </row>
    <row r="1572" spans="2:2" x14ac:dyDescent="0.25">
      <c r="B1572" s="21"/>
    </row>
    <row r="1573" spans="2:2" x14ac:dyDescent="0.25">
      <c r="B1573" s="21"/>
    </row>
    <row r="1574" spans="2:2" x14ac:dyDescent="0.25">
      <c r="B1574" s="21"/>
    </row>
    <row r="1575" spans="2:2" x14ac:dyDescent="0.25">
      <c r="B1575" s="21"/>
    </row>
    <row r="1576" spans="2:2" x14ac:dyDescent="0.25">
      <c r="B1576" s="21"/>
    </row>
    <row r="1577" spans="2:2" x14ac:dyDescent="0.25">
      <c r="B1577" s="21"/>
    </row>
    <row r="1578" spans="2:2" x14ac:dyDescent="0.25">
      <c r="B1578" s="21"/>
    </row>
    <row r="1579" spans="2:2" x14ac:dyDescent="0.25">
      <c r="B1579" s="21"/>
    </row>
    <row r="1580" spans="2:2" x14ac:dyDescent="0.25">
      <c r="B1580" s="21"/>
    </row>
    <row r="1581" spans="2:2" x14ac:dyDescent="0.25">
      <c r="B1581" s="21"/>
    </row>
    <row r="1582" spans="2:2" x14ac:dyDescent="0.25">
      <c r="B1582" s="21"/>
    </row>
    <row r="1583" spans="2:2" x14ac:dyDescent="0.25">
      <c r="B1583" s="21"/>
    </row>
    <row r="1584" spans="2:2" x14ac:dyDescent="0.25">
      <c r="B1584" s="21"/>
    </row>
    <row r="1585" spans="2:2" x14ac:dyDescent="0.25">
      <c r="B1585" s="21"/>
    </row>
    <row r="1586" spans="2:2" x14ac:dyDescent="0.25">
      <c r="B1586" s="21"/>
    </row>
    <row r="1587" spans="2:2" x14ac:dyDescent="0.25">
      <c r="B1587" s="21"/>
    </row>
    <row r="1588" spans="2:2" x14ac:dyDescent="0.25">
      <c r="B1588" s="21"/>
    </row>
    <row r="1589" spans="2:2" x14ac:dyDescent="0.25">
      <c r="B1589" s="21"/>
    </row>
    <row r="1590" spans="2:2" x14ac:dyDescent="0.25">
      <c r="B1590" s="21"/>
    </row>
    <row r="1591" spans="2:2" x14ac:dyDescent="0.25">
      <c r="B1591" s="21"/>
    </row>
    <row r="1592" spans="2:2" x14ac:dyDescent="0.25">
      <c r="B1592" s="21"/>
    </row>
    <row r="1593" spans="2:2" x14ac:dyDescent="0.25">
      <c r="B1593" s="21"/>
    </row>
    <row r="1594" spans="2:2" x14ac:dyDescent="0.25">
      <c r="B1594" s="21"/>
    </row>
    <row r="1595" spans="2:2" x14ac:dyDescent="0.25">
      <c r="B1595" s="21"/>
    </row>
    <row r="1596" spans="2:2" x14ac:dyDescent="0.25">
      <c r="B1596" s="21"/>
    </row>
    <row r="1597" spans="2:2" x14ac:dyDescent="0.25">
      <c r="B1597" s="21"/>
    </row>
    <row r="1598" spans="2:2" x14ac:dyDescent="0.25">
      <c r="B1598" s="21"/>
    </row>
    <row r="1599" spans="2:2" x14ac:dyDescent="0.25">
      <c r="B1599" s="21"/>
    </row>
    <row r="1600" spans="2:2" x14ac:dyDescent="0.25">
      <c r="B1600" s="21"/>
    </row>
    <row r="1601" spans="2:2" x14ac:dyDescent="0.25">
      <c r="B1601" s="21"/>
    </row>
    <row r="1602" spans="2:2" x14ac:dyDescent="0.25">
      <c r="B1602" s="21"/>
    </row>
    <row r="1603" spans="2:2" x14ac:dyDescent="0.25">
      <c r="B1603" s="21"/>
    </row>
    <row r="1604" spans="2:2" x14ac:dyDescent="0.25">
      <c r="B1604" s="21"/>
    </row>
    <row r="1605" spans="2:2" x14ac:dyDescent="0.25">
      <c r="B1605" s="21"/>
    </row>
    <row r="1606" spans="2:2" x14ac:dyDescent="0.25">
      <c r="B1606" s="21"/>
    </row>
    <row r="1607" spans="2:2" x14ac:dyDescent="0.25">
      <c r="B1607" s="21"/>
    </row>
    <row r="1608" spans="2:2" x14ac:dyDescent="0.25">
      <c r="B1608" s="21"/>
    </row>
    <row r="1609" spans="2:2" x14ac:dyDescent="0.25">
      <c r="B1609" s="21"/>
    </row>
    <row r="1610" spans="2:2" x14ac:dyDescent="0.25">
      <c r="B1610" s="21"/>
    </row>
    <row r="1611" spans="2:2" x14ac:dyDescent="0.25">
      <c r="B1611" s="21"/>
    </row>
    <row r="1612" spans="2:2" x14ac:dyDescent="0.25">
      <c r="B1612" s="21"/>
    </row>
    <row r="1613" spans="2:2" x14ac:dyDescent="0.25">
      <c r="B1613" s="21"/>
    </row>
    <row r="1614" spans="2:2" x14ac:dyDescent="0.25">
      <c r="B1614" s="21"/>
    </row>
    <row r="1615" spans="2:2" x14ac:dyDescent="0.25">
      <c r="B1615" s="21"/>
    </row>
    <row r="1616" spans="2:2" x14ac:dyDescent="0.25">
      <c r="B1616" s="21"/>
    </row>
    <row r="1617" spans="2:2" x14ac:dyDescent="0.25">
      <c r="B1617" s="21"/>
    </row>
    <row r="1618" spans="2:2" x14ac:dyDescent="0.25">
      <c r="B1618" s="21"/>
    </row>
    <row r="1619" spans="2:2" x14ac:dyDescent="0.25">
      <c r="B1619" s="21"/>
    </row>
    <row r="1620" spans="2:2" x14ac:dyDescent="0.25">
      <c r="B1620" s="21"/>
    </row>
    <row r="1621" spans="2:2" x14ac:dyDescent="0.25">
      <c r="B1621" s="21"/>
    </row>
    <row r="1622" spans="2:2" x14ac:dyDescent="0.25">
      <c r="B1622" s="21"/>
    </row>
    <row r="1623" spans="2:2" x14ac:dyDescent="0.25">
      <c r="B1623" s="21"/>
    </row>
    <row r="1624" spans="2:2" x14ac:dyDescent="0.25">
      <c r="B1624" s="21"/>
    </row>
    <row r="1625" spans="2:2" x14ac:dyDescent="0.25">
      <c r="B1625" s="21"/>
    </row>
    <row r="1626" spans="2:2" x14ac:dyDescent="0.25">
      <c r="B1626" s="21"/>
    </row>
    <row r="1627" spans="2:2" x14ac:dyDescent="0.25">
      <c r="B1627" s="21"/>
    </row>
    <row r="1628" spans="2:2" x14ac:dyDescent="0.25">
      <c r="B1628" s="21"/>
    </row>
    <row r="1629" spans="2:2" x14ac:dyDescent="0.25">
      <c r="B1629" s="21"/>
    </row>
    <row r="1630" spans="2:2" x14ac:dyDescent="0.25">
      <c r="B1630" s="21"/>
    </row>
    <row r="1631" spans="2:2" x14ac:dyDescent="0.25">
      <c r="B1631" s="21"/>
    </row>
    <row r="1632" spans="2:2" x14ac:dyDescent="0.25">
      <c r="B1632" s="21"/>
    </row>
    <row r="1633" spans="2:2" x14ac:dyDescent="0.25">
      <c r="B1633" s="21"/>
    </row>
    <row r="1634" spans="2:2" x14ac:dyDescent="0.25">
      <c r="B1634" s="21"/>
    </row>
    <row r="1635" spans="2:2" x14ac:dyDescent="0.25">
      <c r="B1635" s="21"/>
    </row>
    <row r="1636" spans="2:2" x14ac:dyDescent="0.25">
      <c r="B1636" s="21"/>
    </row>
    <row r="1637" spans="2:2" x14ac:dyDescent="0.25">
      <c r="B1637" s="21"/>
    </row>
    <row r="1638" spans="2:2" x14ac:dyDescent="0.25">
      <c r="B1638" s="21"/>
    </row>
    <row r="1639" spans="2:2" x14ac:dyDescent="0.25">
      <c r="B1639" s="21"/>
    </row>
    <row r="1640" spans="2:2" x14ac:dyDescent="0.25">
      <c r="B1640" s="21"/>
    </row>
    <row r="1641" spans="2:2" x14ac:dyDescent="0.25">
      <c r="B1641" s="21"/>
    </row>
    <row r="1642" spans="2:2" x14ac:dyDescent="0.25">
      <c r="B1642" s="21"/>
    </row>
    <row r="1643" spans="2:2" x14ac:dyDescent="0.25">
      <c r="B1643" s="21"/>
    </row>
    <row r="1644" spans="2:2" x14ac:dyDescent="0.25">
      <c r="B1644" s="21"/>
    </row>
    <row r="1645" spans="2:2" x14ac:dyDescent="0.25">
      <c r="B1645" s="21"/>
    </row>
    <row r="1646" spans="2:2" x14ac:dyDescent="0.25">
      <c r="B1646" s="21"/>
    </row>
    <row r="1647" spans="2:2" x14ac:dyDescent="0.25">
      <c r="B1647" s="21"/>
    </row>
    <row r="1648" spans="2:2" x14ac:dyDescent="0.25">
      <c r="B1648" s="21"/>
    </row>
    <row r="1649" spans="2:2" x14ac:dyDescent="0.25">
      <c r="B1649" s="21"/>
    </row>
    <row r="1650" spans="2:2" x14ac:dyDescent="0.25">
      <c r="B1650" s="21"/>
    </row>
    <row r="1651" spans="2:2" x14ac:dyDescent="0.25">
      <c r="B1651" s="21"/>
    </row>
    <row r="1652" spans="2:2" x14ac:dyDescent="0.25">
      <c r="B1652" s="21"/>
    </row>
    <row r="1653" spans="2:2" x14ac:dyDescent="0.25">
      <c r="B1653" s="21"/>
    </row>
    <row r="1654" spans="2:2" x14ac:dyDescent="0.25">
      <c r="B1654" s="21"/>
    </row>
    <row r="1655" spans="2:2" x14ac:dyDescent="0.25">
      <c r="B1655" s="21"/>
    </row>
    <row r="1656" spans="2:2" x14ac:dyDescent="0.25">
      <c r="B1656" s="21"/>
    </row>
    <row r="1657" spans="2:2" x14ac:dyDescent="0.25">
      <c r="B1657" s="21"/>
    </row>
    <row r="1658" spans="2:2" x14ac:dyDescent="0.25">
      <c r="B1658" s="21"/>
    </row>
    <row r="1659" spans="2:2" x14ac:dyDescent="0.25">
      <c r="B1659" s="21"/>
    </row>
    <row r="1660" spans="2:2" x14ac:dyDescent="0.25">
      <c r="B1660" s="21"/>
    </row>
    <row r="1661" spans="2:2" x14ac:dyDescent="0.25">
      <c r="B1661" s="21"/>
    </row>
    <row r="1662" spans="2:2" x14ac:dyDescent="0.25">
      <c r="B1662" s="21"/>
    </row>
    <row r="1663" spans="2:2" x14ac:dyDescent="0.25">
      <c r="B1663" s="21"/>
    </row>
    <row r="1664" spans="2:2" x14ac:dyDescent="0.25">
      <c r="B1664" s="21"/>
    </row>
    <row r="1665" spans="2:2" x14ac:dyDescent="0.25">
      <c r="B1665" s="21"/>
    </row>
    <row r="1666" spans="2:2" x14ac:dyDescent="0.25">
      <c r="B1666" s="21"/>
    </row>
    <row r="1667" spans="2:2" x14ac:dyDescent="0.25">
      <c r="B1667" s="21"/>
    </row>
    <row r="1668" spans="2:2" x14ac:dyDescent="0.25">
      <c r="B1668" s="21"/>
    </row>
    <row r="1669" spans="2:2" x14ac:dyDescent="0.25">
      <c r="B1669" s="21"/>
    </row>
    <row r="1670" spans="2:2" x14ac:dyDescent="0.25">
      <c r="B1670" s="21"/>
    </row>
    <row r="1671" spans="2:2" x14ac:dyDescent="0.25">
      <c r="B1671" s="21"/>
    </row>
    <row r="1672" spans="2:2" x14ac:dyDescent="0.25">
      <c r="B1672" s="21"/>
    </row>
    <row r="1673" spans="2:2" x14ac:dyDescent="0.25">
      <c r="B1673" s="21"/>
    </row>
    <row r="1674" spans="2:2" x14ac:dyDescent="0.25">
      <c r="B1674" s="21"/>
    </row>
    <row r="1675" spans="2:2" x14ac:dyDescent="0.25">
      <c r="B1675" s="21"/>
    </row>
    <row r="1676" spans="2:2" x14ac:dyDescent="0.25">
      <c r="B1676" s="21"/>
    </row>
    <row r="1677" spans="2:2" x14ac:dyDescent="0.25">
      <c r="B1677" s="21"/>
    </row>
    <row r="1678" spans="2:2" x14ac:dyDescent="0.25">
      <c r="B1678" s="21"/>
    </row>
    <row r="1679" spans="2:2" x14ac:dyDescent="0.25">
      <c r="B1679" s="21"/>
    </row>
    <row r="1680" spans="2:2" x14ac:dyDescent="0.25">
      <c r="B1680" s="21"/>
    </row>
    <row r="1681" spans="2:2" x14ac:dyDescent="0.25">
      <c r="B1681" s="21"/>
    </row>
    <row r="1682" spans="2:2" x14ac:dyDescent="0.25">
      <c r="B1682" s="21"/>
    </row>
    <row r="1683" spans="2:2" x14ac:dyDescent="0.25">
      <c r="B1683" s="21"/>
    </row>
    <row r="1684" spans="2:2" x14ac:dyDescent="0.25">
      <c r="B1684" s="21"/>
    </row>
    <row r="1685" spans="2:2" x14ac:dyDescent="0.25">
      <c r="B1685" s="21"/>
    </row>
    <row r="1686" spans="2:2" x14ac:dyDescent="0.25">
      <c r="B1686" s="21"/>
    </row>
    <row r="1687" spans="2:2" x14ac:dyDescent="0.25">
      <c r="B1687" s="21"/>
    </row>
    <row r="1688" spans="2:2" x14ac:dyDescent="0.25">
      <c r="B1688" s="21"/>
    </row>
    <row r="1689" spans="2:2" x14ac:dyDescent="0.25">
      <c r="B1689" s="21"/>
    </row>
    <row r="1690" spans="2:2" x14ac:dyDescent="0.25">
      <c r="B1690" s="21"/>
    </row>
    <row r="1691" spans="2:2" x14ac:dyDescent="0.25">
      <c r="B1691" s="21"/>
    </row>
    <row r="1692" spans="2:2" x14ac:dyDescent="0.25">
      <c r="B1692" s="21"/>
    </row>
    <row r="1693" spans="2:2" x14ac:dyDescent="0.25">
      <c r="B1693" s="21"/>
    </row>
    <row r="1694" spans="2:2" x14ac:dyDescent="0.25">
      <c r="B1694" s="21"/>
    </row>
    <row r="1695" spans="2:2" x14ac:dyDescent="0.25">
      <c r="B1695" s="21"/>
    </row>
    <row r="1696" spans="2:2" x14ac:dyDescent="0.25">
      <c r="B1696" s="21"/>
    </row>
    <row r="1697" spans="2:2" x14ac:dyDescent="0.25">
      <c r="B1697" s="21"/>
    </row>
    <row r="1698" spans="2:2" x14ac:dyDescent="0.25">
      <c r="B1698" s="21"/>
    </row>
    <row r="1699" spans="2:2" x14ac:dyDescent="0.25">
      <c r="B1699" s="21"/>
    </row>
    <row r="1700" spans="2:2" x14ac:dyDescent="0.25">
      <c r="B1700" s="21"/>
    </row>
    <row r="1701" spans="2:2" x14ac:dyDescent="0.25">
      <c r="B1701" s="21"/>
    </row>
    <row r="1702" spans="2:2" x14ac:dyDescent="0.25">
      <c r="B1702" s="21"/>
    </row>
    <row r="1703" spans="2:2" x14ac:dyDescent="0.25">
      <c r="B1703" s="21"/>
    </row>
    <row r="1704" spans="2:2" x14ac:dyDescent="0.25">
      <c r="B1704" s="21"/>
    </row>
    <row r="1705" spans="2:2" x14ac:dyDescent="0.25">
      <c r="B1705" s="21"/>
    </row>
    <row r="1706" spans="2:2" x14ac:dyDescent="0.25">
      <c r="B1706" s="21"/>
    </row>
    <row r="1707" spans="2:2" x14ac:dyDescent="0.25">
      <c r="B1707" s="21"/>
    </row>
    <row r="1708" spans="2:2" x14ac:dyDescent="0.25">
      <c r="B1708" s="21"/>
    </row>
    <row r="1709" spans="2:2" x14ac:dyDescent="0.25">
      <c r="B1709" s="21"/>
    </row>
    <row r="1710" spans="2:2" x14ac:dyDescent="0.25">
      <c r="B1710" s="21"/>
    </row>
    <row r="1711" spans="2:2" x14ac:dyDescent="0.25">
      <c r="B1711" s="21"/>
    </row>
    <row r="1712" spans="2:2" x14ac:dyDescent="0.25">
      <c r="B1712" s="21"/>
    </row>
    <row r="1713" spans="2:2" x14ac:dyDescent="0.25">
      <c r="B1713" s="21"/>
    </row>
    <row r="1714" spans="2:2" x14ac:dyDescent="0.25">
      <c r="B1714" s="21"/>
    </row>
    <row r="1715" spans="2:2" x14ac:dyDescent="0.25">
      <c r="B1715" s="21"/>
    </row>
    <row r="1716" spans="2:2" x14ac:dyDescent="0.25">
      <c r="B1716" s="21"/>
    </row>
    <row r="1717" spans="2:2" x14ac:dyDescent="0.25">
      <c r="B1717" s="21"/>
    </row>
    <row r="1718" spans="2:2" x14ac:dyDescent="0.25">
      <c r="B1718" s="21"/>
    </row>
    <row r="1719" spans="2:2" x14ac:dyDescent="0.25">
      <c r="B1719" s="21"/>
    </row>
    <row r="1720" spans="2:2" x14ac:dyDescent="0.25">
      <c r="B1720" s="21"/>
    </row>
    <row r="1721" spans="2:2" x14ac:dyDescent="0.25">
      <c r="B1721" s="21"/>
    </row>
    <row r="1722" spans="2:2" x14ac:dyDescent="0.25">
      <c r="B1722" s="21"/>
    </row>
    <row r="1723" spans="2:2" x14ac:dyDescent="0.25">
      <c r="B1723" s="21"/>
    </row>
    <row r="1724" spans="2:2" x14ac:dyDescent="0.25">
      <c r="B1724" s="21"/>
    </row>
    <row r="1725" spans="2:2" x14ac:dyDescent="0.25">
      <c r="B1725" s="21"/>
    </row>
    <row r="1726" spans="2:2" x14ac:dyDescent="0.25">
      <c r="B1726" s="21"/>
    </row>
    <row r="1727" spans="2:2" x14ac:dyDescent="0.25">
      <c r="B1727" s="21"/>
    </row>
    <row r="1728" spans="2:2" x14ac:dyDescent="0.25">
      <c r="B1728" s="21"/>
    </row>
    <row r="1729" spans="2:2" x14ac:dyDescent="0.25">
      <c r="B1729" s="21"/>
    </row>
    <row r="1730" spans="2:2" x14ac:dyDescent="0.25">
      <c r="B1730" s="21"/>
    </row>
    <row r="1731" spans="2:2" x14ac:dyDescent="0.25">
      <c r="B1731" s="21"/>
    </row>
    <row r="1732" spans="2:2" x14ac:dyDescent="0.25">
      <c r="B1732" s="21"/>
    </row>
    <row r="1733" spans="2:2" x14ac:dyDescent="0.25">
      <c r="B1733" s="21"/>
    </row>
    <row r="1734" spans="2:2" x14ac:dyDescent="0.25">
      <c r="B1734" s="21"/>
    </row>
    <row r="1735" spans="2:2" x14ac:dyDescent="0.25">
      <c r="B1735" s="21"/>
    </row>
    <row r="1736" spans="2:2" x14ac:dyDescent="0.25">
      <c r="B1736" s="21"/>
    </row>
    <row r="1737" spans="2:2" x14ac:dyDescent="0.25">
      <c r="B1737" s="21"/>
    </row>
    <row r="1738" spans="2:2" x14ac:dyDescent="0.25">
      <c r="B1738" s="21"/>
    </row>
    <row r="1739" spans="2:2" x14ac:dyDescent="0.25">
      <c r="B1739" s="21"/>
    </row>
    <row r="1740" spans="2:2" x14ac:dyDescent="0.25">
      <c r="B1740" s="21"/>
    </row>
    <row r="1741" spans="2:2" x14ac:dyDescent="0.25">
      <c r="B1741" s="21"/>
    </row>
    <row r="1742" spans="2:2" x14ac:dyDescent="0.25">
      <c r="B1742" s="21"/>
    </row>
    <row r="1743" spans="2:2" x14ac:dyDescent="0.25">
      <c r="B1743" s="21"/>
    </row>
    <row r="1744" spans="2:2" x14ac:dyDescent="0.25">
      <c r="B1744" s="21"/>
    </row>
    <row r="1745" spans="2:2" x14ac:dyDescent="0.25">
      <c r="B1745" s="21"/>
    </row>
    <row r="1746" spans="2:2" x14ac:dyDescent="0.25">
      <c r="B1746" s="21"/>
    </row>
    <row r="1747" spans="2:2" x14ac:dyDescent="0.25">
      <c r="B1747" s="21"/>
    </row>
    <row r="1748" spans="2:2" x14ac:dyDescent="0.25">
      <c r="B1748" s="21"/>
    </row>
    <row r="1749" spans="2:2" x14ac:dyDescent="0.25">
      <c r="B1749" s="21"/>
    </row>
    <row r="1750" spans="2:2" x14ac:dyDescent="0.25">
      <c r="B1750" s="21"/>
    </row>
    <row r="1751" spans="2:2" x14ac:dyDescent="0.25">
      <c r="B1751" s="21"/>
    </row>
    <row r="1752" spans="2:2" x14ac:dyDescent="0.25">
      <c r="B1752" s="21"/>
    </row>
    <row r="1753" spans="2:2" x14ac:dyDescent="0.25">
      <c r="B1753" s="21"/>
    </row>
    <row r="1754" spans="2:2" x14ac:dyDescent="0.25">
      <c r="B1754" s="21"/>
    </row>
    <row r="1755" spans="2:2" x14ac:dyDescent="0.25">
      <c r="B1755" s="21"/>
    </row>
    <row r="1756" spans="2:2" x14ac:dyDescent="0.25">
      <c r="B1756" s="21"/>
    </row>
    <row r="1757" spans="2:2" x14ac:dyDescent="0.25">
      <c r="B1757" s="21"/>
    </row>
    <row r="1758" spans="2:2" x14ac:dyDescent="0.25">
      <c r="B1758" s="21"/>
    </row>
    <row r="1759" spans="2:2" x14ac:dyDescent="0.25">
      <c r="B1759" s="21"/>
    </row>
    <row r="1760" spans="2:2" x14ac:dyDescent="0.25">
      <c r="B1760" s="21"/>
    </row>
    <row r="1761" spans="2:2" x14ac:dyDescent="0.25">
      <c r="B1761" s="21"/>
    </row>
    <row r="1762" spans="2:2" x14ac:dyDescent="0.25">
      <c r="B1762" s="21"/>
    </row>
    <row r="1763" spans="2:2" x14ac:dyDescent="0.25">
      <c r="B1763" s="21"/>
    </row>
    <row r="1764" spans="2:2" x14ac:dyDescent="0.25">
      <c r="B1764" s="21"/>
    </row>
    <row r="1765" spans="2:2" x14ac:dyDescent="0.25">
      <c r="B1765" s="21"/>
    </row>
    <row r="1766" spans="2:2" x14ac:dyDescent="0.25">
      <c r="B1766" s="21"/>
    </row>
    <row r="1767" spans="2:2" x14ac:dyDescent="0.25">
      <c r="B1767" s="21"/>
    </row>
    <row r="1768" spans="2:2" x14ac:dyDescent="0.25">
      <c r="B1768" s="21"/>
    </row>
    <row r="1769" spans="2:2" x14ac:dyDescent="0.25">
      <c r="B1769" s="21"/>
    </row>
    <row r="1770" spans="2:2" x14ac:dyDescent="0.25">
      <c r="B1770" s="21"/>
    </row>
    <row r="1771" spans="2:2" x14ac:dyDescent="0.25">
      <c r="B1771" s="21"/>
    </row>
    <row r="1772" spans="2:2" x14ac:dyDescent="0.25">
      <c r="B1772" s="21"/>
    </row>
    <row r="1773" spans="2:2" x14ac:dyDescent="0.25">
      <c r="B1773" s="21"/>
    </row>
    <row r="1774" spans="2:2" x14ac:dyDescent="0.25">
      <c r="B1774" s="21"/>
    </row>
    <row r="1775" spans="2:2" x14ac:dyDescent="0.25">
      <c r="B1775" s="21"/>
    </row>
    <row r="1776" spans="2:2" x14ac:dyDescent="0.25">
      <c r="B1776" s="21"/>
    </row>
    <row r="1777" spans="2:2" x14ac:dyDescent="0.25">
      <c r="B1777" s="21"/>
    </row>
    <row r="1778" spans="2:2" x14ac:dyDescent="0.25">
      <c r="B1778" s="21"/>
    </row>
    <row r="1779" spans="2:2" x14ac:dyDescent="0.25">
      <c r="B1779" s="21"/>
    </row>
    <row r="1780" spans="2:2" x14ac:dyDescent="0.25">
      <c r="B1780" s="21"/>
    </row>
    <row r="1781" spans="2:2" x14ac:dyDescent="0.25">
      <c r="B1781" s="21"/>
    </row>
    <row r="1782" spans="2:2" x14ac:dyDescent="0.25">
      <c r="B1782" s="21"/>
    </row>
    <row r="1783" spans="2:2" x14ac:dyDescent="0.25">
      <c r="B1783" s="21"/>
    </row>
    <row r="1784" spans="2:2" x14ac:dyDescent="0.25">
      <c r="B1784" s="21"/>
    </row>
    <row r="1785" spans="2:2" x14ac:dyDescent="0.25">
      <c r="B1785" s="21"/>
    </row>
    <row r="1786" spans="2:2" x14ac:dyDescent="0.25">
      <c r="B1786" s="21"/>
    </row>
    <row r="1787" spans="2:2" x14ac:dyDescent="0.25">
      <c r="B1787" s="21"/>
    </row>
    <row r="1788" spans="2:2" x14ac:dyDescent="0.25">
      <c r="B1788" s="21"/>
    </row>
    <row r="1789" spans="2:2" x14ac:dyDescent="0.25">
      <c r="B1789" s="21"/>
    </row>
    <row r="1790" spans="2:2" x14ac:dyDescent="0.25">
      <c r="B1790" s="21"/>
    </row>
    <row r="1791" spans="2:2" x14ac:dyDescent="0.25">
      <c r="B1791" s="21"/>
    </row>
    <row r="1792" spans="2:2" x14ac:dyDescent="0.25">
      <c r="B1792" s="21"/>
    </row>
    <row r="1793" spans="2:2" x14ac:dyDescent="0.25">
      <c r="B1793" s="21"/>
    </row>
    <row r="1794" spans="2:2" x14ac:dyDescent="0.25">
      <c r="B1794" s="21"/>
    </row>
    <row r="1795" spans="2:2" x14ac:dyDescent="0.25">
      <c r="B1795" s="21"/>
    </row>
    <row r="1796" spans="2:2" x14ac:dyDescent="0.25">
      <c r="B1796" s="21"/>
    </row>
    <row r="1797" spans="2:2" x14ac:dyDescent="0.25">
      <c r="B1797" s="21"/>
    </row>
    <row r="1798" spans="2:2" x14ac:dyDescent="0.25">
      <c r="B1798" s="21"/>
    </row>
    <row r="1799" spans="2:2" x14ac:dyDescent="0.25">
      <c r="B1799" s="21"/>
    </row>
    <row r="1800" spans="2:2" x14ac:dyDescent="0.25">
      <c r="B1800" s="21"/>
    </row>
    <row r="1801" spans="2:2" x14ac:dyDescent="0.25">
      <c r="B1801" s="21"/>
    </row>
    <row r="1802" spans="2:2" x14ac:dyDescent="0.25">
      <c r="B1802" s="21"/>
    </row>
    <row r="1803" spans="2:2" x14ac:dyDescent="0.25">
      <c r="B1803" s="21"/>
    </row>
    <row r="1804" spans="2:2" x14ac:dyDescent="0.25">
      <c r="B1804" s="21"/>
    </row>
    <row r="1805" spans="2:2" x14ac:dyDescent="0.25">
      <c r="B1805" s="21"/>
    </row>
    <row r="1806" spans="2:2" x14ac:dyDescent="0.25">
      <c r="B1806" s="21"/>
    </row>
    <row r="1807" spans="2:2" x14ac:dyDescent="0.25">
      <c r="B1807" s="21"/>
    </row>
    <row r="1808" spans="2:2" x14ac:dyDescent="0.25">
      <c r="B1808" s="21"/>
    </row>
    <row r="1809" spans="2:2" x14ac:dyDescent="0.25">
      <c r="B1809" s="21"/>
    </row>
    <row r="1810" spans="2:2" x14ac:dyDescent="0.25">
      <c r="B1810" s="21"/>
    </row>
    <row r="1811" spans="2:2" x14ac:dyDescent="0.25">
      <c r="B1811" s="21"/>
    </row>
    <row r="1812" spans="2:2" x14ac:dyDescent="0.25">
      <c r="B1812" s="21"/>
    </row>
    <row r="1813" spans="2:2" x14ac:dyDescent="0.25">
      <c r="B1813" s="21"/>
    </row>
    <row r="1814" spans="2:2" x14ac:dyDescent="0.25">
      <c r="B1814" s="21"/>
    </row>
    <row r="1815" spans="2:2" x14ac:dyDescent="0.25">
      <c r="B1815" s="21"/>
    </row>
    <row r="1816" spans="2:2" x14ac:dyDescent="0.25">
      <c r="B1816" s="21"/>
    </row>
    <row r="1817" spans="2:2" x14ac:dyDescent="0.25">
      <c r="B1817" s="21"/>
    </row>
    <row r="1818" spans="2:2" x14ac:dyDescent="0.25">
      <c r="B1818" s="21"/>
    </row>
    <row r="1819" spans="2:2" x14ac:dyDescent="0.25">
      <c r="B1819" s="21"/>
    </row>
    <row r="1820" spans="2:2" x14ac:dyDescent="0.25">
      <c r="B1820" s="21"/>
    </row>
    <row r="1821" spans="2:2" x14ac:dyDescent="0.25">
      <c r="B1821" s="21"/>
    </row>
    <row r="1822" spans="2:2" x14ac:dyDescent="0.25">
      <c r="B1822" s="21"/>
    </row>
    <row r="1823" spans="2:2" x14ac:dyDescent="0.25">
      <c r="B1823" s="21"/>
    </row>
    <row r="1824" spans="2:2" x14ac:dyDescent="0.25">
      <c r="B1824" s="21"/>
    </row>
    <row r="1825" spans="2:2" x14ac:dyDescent="0.25">
      <c r="B1825" s="21"/>
    </row>
    <row r="1826" spans="2:2" x14ac:dyDescent="0.25">
      <c r="B1826" s="21"/>
    </row>
    <row r="1827" spans="2:2" x14ac:dyDescent="0.25">
      <c r="B1827" s="21"/>
    </row>
    <row r="1828" spans="2:2" x14ac:dyDescent="0.25">
      <c r="B1828" s="21"/>
    </row>
    <row r="1829" spans="2:2" x14ac:dyDescent="0.25">
      <c r="B1829" s="21"/>
    </row>
    <row r="1830" spans="2:2" x14ac:dyDescent="0.25">
      <c r="B1830" s="21"/>
    </row>
    <row r="1831" spans="2:2" x14ac:dyDescent="0.25">
      <c r="B1831" s="21"/>
    </row>
    <row r="1832" spans="2:2" x14ac:dyDescent="0.25">
      <c r="B1832" s="21"/>
    </row>
    <row r="1833" spans="2:2" x14ac:dyDescent="0.25">
      <c r="B1833" s="21"/>
    </row>
    <row r="1834" spans="2:2" x14ac:dyDescent="0.25">
      <c r="B1834" s="21"/>
    </row>
    <row r="1835" spans="2:2" x14ac:dyDescent="0.25">
      <c r="B1835" s="21"/>
    </row>
    <row r="1836" spans="2:2" x14ac:dyDescent="0.25">
      <c r="B1836" s="21"/>
    </row>
    <row r="1837" spans="2:2" x14ac:dyDescent="0.25">
      <c r="B1837" s="21"/>
    </row>
    <row r="1838" spans="2:2" x14ac:dyDescent="0.25">
      <c r="B1838" s="21"/>
    </row>
    <row r="1839" spans="2:2" x14ac:dyDescent="0.25">
      <c r="B1839" s="21"/>
    </row>
    <row r="1840" spans="2:2" x14ac:dyDescent="0.25">
      <c r="B1840" s="21"/>
    </row>
    <row r="1841" spans="2:2" x14ac:dyDescent="0.25">
      <c r="B1841" s="21"/>
    </row>
    <row r="1842" spans="2:2" x14ac:dyDescent="0.25">
      <c r="B1842" s="21"/>
    </row>
    <row r="1843" spans="2:2" x14ac:dyDescent="0.25">
      <c r="B1843" s="21"/>
    </row>
    <row r="1844" spans="2:2" x14ac:dyDescent="0.25">
      <c r="B1844" s="21"/>
    </row>
    <row r="1845" spans="2:2" x14ac:dyDescent="0.25">
      <c r="B1845" s="21"/>
    </row>
    <row r="1846" spans="2:2" x14ac:dyDescent="0.25">
      <c r="B1846" s="21"/>
    </row>
    <row r="1847" spans="2:2" x14ac:dyDescent="0.25">
      <c r="B1847" s="21"/>
    </row>
    <row r="1848" spans="2:2" x14ac:dyDescent="0.25">
      <c r="B1848" s="21"/>
    </row>
    <row r="1849" spans="2:2" x14ac:dyDescent="0.25">
      <c r="B1849" s="21"/>
    </row>
    <row r="1850" spans="2:2" x14ac:dyDescent="0.25">
      <c r="B1850" s="21"/>
    </row>
    <row r="1851" spans="2:2" x14ac:dyDescent="0.25">
      <c r="B1851" s="21"/>
    </row>
    <row r="1852" spans="2:2" x14ac:dyDescent="0.25">
      <c r="B1852" s="21"/>
    </row>
    <row r="1853" spans="2:2" x14ac:dyDescent="0.25">
      <c r="B1853" s="21"/>
    </row>
    <row r="1854" spans="2:2" x14ac:dyDescent="0.25">
      <c r="B1854" s="21"/>
    </row>
    <row r="1855" spans="2:2" x14ac:dyDescent="0.25">
      <c r="B1855" s="21"/>
    </row>
    <row r="1856" spans="2:2" x14ac:dyDescent="0.25">
      <c r="B1856" s="21"/>
    </row>
    <row r="1857" spans="2:2" x14ac:dyDescent="0.25">
      <c r="B1857" s="21"/>
    </row>
    <row r="1858" spans="2:2" x14ac:dyDescent="0.25">
      <c r="B1858" s="21"/>
    </row>
    <row r="1859" spans="2:2" x14ac:dyDescent="0.25">
      <c r="B1859" s="21"/>
    </row>
    <row r="1860" spans="2:2" x14ac:dyDescent="0.25">
      <c r="B1860" s="21"/>
    </row>
    <row r="1861" spans="2:2" x14ac:dyDescent="0.25">
      <c r="B1861" s="21"/>
    </row>
    <row r="1862" spans="2:2" x14ac:dyDescent="0.25">
      <c r="B1862" s="21"/>
    </row>
    <row r="1863" spans="2:2" x14ac:dyDescent="0.25">
      <c r="B1863" s="21"/>
    </row>
    <row r="1864" spans="2:2" x14ac:dyDescent="0.25">
      <c r="B1864" s="21"/>
    </row>
    <row r="1865" spans="2:2" x14ac:dyDescent="0.25">
      <c r="B1865" s="21"/>
    </row>
    <row r="1866" spans="2:2" x14ac:dyDescent="0.25">
      <c r="B1866" s="21"/>
    </row>
    <row r="1867" spans="2:2" x14ac:dyDescent="0.25">
      <c r="B1867" s="21"/>
    </row>
    <row r="1868" spans="2:2" x14ac:dyDescent="0.25">
      <c r="B1868" s="21"/>
    </row>
    <row r="1869" spans="2:2" x14ac:dyDescent="0.25">
      <c r="B1869" s="21"/>
    </row>
    <row r="1870" spans="2:2" x14ac:dyDescent="0.25">
      <c r="B1870" s="21"/>
    </row>
    <row r="1871" spans="2:2" x14ac:dyDescent="0.25">
      <c r="B1871" s="21"/>
    </row>
    <row r="1872" spans="2:2" x14ac:dyDescent="0.25">
      <c r="B1872" s="21"/>
    </row>
    <row r="1873" spans="2:2" x14ac:dyDescent="0.25">
      <c r="B1873" s="21"/>
    </row>
    <row r="1874" spans="2:2" x14ac:dyDescent="0.25">
      <c r="B1874" s="21"/>
    </row>
    <row r="1875" spans="2:2" x14ac:dyDescent="0.25">
      <c r="B1875" s="21"/>
    </row>
    <row r="1876" spans="2:2" x14ac:dyDescent="0.25">
      <c r="B1876" s="21"/>
    </row>
    <row r="1877" spans="2:2" x14ac:dyDescent="0.25">
      <c r="B1877" s="21"/>
    </row>
    <row r="1878" spans="2:2" x14ac:dyDescent="0.25">
      <c r="B1878" s="21"/>
    </row>
    <row r="1879" spans="2:2" x14ac:dyDescent="0.25">
      <c r="B1879" s="21"/>
    </row>
    <row r="1880" spans="2:2" x14ac:dyDescent="0.25">
      <c r="B1880" s="21"/>
    </row>
    <row r="1881" spans="2:2" x14ac:dyDescent="0.25">
      <c r="B1881" s="21"/>
    </row>
    <row r="1882" spans="2:2" x14ac:dyDescent="0.25">
      <c r="B1882" s="21"/>
    </row>
    <row r="1883" spans="2:2" x14ac:dyDescent="0.25">
      <c r="B1883" s="21"/>
    </row>
    <row r="1884" spans="2:2" x14ac:dyDescent="0.25">
      <c r="B1884" s="21"/>
    </row>
    <row r="1885" spans="2:2" x14ac:dyDescent="0.25">
      <c r="B1885" s="21"/>
    </row>
    <row r="1886" spans="2:2" x14ac:dyDescent="0.25">
      <c r="B1886" s="21"/>
    </row>
    <row r="1887" spans="2:2" x14ac:dyDescent="0.25">
      <c r="B1887" s="21"/>
    </row>
    <row r="1888" spans="2:2" x14ac:dyDescent="0.25">
      <c r="B1888" s="21"/>
    </row>
    <row r="1889" spans="2:2" x14ac:dyDescent="0.25">
      <c r="B1889" s="21"/>
    </row>
    <row r="1890" spans="2:2" x14ac:dyDescent="0.25">
      <c r="B1890" s="21"/>
    </row>
    <row r="1891" spans="2:2" x14ac:dyDescent="0.25">
      <c r="B1891" s="21"/>
    </row>
    <row r="1892" spans="2:2" x14ac:dyDescent="0.25">
      <c r="B1892" s="21"/>
    </row>
    <row r="1893" spans="2:2" x14ac:dyDescent="0.25">
      <c r="B1893" s="21"/>
    </row>
    <row r="1894" spans="2:2" x14ac:dyDescent="0.25">
      <c r="B1894" s="21"/>
    </row>
    <row r="1895" spans="2:2" x14ac:dyDescent="0.25">
      <c r="B1895" s="21"/>
    </row>
    <row r="1896" spans="2:2" x14ac:dyDescent="0.25">
      <c r="B1896" s="21"/>
    </row>
    <row r="1897" spans="2:2" x14ac:dyDescent="0.25">
      <c r="B1897" s="21"/>
    </row>
    <row r="1898" spans="2:2" x14ac:dyDescent="0.25">
      <c r="B1898" s="21"/>
    </row>
    <row r="1899" spans="2:2" x14ac:dyDescent="0.25">
      <c r="B1899" s="21"/>
    </row>
    <row r="1900" spans="2:2" x14ac:dyDescent="0.25">
      <c r="B1900" s="21"/>
    </row>
    <row r="1901" spans="2:2" x14ac:dyDescent="0.25">
      <c r="B1901" s="21"/>
    </row>
    <row r="1902" spans="2:2" x14ac:dyDescent="0.25">
      <c r="B1902" s="21"/>
    </row>
    <row r="1903" spans="2:2" x14ac:dyDescent="0.25">
      <c r="B1903" s="21"/>
    </row>
    <row r="1904" spans="2:2" x14ac:dyDescent="0.25">
      <c r="B1904" s="21"/>
    </row>
    <row r="1905" spans="2:2" x14ac:dyDescent="0.25">
      <c r="B1905" s="21"/>
    </row>
    <row r="1906" spans="2:2" x14ac:dyDescent="0.25">
      <c r="B1906" s="21"/>
    </row>
    <row r="1907" spans="2:2" x14ac:dyDescent="0.25">
      <c r="B1907" s="21"/>
    </row>
    <row r="1908" spans="2:2" x14ac:dyDescent="0.25">
      <c r="B1908" s="21"/>
    </row>
    <row r="1909" spans="2:2" x14ac:dyDescent="0.25">
      <c r="B1909" s="21"/>
    </row>
    <row r="1910" spans="2:2" x14ac:dyDescent="0.25">
      <c r="B1910" s="21"/>
    </row>
    <row r="1911" spans="2:2" x14ac:dyDescent="0.25">
      <c r="B1911" s="21"/>
    </row>
    <row r="1912" spans="2:2" x14ac:dyDescent="0.25">
      <c r="B1912" s="21"/>
    </row>
    <row r="1913" spans="2:2" x14ac:dyDescent="0.25">
      <c r="B1913" s="21"/>
    </row>
    <row r="1914" spans="2:2" x14ac:dyDescent="0.25">
      <c r="B1914" s="21"/>
    </row>
    <row r="1915" spans="2:2" x14ac:dyDescent="0.25">
      <c r="B1915" s="21"/>
    </row>
    <row r="1916" spans="2:2" x14ac:dyDescent="0.25">
      <c r="B1916" s="21"/>
    </row>
    <row r="1917" spans="2:2" x14ac:dyDescent="0.25">
      <c r="B1917" s="21"/>
    </row>
    <row r="1918" spans="2:2" x14ac:dyDescent="0.25">
      <c r="B1918" s="21"/>
    </row>
    <row r="1919" spans="2:2" x14ac:dyDescent="0.25">
      <c r="B1919" s="21"/>
    </row>
    <row r="1920" spans="2:2" x14ac:dyDescent="0.25">
      <c r="B1920" s="21"/>
    </row>
    <row r="1921" spans="2:2" x14ac:dyDescent="0.25">
      <c r="B1921" s="21"/>
    </row>
    <row r="1922" spans="2:2" x14ac:dyDescent="0.25">
      <c r="B1922" s="21"/>
    </row>
    <row r="1923" spans="2:2" x14ac:dyDescent="0.25">
      <c r="B1923" s="21"/>
    </row>
    <row r="1924" spans="2:2" x14ac:dyDescent="0.25">
      <c r="B1924" s="21"/>
    </row>
    <row r="1925" spans="2:2" x14ac:dyDescent="0.25">
      <c r="B1925" s="21"/>
    </row>
    <row r="1926" spans="2:2" x14ac:dyDescent="0.25">
      <c r="B1926" s="21"/>
    </row>
    <row r="1927" spans="2:2" x14ac:dyDescent="0.25">
      <c r="B1927" s="21"/>
    </row>
    <row r="1928" spans="2:2" x14ac:dyDescent="0.25">
      <c r="B1928" s="21"/>
    </row>
    <row r="1929" spans="2:2" x14ac:dyDescent="0.25">
      <c r="B1929" s="21"/>
    </row>
    <row r="1930" spans="2:2" x14ac:dyDescent="0.25">
      <c r="B1930" s="21"/>
    </row>
    <row r="1931" spans="2:2" x14ac:dyDescent="0.25">
      <c r="B1931" s="21"/>
    </row>
    <row r="1932" spans="2:2" x14ac:dyDescent="0.25">
      <c r="B1932" s="21"/>
    </row>
    <row r="1933" spans="2:2" x14ac:dyDescent="0.25">
      <c r="B1933" s="21"/>
    </row>
    <row r="1934" spans="2:2" x14ac:dyDescent="0.25">
      <c r="B1934" s="21"/>
    </row>
    <row r="1935" spans="2:2" x14ac:dyDescent="0.25">
      <c r="B1935" s="21"/>
    </row>
    <row r="1936" spans="2:2" x14ac:dyDescent="0.25">
      <c r="B1936" s="21"/>
    </row>
    <row r="1937" spans="2:2" x14ac:dyDescent="0.25">
      <c r="B1937" s="21"/>
    </row>
    <row r="1938" spans="2:2" x14ac:dyDescent="0.25">
      <c r="B1938" s="21"/>
    </row>
    <row r="1939" spans="2:2" x14ac:dyDescent="0.25">
      <c r="B1939" s="21"/>
    </row>
    <row r="1940" spans="2:2" x14ac:dyDescent="0.25">
      <c r="B1940" s="21"/>
    </row>
    <row r="1941" spans="2:2" x14ac:dyDescent="0.25">
      <c r="B1941" s="21"/>
    </row>
    <row r="1942" spans="2:2" x14ac:dyDescent="0.25">
      <c r="B1942" s="21"/>
    </row>
    <row r="1943" spans="2:2" x14ac:dyDescent="0.25">
      <c r="B1943" s="21"/>
    </row>
    <row r="1944" spans="2:2" x14ac:dyDescent="0.25">
      <c r="B1944" s="21"/>
    </row>
    <row r="1945" spans="2:2" x14ac:dyDescent="0.25">
      <c r="B1945" s="21"/>
    </row>
    <row r="1946" spans="2:2" x14ac:dyDescent="0.25">
      <c r="B1946" s="21"/>
    </row>
    <row r="1947" spans="2:2" x14ac:dyDescent="0.25">
      <c r="B1947" s="21"/>
    </row>
    <row r="1948" spans="2:2" x14ac:dyDescent="0.25">
      <c r="B1948" s="21"/>
    </row>
    <row r="1949" spans="2:2" x14ac:dyDescent="0.25">
      <c r="B1949" s="21"/>
    </row>
    <row r="1950" spans="2:2" x14ac:dyDescent="0.25">
      <c r="B1950" s="21"/>
    </row>
    <row r="1951" spans="2:2" x14ac:dyDescent="0.25">
      <c r="B1951" s="21"/>
    </row>
    <row r="1952" spans="2:2" x14ac:dyDescent="0.25">
      <c r="B1952" s="21"/>
    </row>
    <row r="1953" spans="2:2" x14ac:dyDescent="0.25">
      <c r="B1953" s="21"/>
    </row>
    <row r="1954" spans="2:2" x14ac:dyDescent="0.25">
      <c r="B1954" s="21"/>
    </row>
    <row r="1955" spans="2:2" x14ac:dyDescent="0.25">
      <c r="B1955" s="21"/>
    </row>
    <row r="1956" spans="2:2" x14ac:dyDescent="0.25">
      <c r="B1956" s="21"/>
    </row>
    <row r="1957" spans="2:2" x14ac:dyDescent="0.25">
      <c r="B1957" s="21"/>
    </row>
    <row r="1958" spans="2:2" x14ac:dyDescent="0.25">
      <c r="B1958" s="21"/>
    </row>
    <row r="1959" spans="2:2" x14ac:dyDescent="0.25">
      <c r="B1959" s="21"/>
    </row>
    <row r="1960" spans="2:2" x14ac:dyDescent="0.25">
      <c r="B1960" s="21"/>
    </row>
    <row r="1961" spans="2:2" x14ac:dyDescent="0.25">
      <c r="B1961" s="21"/>
    </row>
    <row r="1962" spans="2:2" x14ac:dyDescent="0.25">
      <c r="B1962" s="21"/>
    </row>
    <row r="1963" spans="2:2" x14ac:dyDescent="0.25">
      <c r="B1963" s="21"/>
    </row>
    <row r="1964" spans="2:2" x14ac:dyDescent="0.25">
      <c r="B1964" s="21"/>
    </row>
    <row r="1965" spans="2:2" x14ac:dyDescent="0.25">
      <c r="B1965" s="21"/>
    </row>
    <row r="1966" spans="2:2" x14ac:dyDescent="0.25">
      <c r="B1966" s="21"/>
    </row>
    <row r="1967" spans="2:2" x14ac:dyDescent="0.25">
      <c r="B1967" s="21"/>
    </row>
    <row r="1968" spans="2:2" x14ac:dyDescent="0.25">
      <c r="B1968" s="21"/>
    </row>
    <row r="1969" spans="2:2" x14ac:dyDescent="0.25">
      <c r="B1969" s="21"/>
    </row>
    <row r="1970" spans="2:2" x14ac:dyDescent="0.25">
      <c r="B1970" s="21"/>
    </row>
    <row r="1971" spans="2:2" x14ac:dyDescent="0.25">
      <c r="B1971" s="21"/>
    </row>
    <row r="1972" spans="2:2" x14ac:dyDescent="0.25">
      <c r="B1972" s="21"/>
    </row>
    <row r="1973" spans="2:2" x14ac:dyDescent="0.25">
      <c r="B1973" s="21"/>
    </row>
    <row r="1974" spans="2:2" x14ac:dyDescent="0.25">
      <c r="B1974" s="21"/>
    </row>
    <row r="1975" spans="2:2" x14ac:dyDescent="0.25">
      <c r="B1975" s="21"/>
    </row>
    <row r="1976" spans="2:2" x14ac:dyDescent="0.25">
      <c r="B1976" s="21"/>
    </row>
    <row r="1977" spans="2:2" x14ac:dyDescent="0.25">
      <c r="B1977" s="21"/>
    </row>
    <row r="1978" spans="2:2" x14ac:dyDescent="0.25">
      <c r="B1978" s="21"/>
    </row>
    <row r="1979" spans="2:2" x14ac:dyDescent="0.25">
      <c r="B1979" s="21"/>
    </row>
    <row r="1980" spans="2:2" x14ac:dyDescent="0.25">
      <c r="B1980" s="21"/>
    </row>
    <row r="1981" spans="2:2" x14ac:dyDescent="0.25">
      <c r="B1981" s="21"/>
    </row>
    <row r="1982" spans="2:2" x14ac:dyDescent="0.25">
      <c r="B1982" s="21"/>
    </row>
    <row r="1983" spans="2:2" x14ac:dyDescent="0.25">
      <c r="B1983" s="21"/>
    </row>
    <row r="1984" spans="2:2" x14ac:dyDescent="0.25">
      <c r="B1984" s="21"/>
    </row>
    <row r="1985" spans="2:2" x14ac:dyDescent="0.25">
      <c r="B1985" s="21"/>
    </row>
    <row r="1986" spans="2:2" x14ac:dyDescent="0.25">
      <c r="B1986" s="21"/>
    </row>
    <row r="1987" spans="2:2" x14ac:dyDescent="0.25">
      <c r="B1987" s="21"/>
    </row>
    <row r="1988" spans="2:2" x14ac:dyDescent="0.25">
      <c r="B1988" s="21"/>
    </row>
    <row r="1989" spans="2:2" x14ac:dyDescent="0.25">
      <c r="B1989" s="21"/>
    </row>
    <row r="1990" spans="2:2" x14ac:dyDescent="0.25">
      <c r="B1990" s="21"/>
    </row>
    <row r="1991" spans="2:2" x14ac:dyDescent="0.25">
      <c r="B1991" s="21"/>
    </row>
    <row r="1992" spans="2:2" x14ac:dyDescent="0.25">
      <c r="B1992" s="21"/>
    </row>
    <row r="1993" spans="2:2" x14ac:dyDescent="0.25">
      <c r="B1993" s="21"/>
    </row>
    <row r="1994" spans="2:2" x14ac:dyDescent="0.25">
      <c r="B1994" s="21"/>
    </row>
    <row r="1995" spans="2:2" x14ac:dyDescent="0.25">
      <c r="B1995" s="21"/>
    </row>
    <row r="1996" spans="2:2" x14ac:dyDescent="0.25">
      <c r="B1996" s="21"/>
    </row>
    <row r="1997" spans="2:2" x14ac:dyDescent="0.25">
      <c r="B1997" s="21"/>
    </row>
    <row r="1998" spans="2:2" x14ac:dyDescent="0.25">
      <c r="B1998" s="21"/>
    </row>
    <row r="1999" spans="2:2" x14ac:dyDescent="0.25">
      <c r="B1999" s="21"/>
    </row>
    <row r="2000" spans="2:2" x14ac:dyDescent="0.25">
      <c r="B2000" s="21"/>
    </row>
    <row r="2001" spans="2:2" x14ac:dyDescent="0.25">
      <c r="B2001" s="21"/>
    </row>
    <row r="2002" spans="2:2" x14ac:dyDescent="0.25">
      <c r="B2002" s="21"/>
    </row>
    <row r="2003" spans="2:2" x14ac:dyDescent="0.25">
      <c r="B2003" s="21"/>
    </row>
    <row r="2004" spans="2:2" x14ac:dyDescent="0.25">
      <c r="B2004" s="21"/>
    </row>
    <row r="2005" spans="2:2" x14ac:dyDescent="0.25">
      <c r="B2005" s="21"/>
    </row>
    <row r="2006" spans="2:2" x14ac:dyDescent="0.25">
      <c r="B2006" s="21"/>
    </row>
    <row r="2007" spans="2:2" x14ac:dyDescent="0.25">
      <c r="B2007" s="21"/>
    </row>
    <row r="2008" spans="2:2" x14ac:dyDescent="0.25">
      <c r="B2008" s="21"/>
    </row>
    <row r="2009" spans="2:2" x14ac:dyDescent="0.25">
      <c r="B2009" s="21"/>
    </row>
    <row r="2010" spans="2:2" x14ac:dyDescent="0.25">
      <c r="B2010" s="21"/>
    </row>
    <row r="2011" spans="2:2" x14ac:dyDescent="0.25">
      <c r="B2011" s="21"/>
    </row>
    <row r="2012" spans="2:2" x14ac:dyDescent="0.25">
      <c r="B2012" s="21"/>
    </row>
    <row r="2013" spans="2:2" x14ac:dyDescent="0.25">
      <c r="B2013" s="21"/>
    </row>
    <row r="2014" spans="2:2" x14ac:dyDescent="0.25">
      <c r="B2014" s="21"/>
    </row>
    <row r="2015" spans="2:2" x14ac:dyDescent="0.25">
      <c r="B2015" s="21"/>
    </row>
    <row r="2016" spans="2:2" x14ac:dyDescent="0.25">
      <c r="B2016" s="21"/>
    </row>
    <row r="2017" spans="2:2" x14ac:dyDescent="0.25">
      <c r="B2017" s="21"/>
    </row>
    <row r="2018" spans="2:2" x14ac:dyDescent="0.25">
      <c r="B2018" s="21"/>
    </row>
    <row r="2019" spans="2:2" x14ac:dyDescent="0.25">
      <c r="B2019" s="21"/>
    </row>
    <row r="2020" spans="2:2" x14ac:dyDescent="0.25">
      <c r="B2020" s="21"/>
    </row>
    <row r="2021" spans="2:2" x14ac:dyDescent="0.25">
      <c r="B2021" s="21"/>
    </row>
    <row r="2022" spans="2:2" x14ac:dyDescent="0.25">
      <c r="B2022" s="21"/>
    </row>
    <row r="2023" spans="2:2" x14ac:dyDescent="0.25">
      <c r="B2023" s="21"/>
    </row>
    <row r="2024" spans="2:2" x14ac:dyDescent="0.25">
      <c r="B2024" s="21"/>
    </row>
    <row r="2025" spans="2:2" x14ac:dyDescent="0.25">
      <c r="B2025" s="21"/>
    </row>
    <row r="2026" spans="2:2" x14ac:dyDescent="0.25">
      <c r="B2026" s="21"/>
    </row>
    <row r="2027" spans="2:2" x14ac:dyDescent="0.25">
      <c r="B2027" s="21"/>
    </row>
    <row r="2028" spans="2:2" x14ac:dyDescent="0.25">
      <c r="B2028" s="21"/>
    </row>
    <row r="2029" spans="2:2" x14ac:dyDescent="0.25">
      <c r="B2029" s="21"/>
    </row>
    <row r="2030" spans="2:2" x14ac:dyDescent="0.25">
      <c r="B2030" s="21"/>
    </row>
    <row r="2031" spans="2:2" x14ac:dyDescent="0.25">
      <c r="B2031" s="21"/>
    </row>
    <row r="2032" spans="2:2" x14ac:dyDescent="0.25">
      <c r="B2032" s="21"/>
    </row>
    <row r="2033" spans="2:2" x14ac:dyDescent="0.25">
      <c r="B2033" s="21"/>
    </row>
    <row r="2034" spans="2:2" x14ac:dyDescent="0.25">
      <c r="B2034" s="21"/>
    </row>
    <row r="2035" spans="2:2" x14ac:dyDescent="0.25">
      <c r="B2035" s="21"/>
    </row>
    <row r="2036" spans="2:2" x14ac:dyDescent="0.25">
      <c r="B2036" s="21"/>
    </row>
    <row r="2037" spans="2:2" x14ac:dyDescent="0.25">
      <c r="B2037" s="21"/>
    </row>
    <row r="2038" spans="2:2" x14ac:dyDescent="0.25">
      <c r="B2038" s="21"/>
    </row>
    <row r="2039" spans="2:2" x14ac:dyDescent="0.25">
      <c r="B2039" s="21"/>
    </row>
    <row r="2040" spans="2:2" x14ac:dyDescent="0.25">
      <c r="B2040" s="21"/>
    </row>
    <row r="2041" spans="2:2" x14ac:dyDescent="0.25">
      <c r="B2041" s="21"/>
    </row>
    <row r="2042" spans="2:2" x14ac:dyDescent="0.25">
      <c r="B2042" s="21"/>
    </row>
    <row r="2043" spans="2:2" x14ac:dyDescent="0.25">
      <c r="B2043" s="21"/>
    </row>
    <row r="2044" spans="2:2" x14ac:dyDescent="0.25">
      <c r="B2044" s="21"/>
    </row>
    <row r="2045" spans="2:2" x14ac:dyDescent="0.25">
      <c r="B2045" s="21"/>
    </row>
    <row r="2046" spans="2:2" x14ac:dyDescent="0.25">
      <c r="B2046" s="21"/>
    </row>
    <row r="2047" spans="2:2" x14ac:dyDescent="0.25">
      <c r="B2047" s="21"/>
    </row>
    <row r="2048" spans="2:2" x14ac:dyDescent="0.25">
      <c r="B2048" s="21"/>
    </row>
    <row r="2049" spans="2:2" x14ac:dyDescent="0.25">
      <c r="B2049" s="21"/>
    </row>
    <row r="2050" spans="2:2" x14ac:dyDescent="0.25">
      <c r="B2050" s="21"/>
    </row>
    <row r="2051" spans="2:2" x14ac:dyDescent="0.25">
      <c r="B2051" s="21"/>
    </row>
    <row r="2052" spans="2:2" x14ac:dyDescent="0.25">
      <c r="B2052" s="21"/>
    </row>
    <row r="2053" spans="2:2" x14ac:dyDescent="0.25">
      <c r="B2053" s="21"/>
    </row>
    <row r="2054" spans="2:2" x14ac:dyDescent="0.25">
      <c r="B2054" s="21"/>
    </row>
    <row r="2055" spans="2:2" x14ac:dyDescent="0.25">
      <c r="B2055" s="21"/>
    </row>
    <row r="2056" spans="2:2" x14ac:dyDescent="0.25">
      <c r="B2056" s="21"/>
    </row>
    <row r="2057" spans="2:2" x14ac:dyDescent="0.25">
      <c r="B2057" s="21"/>
    </row>
    <row r="2058" spans="2:2" x14ac:dyDescent="0.25">
      <c r="B2058" s="21"/>
    </row>
    <row r="2059" spans="2:2" x14ac:dyDescent="0.25">
      <c r="B2059" s="21"/>
    </row>
    <row r="2060" spans="2:2" x14ac:dyDescent="0.25">
      <c r="B2060" s="21"/>
    </row>
    <row r="2061" spans="2:2" x14ac:dyDescent="0.25">
      <c r="B2061" s="21"/>
    </row>
    <row r="2062" spans="2:2" x14ac:dyDescent="0.25">
      <c r="B2062" s="21"/>
    </row>
    <row r="2063" spans="2:2" x14ac:dyDescent="0.25">
      <c r="B2063" s="21"/>
    </row>
    <row r="2064" spans="2:2" x14ac:dyDescent="0.25">
      <c r="B2064" s="21"/>
    </row>
    <row r="2065" spans="2:2" x14ac:dyDescent="0.25">
      <c r="B2065" s="21"/>
    </row>
    <row r="2066" spans="2:2" x14ac:dyDescent="0.25">
      <c r="B2066" s="21"/>
    </row>
    <row r="2067" spans="2:2" x14ac:dyDescent="0.25">
      <c r="B2067" s="21"/>
    </row>
    <row r="2068" spans="2:2" x14ac:dyDescent="0.25">
      <c r="B2068" s="21"/>
    </row>
    <row r="2069" spans="2:2" x14ac:dyDescent="0.25">
      <c r="B2069" s="21"/>
    </row>
    <row r="2070" spans="2:2" x14ac:dyDescent="0.25">
      <c r="B2070" s="21"/>
    </row>
    <row r="2071" spans="2:2" x14ac:dyDescent="0.25">
      <c r="B2071" s="21"/>
    </row>
    <row r="2072" spans="2:2" x14ac:dyDescent="0.25">
      <c r="B2072" s="21"/>
    </row>
    <row r="2073" spans="2:2" x14ac:dyDescent="0.25">
      <c r="B2073" s="21"/>
    </row>
    <row r="2074" spans="2:2" x14ac:dyDescent="0.25">
      <c r="B2074" s="21"/>
    </row>
    <row r="2075" spans="2:2" x14ac:dyDescent="0.25">
      <c r="B2075" s="21"/>
    </row>
    <row r="2076" spans="2:2" x14ac:dyDescent="0.25">
      <c r="B2076" s="21"/>
    </row>
    <row r="2077" spans="2:2" x14ac:dyDescent="0.25">
      <c r="B2077" s="21"/>
    </row>
    <row r="2078" spans="2:2" x14ac:dyDescent="0.25">
      <c r="B2078" s="21"/>
    </row>
    <row r="2079" spans="2:2" x14ac:dyDescent="0.25">
      <c r="B2079" s="21"/>
    </row>
    <row r="2080" spans="2:2" x14ac:dyDescent="0.25">
      <c r="B2080" s="21"/>
    </row>
    <row r="2081" spans="2:2" x14ac:dyDescent="0.25">
      <c r="B2081" s="21"/>
    </row>
    <row r="2082" spans="2:2" x14ac:dyDescent="0.25">
      <c r="B2082" s="21"/>
    </row>
    <row r="2083" spans="2:2" x14ac:dyDescent="0.25">
      <c r="B2083" s="21"/>
    </row>
    <row r="2084" spans="2:2" x14ac:dyDescent="0.25">
      <c r="B2084" s="21"/>
    </row>
    <row r="2085" spans="2:2" x14ac:dyDescent="0.25">
      <c r="B2085" s="21"/>
    </row>
    <row r="2086" spans="2:2" x14ac:dyDescent="0.25">
      <c r="B2086" s="21"/>
    </row>
    <row r="2087" spans="2:2" x14ac:dyDescent="0.25">
      <c r="B2087" s="21"/>
    </row>
    <row r="2088" spans="2:2" x14ac:dyDescent="0.25">
      <c r="B2088" s="21"/>
    </row>
    <row r="2089" spans="2:2" x14ac:dyDescent="0.25">
      <c r="B2089" s="21"/>
    </row>
    <row r="2090" spans="2:2" x14ac:dyDescent="0.25">
      <c r="B2090" s="21"/>
    </row>
    <row r="2091" spans="2:2" x14ac:dyDescent="0.25">
      <c r="B2091" s="21"/>
    </row>
    <row r="2092" spans="2:2" x14ac:dyDescent="0.25">
      <c r="B2092" s="21"/>
    </row>
    <row r="2093" spans="2:2" x14ac:dyDescent="0.25">
      <c r="B2093" s="21"/>
    </row>
    <row r="2094" spans="2:2" x14ac:dyDescent="0.25">
      <c r="B2094" s="21"/>
    </row>
    <row r="2095" spans="2:2" x14ac:dyDescent="0.25">
      <c r="B2095" s="21"/>
    </row>
    <row r="2096" spans="2:2" x14ac:dyDescent="0.25">
      <c r="B2096" s="21"/>
    </row>
    <row r="2097" spans="2:2" x14ac:dyDescent="0.25">
      <c r="B2097" s="21"/>
    </row>
    <row r="2098" spans="2:2" x14ac:dyDescent="0.25">
      <c r="B2098" s="21"/>
    </row>
    <row r="2099" spans="2:2" x14ac:dyDescent="0.25">
      <c r="B2099" s="21"/>
    </row>
    <row r="2100" spans="2:2" x14ac:dyDescent="0.25">
      <c r="B2100" s="21"/>
    </row>
    <row r="2101" spans="2:2" x14ac:dyDescent="0.25">
      <c r="B2101" s="21"/>
    </row>
    <row r="2102" spans="2:2" x14ac:dyDescent="0.25">
      <c r="B2102" s="21"/>
    </row>
    <row r="2103" spans="2:2" x14ac:dyDescent="0.25">
      <c r="B2103" s="21"/>
    </row>
    <row r="2104" spans="2:2" x14ac:dyDescent="0.25">
      <c r="B2104" s="21"/>
    </row>
    <row r="2105" spans="2:2" x14ac:dyDescent="0.25">
      <c r="B2105" s="21"/>
    </row>
    <row r="2106" spans="2:2" x14ac:dyDescent="0.25">
      <c r="B2106" s="21"/>
    </row>
    <row r="2107" spans="2:2" x14ac:dyDescent="0.25">
      <c r="B2107" s="21"/>
    </row>
    <row r="2108" spans="2:2" x14ac:dyDescent="0.25">
      <c r="B2108" s="21"/>
    </row>
    <row r="2109" spans="2:2" x14ac:dyDescent="0.25">
      <c r="B2109" s="21"/>
    </row>
    <row r="2110" spans="2:2" x14ac:dyDescent="0.25">
      <c r="B2110" s="21"/>
    </row>
    <row r="2111" spans="2:2" x14ac:dyDescent="0.25">
      <c r="B2111" s="21"/>
    </row>
    <row r="2112" spans="2:2" x14ac:dyDescent="0.25">
      <c r="B2112" s="21"/>
    </row>
    <row r="2113" spans="2:2" x14ac:dyDescent="0.25">
      <c r="B2113" s="21"/>
    </row>
    <row r="2114" spans="2:2" x14ac:dyDescent="0.25">
      <c r="B2114" s="21"/>
    </row>
    <row r="2115" spans="2:2" x14ac:dyDescent="0.25">
      <c r="B2115" s="21"/>
    </row>
    <row r="2116" spans="2:2" x14ac:dyDescent="0.25">
      <c r="B2116" s="21"/>
    </row>
    <row r="2117" spans="2:2" x14ac:dyDescent="0.25">
      <c r="B2117" s="21"/>
    </row>
    <row r="2118" spans="2:2" x14ac:dyDescent="0.25">
      <c r="B2118" s="21"/>
    </row>
    <row r="2119" spans="2:2" x14ac:dyDescent="0.25">
      <c r="B2119" s="21"/>
    </row>
    <row r="2120" spans="2:2" x14ac:dyDescent="0.25">
      <c r="B2120" s="21"/>
    </row>
    <row r="2121" spans="2:2" x14ac:dyDescent="0.25">
      <c r="B2121" s="21"/>
    </row>
    <row r="2122" spans="2:2" x14ac:dyDescent="0.25">
      <c r="B2122" s="21"/>
    </row>
    <row r="2123" spans="2:2" x14ac:dyDescent="0.25">
      <c r="B2123" s="21"/>
    </row>
    <row r="2124" spans="2:2" x14ac:dyDescent="0.25">
      <c r="B2124" s="21"/>
    </row>
    <row r="2125" spans="2:2" x14ac:dyDescent="0.25">
      <c r="B2125" s="21"/>
    </row>
    <row r="2126" spans="2:2" x14ac:dyDescent="0.25">
      <c r="B2126" s="21"/>
    </row>
    <row r="2127" spans="2:2" x14ac:dyDescent="0.25">
      <c r="B2127" s="21"/>
    </row>
    <row r="2128" spans="2:2" x14ac:dyDescent="0.25">
      <c r="B2128" s="21"/>
    </row>
    <row r="2129" spans="2:2" x14ac:dyDescent="0.25">
      <c r="B2129" s="21"/>
    </row>
    <row r="2130" spans="2:2" x14ac:dyDescent="0.25">
      <c r="B2130" s="21"/>
    </row>
    <row r="2131" spans="2:2" x14ac:dyDescent="0.25">
      <c r="B2131" s="21"/>
    </row>
    <row r="2132" spans="2:2" x14ac:dyDescent="0.25">
      <c r="B2132" s="21"/>
    </row>
    <row r="2133" spans="2:2" x14ac:dyDescent="0.25">
      <c r="B2133" s="21"/>
    </row>
    <row r="2134" spans="2:2" x14ac:dyDescent="0.25">
      <c r="B2134" s="21"/>
    </row>
    <row r="2135" spans="2:2" x14ac:dyDescent="0.25">
      <c r="B2135" s="21"/>
    </row>
    <row r="2136" spans="2:2" x14ac:dyDescent="0.25">
      <c r="B2136" s="21"/>
    </row>
    <row r="2137" spans="2:2" x14ac:dyDescent="0.25">
      <c r="B2137" s="21"/>
    </row>
    <row r="2138" spans="2:2" x14ac:dyDescent="0.25">
      <c r="B2138" s="21"/>
    </row>
    <row r="2139" spans="2:2" x14ac:dyDescent="0.25">
      <c r="B2139" s="21"/>
    </row>
    <row r="2140" spans="2:2" x14ac:dyDescent="0.25">
      <c r="B2140" s="21"/>
    </row>
    <row r="2141" spans="2:2" x14ac:dyDescent="0.25">
      <c r="B2141" s="21"/>
    </row>
    <row r="2142" spans="2:2" x14ac:dyDescent="0.25">
      <c r="B2142" s="21"/>
    </row>
    <row r="2143" spans="2:2" x14ac:dyDescent="0.25">
      <c r="B2143" s="21"/>
    </row>
    <row r="2144" spans="2:2" x14ac:dyDescent="0.25">
      <c r="B2144" s="21"/>
    </row>
    <row r="2145" spans="2:2" x14ac:dyDescent="0.25">
      <c r="B2145" s="21"/>
    </row>
    <row r="2146" spans="2:2" x14ac:dyDescent="0.25">
      <c r="B2146" s="21"/>
    </row>
    <row r="2147" spans="2:2" x14ac:dyDescent="0.25">
      <c r="B2147" s="21"/>
    </row>
    <row r="2148" spans="2:2" x14ac:dyDescent="0.25">
      <c r="B2148" s="21"/>
    </row>
    <row r="2149" spans="2:2" x14ac:dyDescent="0.25">
      <c r="B2149" s="21"/>
    </row>
    <row r="2150" spans="2:2" x14ac:dyDescent="0.25">
      <c r="B2150" s="21"/>
    </row>
    <row r="2151" spans="2:2" x14ac:dyDescent="0.25">
      <c r="B2151" s="21"/>
    </row>
    <row r="2152" spans="2:2" x14ac:dyDescent="0.25">
      <c r="B2152" s="21"/>
    </row>
    <row r="2153" spans="2:2" x14ac:dyDescent="0.25">
      <c r="B2153" s="21"/>
    </row>
    <row r="2154" spans="2:2" x14ac:dyDescent="0.25">
      <c r="B2154" s="21"/>
    </row>
    <row r="2155" spans="2:2" x14ac:dyDescent="0.25">
      <c r="B2155" s="21"/>
    </row>
    <row r="2156" spans="2:2" x14ac:dyDescent="0.25">
      <c r="B2156" s="21"/>
    </row>
    <row r="2157" spans="2:2" x14ac:dyDescent="0.25">
      <c r="B2157" s="21"/>
    </row>
    <row r="2158" spans="2:2" x14ac:dyDescent="0.25">
      <c r="B2158" s="21"/>
    </row>
    <row r="2159" spans="2:2" x14ac:dyDescent="0.25">
      <c r="B2159" s="21"/>
    </row>
    <row r="2160" spans="2:2" x14ac:dyDescent="0.25">
      <c r="B2160" s="21"/>
    </row>
    <row r="2161" spans="2:2" x14ac:dyDescent="0.25">
      <c r="B2161" s="21"/>
    </row>
    <row r="2162" spans="2:2" x14ac:dyDescent="0.25">
      <c r="B2162" s="21"/>
    </row>
    <row r="2163" spans="2:2" x14ac:dyDescent="0.25">
      <c r="B2163" s="21"/>
    </row>
    <row r="2164" spans="2:2" x14ac:dyDescent="0.25">
      <c r="B2164" s="21"/>
    </row>
    <row r="2165" spans="2:2" x14ac:dyDescent="0.25">
      <c r="B2165" s="21"/>
    </row>
    <row r="2166" spans="2:2" x14ac:dyDescent="0.25">
      <c r="B2166" s="21"/>
    </row>
    <row r="2167" spans="2:2" x14ac:dyDescent="0.25">
      <c r="B2167" s="21"/>
    </row>
    <row r="2168" spans="2:2" x14ac:dyDescent="0.25">
      <c r="B2168" s="21"/>
    </row>
    <row r="2169" spans="2:2" x14ac:dyDescent="0.25">
      <c r="B2169" s="21"/>
    </row>
    <row r="2170" spans="2:2" x14ac:dyDescent="0.25">
      <c r="B2170" s="21"/>
    </row>
    <row r="2171" spans="2:2" x14ac:dyDescent="0.25">
      <c r="B2171" s="21"/>
    </row>
    <row r="2172" spans="2:2" x14ac:dyDescent="0.25">
      <c r="B2172" s="21"/>
    </row>
    <row r="2173" spans="2:2" x14ac:dyDescent="0.25">
      <c r="B2173" s="21"/>
    </row>
    <row r="2174" spans="2:2" x14ac:dyDescent="0.25">
      <c r="B2174" s="21"/>
    </row>
    <row r="2175" spans="2:2" x14ac:dyDescent="0.25">
      <c r="B2175" s="21"/>
    </row>
    <row r="2176" spans="2:2" x14ac:dyDescent="0.25">
      <c r="B2176" s="21"/>
    </row>
    <row r="2177" spans="2:2" x14ac:dyDescent="0.25">
      <c r="B2177" s="21"/>
    </row>
    <row r="2178" spans="2:2" x14ac:dyDescent="0.25">
      <c r="B2178" s="21"/>
    </row>
    <row r="2179" spans="2:2" x14ac:dyDescent="0.25">
      <c r="B2179" s="21"/>
    </row>
    <row r="2180" spans="2:2" x14ac:dyDescent="0.25">
      <c r="B2180" s="21"/>
    </row>
    <row r="2181" spans="2:2" x14ac:dyDescent="0.25">
      <c r="B2181" s="21"/>
    </row>
    <row r="2182" spans="2:2" x14ac:dyDescent="0.25">
      <c r="B2182" s="21"/>
    </row>
    <row r="2183" spans="2:2" x14ac:dyDescent="0.25">
      <c r="B2183" s="21"/>
    </row>
    <row r="2184" spans="2:2" x14ac:dyDescent="0.25">
      <c r="B2184" s="21"/>
    </row>
    <row r="2185" spans="2:2" x14ac:dyDescent="0.25">
      <c r="B2185" s="21"/>
    </row>
    <row r="2186" spans="2:2" x14ac:dyDescent="0.25">
      <c r="B2186" s="21"/>
    </row>
    <row r="2187" spans="2:2" x14ac:dyDescent="0.25">
      <c r="B2187" s="21"/>
    </row>
    <row r="2188" spans="2:2" x14ac:dyDescent="0.25">
      <c r="B2188" s="21"/>
    </row>
    <row r="2189" spans="2:2" x14ac:dyDescent="0.25">
      <c r="B2189" s="21"/>
    </row>
    <row r="2190" spans="2:2" x14ac:dyDescent="0.25">
      <c r="B2190" s="21"/>
    </row>
    <row r="2191" spans="2:2" x14ac:dyDescent="0.25">
      <c r="B2191" s="21"/>
    </row>
    <row r="2192" spans="2:2" x14ac:dyDescent="0.25">
      <c r="B2192" s="21"/>
    </row>
    <row r="2193" spans="2:2" x14ac:dyDescent="0.25">
      <c r="B2193" s="21"/>
    </row>
    <row r="2194" spans="2:2" x14ac:dyDescent="0.25">
      <c r="B2194" s="21"/>
    </row>
    <row r="2195" spans="2:2" x14ac:dyDescent="0.25">
      <c r="B2195" s="21"/>
    </row>
    <row r="2196" spans="2:2" x14ac:dyDescent="0.25">
      <c r="B2196" s="21"/>
    </row>
    <row r="2197" spans="2:2" x14ac:dyDescent="0.25">
      <c r="B2197" s="21"/>
    </row>
    <row r="2198" spans="2:2" x14ac:dyDescent="0.25">
      <c r="B2198" s="21"/>
    </row>
    <row r="2199" spans="2:2" x14ac:dyDescent="0.25">
      <c r="B2199" s="21"/>
    </row>
    <row r="2200" spans="2:2" x14ac:dyDescent="0.25">
      <c r="B2200" s="21"/>
    </row>
    <row r="2201" spans="2:2" x14ac:dyDescent="0.25">
      <c r="B2201" s="21"/>
    </row>
    <row r="2202" spans="2:2" x14ac:dyDescent="0.25">
      <c r="B2202" s="21"/>
    </row>
    <row r="2203" spans="2:2" x14ac:dyDescent="0.25">
      <c r="B2203" s="21"/>
    </row>
    <row r="2204" spans="2:2" x14ac:dyDescent="0.25">
      <c r="B2204" s="21"/>
    </row>
    <row r="2205" spans="2:2" x14ac:dyDescent="0.25">
      <c r="B2205" s="21"/>
    </row>
    <row r="2206" spans="2:2" x14ac:dyDescent="0.25">
      <c r="B2206" s="21"/>
    </row>
    <row r="2207" spans="2:2" x14ac:dyDescent="0.25">
      <c r="B2207" s="21"/>
    </row>
    <row r="2208" spans="2:2" x14ac:dyDescent="0.25">
      <c r="B2208" s="21"/>
    </row>
    <row r="2209" spans="2:2" x14ac:dyDescent="0.25">
      <c r="B2209" s="21"/>
    </row>
    <row r="2210" spans="2:2" x14ac:dyDescent="0.25">
      <c r="B2210" s="21"/>
    </row>
    <row r="2211" spans="2:2" x14ac:dyDescent="0.25">
      <c r="B2211" s="21"/>
    </row>
    <row r="2212" spans="2:2" x14ac:dyDescent="0.25">
      <c r="B2212" s="21"/>
    </row>
    <row r="2213" spans="2:2" x14ac:dyDescent="0.25">
      <c r="B2213" s="21"/>
    </row>
    <row r="2214" spans="2:2" x14ac:dyDescent="0.25">
      <c r="B2214" s="21"/>
    </row>
    <row r="2215" spans="2:2" x14ac:dyDescent="0.25">
      <c r="B2215" s="21"/>
    </row>
    <row r="2216" spans="2:2" x14ac:dyDescent="0.25">
      <c r="B2216" s="21"/>
    </row>
    <row r="2217" spans="2:2" x14ac:dyDescent="0.25">
      <c r="B2217" s="21"/>
    </row>
    <row r="2218" spans="2:2" x14ac:dyDescent="0.25">
      <c r="B2218" s="21"/>
    </row>
    <row r="2219" spans="2:2" x14ac:dyDescent="0.25">
      <c r="B2219" s="21"/>
    </row>
    <row r="2220" spans="2:2" x14ac:dyDescent="0.25">
      <c r="B2220" s="21"/>
    </row>
    <row r="2221" spans="2:2" x14ac:dyDescent="0.25">
      <c r="B2221" s="21"/>
    </row>
    <row r="2222" spans="2:2" x14ac:dyDescent="0.25">
      <c r="B2222" s="21"/>
    </row>
    <row r="2223" spans="2:2" x14ac:dyDescent="0.25">
      <c r="B2223" s="21"/>
    </row>
    <row r="2224" spans="2:2" x14ac:dyDescent="0.25">
      <c r="B2224" s="21"/>
    </row>
    <row r="2225" spans="2:2" x14ac:dyDescent="0.25">
      <c r="B2225" s="21"/>
    </row>
    <row r="2226" spans="2:2" x14ac:dyDescent="0.25">
      <c r="B2226" s="21"/>
    </row>
    <row r="2227" spans="2:2" x14ac:dyDescent="0.25">
      <c r="B2227" s="21"/>
    </row>
    <row r="2228" spans="2:2" x14ac:dyDescent="0.25">
      <c r="B2228" s="21"/>
    </row>
    <row r="2229" spans="2:2" x14ac:dyDescent="0.25">
      <c r="B2229" s="21"/>
    </row>
    <row r="2230" spans="2:2" x14ac:dyDescent="0.25">
      <c r="B2230" s="21"/>
    </row>
    <row r="2231" spans="2:2" x14ac:dyDescent="0.25">
      <c r="B2231" s="21"/>
    </row>
    <row r="2232" spans="2:2" x14ac:dyDescent="0.25">
      <c r="B2232" s="21"/>
    </row>
    <row r="2233" spans="2:2" x14ac:dyDescent="0.25">
      <c r="B2233" s="21"/>
    </row>
    <row r="2234" spans="2:2" x14ac:dyDescent="0.25">
      <c r="B2234" s="21"/>
    </row>
    <row r="2235" spans="2:2" x14ac:dyDescent="0.25">
      <c r="B2235" s="21"/>
    </row>
    <row r="2236" spans="2:2" x14ac:dyDescent="0.25">
      <c r="B2236" s="21"/>
    </row>
    <row r="2237" spans="2:2" x14ac:dyDescent="0.25">
      <c r="B2237" s="21"/>
    </row>
    <row r="2238" spans="2:2" x14ac:dyDescent="0.25">
      <c r="B2238" s="21"/>
    </row>
    <row r="2239" spans="2:2" x14ac:dyDescent="0.25">
      <c r="B2239" s="21"/>
    </row>
    <row r="2240" spans="2:2" x14ac:dyDescent="0.25">
      <c r="B2240" s="21"/>
    </row>
    <row r="2241" spans="2:2" x14ac:dyDescent="0.25">
      <c r="B2241" s="21"/>
    </row>
    <row r="2242" spans="2:2" x14ac:dyDescent="0.25">
      <c r="B2242" s="21"/>
    </row>
    <row r="2243" spans="2:2" x14ac:dyDescent="0.25">
      <c r="B2243" s="21"/>
    </row>
    <row r="2244" spans="2:2" x14ac:dyDescent="0.25">
      <c r="B2244" s="21"/>
    </row>
    <row r="2245" spans="2:2" x14ac:dyDescent="0.25">
      <c r="B2245" s="21"/>
    </row>
    <row r="2246" spans="2:2" x14ac:dyDescent="0.25">
      <c r="B2246" s="21"/>
    </row>
    <row r="2247" spans="2:2" x14ac:dyDescent="0.25">
      <c r="B2247" s="21"/>
    </row>
    <row r="2248" spans="2:2" x14ac:dyDescent="0.25">
      <c r="B2248" s="21"/>
    </row>
    <row r="2249" spans="2:2" x14ac:dyDescent="0.25">
      <c r="B2249" s="21"/>
    </row>
    <row r="2250" spans="2:2" x14ac:dyDescent="0.25">
      <c r="B2250" s="21"/>
    </row>
    <row r="2251" spans="2:2" x14ac:dyDescent="0.25">
      <c r="B2251" s="21"/>
    </row>
    <row r="2252" spans="2:2" x14ac:dyDescent="0.25">
      <c r="B2252" s="21"/>
    </row>
    <row r="2253" spans="2:2" x14ac:dyDescent="0.25">
      <c r="B2253" s="21"/>
    </row>
    <row r="2254" spans="2:2" x14ac:dyDescent="0.25">
      <c r="B2254" s="21"/>
    </row>
    <row r="2255" spans="2:2" x14ac:dyDescent="0.25">
      <c r="B2255" s="21"/>
    </row>
    <row r="2256" spans="2:2" x14ac:dyDescent="0.25">
      <c r="B2256" s="21"/>
    </row>
    <row r="2257" spans="2:2" x14ac:dyDescent="0.25">
      <c r="B2257" s="21"/>
    </row>
    <row r="2258" spans="2:2" x14ac:dyDescent="0.25">
      <c r="B2258" s="21"/>
    </row>
    <row r="2259" spans="2:2" x14ac:dyDescent="0.25">
      <c r="B2259" s="21"/>
    </row>
    <row r="2260" spans="2:2" x14ac:dyDescent="0.25">
      <c r="B2260" s="21"/>
    </row>
    <row r="2261" spans="2:2" x14ac:dyDescent="0.25">
      <c r="B2261" s="21"/>
    </row>
    <row r="2262" spans="2:2" x14ac:dyDescent="0.25">
      <c r="B2262" s="21"/>
    </row>
    <row r="2263" spans="2:2" x14ac:dyDescent="0.25">
      <c r="B2263" s="21"/>
    </row>
    <row r="2264" spans="2:2" x14ac:dyDescent="0.25">
      <c r="B2264" s="21"/>
    </row>
    <row r="2265" spans="2:2" x14ac:dyDescent="0.25">
      <c r="B2265" s="21"/>
    </row>
    <row r="2266" spans="2:2" x14ac:dyDescent="0.25">
      <c r="B2266" s="21"/>
    </row>
    <row r="2267" spans="2:2" x14ac:dyDescent="0.25">
      <c r="B2267" s="21"/>
    </row>
    <row r="2268" spans="2:2" x14ac:dyDescent="0.25">
      <c r="B2268" s="21"/>
    </row>
    <row r="2269" spans="2:2" x14ac:dyDescent="0.25">
      <c r="B2269" s="21"/>
    </row>
    <row r="2270" spans="2:2" x14ac:dyDescent="0.25">
      <c r="B2270" s="21"/>
    </row>
    <row r="2271" spans="2:2" x14ac:dyDescent="0.25">
      <c r="B2271" s="21"/>
    </row>
    <row r="2272" spans="2:2" x14ac:dyDescent="0.25">
      <c r="B2272" s="21"/>
    </row>
    <row r="2273" spans="2:2" x14ac:dyDescent="0.25">
      <c r="B2273" s="21"/>
    </row>
    <row r="2274" spans="2:2" x14ac:dyDescent="0.25">
      <c r="B2274" s="21"/>
    </row>
    <row r="2275" spans="2:2" x14ac:dyDescent="0.25">
      <c r="B2275" s="21"/>
    </row>
    <row r="2276" spans="2:2" x14ac:dyDescent="0.25">
      <c r="B2276" s="21"/>
    </row>
    <row r="2277" spans="2:2" x14ac:dyDescent="0.25">
      <c r="B2277" s="21"/>
    </row>
    <row r="2278" spans="2:2" x14ac:dyDescent="0.25">
      <c r="B2278" s="21"/>
    </row>
    <row r="2279" spans="2:2" x14ac:dyDescent="0.25">
      <c r="B2279" s="21"/>
    </row>
    <row r="2280" spans="2:2" x14ac:dyDescent="0.25">
      <c r="B2280" s="21"/>
    </row>
    <row r="2281" spans="2:2" x14ac:dyDescent="0.25">
      <c r="B2281" s="21"/>
    </row>
    <row r="2282" spans="2:2" x14ac:dyDescent="0.25">
      <c r="B2282" s="21"/>
    </row>
    <row r="2283" spans="2:2" x14ac:dyDescent="0.25">
      <c r="B2283" s="21"/>
    </row>
    <row r="2284" spans="2:2" x14ac:dyDescent="0.25">
      <c r="B2284" s="21"/>
    </row>
    <row r="2285" spans="2:2" x14ac:dyDescent="0.25">
      <c r="B2285" s="21"/>
    </row>
    <row r="2286" spans="2:2" x14ac:dyDescent="0.25">
      <c r="B2286" s="21"/>
    </row>
    <row r="2287" spans="2:2" x14ac:dyDescent="0.25">
      <c r="B2287" s="21"/>
    </row>
    <row r="2288" spans="2:2" x14ac:dyDescent="0.25">
      <c r="B2288" s="21"/>
    </row>
    <row r="2289" spans="2:2" x14ac:dyDescent="0.25">
      <c r="B2289" s="21"/>
    </row>
    <row r="2290" spans="2:2" x14ac:dyDescent="0.25">
      <c r="B2290" s="21"/>
    </row>
    <row r="2291" spans="2:2" x14ac:dyDescent="0.25">
      <c r="B2291" s="21"/>
    </row>
    <row r="2292" spans="2:2" x14ac:dyDescent="0.25">
      <c r="B2292" s="21"/>
    </row>
    <row r="2293" spans="2:2" x14ac:dyDescent="0.25">
      <c r="B2293" s="21"/>
    </row>
    <row r="2294" spans="2:2" x14ac:dyDescent="0.25">
      <c r="B2294" s="21"/>
    </row>
    <row r="2295" spans="2:2" x14ac:dyDescent="0.25">
      <c r="B2295" s="21"/>
    </row>
    <row r="2296" spans="2:2" x14ac:dyDescent="0.25">
      <c r="B2296" s="21"/>
    </row>
    <row r="2297" spans="2:2" x14ac:dyDescent="0.25">
      <c r="B2297" s="21"/>
    </row>
    <row r="2298" spans="2:2" x14ac:dyDescent="0.25">
      <c r="B2298" s="21"/>
    </row>
    <row r="2299" spans="2:2" x14ac:dyDescent="0.25">
      <c r="B2299" s="21"/>
    </row>
    <row r="2300" spans="2:2" x14ac:dyDescent="0.25">
      <c r="B2300" s="21"/>
    </row>
    <row r="2301" spans="2:2" x14ac:dyDescent="0.25">
      <c r="B2301" s="21"/>
    </row>
    <row r="2302" spans="2:2" x14ac:dyDescent="0.25">
      <c r="B2302" s="21"/>
    </row>
    <row r="2303" spans="2:2" x14ac:dyDescent="0.25">
      <c r="B2303" s="21"/>
    </row>
    <row r="2304" spans="2:2" x14ac:dyDescent="0.25">
      <c r="B2304" s="21"/>
    </row>
    <row r="2305" spans="2:2" x14ac:dyDescent="0.25">
      <c r="B2305" s="21"/>
    </row>
    <row r="2306" spans="2:2" x14ac:dyDescent="0.25">
      <c r="B2306" s="21"/>
    </row>
    <row r="2307" spans="2:2" x14ac:dyDescent="0.25">
      <c r="B2307" s="21"/>
    </row>
    <row r="2308" spans="2:2" x14ac:dyDescent="0.25">
      <c r="B2308" s="21"/>
    </row>
    <row r="2309" spans="2:2" x14ac:dyDescent="0.25">
      <c r="B2309" s="21"/>
    </row>
    <row r="2310" spans="2:2" x14ac:dyDescent="0.25">
      <c r="B2310" s="21"/>
    </row>
    <row r="2311" spans="2:2" x14ac:dyDescent="0.25">
      <c r="B2311" s="21"/>
    </row>
    <row r="2312" spans="2:2" x14ac:dyDescent="0.25">
      <c r="B2312" s="21"/>
    </row>
    <row r="2313" spans="2:2" x14ac:dyDescent="0.25">
      <c r="B2313" s="21"/>
    </row>
    <row r="2314" spans="2:2" x14ac:dyDescent="0.25">
      <c r="B2314" s="21"/>
    </row>
    <row r="2315" spans="2:2" x14ac:dyDescent="0.25">
      <c r="B2315" s="21"/>
    </row>
    <row r="2316" spans="2:2" x14ac:dyDescent="0.25">
      <c r="B2316" s="21"/>
    </row>
    <row r="2317" spans="2:2" x14ac:dyDescent="0.25">
      <c r="B2317" s="21"/>
    </row>
    <row r="2318" spans="2:2" x14ac:dyDescent="0.25">
      <c r="B2318" s="21"/>
    </row>
    <row r="2319" spans="2:2" x14ac:dyDescent="0.25">
      <c r="B2319" s="21"/>
    </row>
    <row r="2320" spans="2:2" x14ac:dyDescent="0.25">
      <c r="B2320" s="21"/>
    </row>
    <row r="2321" spans="2:2" x14ac:dyDescent="0.25">
      <c r="B2321" s="21"/>
    </row>
    <row r="2322" spans="2:2" x14ac:dyDescent="0.25">
      <c r="B2322" s="21"/>
    </row>
    <row r="2323" spans="2:2" x14ac:dyDescent="0.25">
      <c r="B2323" s="21"/>
    </row>
    <row r="2324" spans="2:2" x14ac:dyDescent="0.25">
      <c r="B2324" s="21"/>
    </row>
    <row r="2325" spans="2:2" x14ac:dyDescent="0.25">
      <c r="B2325" s="21"/>
    </row>
    <row r="2326" spans="2:2" x14ac:dyDescent="0.25">
      <c r="B2326" s="21"/>
    </row>
    <row r="2327" spans="2:2" x14ac:dyDescent="0.25">
      <c r="B2327" s="21"/>
    </row>
    <row r="2328" spans="2:2" x14ac:dyDescent="0.25">
      <c r="B2328" s="21"/>
    </row>
    <row r="2329" spans="2:2" x14ac:dyDescent="0.25">
      <c r="B2329" s="21"/>
    </row>
    <row r="2330" spans="2:2" x14ac:dyDescent="0.25">
      <c r="B2330" s="21"/>
    </row>
    <row r="2331" spans="2:2" x14ac:dyDescent="0.25">
      <c r="B2331" s="21"/>
    </row>
    <row r="2332" spans="2:2" x14ac:dyDescent="0.25">
      <c r="B2332" s="21"/>
    </row>
    <row r="2333" spans="2:2" x14ac:dyDescent="0.25">
      <c r="B2333" s="21"/>
    </row>
    <row r="2334" spans="2:2" x14ac:dyDescent="0.25">
      <c r="B2334" s="21"/>
    </row>
    <row r="2335" spans="2:2" x14ac:dyDescent="0.25">
      <c r="B2335" s="21"/>
    </row>
    <row r="2336" spans="2:2" x14ac:dyDescent="0.25">
      <c r="B2336" s="21"/>
    </row>
    <row r="2337" spans="2:2" x14ac:dyDescent="0.25">
      <c r="B2337" s="21"/>
    </row>
    <row r="2338" spans="2:2" x14ac:dyDescent="0.25">
      <c r="B2338" s="21"/>
    </row>
    <row r="2339" spans="2:2" x14ac:dyDescent="0.25">
      <c r="B2339" s="21"/>
    </row>
    <row r="2340" spans="2:2" x14ac:dyDescent="0.25">
      <c r="B2340" s="21"/>
    </row>
    <row r="2341" spans="2:2" x14ac:dyDescent="0.25">
      <c r="B2341" s="21"/>
    </row>
    <row r="2342" spans="2:2" x14ac:dyDescent="0.25">
      <c r="B2342" s="21"/>
    </row>
    <row r="2343" spans="2:2" x14ac:dyDescent="0.25">
      <c r="B2343" s="21"/>
    </row>
    <row r="2344" spans="2:2" x14ac:dyDescent="0.25">
      <c r="B2344" s="21"/>
    </row>
    <row r="2345" spans="2:2" x14ac:dyDescent="0.25">
      <c r="B2345" s="21"/>
    </row>
    <row r="2346" spans="2:2" x14ac:dyDescent="0.25">
      <c r="B2346" s="21"/>
    </row>
    <row r="2347" spans="2:2" x14ac:dyDescent="0.25">
      <c r="B2347" s="21"/>
    </row>
    <row r="2348" spans="2:2" x14ac:dyDescent="0.25">
      <c r="B2348" s="21"/>
    </row>
    <row r="2349" spans="2:2" x14ac:dyDescent="0.25">
      <c r="B2349" s="21"/>
    </row>
    <row r="2350" spans="2:2" x14ac:dyDescent="0.25">
      <c r="B2350" s="21"/>
    </row>
    <row r="2351" spans="2:2" x14ac:dyDescent="0.25">
      <c r="B2351" s="21"/>
    </row>
    <row r="2352" spans="2:2" x14ac:dyDescent="0.25">
      <c r="B2352" s="21"/>
    </row>
    <row r="2353" spans="2:2" x14ac:dyDescent="0.25">
      <c r="B2353" s="21"/>
    </row>
    <row r="2354" spans="2:2" x14ac:dyDescent="0.25">
      <c r="B2354" s="21"/>
    </row>
    <row r="2355" spans="2:2" x14ac:dyDescent="0.25">
      <c r="B2355" s="21"/>
    </row>
    <row r="2356" spans="2:2" x14ac:dyDescent="0.25">
      <c r="B2356" s="21"/>
    </row>
    <row r="2357" spans="2:2" x14ac:dyDescent="0.25">
      <c r="B2357" s="21"/>
    </row>
    <row r="2358" spans="2:2" x14ac:dyDescent="0.25">
      <c r="B2358" s="21"/>
    </row>
    <row r="2359" spans="2:2" x14ac:dyDescent="0.25">
      <c r="B2359" s="21"/>
    </row>
    <row r="2360" spans="2:2" x14ac:dyDescent="0.25">
      <c r="B2360" s="21"/>
    </row>
    <row r="2361" spans="2:2" x14ac:dyDescent="0.25">
      <c r="B2361" s="21"/>
    </row>
    <row r="2362" spans="2:2" x14ac:dyDescent="0.25">
      <c r="B2362" s="21"/>
    </row>
    <row r="2363" spans="2:2" x14ac:dyDescent="0.25">
      <c r="B2363" s="21"/>
    </row>
    <row r="2364" spans="2:2" x14ac:dyDescent="0.25">
      <c r="B2364" s="21"/>
    </row>
    <row r="2365" spans="2:2" x14ac:dyDescent="0.25">
      <c r="B2365" s="21"/>
    </row>
    <row r="2366" spans="2:2" x14ac:dyDescent="0.25">
      <c r="B2366" s="21"/>
    </row>
    <row r="2367" spans="2:2" x14ac:dyDescent="0.25">
      <c r="B2367" s="21"/>
    </row>
    <row r="2368" spans="2:2" x14ac:dyDescent="0.25">
      <c r="B2368" s="21"/>
    </row>
    <row r="2369" spans="2:2" x14ac:dyDescent="0.25">
      <c r="B2369" s="21"/>
    </row>
    <row r="2370" spans="2:2" x14ac:dyDescent="0.25">
      <c r="B2370" s="21"/>
    </row>
    <row r="2371" spans="2:2" x14ac:dyDescent="0.25">
      <c r="B2371" s="21"/>
    </row>
    <row r="2372" spans="2:2" x14ac:dyDescent="0.25">
      <c r="B2372" s="21"/>
    </row>
    <row r="2373" spans="2:2" x14ac:dyDescent="0.25">
      <c r="B2373" s="21"/>
    </row>
    <row r="2374" spans="2:2" x14ac:dyDescent="0.25">
      <c r="B2374" s="21"/>
    </row>
    <row r="2375" spans="2:2" x14ac:dyDescent="0.25">
      <c r="B2375" s="21"/>
    </row>
    <row r="2376" spans="2:2" x14ac:dyDescent="0.25">
      <c r="B2376" s="21"/>
    </row>
    <row r="2377" spans="2:2" x14ac:dyDescent="0.25">
      <c r="B2377" s="21"/>
    </row>
    <row r="2378" spans="2:2" x14ac:dyDescent="0.25">
      <c r="B2378" s="21"/>
    </row>
    <row r="2379" spans="2:2" x14ac:dyDescent="0.25">
      <c r="B2379" s="21"/>
    </row>
    <row r="2380" spans="2:2" x14ac:dyDescent="0.25">
      <c r="B2380" s="21"/>
    </row>
    <row r="2381" spans="2:2" x14ac:dyDescent="0.25">
      <c r="B2381" s="21"/>
    </row>
    <row r="2382" spans="2:2" x14ac:dyDescent="0.25">
      <c r="B2382" s="21"/>
    </row>
    <row r="2383" spans="2:2" x14ac:dyDescent="0.25">
      <c r="B2383" s="21"/>
    </row>
    <row r="2384" spans="2:2" x14ac:dyDescent="0.25">
      <c r="B2384" s="21"/>
    </row>
    <row r="2385" spans="2:2" x14ac:dyDescent="0.25">
      <c r="B2385" s="21"/>
    </row>
    <row r="2386" spans="2:2" x14ac:dyDescent="0.25">
      <c r="B2386" s="21"/>
    </row>
    <row r="2387" spans="2:2" x14ac:dyDescent="0.25">
      <c r="B2387" s="21"/>
    </row>
    <row r="2388" spans="2:2" x14ac:dyDescent="0.25">
      <c r="B2388" s="21"/>
    </row>
    <row r="2389" spans="2:2" x14ac:dyDescent="0.25">
      <c r="B2389" s="21"/>
    </row>
    <row r="2390" spans="2:2" x14ac:dyDescent="0.25">
      <c r="B2390" s="21"/>
    </row>
    <row r="2391" spans="2:2" x14ac:dyDescent="0.25">
      <c r="B2391" s="21"/>
    </row>
    <row r="2392" spans="2:2" x14ac:dyDescent="0.25">
      <c r="B2392" s="21"/>
    </row>
    <row r="2393" spans="2:2" x14ac:dyDescent="0.25">
      <c r="B2393" s="21"/>
    </row>
    <row r="2394" spans="2:2" x14ac:dyDescent="0.25">
      <c r="B2394" s="21"/>
    </row>
    <row r="2395" spans="2:2" x14ac:dyDescent="0.25">
      <c r="B2395" s="21"/>
    </row>
    <row r="2396" spans="2:2" x14ac:dyDescent="0.25">
      <c r="B2396" s="21"/>
    </row>
    <row r="2397" spans="2:2" x14ac:dyDescent="0.25">
      <c r="B2397" s="21"/>
    </row>
    <row r="2398" spans="2:2" x14ac:dyDescent="0.25">
      <c r="B2398" s="21"/>
    </row>
    <row r="2399" spans="2:2" x14ac:dyDescent="0.25">
      <c r="B2399" s="21"/>
    </row>
    <row r="2400" spans="2:2" x14ac:dyDescent="0.25">
      <c r="B2400" s="21"/>
    </row>
    <row r="2401" spans="2:2" x14ac:dyDescent="0.25">
      <c r="B2401" s="21"/>
    </row>
    <row r="2402" spans="2:2" x14ac:dyDescent="0.25">
      <c r="B2402" s="21"/>
    </row>
    <row r="2403" spans="2:2" x14ac:dyDescent="0.25">
      <c r="B2403" s="21"/>
    </row>
    <row r="2404" spans="2:2" x14ac:dyDescent="0.25">
      <c r="B2404" s="21"/>
    </row>
    <row r="2405" spans="2:2" x14ac:dyDescent="0.25">
      <c r="B2405" s="21"/>
    </row>
    <row r="2406" spans="2:2" x14ac:dyDescent="0.25">
      <c r="B2406" s="21"/>
    </row>
    <row r="2407" spans="2:2" x14ac:dyDescent="0.25">
      <c r="B2407" s="21"/>
    </row>
    <row r="2408" spans="2:2" x14ac:dyDescent="0.25">
      <c r="B2408" s="21"/>
    </row>
    <row r="2409" spans="2:2" x14ac:dyDescent="0.25">
      <c r="B2409" s="21"/>
    </row>
    <row r="2410" spans="2:2" x14ac:dyDescent="0.25">
      <c r="B2410" s="21"/>
    </row>
    <row r="2411" spans="2:2" x14ac:dyDescent="0.25">
      <c r="B2411" s="21"/>
    </row>
    <row r="2412" spans="2:2" x14ac:dyDescent="0.25">
      <c r="B2412" s="21"/>
    </row>
    <row r="2413" spans="2:2" x14ac:dyDescent="0.25">
      <c r="B2413" s="21"/>
    </row>
    <row r="2414" spans="2:2" x14ac:dyDescent="0.25">
      <c r="B2414" s="21"/>
    </row>
    <row r="2415" spans="2:2" x14ac:dyDescent="0.25">
      <c r="B2415" s="21"/>
    </row>
    <row r="2416" spans="2:2" x14ac:dyDescent="0.25">
      <c r="B2416" s="21"/>
    </row>
    <row r="2417" spans="2:2" x14ac:dyDescent="0.25">
      <c r="B2417" s="21"/>
    </row>
    <row r="2418" spans="2:2" x14ac:dyDescent="0.25">
      <c r="B2418" s="21"/>
    </row>
    <row r="2419" spans="2:2" x14ac:dyDescent="0.25">
      <c r="B2419" s="21"/>
    </row>
    <row r="2420" spans="2:2" x14ac:dyDescent="0.25">
      <c r="B2420" s="21"/>
    </row>
    <row r="2421" spans="2:2" x14ac:dyDescent="0.25">
      <c r="B2421" s="21"/>
    </row>
    <row r="2422" spans="2:2" x14ac:dyDescent="0.25">
      <c r="B2422" s="21"/>
    </row>
    <row r="2423" spans="2:2" x14ac:dyDescent="0.25">
      <c r="B2423" s="21"/>
    </row>
  </sheetData>
  <mergeCells count="4">
    <mergeCell ref="BS1:BS2"/>
    <mergeCell ref="BT1:BT2"/>
    <mergeCell ref="AP1:AP2"/>
    <mergeCell ref="AZ1:AZ2"/>
  </mergeCells>
  <pageMargins left="0.59055118110236227" right="0.39370078740157483" top="1.1811023622047245" bottom="0.59055118110236227" header="0.51181102362204722" footer="0.51181102362204722"/>
  <pageSetup paperSize="9" scale="61" orientation="portrait" r:id="rId1"/>
  <headerFooter alignWithMargins="0">
    <oddHeader xml:space="preserve">&amp;C&amp;"Times New Roman,Félkövér"&amp;12 Budapest VIII. kerületi Önkormányzat 2020. évi költségvetés
 bevételi és kiadási előirányzatai címrendenként
&amp;R&amp;"Times New Roman,Félkövér"2. melléklet a 
......önkormányzati rendelethez
ezer Ft-ban&amp;"MS Sans Serif,Normál"
</oddHeader>
    <oddFooter>&amp;R
&amp;P</oddFooter>
  </headerFooter>
  <colBreaks count="4" manualBreakCount="4">
    <brk id="42" max="68" man="1"/>
    <brk id="47" max="68" man="1"/>
    <brk id="52" max="68" man="1"/>
    <brk id="65" max="6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BV2423"/>
  <sheetViews>
    <sheetView zoomScaleNormal="100" workbookViewId="0">
      <pane xSplit="1" ySplit="2" topLeftCell="AG50" activePane="bottomRight" state="frozen"/>
      <selection activeCell="DU75" sqref="DU75"/>
      <selection pane="topRight" activeCell="DU75" sqref="DU75"/>
      <selection pane="bottomLeft" activeCell="DU75" sqref="DU75"/>
      <selection pane="bottomRight" activeCell="A76" sqref="A76"/>
    </sheetView>
  </sheetViews>
  <sheetFormatPr defaultColWidth="10.6640625" defaultRowHeight="13.2" x14ac:dyDescent="0.25"/>
  <cols>
    <col min="1" max="1" width="55.6640625" style="20" customWidth="1"/>
    <col min="2" max="2" width="13.33203125" style="27" customWidth="1"/>
    <col min="3" max="3" width="11.44140625" style="21" customWidth="1"/>
    <col min="4" max="41" width="13.33203125" style="21" customWidth="1"/>
    <col min="42" max="42" width="13.33203125" style="22" customWidth="1"/>
    <col min="43" max="51" width="13.33203125" style="21" customWidth="1"/>
    <col min="52" max="52" width="14.109375" style="22" customWidth="1"/>
    <col min="53" max="66" width="13.33203125" style="21" customWidth="1"/>
    <col min="67" max="70" width="13.33203125" style="22" customWidth="1"/>
    <col min="71" max="71" width="15.6640625" style="22" customWidth="1"/>
    <col min="72" max="72" width="16.44140625" style="22" customWidth="1"/>
    <col min="73" max="76" width="14.6640625" style="9" customWidth="1"/>
    <col min="77" max="16384" width="10.6640625" style="9"/>
  </cols>
  <sheetData>
    <row r="1" spans="1:73" s="1" customFormat="1" ht="13.2" customHeight="1" x14ac:dyDescent="0.25">
      <c r="A1" s="204" t="s">
        <v>769</v>
      </c>
      <c r="B1" s="826">
        <v>11101</v>
      </c>
      <c r="C1" s="826">
        <v>11102</v>
      </c>
      <c r="D1" s="826">
        <v>11103</v>
      </c>
      <c r="E1" s="205">
        <v>11104</v>
      </c>
      <c r="F1" s="826">
        <v>11105</v>
      </c>
      <c r="G1" s="205" t="s">
        <v>1</v>
      </c>
      <c r="H1" s="826" t="s">
        <v>2</v>
      </c>
      <c r="I1" s="826" t="s">
        <v>3</v>
      </c>
      <c r="J1" s="826" t="s">
        <v>4</v>
      </c>
      <c r="K1" s="826" t="s">
        <v>5</v>
      </c>
      <c r="L1" s="826">
        <v>11201</v>
      </c>
      <c r="M1" s="205">
        <v>11301</v>
      </c>
      <c r="N1" s="826">
        <v>11303</v>
      </c>
      <c r="O1" s="826">
        <v>11401</v>
      </c>
      <c r="P1" s="826">
        <v>11402</v>
      </c>
      <c r="Q1" s="826" t="s">
        <v>6</v>
      </c>
      <c r="R1" s="826" t="s">
        <v>7</v>
      </c>
      <c r="S1" s="826">
        <v>11405</v>
      </c>
      <c r="T1" s="205">
        <v>11406</v>
      </c>
      <c r="U1" s="826">
        <v>11407</v>
      </c>
      <c r="V1" s="826">
        <v>11501</v>
      </c>
      <c r="W1" s="826">
        <v>11502</v>
      </c>
      <c r="X1" s="826">
        <v>11601</v>
      </c>
      <c r="Y1" s="826" t="s">
        <v>8</v>
      </c>
      <c r="Z1" s="205" t="s">
        <v>9</v>
      </c>
      <c r="AA1" s="826" t="s">
        <v>10</v>
      </c>
      <c r="AB1" s="826" t="s">
        <v>11</v>
      </c>
      <c r="AC1" s="826">
        <v>11602</v>
      </c>
      <c r="AD1" s="826">
        <v>11603</v>
      </c>
      <c r="AE1" s="826">
        <v>11604</v>
      </c>
      <c r="AF1" s="205">
        <v>11605</v>
      </c>
      <c r="AG1" s="205">
        <v>11701</v>
      </c>
      <c r="AH1" s="826">
        <v>11702</v>
      </c>
      <c r="AI1" s="826">
        <v>11703</v>
      </c>
      <c r="AJ1" s="826">
        <v>11704</v>
      </c>
      <c r="AK1" s="826">
        <v>11705</v>
      </c>
      <c r="AL1" s="205" t="s">
        <v>12</v>
      </c>
      <c r="AM1" s="826" t="s">
        <v>13</v>
      </c>
      <c r="AN1" s="826">
        <v>11803</v>
      </c>
      <c r="AO1" s="205">
        <v>11805</v>
      </c>
      <c r="AP1" s="2694" t="s">
        <v>1222</v>
      </c>
      <c r="AQ1" s="205">
        <v>20102</v>
      </c>
      <c r="AR1" s="205">
        <v>20103</v>
      </c>
      <c r="AS1" s="205">
        <v>20104</v>
      </c>
      <c r="AT1" s="943" t="s">
        <v>1182</v>
      </c>
      <c r="AU1" s="943" t="s">
        <v>1184</v>
      </c>
      <c r="AV1" s="205" t="s">
        <v>1185</v>
      </c>
      <c r="AW1" s="943" t="s">
        <v>1186</v>
      </c>
      <c r="AX1" s="205">
        <v>20202</v>
      </c>
      <c r="AY1" s="205">
        <v>20203</v>
      </c>
      <c r="AZ1" s="2694" t="s">
        <v>1223</v>
      </c>
      <c r="BA1" s="826">
        <v>40101</v>
      </c>
      <c r="BB1" s="826" t="s">
        <v>14</v>
      </c>
      <c r="BC1" s="826" t="s">
        <v>15</v>
      </c>
      <c r="BD1" s="205" t="s">
        <v>16</v>
      </c>
      <c r="BE1" s="938" t="s">
        <v>1197</v>
      </c>
      <c r="BF1" s="826">
        <v>40103</v>
      </c>
      <c r="BG1" s="826" t="s">
        <v>17</v>
      </c>
      <c r="BH1" s="826" t="s">
        <v>18</v>
      </c>
      <c r="BI1" s="826">
        <v>40105</v>
      </c>
      <c r="BJ1" s="826">
        <v>40106</v>
      </c>
      <c r="BK1" s="205">
        <v>40107</v>
      </c>
      <c r="BL1" s="938" t="s">
        <v>1206</v>
      </c>
      <c r="BM1" s="938" t="s">
        <v>1208</v>
      </c>
      <c r="BN1" s="938">
        <v>40109</v>
      </c>
      <c r="BO1" s="938">
        <v>40100</v>
      </c>
      <c r="BP1" s="938">
        <v>40200</v>
      </c>
      <c r="BQ1" s="940">
        <v>50100</v>
      </c>
      <c r="BR1" s="206">
        <v>70100</v>
      </c>
      <c r="BS1" s="2696" t="s">
        <v>81</v>
      </c>
      <c r="BT1" s="2698" t="s">
        <v>82</v>
      </c>
    </row>
    <row r="2" spans="1:73" s="3" customFormat="1" ht="92.4" x14ac:dyDescent="0.25">
      <c r="A2" s="832" t="s">
        <v>22</v>
      </c>
      <c r="B2" s="827" t="s">
        <v>297</v>
      </c>
      <c r="C2" s="827" t="s">
        <v>24</v>
      </c>
      <c r="D2" s="827" t="s">
        <v>25</v>
      </c>
      <c r="E2" s="89" t="s">
        <v>26</v>
      </c>
      <c r="F2" s="827" t="s">
        <v>27</v>
      </c>
      <c r="G2" s="89" t="s">
        <v>28</v>
      </c>
      <c r="H2" s="827" t="s">
        <v>29</v>
      </c>
      <c r="I2" s="827" t="s">
        <v>30</v>
      </c>
      <c r="J2" s="944" t="s">
        <v>1146</v>
      </c>
      <c r="K2" s="827" t="s">
        <v>31</v>
      </c>
      <c r="L2" s="827" t="s">
        <v>32</v>
      </c>
      <c r="M2" s="89" t="s">
        <v>33</v>
      </c>
      <c r="N2" s="827" t="s">
        <v>34</v>
      </c>
      <c r="O2" s="827" t="s">
        <v>35</v>
      </c>
      <c r="P2" s="827" t="s">
        <v>2239</v>
      </c>
      <c r="Q2" s="827" t="s">
        <v>36</v>
      </c>
      <c r="R2" s="827" t="s">
        <v>37</v>
      </c>
      <c r="S2" s="827" t="s">
        <v>38</v>
      </c>
      <c r="T2" s="89" t="s">
        <v>39</v>
      </c>
      <c r="U2" s="827" t="s">
        <v>40</v>
      </c>
      <c r="V2" s="827" t="s">
        <v>1165</v>
      </c>
      <c r="W2" s="827" t="s">
        <v>41</v>
      </c>
      <c r="X2" s="827" t="s">
        <v>42</v>
      </c>
      <c r="Y2" s="827" t="s">
        <v>43</v>
      </c>
      <c r="Z2" s="89" t="s">
        <v>44</v>
      </c>
      <c r="AA2" s="827" t="s">
        <v>45</v>
      </c>
      <c r="AB2" s="827" t="s">
        <v>44</v>
      </c>
      <c r="AC2" s="90" t="s">
        <v>46</v>
      </c>
      <c r="AD2" s="827" t="s">
        <v>47</v>
      </c>
      <c r="AE2" s="827" t="s">
        <v>48</v>
      </c>
      <c r="AF2" s="89" t="s">
        <v>989</v>
      </c>
      <c r="AG2" s="89" t="s">
        <v>44</v>
      </c>
      <c r="AH2" s="827" t="s">
        <v>50</v>
      </c>
      <c r="AI2" s="827" t="s">
        <v>231</v>
      </c>
      <c r="AJ2" s="827" t="s">
        <v>51</v>
      </c>
      <c r="AK2" s="827" t="s">
        <v>52</v>
      </c>
      <c r="AL2" s="89" t="s">
        <v>53</v>
      </c>
      <c r="AM2" s="827" t="s">
        <v>54</v>
      </c>
      <c r="AN2" s="827" t="s">
        <v>55</v>
      </c>
      <c r="AO2" s="91" t="s">
        <v>56</v>
      </c>
      <c r="AP2" s="2695"/>
      <c r="AQ2" s="89" t="s">
        <v>57</v>
      </c>
      <c r="AR2" s="89" t="s">
        <v>58</v>
      </c>
      <c r="AS2" s="89" t="s">
        <v>59</v>
      </c>
      <c r="AT2" s="944" t="s">
        <v>60</v>
      </c>
      <c r="AU2" s="944" t="s">
        <v>61</v>
      </c>
      <c r="AV2" s="89" t="s">
        <v>62</v>
      </c>
      <c r="AW2" s="944" t="s">
        <v>63</v>
      </c>
      <c r="AX2" s="89" t="s">
        <v>64</v>
      </c>
      <c r="AY2" s="944" t="s">
        <v>65</v>
      </c>
      <c r="AZ2" s="2695"/>
      <c r="BA2" s="827" t="s">
        <v>67</v>
      </c>
      <c r="BB2" s="827" t="s">
        <v>68</v>
      </c>
      <c r="BC2" s="827" t="s">
        <v>69</v>
      </c>
      <c r="BD2" s="89" t="s">
        <v>1194</v>
      </c>
      <c r="BE2" s="939" t="s">
        <v>1224</v>
      </c>
      <c r="BF2" s="827" t="s">
        <v>70</v>
      </c>
      <c r="BG2" s="827" t="s">
        <v>71</v>
      </c>
      <c r="BH2" s="827" t="s">
        <v>72</v>
      </c>
      <c r="BI2" s="827" t="s">
        <v>73</v>
      </c>
      <c r="BJ2" s="827" t="s">
        <v>74</v>
      </c>
      <c r="BK2" s="89" t="s">
        <v>75</v>
      </c>
      <c r="BL2" s="939" t="s">
        <v>76</v>
      </c>
      <c r="BM2" s="939" t="s">
        <v>485</v>
      </c>
      <c r="BN2" s="939" t="s">
        <v>77</v>
      </c>
      <c r="BO2" s="91" t="s">
        <v>78</v>
      </c>
      <c r="BP2" s="91" t="s">
        <v>79</v>
      </c>
      <c r="BQ2" s="91" t="s">
        <v>80</v>
      </c>
      <c r="BR2" s="942" t="s">
        <v>294</v>
      </c>
      <c r="BS2" s="2697"/>
      <c r="BT2" s="2699"/>
      <c r="BU2" s="2"/>
    </row>
    <row r="3" spans="1:73" s="3" customFormat="1" ht="15.6" x14ac:dyDescent="0.25">
      <c r="A3" s="832"/>
      <c r="B3" s="827"/>
      <c r="C3" s="827"/>
      <c r="D3" s="827"/>
      <c r="E3" s="89"/>
      <c r="F3" s="827"/>
      <c r="G3" s="89"/>
      <c r="H3" s="827"/>
      <c r="I3" s="827"/>
      <c r="J3" s="827"/>
      <c r="K3" s="827"/>
      <c r="L3" s="827"/>
      <c r="M3" s="89"/>
      <c r="N3" s="827"/>
      <c r="O3" s="827"/>
      <c r="P3" s="827"/>
      <c r="Q3" s="827"/>
      <c r="R3" s="827"/>
      <c r="S3" s="827"/>
      <c r="T3" s="89"/>
      <c r="U3" s="827"/>
      <c r="V3" s="827"/>
      <c r="W3" s="827"/>
      <c r="X3" s="827"/>
      <c r="Y3" s="827"/>
      <c r="Z3" s="89"/>
      <c r="AA3" s="827"/>
      <c r="AB3" s="827"/>
      <c r="AC3" s="90"/>
      <c r="AD3" s="827"/>
      <c r="AE3" s="827"/>
      <c r="AF3" s="89"/>
      <c r="AG3" s="89"/>
      <c r="AH3" s="827"/>
      <c r="AI3" s="827"/>
      <c r="AJ3" s="827"/>
      <c r="AK3" s="827"/>
      <c r="AL3" s="89"/>
      <c r="AM3" s="827"/>
      <c r="AN3" s="827"/>
      <c r="AO3" s="91"/>
      <c r="AP3" s="908"/>
      <c r="AQ3" s="89"/>
      <c r="AR3" s="89"/>
      <c r="AS3" s="89"/>
      <c r="AT3" s="827"/>
      <c r="AU3" s="827"/>
      <c r="AV3" s="89"/>
      <c r="AW3" s="827"/>
      <c r="AX3" s="89"/>
      <c r="AY3" s="827"/>
      <c r="AZ3" s="908"/>
      <c r="BA3" s="827"/>
      <c r="BB3" s="827"/>
      <c r="BC3" s="827"/>
      <c r="BD3" s="89"/>
      <c r="BE3" s="939"/>
      <c r="BF3" s="827"/>
      <c r="BG3" s="827"/>
      <c r="BH3" s="827"/>
      <c r="BI3" s="827"/>
      <c r="BJ3" s="827"/>
      <c r="BK3" s="89"/>
      <c r="BL3" s="827"/>
      <c r="BM3" s="827"/>
      <c r="BN3" s="827"/>
      <c r="BO3" s="91"/>
      <c r="BP3" s="91"/>
      <c r="BQ3" s="91"/>
      <c r="BR3" s="830"/>
      <c r="BS3" s="830"/>
      <c r="BT3" s="831"/>
      <c r="BU3" s="2"/>
    </row>
    <row r="4" spans="1:73" s="3" customFormat="1" ht="15.6" x14ac:dyDescent="0.25">
      <c r="A4" s="832"/>
      <c r="B4" s="827"/>
      <c r="C4" s="827"/>
      <c r="D4" s="827"/>
      <c r="E4" s="89"/>
      <c r="F4" s="827"/>
      <c r="G4" s="89"/>
      <c r="H4" s="827"/>
      <c r="I4" s="827"/>
      <c r="J4" s="827"/>
      <c r="K4" s="827"/>
      <c r="L4" s="827"/>
      <c r="M4" s="89"/>
      <c r="N4" s="827"/>
      <c r="O4" s="827"/>
      <c r="P4" s="827"/>
      <c r="Q4" s="827"/>
      <c r="R4" s="827"/>
      <c r="S4" s="827"/>
      <c r="T4" s="89"/>
      <c r="U4" s="827"/>
      <c r="V4" s="827"/>
      <c r="W4" s="827"/>
      <c r="X4" s="827"/>
      <c r="Y4" s="827"/>
      <c r="Z4" s="89"/>
      <c r="AA4" s="827"/>
      <c r="AB4" s="827"/>
      <c r="AC4" s="90"/>
      <c r="AD4" s="827"/>
      <c r="AE4" s="827"/>
      <c r="AF4" s="89"/>
      <c r="AG4" s="89"/>
      <c r="AH4" s="827"/>
      <c r="AI4" s="827"/>
      <c r="AJ4" s="827"/>
      <c r="AK4" s="827"/>
      <c r="AL4" s="89"/>
      <c r="AM4" s="827"/>
      <c r="AN4" s="827"/>
      <c r="AO4" s="91"/>
      <c r="AP4" s="908"/>
      <c r="AQ4" s="89"/>
      <c r="AR4" s="89"/>
      <c r="AS4" s="89"/>
      <c r="AT4" s="827"/>
      <c r="AU4" s="827"/>
      <c r="AV4" s="89"/>
      <c r="AW4" s="827"/>
      <c r="AX4" s="89"/>
      <c r="AY4" s="827"/>
      <c r="AZ4" s="908"/>
      <c r="BA4" s="827"/>
      <c r="BB4" s="827"/>
      <c r="BC4" s="827"/>
      <c r="BD4" s="89"/>
      <c r="BE4" s="939"/>
      <c r="BF4" s="827"/>
      <c r="BG4" s="827"/>
      <c r="BH4" s="827"/>
      <c r="BI4" s="827"/>
      <c r="BJ4" s="827"/>
      <c r="BK4" s="89"/>
      <c r="BL4" s="827"/>
      <c r="BM4" s="827"/>
      <c r="BN4" s="827"/>
      <c r="BO4" s="91"/>
      <c r="BP4" s="91"/>
      <c r="BQ4" s="91"/>
      <c r="BR4" s="830"/>
      <c r="BS4" s="830"/>
      <c r="BT4" s="831"/>
      <c r="BU4" s="2"/>
    </row>
    <row r="5" spans="1:73" s="3" customFormat="1" ht="16.2" thickBot="1" x14ac:dyDescent="0.3">
      <c r="A5" s="832"/>
      <c r="B5" s="827"/>
      <c r="C5" s="827"/>
      <c r="D5" s="827"/>
      <c r="E5" s="89"/>
      <c r="F5" s="827"/>
      <c r="G5" s="89"/>
      <c r="H5" s="827"/>
      <c r="I5" s="827"/>
      <c r="J5" s="827"/>
      <c r="K5" s="827"/>
      <c r="L5" s="827"/>
      <c r="M5" s="89"/>
      <c r="N5" s="827"/>
      <c r="O5" s="827"/>
      <c r="P5" s="827"/>
      <c r="Q5" s="827"/>
      <c r="R5" s="827"/>
      <c r="S5" s="827"/>
      <c r="T5" s="89"/>
      <c r="U5" s="827"/>
      <c r="V5" s="827"/>
      <c r="W5" s="827"/>
      <c r="X5" s="827"/>
      <c r="Y5" s="827"/>
      <c r="Z5" s="89"/>
      <c r="AA5" s="827"/>
      <c r="AB5" s="827"/>
      <c r="AC5" s="90"/>
      <c r="AD5" s="827"/>
      <c r="AE5" s="827"/>
      <c r="AF5" s="89"/>
      <c r="AG5" s="89"/>
      <c r="AH5" s="827"/>
      <c r="AI5" s="827"/>
      <c r="AJ5" s="827"/>
      <c r="AK5" s="827"/>
      <c r="AL5" s="89"/>
      <c r="AM5" s="827"/>
      <c r="AN5" s="827"/>
      <c r="AO5" s="91"/>
      <c r="AP5" s="908"/>
      <c r="AQ5" s="89"/>
      <c r="AR5" s="89"/>
      <c r="AS5" s="89"/>
      <c r="AT5" s="827"/>
      <c r="AU5" s="827"/>
      <c r="AV5" s="89"/>
      <c r="AW5" s="827"/>
      <c r="AX5" s="89"/>
      <c r="AY5" s="827"/>
      <c r="AZ5" s="908"/>
      <c r="BA5" s="827"/>
      <c r="BB5" s="827"/>
      <c r="BC5" s="827"/>
      <c r="BD5" s="89"/>
      <c r="BE5" s="939"/>
      <c r="BF5" s="827"/>
      <c r="BG5" s="827"/>
      <c r="BH5" s="827"/>
      <c r="BI5" s="827"/>
      <c r="BJ5" s="827"/>
      <c r="BK5" s="89"/>
      <c r="BL5" s="827"/>
      <c r="BM5" s="827"/>
      <c r="BN5" s="827"/>
      <c r="BO5" s="91"/>
      <c r="BP5" s="91"/>
      <c r="BQ5" s="91"/>
      <c r="BR5" s="830"/>
      <c r="BS5" s="830"/>
      <c r="BT5" s="831"/>
      <c r="BU5" s="2"/>
    </row>
    <row r="6" spans="1:73" s="3" customFormat="1" ht="16.2" thickBot="1" x14ac:dyDescent="0.3">
      <c r="A6" s="207" t="s">
        <v>333</v>
      </c>
      <c r="B6" s="80">
        <f>B26+B53</f>
        <v>0</v>
      </c>
      <c r="C6" s="80">
        <f t="shared" ref="C6:BQ6" si="0">C26+C53</f>
        <v>0</v>
      </c>
      <c r="D6" s="80">
        <f t="shared" si="0"/>
        <v>0</v>
      </c>
      <c r="E6" s="80">
        <f t="shared" si="0"/>
        <v>0</v>
      </c>
      <c r="F6" s="80">
        <f t="shared" si="0"/>
        <v>0</v>
      </c>
      <c r="G6" s="80">
        <f t="shared" si="0"/>
        <v>0</v>
      </c>
      <c r="H6" s="80">
        <f t="shared" si="0"/>
        <v>0</v>
      </c>
      <c r="I6" s="80">
        <f t="shared" si="0"/>
        <v>0</v>
      </c>
      <c r="J6" s="80">
        <f t="shared" si="0"/>
        <v>266242</v>
      </c>
      <c r="K6" s="80">
        <f t="shared" si="0"/>
        <v>0</v>
      </c>
      <c r="L6" s="80">
        <f t="shared" si="0"/>
        <v>0</v>
      </c>
      <c r="M6" s="80">
        <f t="shared" si="0"/>
        <v>0</v>
      </c>
      <c r="N6" s="80">
        <f t="shared" si="0"/>
        <v>0</v>
      </c>
      <c r="O6" s="80">
        <f t="shared" si="0"/>
        <v>0</v>
      </c>
      <c r="P6" s="80">
        <f>P26+P53</f>
        <v>0</v>
      </c>
      <c r="Q6" s="80">
        <f t="shared" si="0"/>
        <v>0</v>
      </c>
      <c r="R6" s="80">
        <f t="shared" si="0"/>
        <v>0</v>
      </c>
      <c r="S6" s="80">
        <f t="shared" si="0"/>
        <v>0</v>
      </c>
      <c r="T6" s="80">
        <f t="shared" si="0"/>
        <v>0</v>
      </c>
      <c r="U6" s="80">
        <f t="shared" si="0"/>
        <v>0</v>
      </c>
      <c r="V6" s="80">
        <f t="shared" si="0"/>
        <v>0</v>
      </c>
      <c r="W6" s="80">
        <f t="shared" si="0"/>
        <v>0</v>
      </c>
      <c r="X6" s="80">
        <f t="shared" si="0"/>
        <v>0</v>
      </c>
      <c r="Y6" s="80">
        <f t="shared" si="0"/>
        <v>0</v>
      </c>
      <c r="Z6" s="80">
        <f t="shared" si="0"/>
        <v>0</v>
      </c>
      <c r="AA6" s="80">
        <f t="shared" si="0"/>
        <v>0</v>
      </c>
      <c r="AB6" s="80">
        <f t="shared" si="0"/>
        <v>0</v>
      </c>
      <c r="AC6" s="80">
        <f t="shared" si="0"/>
        <v>0</v>
      </c>
      <c r="AD6" s="80">
        <f t="shared" si="0"/>
        <v>0</v>
      </c>
      <c r="AE6" s="80">
        <f t="shared" si="0"/>
        <v>0</v>
      </c>
      <c r="AF6" s="80">
        <f t="shared" si="0"/>
        <v>0</v>
      </c>
      <c r="AG6" s="80">
        <f t="shared" si="0"/>
        <v>0</v>
      </c>
      <c r="AH6" s="80">
        <f t="shared" si="0"/>
        <v>0</v>
      </c>
      <c r="AI6" s="80">
        <f t="shared" si="0"/>
        <v>0</v>
      </c>
      <c r="AJ6" s="80">
        <f t="shared" si="0"/>
        <v>0</v>
      </c>
      <c r="AK6" s="80">
        <f t="shared" si="0"/>
        <v>0</v>
      </c>
      <c r="AL6" s="80">
        <f t="shared" si="0"/>
        <v>0</v>
      </c>
      <c r="AM6" s="80">
        <f t="shared" si="0"/>
        <v>0</v>
      </c>
      <c r="AN6" s="80">
        <f t="shared" si="0"/>
        <v>0</v>
      </c>
      <c r="AO6" s="80">
        <f t="shared" si="0"/>
        <v>0</v>
      </c>
      <c r="AP6" s="194">
        <f t="shared" si="0"/>
        <v>266242</v>
      </c>
      <c r="AQ6" s="80">
        <f t="shared" ref="AQ6:AY6" si="1">AQ26+AQ53</f>
        <v>12303</v>
      </c>
      <c r="AR6" s="80">
        <f t="shared" ref="AR6" si="2">AR26+AR53</f>
        <v>5789</v>
      </c>
      <c r="AS6" s="80">
        <f t="shared" ref="AS6:AT6" si="3">AS26+AS53</f>
        <v>5440</v>
      </c>
      <c r="AT6" s="80">
        <f t="shared" si="3"/>
        <v>1500</v>
      </c>
      <c r="AU6" s="80">
        <f t="shared" ref="AU6" si="4">AU26+AU53</f>
        <v>500</v>
      </c>
      <c r="AV6" s="80">
        <f t="shared" si="1"/>
        <v>0</v>
      </c>
      <c r="AW6" s="80">
        <f t="shared" si="1"/>
        <v>0</v>
      </c>
      <c r="AX6" s="80">
        <f t="shared" si="1"/>
        <v>244610</v>
      </c>
      <c r="AY6" s="80">
        <f t="shared" si="1"/>
        <v>0</v>
      </c>
      <c r="AZ6" s="194">
        <f t="shared" si="0"/>
        <v>270142</v>
      </c>
      <c r="BA6" s="80">
        <f t="shared" si="0"/>
        <v>0</v>
      </c>
      <c r="BB6" s="80">
        <f t="shared" si="0"/>
        <v>0</v>
      </c>
      <c r="BC6" s="80">
        <f t="shared" si="0"/>
        <v>0</v>
      </c>
      <c r="BD6" s="80">
        <f t="shared" si="0"/>
        <v>0</v>
      </c>
      <c r="BE6" s="80">
        <f t="shared" ref="BE6" si="5">BE26+BE53</f>
        <v>0</v>
      </c>
      <c r="BF6" s="80">
        <f t="shared" si="0"/>
        <v>0</v>
      </c>
      <c r="BG6" s="80">
        <f t="shared" si="0"/>
        <v>0</v>
      </c>
      <c r="BH6" s="80">
        <f t="shared" si="0"/>
        <v>0</v>
      </c>
      <c r="BI6" s="80">
        <f t="shared" si="0"/>
        <v>0</v>
      </c>
      <c r="BJ6" s="80">
        <f t="shared" si="0"/>
        <v>0</v>
      </c>
      <c r="BK6" s="80">
        <f t="shared" si="0"/>
        <v>0</v>
      </c>
      <c r="BL6" s="80">
        <f t="shared" si="0"/>
        <v>0</v>
      </c>
      <c r="BM6" s="80">
        <f t="shared" si="0"/>
        <v>0</v>
      </c>
      <c r="BN6" s="80">
        <f>BN26+BN53</f>
        <v>0</v>
      </c>
      <c r="BO6" s="80">
        <f t="shared" si="0"/>
        <v>0</v>
      </c>
      <c r="BP6" s="80">
        <f>BP26+BP53</f>
        <v>0</v>
      </c>
      <c r="BQ6" s="80">
        <f t="shared" si="0"/>
        <v>0</v>
      </c>
      <c r="BR6" s="80">
        <f>BR26+BR53</f>
        <v>0</v>
      </c>
      <c r="BS6" s="80">
        <f>BS26+BS53</f>
        <v>0</v>
      </c>
      <c r="BT6" s="228">
        <f>BT26+BT53</f>
        <v>536384</v>
      </c>
    </row>
    <row r="7" spans="1:73" x14ac:dyDescent="0.25">
      <c r="A7" s="208" t="s">
        <v>334</v>
      </c>
      <c r="B7" s="35">
        <f>B8+B9+B10+B11+B12</f>
        <v>0</v>
      </c>
      <c r="C7" s="35">
        <f t="shared" ref="C7:BQ7" si="6">C8+C9+C10+C11+C12</f>
        <v>0</v>
      </c>
      <c r="D7" s="35">
        <f t="shared" si="6"/>
        <v>0</v>
      </c>
      <c r="E7" s="35">
        <f t="shared" si="6"/>
        <v>0</v>
      </c>
      <c r="F7" s="35">
        <f t="shared" si="6"/>
        <v>0</v>
      </c>
      <c r="G7" s="35">
        <f t="shared" si="6"/>
        <v>0</v>
      </c>
      <c r="H7" s="35">
        <f t="shared" si="6"/>
        <v>0</v>
      </c>
      <c r="I7" s="35">
        <f t="shared" si="6"/>
        <v>0</v>
      </c>
      <c r="J7" s="35">
        <f t="shared" si="6"/>
        <v>0</v>
      </c>
      <c r="K7" s="35">
        <f t="shared" si="6"/>
        <v>0</v>
      </c>
      <c r="L7" s="35">
        <f t="shared" si="6"/>
        <v>0</v>
      </c>
      <c r="M7" s="35">
        <f t="shared" si="6"/>
        <v>0</v>
      </c>
      <c r="N7" s="35">
        <f t="shared" si="6"/>
        <v>0</v>
      </c>
      <c r="O7" s="35">
        <f t="shared" si="6"/>
        <v>0</v>
      </c>
      <c r="P7" s="35">
        <f>P8+P9+P10+P11+P12</f>
        <v>0</v>
      </c>
      <c r="Q7" s="35">
        <f t="shared" si="6"/>
        <v>0</v>
      </c>
      <c r="R7" s="35">
        <f t="shared" si="6"/>
        <v>0</v>
      </c>
      <c r="S7" s="35">
        <f t="shared" si="6"/>
        <v>0</v>
      </c>
      <c r="T7" s="35">
        <f t="shared" si="6"/>
        <v>0</v>
      </c>
      <c r="U7" s="35">
        <f t="shared" si="6"/>
        <v>0</v>
      </c>
      <c r="V7" s="35">
        <f t="shared" si="6"/>
        <v>0</v>
      </c>
      <c r="W7" s="35">
        <f t="shared" si="6"/>
        <v>0</v>
      </c>
      <c r="X7" s="35">
        <f t="shared" si="6"/>
        <v>0</v>
      </c>
      <c r="Y7" s="35">
        <f t="shared" si="6"/>
        <v>0</v>
      </c>
      <c r="Z7" s="35">
        <f t="shared" si="6"/>
        <v>0</v>
      </c>
      <c r="AA7" s="35">
        <f t="shared" si="6"/>
        <v>0</v>
      </c>
      <c r="AB7" s="35">
        <f t="shared" si="6"/>
        <v>0</v>
      </c>
      <c r="AC7" s="35">
        <f t="shared" si="6"/>
        <v>0</v>
      </c>
      <c r="AD7" s="35">
        <f t="shared" si="6"/>
        <v>0</v>
      </c>
      <c r="AE7" s="35">
        <f t="shared" si="6"/>
        <v>0</v>
      </c>
      <c r="AF7" s="35">
        <f t="shared" si="6"/>
        <v>0</v>
      </c>
      <c r="AG7" s="35">
        <f t="shared" si="6"/>
        <v>0</v>
      </c>
      <c r="AH7" s="35">
        <f t="shared" si="6"/>
        <v>0</v>
      </c>
      <c r="AI7" s="35">
        <f t="shared" si="6"/>
        <v>0</v>
      </c>
      <c r="AJ7" s="35">
        <f t="shared" si="6"/>
        <v>0</v>
      </c>
      <c r="AK7" s="35">
        <f t="shared" si="6"/>
        <v>0</v>
      </c>
      <c r="AL7" s="35">
        <f t="shared" si="6"/>
        <v>0</v>
      </c>
      <c r="AM7" s="35">
        <f t="shared" si="6"/>
        <v>0</v>
      </c>
      <c r="AN7" s="35">
        <f t="shared" si="6"/>
        <v>0</v>
      </c>
      <c r="AO7" s="35">
        <f t="shared" si="6"/>
        <v>0</v>
      </c>
      <c r="AP7" s="195">
        <f t="shared" si="6"/>
        <v>0</v>
      </c>
      <c r="AQ7" s="35">
        <f t="shared" ref="AQ7:AY7" si="7">AQ8+AQ9+AQ10+AQ11+AQ12</f>
        <v>12303</v>
      </c>
      <c r="AR7" s="35">
        <f t="shared" ref="AR7" si="8">AR8+AR9+AR10+AR11+AR12</f>
        <v>5789</v>
      </c>
      <c r="AS7" s="35">
        <f t="shared" ref="AS7:AT7" si="9">AS8+AS9+AS10+AS11+AS12</f>
        <v>5440</v>
      </c>
      <c r="AT7" s="35">
        <f t="shared" si="9"/>
        <v>1500</v>
      </c>
      <c r="AU7" s="35">
        <f t="shared" ref="AU7" si="10">AU8+AU9+AU10+AU11+AU12</f>
        <v>500</v>
      </c>
      <c r="AV7" s="35">
        <f t="shared" si="7"/>
        <v>0</v>
      </c>
      <c r="AW7" s="35">
        <f t="shared" si="7"/>
        <v>0</v>
      </c>
      <c r="AX7" s="35">
        <f t="shared" si="7"/>
        <v>244610</v>
      </c>
      <c r="AY7" s="35">
        <f t="shared" si="7"/>
        <v>0</v>
      </c>
      <c r="AZ7" s="195">
        <f t="shared" si="6"/>
        <v>270142</v>
      </c>
      <c r="BA7" s="35">
        <f t="shared" si="6"/>
        <v>0</v>
      </c>
      <c r="BB7" s="35">
        <f t="shared" si="6"/>
        <v>0</v>
      </c>
      <c r="BC7" s="35">
        <f t="shared" si="6"/>
        <v>0</v>
      </c>
      <c r="BD7" s="35">
        <f t="shared" si="6"/>
        <v>0</v>
      </c>
      <c r="BE7" s="35">
        <f t="shared" ref="BE7" si="11">BE8+BE9+BE10+BE11+BE12</f>
        <v>0</v>
      </c>
      <c r="BF7" s="35">
        <f t="shared" si="6"/>
        <v>0</v>
      </c>
      <c r="BG7" s="35">
        <f t="shared" si="6"/>
        <v>0</v>
      </c>
      <c r="BH7" s="35">
        <f t="shared" si="6"/>
        <v>0</v>
      </c>
      <c r="BI7" s="35">
        <f t="shared" si="6"/>
        <v>0</v>
      </c>
      <c r="BJ7" s="35">
        <f t="shared" si="6"/>
        <v>0</v>
      </c>
      <c r="BK7" s="35">
        <f t="shared" si="6"/>
        <v>0</v>
      </c>
      <c r="BL7" s="35">
        <f t="shared" si="6"/>
        <v>0</v>
      </c>
      <c r="BM7" s="35">
        <f t="shared" si="6"/>
        <v>0</v>
      </c>
      <c r="BN7" s="35">
        <f>BN8+BN9+BN10+BN11+BN12</f>
        <v>0</v>
      </c>
      <c r="BO7" s="35">
        <f t="shared" si="6"/>
        <v>0</v>
      </c>
      <c r="BP7" s="35">
        <f t="shared" si="6"/>
        <v>0</v>
      </c>
      <c r="BQ7" s="35">
        <f t="shared" si="6"/>
        <v>0</v>
      </c>
      <c r="BR7" s="35">
        <f>BR8+BR9+BR10+BR11+BR12</f>
        <v>0</v>
      </c>
      <c r="BS7" s="35">
        <f>BS8+BS9+BS10+BS11+BS12</f>
        <v>0</v>
      </c>
      <c r="BT7" s="209">
        <f>BT8+BT9+BT10+BT11+BT12</f>
        <v>270142</v>
      </c>
    </row>
    <row r="8" spans="1:73" x14ac:dyDescent="0.25">
      <c r="A8" s="210" t="s">
        <v>335</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196">
        <f>SUM(B8:AO8)</f>
        <v>0</v>
      </c>
      <c r="AQ8" s="7">
        <f>Tervezőhiv.!D59</f>
        <v>900</v>
      </c>
      <c r="AR8" s="7">
        <f>Tervezőhiv.!H59</f>
        <v>1200</v>
      </c>
      <c r="AS8" s="7">
        <f>Tervezőhiv.!L59</f>
        <v>0</v>
      </c>
      <c r="AT8" s="7">
        <f>Tervezőhiv.!T59</f>
        <v>0</v>
      </c>
      <c r="AU8" s="7">
        <f>Tervezőhiv.!X59</f>
        <v>0</v>
      </c>
      <c r="AV8" s="7"/>
      <c r="AW8" s="7"/>
      <c r="AX8" s="7">
        <f>Tervezőhiv.!AN59</f>
        <v>205449</v>
      </c>
      <c r="AY8" s="7"/>
      <c r="AZ8" s="196">
        <f>SUM(AQ8:AY8)</f>
        <v>207549</v>
      </c>
      <c r="BA8" s="7"/>
      <c r="BB8" s="7"/>
      <c r="BC8" s="7"/>
      <c r="BD8" s="7"/>
      <c r="BE8" s="7"/>
      <c r="BF8" s="7"/>
      <c r="BG8" s="7"/>
      <c r="BH8" s="7"/>
      <c r="BI8" s="7"/>
      <c r="BJ8" s="7"/>
      <c r="BK8" s="7"/>
      <c r="BL8" s="7"/>
      <c r="BM8" s="7"/>
      <c r="BN8" s="7"/>
      <c r="BO8" s="8">
        <f>SUM(BA8:BN8)</f>
        <v>0</v>
      </c>
      <c r="BP8" s="8"/>
      <c r="BQ8" s="8"/>
      <c r="BR8" s="8"/>
      <c r="BS8" s="11">
        <f>BO8+BP8+BQ8+BR8</f>
        <v>0</v>
      </c>
      <c r="BT8" s="211">
        <f>AP8+AZ8+BS8</f>
        <v>207549</v>
      </c>
    </row>
    <row r="9" spans="1:73" x14ac:dyDescent="0.25">
      <c r="A9" s="210" t="s">
        <v>336</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196">
        <f>SUM(B9:AO9)</f>
        <v>0</v>
      </c>
      <c r="AQ9" s="7">
        <f>Tervezőhiv.!D67</f>
        <v>143</v>
      </c>
      <c r="AR9" s="7">
        <f>Tervezőhiv.!H67</f>
        <v>189</v>
      </c>
      <c r="AS9" s="7">
        <f>Tervezőhiv.!L67</f>
        <v>0</v>
      </c>
      <c r="AT9" s="7">
        <f>Tervezőhiv.!T67</f>
        <v>0</v>
      </c>
      <c r="AU9" s="7">
        <f>Tervezőhiv.!X67</f>
        <v>0</v>
      </c>
      <c r="AV9" s="7"/>
      <c r="AW9" s="7"/>
      <c r="AX9" s="7">
        <f>Tervezőhiv.!AN67</f>
        <v>36927</v>
      </c>
      <c r="AY9" s="7"/>
      <c r="AZ9" s="196">
        <f>SUM(AQ9:AY9)</f>
        <v>37259</v>
      </c>
      <c r="BA9" s="7"/>
      <c r="BB9" s="7"/>
      <c r="BC9" s="7"/>
      <c r="BD9" s="7"/>
      <c r="BE9" s="7"/>
      <c r="BF9" s="7"/>
      <c r="BG9" s="7"/>
      <c r="BH9" s="7"/>
      <c r="BI9" s="7"/>
      <c r="BJ9" s="7"/>
      <c r="BK9" s="7"/>
      <c r="BL9" s="7"/>
      <c r="BM9" s="7"/>
      <c r="BN9" s="7"/>
      <c r="BO9" s="8">
        <f t="shared" ref="BO9:BO25" si="12">SUM(BA9:BN9)</f>
        <v>0</v>
      </c>
      <c r="BP9" s="8"/>
      <c r="BQ9" s="8"/>
      <c r="BR9" s="8"/>
      <c r="BS9" s="11">
        <f t="shared" ref="BS9:BS25" si="13">BO9+BP9+BQ9+BR9</f>
        <v>0</v>
      </c>
      <c r="BT9" s="211">
        <f>AP9+AZ9+BS9</f>
        <v>37259</v>
      </c>
    </row>
    <row r="10" spans="1:73" x14ac:dyDescent="0.25">
      <c r="A10" s="210" t="s">
        <v>337</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196">
        <f>SUM(B10:AO10)</f>
        <v>0</v>
      </c>
      <c r="AQ10" s="7">
        <f>Tervezőhiv.!D154</f>
        <v>11260</v>
      </c>
      <c r="AR10" s="7">
        <f>Tervezőhiv.!H154</f>
        <v>4400</v>
      </c>
      <c r="AS10" s="7">
        <f>Tervezőhiv.!L154</f>
        <v>5440</v>
      </c>
      <c r="AT10" s="7">
        <f>Tervezőhiv.!T154</f>
        <v>1500</v>
      </c>
      <c r="AU10" s="7">
        <f>Tervezőhiv.!X154</f>
        <v>500</v>
      </c>
      <c r="AV10" s="7"/>
      <c r="AW10" s="7"/>
      <c r="AX10" s="7">
        <f>Tervezőhiv.!AN154</f>
        <v>2234</v>
      </c>
      <c r="AY10" s="7"/>
      <c r="AZ10" s="196">
        <f>SUM(AQ10:AY10)</f>
        <v>25334</v>
      </c>
      <c r="BA10" s="7"/>
      <c r="BB10" s="7"/>
      <c r="BC10" s="7"/>
      <c r="BD10" s="7"/>
      <c r="BE10" s="7"/>
      <c r="BF10" s="7"/>
      <c r="BG10" s="7"/>
      <c r="BH10" s="7"/>
      <c r="BI10" s="7"/>
      <c r="BJ10" s="7"/>
      <c r="BK10" s="7"/>
      <c r="BL10" s="7"/>
      <c r="BM10" s="7"/>
      <c r="BN10" s="7"/>
      <c r="BO10" s="8">
        <f t="shared" si="12"/>
        <v>0</v>
      </c>
      <c r="BP10" s="8"/>
      <c r="BQ10" s="8"/>
      <c r="BR10" s="8"/>
      <c r="BS10" s="11">
        <f t="shared" si="13"/>
        <v>0</v>
      </c>
      <c r="BT10" s="211">
        <f>AP10+AZ10+BS10</f>
        <v>25334</v>
      </c>
    </row>
    <row r="11" spans="1:73" x14ac:dyDescent="0.25">
      <c r="A11" s="210" t="s">
        <v>338</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196">
        <f>SUM(B11:AO11)</f>
        <v>0</v>
      </c>
      <c r="AQ11" s="7">
        <f>Tervezőhiv.!D161</f>
        <v>0</v>
      </c>
      <c r="AR11" s="7">
        <f>Tervezőhiv.!H161</f>
        <v>0</v>
      </c>
      <c r="AS11" s="7">
        <f>Tervezőhiv.!L161</f>
        <v>0</v>
      </c>
      <c r="AT11" s="7">
        <f>Tervezőhiv.!T161</f>
        <v>0</v>
      </c>
      <c r="AU11" s="7">
        <f>Tervezőhiv.!X161</f>
        <v>0</v>
      </c>
      <c r="AV11" s="7"/>
      <c r="AW11" s="7"/>
      <c r="AX11" s="7">
        <f>Tervezőhiv.!AN161</f>
        <v>0</v>
      </c>
      <c r="AY11" s="7"/>
      <c r="AZ11" s="196">
        <f>SUM(AQ11:AY11)</f>
        <v>0</v>
      </c>
      <c r="BA11" s="7"/>
      <c r="BB11" s="7"/>
      <c r="BC11" s="7"/>
      <c r="BD11" s="7"/>
      <c r="BE11" s="7"/>
      <c r="BF11" s="7"/>
      <c r="BG11" s="7"/>
      <c r="BH11" s="7"/>
      <c r="BI11" s="7"/>
      <c r="BJ11" s="7"/>
      <c r="BK11" s="7"/>
      <c r="BL11" s="7"/>
      <c r="BM11" s="7"/>
      <c r="BN11" s="7"/>
      <c r="BO11" s="8">
        <f t="shared" si="12"/>
        <v>0</v>
      </c>
      <c r="BP11" s="8"/>
      <c r="BQ11" s="8"/>
      <c r="BR11" s="8"/>
      <c r="BS11" s="11">
        <f t="shared" si="13"/>
        <v>0</v>
      </c>
      <c r="BT11" s="211">
        <f>AP11+AZ11+BS11</f>
        <v>0</v>
      </c>
    </row>
    <row r="12" spans="1:73" s="13" customFormat="1" x14ac:dyDescent="0.25">
      <c r="A12" s="212" t="s">
        <v>339</v>
      </c>
      <c r="B12" s="6">
        <f>B13+B14+B15+B16+B17</f>
        <v>0</v>
      </c>
      <c r="C12" s="6">
        <f t="shared" ref="C12:BQ12" si="14">C13+C14+C15+C16+C17</f>
        <v>0</v>
      </c>
      <c r="D12" s="6">
        <f t="shared" si="14"/>
        <v>0</v>
      </c>
      <c r="E12" s="6">
        <f t="shared" si="14"/>
        <v>0</v>
      </c>
      <c r="F12" s="6">
        <f t="shared" si="14"/>
        <v>0</v>
      </c>
      <c r="G12" s="6">
        <f t="shared" si="14"/>
        <v>0</v>
      </c>
      <c r="H12" s="6">
        <f t="shared" si="14"/>
        <v>0</v>
      </c>
      <c r="I12" s="6">
        <f t="shared" si="14"/>
        <v>0</v>
      </c>
      <c r="J12" s="6">
        <f t="shared" si="14"/>
        <v>0</v>
      </c>
      <c r="K12" s="6">
        <f t="shared" si="14"/>
        <v>0</v>
      </c>
      <c r="L12" s="6">
        <f t="shared" si="14"/>
        <v>0</v>
      </c>
      <c r="M12" s="6">
        <f t="shared" si="14"/>
        <v>0</v>
      </c>
      <c r="N12" s="6">
        <f t="shared" si="14"/>
        <v>0</v>
      </c>
      <c r="O12" s="6">
        <f t="shared" si="14"/>
        <v>0</v>
      </c>
      <c r="P12" s="6">
        <f>P13+P14+P15+P16+P17</f>
        <v>0</v>
      </c>
      <c r="Q12" s="6">
        <f t="shared" si="14"/>
        <v>0</v>
      </c>
      <c r="R12" s="6">
        <f t="shared" si="14"/>
        <v>0</v>
      </c>
      <c r="S12" s="6">
        <f t="shared" si="14"/>
        <v>0</v>
      </c>
      <c r="T12" s="6">
        <f t="shared" si="14"/>
        <v>0</v>
      </c>
      <c r="U12" s="6">
        <f t="shared" si="14"/>
        <v>0</v>
      </c>
      <c r="V12" s="6">
        <f t="shared" si="14"/>
        <v>0</v>
      </c>
      <c r="W12" s="6">
        <f t="shared" si="14"/>
        <v>0</v>
      </c>
      <c r="X12" s="6">
        <f t="shared" si="14"/>
        <v>0</v>
      </c>
      <c r="Y12" s="6">
        <f t="shared" si="14"/>
        <v>0</v>
      </c>
      <c r="Z12" s="6">
        <f t="shared" si="14"/>
        <v>0</v>
      </c>
      <c r="AA12" s="6">
        <f t="shared" si="14"/>
        <v>0</v>
      </c>
      <c r="AB12" s="6">
        <f t="shared" si="14"/>
        <v>0</v>
      </c>
      <c r="AC12" s="6">
        <f t="shared" si="14"/>
        <v>0</v>
      </c>
      <c r="AD12" s="6">
        <f t="shared" si="14"/>
        <v>0</v>
      </c>
      <c r="AE12" s="6">
        <f t="shared" si="14"/>
        <v>0</v>
      </c>
      <c r="AF12" s="6">
        <f t="shared" si="14"/>
        <v>0</v>
      </c>
      <c r="AG12" s="6">
        <f t="shared" si="14"/>
        <v>0</v>
      </c>
      <c r="AH12" s="6">
        <f t="shared" si="14"/>
        <v>0</v>
      </c>
      <c r="AI12" s="6">
        <f t="shared" si="14"/>
        <v>0</v>
      </c>
      <c r="AJ12" s="6">
        <f t="shared" si="14"/>
        <v>0</v>
      </c>
      <c r="AK12" s="6">
        <f t="shared" si="14"/>
        <v>0</v>
      </c>
      <c r="AL12" s="6">
        <f t="shared" si="14"/>
        <v>0</v>
      </c>
      <c r="AM12" s="6">
        <f t="shared" si="14"/>
        <v>0</v>
      </c>
      <c r="AN12" s="6">
        <f t="shared" si="14"/>
        <v>0</v>
      </c>
      <c r="AO12" s="6">
        <f t="shared" si="14"/>
        <v>0</v>
      </c>
      <c r="AP12" s="197">
        <f t="shared" si="14"/>
        <v>0</v>
      </c>
      <c r="AQ12" s="6">
        <f t="shared" ref="AQ12:AY12" si="15">AQ13+AQ14+AQ15+AQ16+AQ17</f>
        <v>0</v>
      </c>
      <c r="AR12" s="6">
        <f t="shared" ref="AR12" si="16">AR13+AR14+AR15+AR16+AR17</f>
        <v>0</v>
      </c>
      <c r="AS12" s="6">
        <f t="shared" ref="AS12:AT12" si="17">AS13+AS14+AS15+AS16+AS17</f>
        <v>0</v>
      </c>
      <c r="AT12" s="6">
        <f t="shared" si="17"/>
        <v>0</v>
      </c>
      <c r="AU12" s="6">
        <f t="shared" ref="AU12" si="18">AU13+AU14+AU15+AU16+AU17</f>
        <v>0</v>
      </c>
      <c r="AV12" s="6">
        <f t="shared" si="15"/>
        <v>0</v>
      </c>
      <c r="AW12" s="6">
        <f t="shared" si="15"/>
        <v>0</v>
      </c>
      <c r="AX12" s="6">
        <f t="shared" si="15"/>
        <v>0</v>
      </c>
      <c r="AY12" s="6">
        <f t="shared" si="15"/>
        <v>0</v>
      </c>
      <c r="AZ12" s="197">
        <f t="shared" si="14"/>
        <v>0</v>
      </c>
      <c r="BA12" s="6">
        <f t="shared" si="14"/>
        <v>0</v>
      </c>
      <c r="BB12" s="6">
        <f t="shared" si="14"/>
        <v>0</v>
      </c>
      <c r="BC12" s="6">
        <f t="shared" si="14"/>
        <v>0</v>
      </c>
      <c r="BD12" s="6">
        <f t="shared" si="14"/>
        <v>0</v>
      </c>
      <c r="BE12" s="6">
        <f t="shared" ref="BE12" si="19">BE13+BE14+BE15+BE16+BE17</f>
        <v>0</v>
      </c>
      <c r="BF12" s="6">
        <f t="shared" si="14"/>
        <v>0</v>
      </c>
      <c r="BG12" s="6">
        <f t="shared" si="14"/>
        <v>0</v>
      </c>
      <c r="BH12" s="6">
        <f t="shared" si="14"/>
        <v>0</v>
      </c>
      <c r="BI12" s="6">
        <f t="shared" si="14"/>
        <v>0</v>
      </c>
      <c r="BJ12" s="6">
        <f t="shared" si="14"/>
        <v>0</v>
      </c>
      <c r="BK12" s="6">
        <f t="shared" si="14"/>
        <v>0</v>
      </c>
      <c r="BL12" s="6">
        <f t="shared" si="14"/>
        <v>0</v>
      </c>
      <c r="BM12" s="6">
        <f t="shared" si="14"/>
        <v>0</v>
      </c>
      <c r="BN12" s="6">
        <f>BN13+BN14+BN15+BN16+BN17</f>
        <v>0</v>
      </c>
      <c r="BO12" s="6">
        <f t="shared" si="14"/>
        <v>0</v>
      </c>
      <c r="BP12" s="6">
        <f t="shared" si="14"/>
        <v>0</v>
      </c>
      <c r="BQ12" s="6">
        <f t="shared" si="14"/>
        <v>0</v>
      </c>
      <c r="BR12" s="6">
        <f>BR13+BR14+BR15+BR16+BR17</f>
        <v>0</v>
      </c>
      <c r="BS12" s="6">
        <f>BS13+BS14+BS15+BS16+BS17</f>
        <v>0</v>
      </c>
      <c r="BT12" s="213">
        <f>BT13+BT14+BT15+BT16+BT17</f>
        <v>0</v>
      </c>
    </row>
    <row r="13" spans="1:73" x14ac:dyDescent="0.25">
      <c r="A13" s="210" t="s">
        <v>340</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196">
        <f>SUM(B13:AO13)</f>
        <v>0</v>
      </c>
      <c r="AQ13" s="7"/>
      <c r="AR13" s="7"/>
      <c r="AS13" s="7"/>
      <c r="AT13" s="7"/>
      <c r="AU13" s="7"/>
      <c r="AV13" s="7"/>
      <c r="AW13" s="7"/>
      <c r="AX13" s="7"/>
      <c r="AY13" s="7"/>
      <c r="AZ13" s="196">
        <f>SUM(AQ13:AY13)</f>
        <v>0</v>
      </c>
      <c r="BA13" s="7"/>
      <c r="BB13" s="7"/>
      <c r="BC13" s="7"/>
      <c r="BD13" s="7"/>
      <c r="BE13" s="7"/>
      <c r="BF13" s="7"/>
      <c r="BG13" s="7"/>
      <c r="BH13" s="7"/>
      <c r="BI13" s="7"/>
      <c r="BJ13" s="7"/>
      <c r="BK13" s="7"/>
      <c r="BL13" s="7"/>
      <c r="BM13" s="7"/>
      <c r="BN13" s="7"/>
      <c r="BO13" s="8">
        <f t="shared" si="12"/>
        <v>0</v>
      </c>
      <c r="BP13" s="8"/>
      <c r="BQ13" s="8"/>
      <c r="BR13" s="8"/>
      <c r="BS13" s="11">
        <f t="shared" si="13"/>
        <v>0</v>
      </c>
      <c r="BT13" s="211">
        <f>AP13+AZ13+BS13</f>
        <v>0</v>
      </c>
    </row>
    <row r="14" spans="1:73" x14ac:dyDescent="0.25">
      <c r="A14" s="210" t="s">
        <v>341</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196">
        <f>SUM(B14:AO14)</f>
        <v>0</v>
      </c>
      <c r="AQ14" s="7"/>
      <c r="AR14" s="7"/>
      <c r="AS14" s="7"/>
      <c r="AT14" s="7"/>
      <c r="AU14" s="7"/>
      <c r="AV14" s="7"/>
      <c r="AW14" s="7"/>
      <c r="AX14" s="7"/>
      <c r="AY14" s="7"/>
      <c r="AZ14" s="196">
        <f>SUM(AQ14:AY14)</f>
        <v>0</v>
      </c>
      <c r="BA14" s="7"/>
      <c r="BB14" s="7"/>
      <c r="BC14" s="7"/>
      <c r="BD14" s="7"/>
      <c r="BE14" s="7"/>
      <c r="BF14" s="7"/>
      <c r="BG14" s="7"/>
      <c r="BH14" s="7"/>
      <c r="BI14" s="7"/>
      <c r="BJ14" s="7"/>
      <c r="BK14" s="7"/>
      <c r="BL14" s="7"/>
      <c r="BM14" s="7"/>
      <c r="BN14" s="7"/>
      <c r="BO14" s="8">
        <f t="shared" si="12"/>
        <v>0</v>
      </c>
      <c r="BP14" s="8"/>
      <c r="BQ14" s="8"/>
      <c r="BR14" s="8"/>
      <c r="BS14" s="11">
        <f t="shared" si="13"/>
        <v>0</v>
      </c>
      <c r="BT14" s="211">
        <f>AP14+AZ14+BS14</f>
        <v>0</v>
      </c>
    </row>
    <row r="15" spans="1:73" x14ac:dyDescent="0.25">
      <c r="A15" s="210" t="s">
        <v>342</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196">
        <f>SUM(B15:AO15)</f>
        <v>0</v>
      </c>
      <c r="AQ15" s="7">
        <f>Tervezőhiv.!D182</f>
        <v>0</v>
      </c>
      <c r="AR15" s="7">
        <f>Tervezőhiv.!H182</f>
        <v>0</v>
      </c>
      <c r="AS15" s="7">
        <f>Tervezőhiv.!L182</f>
        <v>0</v>
      </c>
      <c r="AT15" s="7">
        <f>Tervezőhiv.!T182</f>
        <v>0</v>
      </c>
      <c r="AU15" s="7">
        <f>Tervezőhiv.!X182</f>
        <v>0</v>
      </c>
      <c r="AV15" s="7"/>
      <c r="AW15" s="7"/>
      <c r="AX15" s="7">
        <f>Tervezőhiv.!AN182</f>
        <v>0</v>
      </c>
      <c r="AY15" s="7"/>
      <c r="AZ15" s="196">
        <f>SUM(AQ15:AY15)</f>
        <v>0</v>
      </c>
      <c r="BA15" s="7"/>
      <c r="BB15" s="7"/>
      <c r="BC15" s="7"/>
      <c r="BD15" s="7"/>
      <c r="BE15" s="7"/>
      <c r="BF15" s="7"/>
      <c r="BG15" s="7"/>
      <c r="BH15" s="7"/>
      <c r="BI15" s="7"/>
      <c r="BJ15" s="7"/>
      <c r="BK15" s="7"/>
      <c r="BL15" s="7"/>
      <c r="BM15" s="7"/>
      <c r="BN15" s="7"/>
      <c r="BO15" s="8">
        <f t="shared" si="12"/>
        <v>0</v>
      </c>
      <c r="BP15" s="8"/>
      <c r="BQ15" s="8"/>
      <c r="BR15" s="8"/>
      <c r="BS15" s="11">
        <f t="shared" si="13"/>
        <v>0</v>
      </c>
      <c r="BT15" s="211">
        <f>AP15+AZ15+BS15</f>
        <v>0</v>
      </c>
    </row>
    <row r="16" spans="1:73" x14ac:dyDescent="0.25">
      <c r="A16" s="210" t="s">
        <v>343</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196">
        <f>SUM(B16:AO16)</f>
        <v>0</v>
      </c>
      <c r="AQ16" s="7">
        <f>Tervezőhiv.!D189</f>
        <v>0</v>
      </c>
      <c r="AR16" s="7">
        <f>Tervezőhiv.!H189</f>
        <v>0</v>
      </c>
      <c r="AS16" s="7">
        <f>Tervezőhiv.!L189</f>
        <v>0</v>
      </c>
      <c r="AT16" s="7">
        <f>Tervezőhiv.!T189</f>
        <v>0</v>
      </c>
      <c r="AU16" s="7">
        <f>Tervezőhiv.!X189</f>
        <v>0</v>
      </c>
      <c r="AV16" s="7"/>
      <c r="AW16" s="7"/>
      <c r="AX16" s="7">
        <f>Tervezőhiv.!AN189</f>
        <v>0</v>
      </c>
      <c r="AY16" s="7"/>
      <c r="AZ16" s="196">
        <f>SUM(AQ16:AY16)</f>
        <v>0</v>
      </c>
      <c r="BA16" s="7"/>
      <c r="BB16" s="7"/>
      <c r="BC16" s="7"/>
      <c r="BD16" s="7"/>
      <c r="BE16" s="7"/>
      <c r="BF16" s="7"/>
      <c r="BG16" s="7"/>
      <c r="BH16" s="7"/>
      <c r="BI16" s="7"/>
      <c r="BJ16" s="7"/>
      <c r="BK16" s="7"/>
      <c r="BL16" s="7"/>
      <c r="BM16" s="7"/>
      <c r="BN16" s="7"/>
      <c r="BO16" s="8">
        <f t="shared" si="12"/>
        <v>0</v>
      </c>
      <c r="BP16" s="8"/>
      <c r="BQ16" s="8"/>
      <c r="BR16" s="8"/>
      <c r="BS16" s="11">
        <f t="shared" si="13"/>
        <v>0</v>
      </c>
      <c r="BT16" s="211">
        <f>AP16+AZ16+BS16</f>
        <v>0</v>
      </c>
    </row>
    <row r="17" spans="1:74" x14ac:dyDescent="0.25">
      <c r="A17" s="210" t="s">
        <v>344</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196">
        <f>SUM(B17:AO17)</f>
        <v>0</v>
      </c>
      <c r="AQ17" s="7"/>
      <c r="AR17" s="7"/>
      <c r="AS17" s="7"/>
      <c r="AT17" s="7"/>
      <c r="AU17" s="7"/>
      <c r="AV17" s="7"/>
      <c r="AW17" s="7"/>
      <c r="AX17" s="7"/>
      <c r="AY17" s="7"/>
      <c r="AZ17" s="196">
        <f>SUM(AQ17:AY17)</f>
        <v>0</v>
      </c>
      <c r="BA17" s="7"/>
      <c r="BB17" s="7"/>
      <c r="BC17" s="7"/>
      <c r="BD17" s="7"/>
      <c r="BE17" s="7"/>
      <c r="BF17" s="7"/>
      <c r="BG17" s="7"/>
      <c r="BH17" s="7"/>
      <c r="BI17" s="7"/>
      <c r="BJ17" s="7"/>
      <c r="BK17" s="7"/>
      <c r="BL17" s="7"/>
      <c r="BM17" s="7"/>
      <c r="BN17" s="7"/>
      <c r="BO17" s="8">
        <f t="shared" si="12"/>
        <v>0</v>
      </c>
      <c r="BP17" s="8"/>
      <c r="BQ17" s="8"/>
      <c r="BR17" s="8"/>
      <c r="BS17" s="11">
        <f t="shared" si="13"/>
        <v>0</v>
      </c>
      <c r="BT17" s="211">
        <f>AP17+AZ17+BS17</f>
        <v>0</v>
      </c>
    </row>
    <row r="18" spans="1:74" s="13" customFormat="1" x14ac:dyDescent="0.25">
      <c r="A18" s="212" t="s">
        <v>345</v>
      </c>
      <c r="B18" s="6">
        <f>B19+B20+B21</f>
        <v>0</v>
      </c>
      <c r="C18" s="6">
        <f t="shared" ref="C18:BQ18" si="20">C19+C20+C21</f>
        <v>0</v>
      </c>
      <c r="D18" s="6">
        <f t="shared" si="20"/>
        <v>0</v>
      </c>
      <c r="E18" s="6">
        <f t="shared" si="20"/>
        <v>0</v>
      </c>
      <c r="F18" s="6">
        <f t="shared" si="20"/>
        <v>0</v>
      </c>
      <c r="G18" s="6">
        <f t="shared" si="20"/>
        <v>0</v>
      </c>
      <c r="H18" s="6">
        <f t="shared" si="20"/>
        <v>0</v>
      </c>
      <c r="I18" s="6">
        <f t="shared" si="20"/>
        <v>0</v>
      </c>
      <c r="J18" s="6">
        <f t="shared" si="20"/>
        <v>0</v>
      </c>
      <c r="K18" s="6">
        <f t="shared" si="20"/>
        <v>0</v>
      </c>
      <c r="L18" s="6">
        <f t="shared" si="20"/>
        <v>0</v>
      </c>
      <c r="M18" s="6">
        <f t="shared" si="20"/>
        <v>0</v>
      </c>
      <c r="N18" s="6">
        <f t="shared" si="20"/>
        <v>0</v>
      </c>
      <c r="O18" s="6">
        <f t="shared" si="20"/>
        <v>0</v>
      </c>
      <c r="P18" s="6">
        <f>P19+P20+P21</f>
        <v>0</v>
      </c>
      <c r="Q18" s="6">
        <f t="shared" si="20"/>
        <v>0</v>
      </c>
      <c r="R18" s="6">
        <f t="shared" si="20"/>
        <v>0</v>
      </c>
      <c r="S18" s="6">
        <f t="shared" si="20"/>
        <v>0</v>
      </c>
      <c r="T18" s="6">
        <f t="shared" si="20"/>
        <v>0</v>
      </c>
      <c r="U18" s="6">
        <f t="shared" si="20"/>
        <v>0</v>
      </c>
      <c r="V18" s="6">
        <f t="shared" si="20"/>
        <v>0</v>
      </c>
      <c r="W18" s="6">
        <f t="shared" si="20"/>
        <v>0</v>
      </c>
      <c r="X18" s="6">
        <f t="shared" si="20"/>
        <v>0</v>
      </c>
      <c r="Y18" s="6">
        <f t="shared" si="20"/>
        <v>0</v>
      </c>
      <c r="Z18" s="6">
        <f t="shared" si="20"/>
        <v>0</v>
      </c>
      <c r="AA18" s="6">
        <f t="shared" si="20"/>
        <v>0</v>
      </c>
      <c r="AB18" s="6">
        <f t="shared" si="20"/>
        <v>0</v>
      </c>
      <c r="AC18" s="6">
        <f t="shared" si="20"/>
        <v>0</v>
      </c>
      <c r="AD18" s="6">
        <f t="shared" si="20"/>
        <v>0</v>
      </c>
      <c r="AE18" s="6">
        <f t="shared" si="20"/>
        <v>0</v>
      </c>
      <c r="AF18" s="6">
        <f t="shared" si="20"/>
        <v>0</v>
      </c>
      <c r="AG18" s="6">
        <f t="shared" si="20"/>
        <v>0</v>
      </c>
      <c r="AH18" s="6">
        <f t="shared" si="20"/>
        <v>0</v>
      </c>
      <c r="AI18" s="6">
        <f t="shared" si="20"/>
        <v>0</v>
      </c>
      <c r="AJ18" s="6">
        <f t="shared" si="20"/>
        <v>0</v>
      </c>
      <c r="AK18" s="6">
        <f t="shared" si="20"/>
        <v>0</v>
      </c>
      <c r="AL18" s="6">
        <f t="shared" si="20"/>
        <v>0</v>
      </c>
      <c r="AM18" s="6">
        <f t="shared" si="20"/>
        <v>0</v>
      </c>
      <c r="AN18" s="6">
        <f t="shared" si="20"/>
        <v>0</v>
      </c>
      <c r="AO18" s="6">
        <f t="shared" si="20"/>
        <v>0</v>
      </c>
      <c r="AP18" s="197">
        <f t="shared" si="20"/>
        <v>0</v>
      </c>
      <c r="AQ18" s="6">
        <f t="shared" ref="AQ18:AY18" si="21">AQ19+AQ20+AQ21</f>
        <v>0</v>
      </c>
      <c r="AR18" s="6">
        <f t="shared" ref="AR18" si="22">AR19+AR20+AR21</f>
        <v>0</v>
      </c>
      <c r="AS18" s="6">
        <f t="shared" ref="AS18:AT18" si="23">AS19+AS20+AS21</f>
        <v>0</v>
      </c>
      <c r="AT18" s="6">
        <f t="shared" si="23"/>
        <v>0</v>
      </c>
      <c r="AU18" s="6">
        <f t="shared" ref="AU18" si="24">AU19+AU20+AU21</f>
        <v>0</v>
      </c>
      <c r="AV18" s="6">
        <f t="shared" si="21"/>
        <v>0</v>
      </c>
      <c r="AW18" s="6">
        <f t="shared" si="21"/>
        <v>0</v>
      </c>
      <c r="AX18" s="6">
        <f t="shared" si="21"/>
        <v>0</v>
      </c>
      <c r="AY18" s="6">
        <f t="shared" si="21"/>
        <v>0</v>
      </c>
      <c r="AZ18" s="197">
        <f t="shared" si="20"/>
        <v>0</v>
      </c>
      <c r="BA18" s="6">
        <f t="shared" si="20"/>
        <v>0</v>
      </c>
      <c r="BB18" s="6">
        <f t="shared" si="20"/>
        <v>0</v>
      </c>
      <c r="BC18" s="6">
        <f t="shared" si="20"/>
        <v>0</v>
      </c>
      <c r="BD18" s="6">
        <f t="shared" si="20"/>
        <v>0</v>
      </c>
      <c r="BE18" s="6">
        <f t="shared" ref="BE18" si="25">BE19+BE20+BE21</f>
        <v>0</v>
      </c>
      <c r="BF18" s="6">
        <f t="shared" si="20"/>
        <v>0</v>
      </c>
      <c r="BG18" s="6">
        <f t="shared" si="20"/>
        <v>0</v>
      </c>
      <c r="BH18" s="6">
        <f t="shared" si="20"/>
        <v>0</v>
      </c>
      <c r="BI18" s="6">
        <f t="shared" si="20"/>
        <v>0</v>
      </c>
      <c r="BJ18" s="6">
        <f t="shared" si="20"/>
        <v>0</v>
      </c>
      <c r="BK18" s="6">
        <f t="shared" si="20"/>
        <v>0</v>
      </c>
      <c r="BL18" s="6">
        <f t="shared" si="20"/>
        <v>0</v>
      </c>
      <c r="BM18" s="6">
        <f t="shared" si="20"/>
        <v>0</v>
      </c>
      <c r="BN18" s="6">
        <f>BN19+BN20+BN21</f>
        <v>0</v>
      </c>
      <c r="BO18" s="6">
        <f t="shared" si="20"/>
        <v>0</v>
      </c>
      <c r="BP18" s="6">
        <f t="shared" si="20"/>
        <v>0</v>
      </c>
      <c r="BQ18" s="6">
        <f t="shared" si="20"/>
        <v>0</v>
      </c>
      <c r="BR18" s="6">
        <f>BR19+BR20+BR21</f>
        <v>0</v>
      </c>
      <c r="BS18" s="6">
        <f>BS19+BS20+BS21</f>
        <v>0</v>
      </c>
      <c r="BT18" s="213">
        <f>BT19+BT20+BT21</f>
        <v>0</v>
      </c>
    </row>
    <row r="19" spans="1:74" x14ac:dyDescent="0.25">
      <c r="A19" s="210" t="s">
        <v>346</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196">
        <f>SUM(B19:AO19)</f>
        <v>0</v>
      </c>
      <c r="AQ19" s="7">
        <f>Tervezőhiv.!D232</f>
        <v>0</v>
      </c>
      <c r="AR19" s="7">
        <f>Tervezőhiv.!H232</f>
        <v>0</v>
      </c>
      <c r="AS19" s="7">
        <f>Tervezőhiv.!L232</f>
        <v>0</v>
      </c>
      <c r="AT19" s="7">
        <f>Tervezőhiv.!T232</f>
        <v>0</v>
      </c>
      <c r="AU19" s="7">
        <f>Tervezőhiv.!X232</f>
        <v>0</v>
      </c>
      <c r="AV19" s="7"/>
      <c r="AW19" s="7"/>
      <c r="AX19" s="7">
        <f>Tervezőhiv.!AN232</f>
        <v>0</v>
      </c>
      <c r="AY19" s="7"/>
      <c r="AZ19" s="196">
        <f>SUM(AQ19:AY19)</f>
        <v>0</v>
      </c>
      <c r="BA19" s="7"/>
      <c r="BB19" s="7"/>
      <c r="BC19" s="7"/>
      <c r="BD19" s="7"/>
      <c r="BE19" s="7"/>
      <c r="BF19" s="7"/>
      <c r="BG19" s="7"/>
      <c r="BH19" s="7"/>
      <c r="BI19" s="7"/>
      <c r="BJ19" s="7"/>
      <c r="BK19" s="7"/>
      <c r="BL19" s="7"/>
      <c r="BM19" s="7"/>
      <c r="BN19" s="7"/>
      <c r="BO19" s="8">
        <f t="shared" si="12"/>
        <v>0</v>
      </c>
      <c r="BP19" s="8"/>
      <c r="BQ19" s="8"/>
      <c r="BR19" s="8"/>
      <c r="BS19" s="11">
        <f t="shared" si="13"/>
        <v>0</v>
      </c>
      <c r="BT19" s="211">
        <f>AP19+AZ19+BS19</f>
        <v>0</v>
      </c>
    </row>
    <row r="20" spans="1:74" x14ac:dyDescent="0.25">
      <c r="A20" s="210" t="s">
        <v>347</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196">
        <f>SUM(B20:AO20)</f>
        <v>0</v>
      </c>
      <c r="AQ20" s="7">
        <f>Tervezőhiv.!D239</f>
        <v>0</v>
      </c>
      <c r="AR20" s="7">
        <f>Tervezőhiv.!H239</f>
        <v>0</v>
      </c>
      <c r="AS20" s="7">
        <f>Tervezőhiv.!L239</f>
        <v>0</v>
      </c>
      <c r="AT20" s="7">
        <f>Tervezőhiv.!T239</f>
        <v>0</v>
      </c>
      <c r="AU20" s="7">
        <f>Tervezőhiv.!X239</f>
        <v>0</v>
      </c>
      <c r="AV20" s="7"/>
      <c r="AW20" s="7"/>
      <c r="AX20" s="7">
        <f>Tervezőhiv.!AN239</f>
        <v>0</v>
      </c>
      <c r="AY20" s="7"/>
      <c r="AZ20" s="196">
        <f>SUM(AQ20:AY20)</f>
        <v>0</v>
      </c>
      <c r="BA20" s="7"/>
      <c r="BB20" s="7"/>
      <c r="BC20" s="7"/>
      <c r="BD20" s="7"/>
      <c r="BE20" s="7"/>
      <c r="BF20" s="7"/>
      <c r="BG20" s="7"/>
      <c r="BH20" s="7"/>
      <c r="BI20" s="7"/>
      <c r="BJ20" s="7"/>
      <c r="BK20" s="7"/>
      <c r="BL20" s="7"/>
      <c r="BM20" s="7"/>
      <c r="BN20" s="7"/>
      <c r="BO20" s="8">
        <f t="shared" si="12"/>
        <v>0</v>
      </c>
      <c r="BP20" s="8"/>
      <c r="BQ20" s="8"/>
      <c r="BR20" s="8"/>
      <c r="BS20" s="11">
        <f t="shared" si="13"/>
        <v>0</v>
      </c>
      <c r="BT20" s="211">
        <f>AP20+AZ20+BS20</f>
        <v>0</v>
      </c>
    </row>
    <row r="21" spans="1:74" s="13" customFormat="1" x14ac:dyDescent="0.25">
      <c r="A21" s="212" t="s">
        <v>348</v>
      </c>
      <c r="B21" s="6">
        <f>B22+B23+B24+B25</f>
        <v>0</v>
      </c>
      <c r="C21" s="6">
        <f t="shared" ref="C21:BQ21" si="26">C22+C23+C24+C25</f>
        <v>0</v>
      </c>
      <c r="D21" s="6">
        <f t="shared" si="26"/>
        <v>0</v>
      </c>
      <c r="E21" s="6">
        <f t="shared" si="26"/>
        <v>0</v>
      </c>
      <c r="F21" s="6">
        <f t="shared" si="26"/>
        <v>0</v>
      </c>
      <c r="G21" s="6">
        <f t="shared" si="26"/>
        <v>0</v>
      </c>
      <c r="H21" s="6">
        <f t="shared" si="26"/>
        <v>0</v>
      </c>
      <c r="I21" s="6">
        <f t="shared" si="26"/>
        <v>0</v>
      </c>
      <c r="J21" s="6">
        <f t="shared" si="26"/>
        <v>0</v>
      </c>
      <c r="K21" s="6">
        <f t="shared" si="26"/>
        <v>0</v>
      </c>
      <c r="L21" s="6">
        <f t="shared" si="26"/>
        <v>0</v>
      </c>
      <c r="M21" s="6">
        <f t="shared" si="26"/>
        <v>0</v>
      </c>
      <c r="N21" s="6">
        <f t="shared" si="26"/>
        <v>0</v>
      </c>
      <c r="O21" s="6">
        <f t="shared" si="26"/>
        <v>0</v>
      </c>
      <c r="P21" s="6">
        <f>P22+P23+P24+P25</f>
        <v>0</v>
      </c>
      <c r="Q21" s="6">
        <f t="shared" si="26"/>
        <v>0</v>
      </c>
      <c r="R21" s="6">
        <f t="shared" si="26"/>
        <v>0</v>
      </c>
      <c r="S21" s="6">
        <f t="shared" si="26"/>
        <v>0</v>
      </c>
      <c r="T21" s="6">
        <f t="shared" si="26"/>
        <v>0</v>
      </c>
      <c r="U21" s="6">
        <f t="shared" si="26"/>
        <v>0</v>
      </c>
      <c r="V21" s="6">
        <f t="shared" si="26"/>
        <v>0</v>
      </c>
      <c r="W21" s="6">
        <f t="shared" si="26"/>
        <v>0</v>
      </c>
      <c r="X21" s="6">
        <f t="shared" si="26"/>
        <v>0</v>
      </c>
      <c r="Y21" s="6">
        <f t="shared" si="26"/>
        <v>0</v>
      </c>
      <c r="Z21" s="6">
        <f t="shared" si="26"/>
        <v>0</v>
      </c>
      <c r="AA21" s="6">
        <f t="shared" si="26"/>
        <v>0</v>
      </c>
      <c r="AB21" s="6">
        <f t="shared" si="26"/>
        <v>0</v>
      </c>
      <c r="AC21" s="6">
        <f t="shared" si="26"/>
        <v>0</v>
      </c>
      <c r="AD21" s="6">
        <f t="shared" si="26"/>
        <v>0</v>
      </c>
      <c r="AE21" s="6">
        <f t="shared" si="26"/>
        <v>0</v>
      </c>
      <c r="AF21" s="6">
        <f t="shared" si="26"/>
        <v>0</v>
      </c>
      <c r="AG21" s="6">
        <f t="shared" si="26"/>
        <v>0</v>
      </c>
      <c r="AH21" s="6">
        <f t="shared" si="26"/>
        <v>0</v>
      </c>
      <c r="AI21" s="6">
        <f t="shared" si="26"/>
        <v>0</v>
      </c>
      <c r="AJ21" s="6">
        <f t="shared" si="26"/>
        <v>0</v>
      </c>
      <c r="AK21" s="6">
        <f t="shared" si="26"/>
        <v>0</v>
      </c>
      <c r="AL21" s="6">
        <f t="shared" si="26"/>
        <v>0</v>
      </c>
      <c r="AM21" s="6">
        <f t="shared" si="26"/>
        <v>0</v>
      </c>
      <c r="AN21" s="6">
        <f t="shared" si="26"/>
        <v>0</v>
      </c>
      <c r="AO21" s="6">
        <f t="shared" si="26"/>
        <v>0</v>
      </c>
      <c r="AP21" s="197">
        <f t="shared" si="26"/>
        <v>0</v>
      </c>
      <c r="AQ21" s="6">
        <f t="shared" ref="AQ21:AY21" si="27">AQ22+AQ23+AQ24+AQ25</f>
        <v>0</v>
      </c>
      <c r="AR21" s="6">
        <f t="shared" ref="AR21" si="28">AR22+AR23+AR24+AR25</f>
        <v>0</v>
      </c>
      <c r="AS21" s="6">
        <f t="shared" ref="AS21:AT21" si="29">AS22+AS23+AS24+AS25</f>
        <v>0</v>
      </c>
      <c r="AT21" s="6">
        <f t="shared" si="29"/>
        <v>0</v>
      </c>
      <c r="AU21" s="6">
        <f t="shared" ref="AU21" si="30">AU22+AU23+AU24+AU25</f>
        <v>0</v>
      </c>
      <c r="AV21" s="6">
        <f t="shared" si="27"/>
        <v>0</v>
      </c>
      <c r="AW21" s="6">
        <f t="shared" si="27"/>
        <v>0</v>
      </c>
      <c r="AX21" s="6">
        <f t="shared" si="27"/>
        <v>0</v>
      </c>
      <c r="AY21" s="6">
        <f t="shared" si="27"/>
        <v>0</v>
      </c>
      <c r="AZ21" s="197">
        <f t="shared" si="26"/>
        <v>0</v>
      </c>
      <c r="BA21" s="6">
        <f t="shared" si="26"/>
        <v>0</v>
      </c>
      <c r="BB21" s="6">
        <f t="shared" si="26"/>
        <v>0</v>
      </c>
      <c r="BC21" s="6">
        <f t="shared" si="26"/>
        <v>0</v>
      </c>
      <c r="BD21" s="6">
        <f t="shared" si="26"/>
        <v>0</v>
      </c>
      <c r="BE21" s="6">
        <f t="shared" ref="BE21" si="31">BE22+BE23+BE24+BE25</f>
        <v>0</v>
      </c>
      <c r="BF21" s="6">
        <f t="shared" si="26"/>
        <v>0</v>
      </c>
      <c r="BG21" s="6">
        <f t="shared" si="26"/>
        <v>0</v>
      </c>
      <c r="BH21" s="6">
        <f t="shared" si="26"/>
        <v>0</v>
      </c>
      <c r="BI21" s="6">
        <f t="shared" si="26"/>
        <v>0</v>
      </c>
      <c r="BJ21" s="6">
        <f t="shared" si="26"/>
        <v>0</v>
      </c>
      <c r="BK21" s="6">
        <f t="shared" si="26"/>
        <v>0</v>
      </c>
      <c r="BL21" s="6">
        <f t="shared" si="26"/>
        <v>0</v>
      </c>
      <c r="BM21" s="6">
        <f t="shared" si="26"/>
        <v>0</v>
      </c>
      <c r="BN21" s="6">
        <f>BN22+BN23+BN24+BN25</f>
        <v>0</v>
      </c>
      <c r="BO21" s="6">
        <f t="shared" si="26"/>
        <v>0</v>
      </c>
      <c r="BP21" s="6">
        <f t="shared" si="26"/>
        <v>0</v>
      </c>
      <c r="BQ21" s="6">
        <f t="shared" si="26"/>
        <v>0</v>
      </c>
      <c r="BR21" s="6">
        <f>BR22+BR23+BR24+BR25</f>
        <v>0</v>
      </c>
      <c r="BS21" s="6">
        <f>BS22+BS23+BS24+BS25</f>
        <v>0</v>
      </c>
      <c r="BT21" s="213">
        <f>BT22+BT23+BT24+BT25</f>
        <v>0</v>
      </c>
    </row>
    <row r="22" spans="1:74" x14ac:dyDescent="0.25">
      <c r="A22" s="210" t="s">
        <v>349</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196">
        <f>SUM(B22:AO22)</f>
        <v>0</v>
      </c>
      <c r="AQ22" s="7"/>
      <c r="AR22" s="7"/>
      <c r="AS22" s="7"/>
      <c r="AT22" s="7"/>
      <c r="AU22" s="7"/>
      <c r="AV22" s="7"/>
      <c r="AW22" s="7"/>
      <c r="AX22" s="7"/>
      <c r="AY22" s="7"/>
      <c r="AZ22" s="196">
        <f>SUM(AQ22:AY22)</f>
        <v>0</v>
      </c>
      <c r="BA22" s="7"/>
      <c r="BB22" s="7"/>
      <c r="BC22" s="7"/>
      <c r="BD22" s="7"/>
      <c r="BE22" s="7"/>
      <c r="BF22" s="7"/>
      <c r="BG22" s="7"/>
      <c r="BH22" s="7"/>
      <c r="BI22" s="7"/>
      <c r="BJ22" s="7"/>
      <c r="BK22" s="7"/>
      <c r="BL22" s="7"/>
      <c r="BM22" s="7"/>
      <c r="BN22" s="7"/>
      <c r="BO22" s="8">
        <f t="shared" si="12"/>
        <v>0</v>
      </c>
      <c r="BP22" s="8"/>
      <c r="BQ22" s="8"/>
      <c r="BR22" s="8"/>
      <c r="BS22" s="11">
        <f t="shared" si="13"/>
        <v>0</v>
      </c>
      <c r="BT22" s="211">
        <f>AP22+AZ22+BS22</f>
        <v>0</v>
      </c>
    </row>
    <row r="23" spans="1:74" x14ac:dyDescent="0.25">
      <c r="A23" s="210" t="s">
        <v>350</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196">
        <f>SUM(B23:AO23)</f>
        <v>0</v>
      </c>
      <c r="AQ23" s="7">
        <f>Tervezőhiv.!D245</f>
        <v>0</v>
      </c>
      <c r="AR23" s="7">
        <f>Tervezőhiv.!H245</f>
        <v>0</v>
      </c>
      <c r="AS23" s="7">
        <f>Tervezőhiv.!L245</f>
        <v>0</v>
      </c>
      <c r="AT23" s="7">
        <f>Tervezőhiv.!T245</f>
        <v>0</v>
      </c>
      <c r="AU23" s="7">
        <f>Tervezőhiv.!X245</f>
        <v>0</v>
      </c>
      <c r="AV23" s="7"/>
      <c r="AW23" s="7"/>
      <c r="AX23" s="7">
        <f>Tervezőhiv.!AN245</f>
        <v>0</v>
      </c>
      <c r="AY23" s="7"/>
      <c r="AZ23" s="196">
        <f>SUM(AQ23:AY23)</f>
        <v>0</v>
      </c>
      <c r="BA23" s="7"/>
      <c r="BB23" s="7"/>
      <c r="BC23" s="7"/>
      <c r="BD23" s="7"/>
      <c r="BE23" s="7"/>
      <c r="BF23" s="7"/>
      <c r="BG23" s="7"/>
      <c r="BH23" s="7"/>
      <c r="BI23" s="7"/>
      <c r="BJ23" s="7"/>
      <c r="BK23" s="7"/>
      <c r="BL23" s="7"/>
      <c r="BM23" s="7"/>
      <c r="BN23" s="7"/>
      <c r="BO23" s="8">
        <f t="shared" si="12"/>
        <v>0</v>
      </c>
      <c r="BP23" s="8"/>
      <c r="BQ23" s="8"/>
      <c r="BR23" s="8"/>
      <c r="BS23" s="11">
        <f t="shared" si="13"/>
        <v>0</v>
      </c>
      <c r="BT23" s="211">
        <f>AP23+AZ23+BS23</f>
        <v>0</v>
      </c>
    </row>
    <row r="24" spans="1:74" x14ac:dyDescent="0.25">
      <c r="A24" s="210" t="s">
        <v>351</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196">
        <f>SUM(B24:AO24)</f>
        <v>0</v>
      </c>
      <c r="AQ24" s="7">
        <f>Tervezőhiv.!D250</f>
        <v>0</v>
      </c>
      <c r="AR24" s="7">
        <f>Tervezőhiv.!H250</f>
        <v>0</v>
      </c>
      <c r="AS24" s="7">
        <f>Tervezőhiv.!L250</f>
        <v>0</v>
      </c>
      <c r="AT24" s="7">
        <f>Tervezőhiv.!T250</f>
        <v>0</v>
      </c>
      <c r="AU24" s="7">
        <f>Tervezőhiv.!X250</f>
        <v>0</v>
      </c>
      <c r="AV24" s="7"/>
      <c r="AW24" s="7"/>
      <c r="AX24" s="7">
        <f>Tervezőhiv.!AN250</f>
        <v>0</v>
      </c>
      <c r="AY24" s="7"/>
      <c r="AZ24" s="196">
        <f>SUM(AQ24:AY24)</f>
        <v>0</v>
      </c>
      <c r="BA24" s="7"/>
      <c r="BB24" s="7"/>
      <c r="BC24" s="7"/>
      <c r="BD24" s="7"/>
      <c r="BE24" s="7"/>
      <c r="BF24" s="7"/>
      <c r="BG24" s="7"/>
      <c r="BH24" s="7"/>
      <c r="BI24" s="7"/>
      <c r="BJ24" s="7"/>
      <c r="BK24" s="7"/>
      <c r="BL24" s="7"/>
      <c r="BM24" s="7"/>
      <c r="BN24" s="7"/>
      <c r="BO24" s="8">
        <f t="shared" si="12"/>
        <v>0</v>
      </c>
      <c r="BP24" s="8"/>
      <c r="BQ24" s="8"/>
      <c r="BR24" s="8"/>
      <c r="BS24" s="11">
        <f t="shared" si="13"/>
        <v>0</v>
      </c>
      <c r="BT24" s="211">
        <f>AP24+AZ24+BS24</f>
        <v>0</v>
      </c>
    </row>
    <row r="25" spans="1:74" x14ac:dyDescent="0.25">
      <c r="A25" s="210" t="s">
        <v>352</v>
      </c>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196">
        <f>SUM(B25:AO25)</f>
        <v>0</v>
      </c>
      <c r="AQ25" s="7"/>
      <c r="AR25" s="7"/>
      <c r="AS25" s="7"/>
      <c r="AT25" s="7"/>
      <c r="AU25" s="7"/>
      <c r="AV25" s="7"/>
      <c r="AW25" s="7"/>
      <c r="AX25" s="7"/>
      <c r="AY25" s="7"/>
      <c r="AZ25" s="196">
        <f>SUM(AQ25:AY25)</f>
        <v>0</v>
      </c>
      <c r="BA25" s="7"/>
      <c r="BB25" s="7"/>
      <c r="BC25" s="7"/>
      <c r="BD25" s="7"/>
      <c r="BE25" s="7"/>
      <c r="BF25" s="7"/>
      <c r="BG25" s="7"/>
      <c r="BH25" s="7"/>
      <c r="BI25" s="7"/>
      <c r="BJ25" s="7"/>
      <c r="BK25" s="7"/>
      <c r="BL25" s="7"/>
      <c r="BM25" s="7"/>
      <c r="BN25" s="7"/>
      <c r="BO25" s="8">
        <f t="shared" si="12"/>
        <v>0</v>
      </c>
      <c r="BP25" s="8"/>
      <c r="BQ25" s="8"/>
      <c r="BR25" s="8"/>
      <c r="BS25" s="11">
        <f t="shared" si="13"/>
        <v>0</v>
      </c>
      <c r="BT25" s="211">
        <f>AP25+AZ25+BS25</f>
        <v>0</v>
      </c>
    </row>
    <row r="26" spans="1:74" s="13" customFormat="1" ht="13.8" thickBot="1" x14ac:dyDescent="0.3">
      <c r="A26" s="214" t="s">
        <v>353</v>
      </c>
      <c r="B26" s="36">
        <f>B7+B18</f>
        <v>0</v>
      </c>
      <c r="C26" s="36">
        <f t="shared" ref="C26:BQ26" si="32">C7+C18</f>
        <v>0</v>
      </c>
      <c r="D26" s="36">
        <f t="shared" si="32"/>
        <v>0</v>
      </c>
      <c r="E26" s="36">
        <f t="shared" si="32"/>
        <v>0</v>
      </c>
      <c r="F26" s="36">
        <f t="shared" si="32"/>
        <v>0</v>
      </c>
      <c r="G26" s="36">
        <f t="shared" si="32"/>
        <v>0</v>
      </c>
      <c r="H26" s="36">
        <f t="shared" si="32"/>
        <v>0</v>
      </c>
      <c r="I26" s="36">
        <f t="shared" si="32"/>
        <v>0</v>
      </c>
      <c r="J26" s="36">
        <f t="shared" si="32"/>
        <v>0</v>
      </c>
      <c r="K26" s="36">
        <f t="shared" si="32"/>
        <v>0</v>
      </c>
      <c r="L26" s="36">
        <f t="shared" si="32"/>
        <v>0</v>
      </c>
      <c r="M26" s="36">
        <f t="shared" si="32"/>
        <v>0</v>
      </c>
      <c r="N26" s="36">
        <f t="shared" si="32"/>
        <v>0</v>
      </c>
      <c r="O26" s="36">
        <f t="shared" si="32"/>
        <v>0</v>
      </c>
      <c r="P26" s="36">
        <f>P7+P18</f>
        <v>0</v>
      </c>
      <c r="Q26" s="36">
        <f t="shared" si="32"/>
        <v>0</v>
      </c>
      <c r="R26" s="36">
        <f t="shared" si="32"/>
        <v>0</v>
      </c>
      <c r="S26" s="36">
        <f t="shared" si="32"/>
        <v>0</v>
      </c>
      <c r="T26" s="36">
        <f t="shared" si="32"/>
        <v>0</v>
      </c>
      <c r="U26" s="36">
        <f t="shared" si="32"/>
        <v>0</v>
      </c>
      <c r="V26" s="36">
        <f t="shared" si="32"/>
        <v>0</v>
      </c>
      <c r="W26" s="36">
        <f t="shared" si="32"/>
        <v>0</v>
      </c>
      <c r="X26" s="36">
        <f t="shared" si="32"/>
        <v>0</v>
      </c>
      <c r="Y26" s="36">
        <f t="shared" si="32"/>
        <v>0</v>
      </c>
      <c r="Z26" s="36">
        <f t="shared" si="32"/>
        <v>0</v>
      </c>
      <c r="AA26" s="36">
        <f t="shared" si="32"/>
        <v>0</v>
      </c>
      <c r="AB26" s="36">
        <f t="shared" si="32"/>
        <v>0</v>
      </c>
      <c r="AC26" s="36">
        <f t="shared" si="32"/>
        <v>0</v>
      </c>
      <c r="AD26" s="36">
        <f t="shared" si="32"/>
        <v>0</v>
      </c>
      <c r="AE26" s="36">
        <f t="shared" si="32"/>
        <v>0</v>
      </c>
      <c r="AF26" s="36">
        <f t="shared" si="32"/>
        <v>0</v>
      </c>
      <c r="AG26" s="36">
        <f t="shared" si="32"/>
        <v>0</v>
      </c>
      <c r="AH26" s="36">
        <f t="shared" si="32"/>
        <v>0</v>
      </c>
      <c r="AI26" s="36">
        <f t="shared" si="32"/>
        <v>0</v>
      </c>
      <c r="AJ26" s="36">
        <f t="shared" si="32"/>
        <v>0</v>
      </c>
      <c r="AK26" s="36">
        <f t="shared" si="32"/>
        <v>0</v>
      </c>
      <c r="AL26" s="36">
        <f t="shared" si="32"/>
        <v>0</v>
      </c>
      <c r="AM26" s="36">
        <f t="shared" si="32"/>
        <v>0</v>
      </c>
      <c r="AN26" s="36">
        <f t="shared" si="32"/>
        <v>0</v>
      </c>
      <c r="AO26" s="36">
        <f t="shared" si="32"/>
        <v>0</v>
      </c>
      <c r="AP26" s="198">
        <f t="shared" si="32"/>
        <v>0</v>
      </c>
      <c r="AQ26" s="36">
        <f t="shared" ref="AQ26:AY26" si="33">AQ7+AQ18</f>
        <v>12303</v>
      </c>
      <c r="AR26" s="36">
        <f t="shared" ref="AR26" si="34">AR7+AR18</f>
        <v>5789</v>
      </c>
      <c r="AS26" s="36">
        <f t="shared" ref="AS26:AT26" si="35">AS7+AS18</f>
        <v>5440</v>
      </c>
      <c r="AT26" s="36">
        <f t="shared" si="35"/>
        <v>1500</v>
      </c>
      <c r="AU26" s="36">
        <f t="shared" ref="AU26" si="36">AU7+AU18</f>
        <v>500</v>
      </c>
      <c r="AV26" s="36">
        <f t="shared" si="33"/>
        <v>0</v>
      </c>
      <c r="AW26" s="36">
        <f t="shared" si="33"/>
        <v>0</v>
      </c>
      <c r="AX26" s="36">
        <f t="shared" si="33"/>
        <v>244610</v>
      </c>
      <c r="AY26" s="36">
        <f t="shared" si="33"/>
        <v>0</v>
      </c>
      <c r="AZ26" s="198">
        <f t="shared" si="32"/>
        <v>270142</v>
      </c>
      <c r="BA26" s="36">
        <f t="shared" si="32"/>
        <v>0</v>
      </c>
      <c r="BB26" s="36">
        <f t="shared" si="32"/>
        <v>0</v>
      </c>
      <c r="BC26" s="36">
        <f t="shared" si="32"/>
        <v>0</v>
      </c>
      <c r="BD26" s="36">
        <f t="shared" si="32"/>
        <v>0</v>
      </c>
      <c r="BE26" s="36">
        <f t="shared" ref="BE26" si="37">BE7+BE18</f>
        <v>0</v>
      </c>
      <c r="BF26" s="36">
        <f t="shared" si="32"/>
        <v>0</v>
      </c>
      <c r="BG26" s="36">
        <f t="shared" si="32"/>
        <v>0</v>
      </c>
      <c r="BH26" s="36">
        <f t="shared" si="32"/>
        <v>0</v>
      </c>
      <c r="BI26" s="36">
        <f t="shared" si="32"/>
        <v>0</v>
      </c>
      <c r="BJ26" s="36">
        <f t="shared" si="32"/>
        <v>0</v>
      </c>
      <c r="BK26" s="36">
        <f t="shared" si="32"/>
        <v>0</v>
      </c>
      <c r="BL26" s="36">
        <f t="shared" si="32"/>
        <v>0</v>
      </c>
      <c r="BM26" s="36">
        <f t="shared" si="32"/>
        <v>0</v>
      </c>
      <c r="BN26" s="36">
        <f>BN7+BN18</f>
        <v>0</v>
      </c>
      <c r="BO26" s="36">
        <f t="shared" si="32"/>
        <v>0</v>
      </c>
      <c r="BP26" s="36">
        <f t="shared" si="32"/>
        <v>0</v>
      </c>
      <c r="BQ26" s="36">
        <f t="shared" si="32"/>
        <v>0</v>
      </c>
      <c r="BR26" s="36">
        <f>BR7+BR18</f>
        <v>0</v>
      </c>
      <c r="BS26" s="36">
        <f>BS7+BS18</f>
        <v>0</v>
      </c>
      <c r="BT26" s="215">
        <f>BT7+BT18</f>
        <v>270142</v>
      </c>
    </row>
    <row r="27" spans="1:74" s="13" customFormat="1" ht="16.2" thickBot="1" x14ac:dyDescent="0.3">
      <c r="A27" s="207" t="s">
        <v>489</v>
      </c>
      <c r="B27" s="37">
        <f>B52+B61</f>
        <v>0</v>
      </c>
      <c r="C27" s="37">
        <f t="shared" ref="C27:BQ27" si="38">C52+C61</f>
        <v>0</v>
      </c>
      <c r="D27" s="37">
        <f t="shared" si="38"/>
        <v>0</v>
      </c>
      <c r="E27" s="37">
        <f t="shared" si="38"/>
        <v>0</v>
      </c>
      <c r="F27" s="37">
        <f t="shared" si="38"/>
        <v>0</v>
      </c>
      <c r="G27" s="37">
        <f t="shared" si="38"/>
        <v>0</v>
      </c>
      <c r="H27" s="37">
        <f t="shared" si="38"/>
        <v>0</v>
      </c>
      <c r="I27" s="37">
        <f t="shared" si="38"/>
        <v>0</v>
      </c>
      <c r="J27" s="37">
        <f t="shared" si="38"/>
        <v>0</v>
      </c>
      <c r="K27" s="37">
        <f t="shared" si="38"/>
        <v>0</v>
      </c>
      <c r="L27" s="37">
        <f t="shared" si="38"/>
        <v>0</v>
      </c>
      <c r="M27" s="37">
        <f t="shared" si="38"/>
        <v>0</v>
      </c>
      <c r="N27" s="37">
        <f t="shared" si="38"/>
        <v>0</v>
      </c>
      <c r="O27" s="37">
        <f t="shared" si="38"/>
        <v>0</v>
      </c>
      <c r="P27" s="37">
        <f>P52+P61</f>
        <v>0</v>
      </c>
      <c r="Q27" s="37">
        <f t="shared" si="38"/>
        <v>0</v>
      </c>
      <c r="R27" s="37">
        <f t="shared" si="38"/>
        <v>0</v>
      </c>
      <c r="S27" s="37">
        <f t="shared" si="38"/>
        <v>0</v>
      </c>
      <c r="T27" s="37">
        <f t="shared" si="38"/>
        <v>0</v>
      </c>
      <c r="U27" s="37">
        <f t="shared" si="38"/>
        <v>0</v>
      </c>
      <c r="V27" s="37">
        <f t="shared" si="38"/>
        <v>0</v>
      </c>
      <c r="W27" s="37">
        <f t="shared" si="38"/>
        <v>0</v>
      </c>
      <c r="X27" s="37">
        <f t="shared" si="38"/>
        <v>0</v>
      </c>
      <c r="Y27" s="37">
        <f t="shared" si="38"/>
        <v>0</v>
      </c>
      <c r="Z27" s="37">
        <f t="shared" si="38"/>
        <v>0</v>
      </c>
      <c r="AA27" s="37">
        <f t="shared" si="38"/>
        <v>0</v>
      </c>
      <c r="AB27" s="37">
        <f t="shared" si="38"/>
        <v>0</v>
      </c>
      <c r="AC27" s="37">
        <f t="shared" si="38"/>
        <v>0</v>
      </c>
      <c r="AD27" s="37">
        <f t="shared" si="38"/>
        <v>0</v>
      </c>
      <c r="AE27" s="37">
        <f t="shared" si="38"/>
        <v>0</v>
      </c>
      <c r="AF27" s="37">
        <f t="shared" si="38"/>
        <v>0</v>
      </c>
      <c r="AG27" s="37">
        <f t="shared" si="38"/>
        <v>0</v>
      </c>
      <c r="AH27" s="37">
        <f t="shared" si="38"/>
        <v>0</v>
      </c>
      <c r="AI27" s="37">
        <f t="shared" si="38"/>
        <v>0</v>
      </c>
      <c r="AJ27" s="37">
        <f t="shared" si="38"/>
        <v>0</v>
      </c>
      <c r="AK27" s="37">
        <f t="shared" si="38"/>
        <v>0</v>
      </c>
      <c r="AL27" s="37">
        <f t="shared" si="38"/>
        <v>0</v>
      </c>
      <c r="AM27" s="37">
        <f t="shared" si="38"/>
        <v>0</v>
      </c>
      <c r="AN27" s="37">
        <f t="shared" si="38"/>
        <v>0</v>
      </c>
      <c r="AO27" s="37">
        <f t="shared" si="38"/>
        <v>0</v>
      </c>
      <c r="AP27" s="199">
        <f t="shared" si="38"/>
        <v>0</v>
      </c>
      <c r="AQ27" s="37">
        <f t="shared" ref="AQ27:AY27" si="39">AQ52+AQ61</f>
        <v>12303</v>
      </c>
      <c r="AR27" s="37">
        <f t="shared" ref="AR27" si="40">AR52+AR61</f>
        <v>5789</v>
      </c>
      <c r="AS27" s="37">
        <f t="shared" ref="AS27:AT27" si="41">AS52+AS61</f>
        <v>5440</v>
      </c>
      <c r="AT27" s="37">
        <f t="shared" si="41"/>
        <v>1500</v>
      </c>
      <c r="AU27" s="37">
        <f t="shared" ref="AU27" si="42">AU52+AU61</f>
        <v>500</v>
      </c>
      <c r="AV27" s="37">
        <f t="shared" si="39"/>
        <v>0</v>
      </c>
      <c r="AW27" s="37">
        <f t="shared" si="39"/>
        <v>0</v>
      </c>
      <c r="AX27" s="37">
        <f t="shared" si="39"/>
        <v>244610</v>
      </c>
      <c r="AY27" s="37">
        <f t="shared" si="39"/>
        <v>0</v>
      </c>
      <c r="AZ27" s="199">
        <f t="shared" si="38"/>
        <v>270142</v>
      </c>
      <c r="BA27" s="37">
        <f t="shared" si="38"/>
        <v>0</v>
      </c>
      <c r="BB27" s="37">
        <f t="shared" si="38"/>
        <v>0</v>
      </c>
      <c r="BC27" s="37">
        <f t="shared" si="38"/>
        <v>0</v>
      </c>
      <c r="BD27" s="37">
        <f t="shared" si="38"/>
        <v>0</v>
      </c>
      <c r="BE27" s="37">
        <f t="shared" ref="BE27" si="43">BE52+BE61</f>
        <v>0</v>
      </c>
      <c r="BF27" s="37">
        <f t="shared" si="38"/>
        <v>0</v>
      </c>
      <c r="BG27" s="37">
        <f t="shared" si="38"/>
        <v>0</v>
      </c>
      <c r="BH27" s="37">
        <f t="shared" si="38"/>
        <v>0</v>
      </c>
      <c r="BI27" s="37">
        <f t="shared" si="38"/>
        <v>0</v>
      </c>
      <c r="BJ27" s="37">
        <f t="shared" si="38"/>
        <v>0</v>
      </c>
      <c r="BK27" s="37">
        <f t="shared" si="38"/>
        <v>0</v>
      </c>
      <c r="BL27" s="37">
        <f t="shared" si="38"/>
        <v>0</v>
      </c>
      <c r="BM27" s="37">
        <f t="shared" si="38"/>
        <v>0</v>
      </c>
      <c r="BN27" s="37">
        <f>BN52+BN61</f>
        <v>0</v>
      </c>
      <c r="BO27" s="37">
        <f t="shared" si="38"/>
        <v>0</v>
      </c>
      <c r="BP27" s="37">
        <f t="shared" si="38"/>
        <v>0</v>
      </c>
      <c r="BQ27" s="37">
        <f t="shared" si="38"/>
        <v>0</v>
      </c>
      <c r="BR27" s="37">
        <f>BR52+BR61</f>
        <v>0</v>
      </c>
      <c r="BS27" s="37">
        <f>BS52+BS61</f>
        <v>0</v>
      </c>
      <c r="BT27" s="216">
        <f>BT52+BT61</f>
        <v>270142</v>
      </c>
    </row>
    <row r="28" spans="1:74" s="13" customFormat="1" x14ac:dyDescent="0.25">
      <c r="A28" s="208" t="s">
        <v>354</v>
      </c>
      <c r="B28" s="35">
        <f>B29+B35+B36+B37</f>
        <v>0</v>
      </c>
      <c r="C28" s="35">
        <f t="shared" ref="C28:BQ28" si="44">C29+C35+C36+C37</f>
        <v>0</v>
      </c>
      <c r="D28" s="35">
        <f t="shared" si="44"/>
        <v>0</v>
      </c>
      <c r="E28" s="35">
        <f t="shared" si="44"/>
        <v>0</v>
      </c>
      <c r="F28" s="35">
        <f t="shared" si="44"/>
        <v>0</v>
      </c>
      <c r="G28" s="35">
        <f t="shared" si="44"/>
        <v>0</v>
      </c>
      <c r="H28" s="35">
        <f t="shared" si="44"/>
        <v>0</v>
      </c>
      <c r="I28" s="35">
        <f t="shared" si="44"/>
        <v>0</v>
      </c>
      <c r="J28" s="35">
        <f t="shared" si="44"/>
        <v>0</v>
      </c>
      <c r="K28" s="35">
        <f t="shared" si="44"/>
        <v>0</v>
      </c>
      <c r="L28" s="35">
        <f t="shared" si="44"/>
        <v>0</v>
      </c>
      <c r="M28" s="35">
        <f t="shared" si="44"/>
        <v>0</v>
      </c>
      <c r="N28" s="35">
        <f t="shared" si="44"/>
        <v>0</v>
      </c>
      <c r="O28" s="35">
        <f t="shared" si="44"/>
        <v>0</v>
      </c>
      <c r="P28" s="35">
        <f>P29+P35+P36+P37</f>
        <v>0</v>
      </c>
      <c r="Q28" s="35">
        <f t="shared" si="44"/>
        <v>0</v>
      </c>
      <c r="R28" s="35">
        <f t="shared" si="44"/>
        <v>0</v>
      </c>
      <c r="S28" s="35">
        <f t="shared" si="44"/>
        <v>0</v>
      </c>
      <c r="T28" s="35">
        <f t="shared" si="44"/>
        <v>0</v>
      </c>
      <c r="U28" s="35">
        <f t="shared" si="44"/>
        <v>0</v>
      </c>
      <c r="V28" s="35">
        <f t="shared" si="44"/>
        <v>0</v>
      </c>
      <c r="W28" s="35">
        <f t="shared" si="44"/>
        <v>0</v>
      </c>
      <c r="X28" s="35">
        <f t="shared" si="44"/>
        <v>0</v>
      </c>
      <c r="Y28" s="35">
        <f t="shared" si="44"/>
        <v>0</v>
      </c>
      <c r="Z28" s="35">
        <f t="shared" si="44"/>
        <v>0</v>
      </c>
      <c r="AA28" s="35">
        <f t="shared" si="44"/>
        <v>0</v>
      </c>
      <c r="AB28" s="35">
        <f t="shared" si="44"/>
        <v>0</v>
      </c>
      <c r="AC28" s="35">
        <f t="shared" si="44"/>
        <v>0</v>
      </c>
      <c r="AD28" s="35">
        <f t="shared" si="44"/>
        <v>0</v>
      </c>
      <c r="AE28" s="35">
        <f t="shared" si="44"/>
        <v>0</v>
      </c>
      <c r="AF28" s="35">
        <f t="shared" si="44"/>
        <v>0</v>
      </c>
      <c r="AG28" s="35">
        <f t="shared" si="44"/>
        <v>0</v>
      </c>
      <c r="AH28" s="35">
        <f t="shared" si="44"/>
        <v>0</v>
      </c>
      <c r="AI28" s="35">
        <f t="shared" si="44"/>
        <v>0</v>
      </c>
      <c r="AJ28" s="35">
        <f t="shared" si="44"/>
        <v>0</v>
      </c>
      <c r="AK28" s="35">
        <f t="shared" si="44"/>
        <v>0</v>
      </c>
      <c r="AL28" s="35">
        <f t="shared" si="44"/>
        <v>0</v>
      </c>
      <c r="AM28" s="35">
        <f t="shared" si="44"/>
        <v>0</v>
      </c>
      <c r="AN28" s="35">
        <f t="shared" si="44"/>
        <v>0</v>
      </c>
      <c r="AO28" s="35">
        <f t="shared" si="44"/>
        <v>0</v>
      </c>
      <c r="AP28" s="195">
        <f t="shared" si="44"/>
        <v>0</v>
      </c>
      <c r="AQ28" s="35">
        <f t="shared" ref="AQ28:AY28" si="45">AQ29+AQ35+AQ36+AQ37</f>
        <v>1000</v>
      </c>
      <c r="AR28" s="35">
        <f t="shared" ref="AR28" si="46">AR29+AR35+AR36+AR37</f>
        <v>1300</v>
      </c>
      <c r="AS28" s="35">
        <f t="shared" ref="AS28:AT28" si="47">AS29+AS35+AS36+AS37</f>
        <v>1600</v>
      </c>
      <c r="AT28" s="35">
        <f t="shared" si="47"/>
        <v>0</v>
      </c>
      <c r="AU28" s="35">
        <f t="shared" ref="AU28" si="48">AU29+AU35+AU36+AU37</f>
        <v>0</v>
      </c>
      <c r="AV28" s="35">
        <f t="shared" si="45"/>
        <v>0</v>
      </c>
      <c r="AW28" s="35">
        <f t="shared" si="45"/>
        <v>0</v>
      </c>
      <c r="AX28" s="35">
        <f t="shared" si="45"/>
        <v>0</v>
      </c>
      <c r="AY28" s="35">
        <f t="shared" si="45"/>
        <v>0</v>
      </c>
      <c r="AZ28" s="195">
        <f t="shared" si="44"/>
        <v>3900</v>
      </c>
      <c r="BA28" s="35">
        <f t="shared" si="44"/>
        <v>0</v>
      </c>
      <c r="BB28" s="35">
        <f t="shared" si="44"/>
        <v>0</v>
      </c>
      <c r="BC28" s="35">
        <f t="shared" si="44"/>
        <v>0</v>
      </c>
      <c r="BD28" s="35">
        <f t="shared" si="44"/>
        <v>0</v>
      </c>
      <c r="BE28" s="35">
        <f t="shared" ref="BE28" si="49">BE29+BE35+BE36+BE37</f>
        <v>0</v>
      </c>
      <c r="BF28" s="35">
        <f t="shared" si="44"/>
        <v>0</v>
      </c>
      <c r="BG28" s="35">
        <f t="shared" si="44"/>
        <v>0</v>
      </c>
      <c r="BH28" s="35">
        <f t="shared" si="44"/>
        <v>0</v>
      </c>
      <c r="BI28" s="35">
        <f t="shared" si="44"/>
        <v>0</v>
      </c>
      <c r="BJ28" s="35">
        <f t="shared" si="44"/>
        <v>0</v>
      </c>
      <c r="BK28" s="35">
        <f t="shared" si="44"/>
        <v>0</v>
      </c>
      <c r="BL28" s="35">
        <f t="shared" si="44"/>
        <v>0</v>
      </c>
      <c r="BM28" s="35">
        <f t="shared" si="44"/>
        <v>0</v>
      </c>
      <c r="BN28" s="35">
        <f>BN29+BN35+BN36+BN37</f>
        <v>0</v>
      </c>
      <c r="BO28" s="35">
        <f t="shared" si="44"/>
        <v>0</v>
      </c>
      <c r="BP28" s="35">
        <f t="shared" si="44"/>
        <v>0</v>
      </c>
      <c r="BQ28" s="35">
        <f t="shared" si="44"/>
        <v>0</v>
      </c>
      <c r="BR28" s="35">
        <f>BR29+BR35+BR36+BR37</f>
        <v>0</v>
      </c>
      <c r="BS28" s="35">
        <f>BS29+BS35+BS36+BS37</f>
        <v>0</v>
      </c>
      <c r="BT28" s="209">
        <f>BT29+BT35+BT36+BT37</f>
        <v>3900</v>
      </c>
    </row>
    <row r="29" spans="1:74" s="13" customFormat="1" ht="26.4" x14ac:dyDescent="0.25">
      <c r="A29" s="219" t="s">
        <v>355</v>
      </c>
      <c r="B29" s="6">
        <f>B30+B31+B32+B33+B34</f>
        <v>0</v>
      </c>
      <c r="C29" s="6">
        <f t="shared" ref="C29:BQ29" si="50">C30+C31+C32+C33+C34</f>
        <v>0</v>
      </c>
      <c r="D29" s="6">
        <f t="shared" si="50"/>
        <v>0</v>
      </c>
      <c r="E29" s="6">
        <f t="shared" si="50"/>
        <v>0</v>
      </c>
      <c r="F29" s="6">
        <f t="shared" si="50"/>
        <v>0</v>
      </c>
      <c r="G29" s="6">
        <f t="shared" si="50"/>
        <v>0</v>
      </c>
      <c r="H29" s="6">
        <f t="shared" si="50"/>
        <v>0</v>
      </c>
      <c r="I29" s="6">
        <f t="shared" si="50"/>
        <v>0</v>
      </c>
      <c r="J29" s="6">
        <f t="shared" si="50"/>
        <v>0</v>
      </c>
      <c r="K29" s="6">
        <f t="shared" si="50"/>
        <v>0</v>
      </c>
      <c r="L29" s="6">
        <f t="shared" si="50"/>
        <v>0</v>
      </c>
      <c r="M29" s="6">
        <f t="shared" si="50"/>
        <v>0</v>
      </c>
      <c r="N29" s="6">
        <f t="shared" si="50"/>
        <v>0</v>
      </c>
      <c r="O29" s="6">
        <f t="shared" si="50"/>
        <v>0</v>
      </c>
      <c r="P29" s="6">
        <f>P30+P31+P32+P33+P34</f>
        <v>0</v>
      </c>
      <c r="Q29" s="6">
        <f t="shared" si="50"/>
        <v>0</v>
      </c>
      <c r="R29" s="6">
        <f t="shared" si="50"/>
        <v>0</v>
      </c>
      <c r="S29" s="6">
        <f t="shared" si="50"/>
        <v>0</v>
      </c>
      <c r="T29" s="6">
        <f t="shared" si="50"/>
        <v>0</v>
      </c>
      <c r="U29" s="6">
        <f t="shared" si="50"/>
        <v>0</v>
      </c>
      <c r="V29" s="6">
        <f t="shared" si="50"/>
        <v>0</v>
      </c>
      <c r="W29" s="6">
        <f t="shared" si="50"/>
        <v>0</v>
      </c>
      <c r="X29" s="6">
        <f t="shared" si="50"/>
        <v>0</v>
      </c>
      <c r="Y29" s="6">
        <f t="shared" si="50"/>
        <v>0</v>
      </c>
      <c r="Z29" s="6">
        <f t="shared" si="50"/>
        <v>0</v>
      </c>
      <c r="AA29" s="6">
        <f t="shared" si="50"/>
        <v>0</v>
      </c>
      <c r="AB29" s="6">
        <f t="shared" si="50"/>
        <v>0</v>
      </c>
      <c r="AC29" s="6">
        <f t="shared" si="50"/>
        <v>0</v>
      </c>
      <c r="AD29" s="6">
        <f t="shared" si="50"/>
        <v>0</v>
      </c>
      <c r="AE29" s="6">
        <f t="shared" si="50"/>
        <v>0</v>
      </c>
      <c r="AF29" s="6">
        <f t="shared" si="50"/>
        <v>0</v>
      </c>
      <c r="AG29" s="6">
        <f t="shared" si="50"/>
        <v>0</v>
      </c>
      <c r="AH29" s="6">
        <f t="shared" si="50"/>
        <v>0</v>
      </c>
      <c r="AI29" s="6">
        <f t="shared" si="50"/>
        <v>0</v>
      </c>
      <c r="AJ29" s="6">
        <f t="shared" si="50"/>
        <v>0</v>
      </c>
      <c r="AK29" s="6">
        <f t="shared" si="50"/>
        <v>0</v>
      </c>
      <c r="AL29" s="6">
        <f t="shared" si="50"/>
        <v>0</v>
      </c>
      <c r="AM29" s="6">
        <f t="shared" si="50"/>
        <v>0</v>
      </c>
      <c r="AN29" s="6">
        <f t="shared" si="50"/>
        <v>0</v>
      </c>
      <c r="AO29" s="6">
        <f t="shared" si="50"/>
        <v>0</v>
      </c>
      <c r="AP29" s="197">
        <f t="shared" si="50"/>
        <v>0</v>
      </c>
      <c r="AQ29" s="6">
        <f t="shared" ref="AQ29:AY29" si="51">AQ30+AQ31+AQ32+AQ33+AQ34</f>
        <v>0</v>
      </c>
      <c r="AR29" s="6">
        <f t="shared" ref="AR29" si="52">AR30+AR31+AR32+AR33+AR34</f>
        <v>0</v>
      </c>
      <c r="AS29" s="6">
        <f t="shared" ref="AS29:AT29" si="53">AS30+AS31+AS32+AS33+AS34</f>
        <v>0</v>
      </c>
      <c r="AT29" s="6">
        <f t="shared" si="53"/>
        <v>0</v>
      </c>
      <c r="AU29" s="6">
        <f t="shared" ref="AU29" si="54">AU30+AU31+AU32+AU33+AU34</f>
        <v>0</v>
      </c>
      <c r="AV29" s="6">
        <f t="shared" si="51"/>
        <v>0</v>
      </c>
      <c r="AW29" s="6">
        <f t="shared" si="51"/>
        <v>0</v>
      </c>
      <c r="AX29" s="6">
        <f t="shared" si="51"/>
        <v>0</v>
      </c>
      <c r="AY29" s="6">
        <f t="shared" si="51"/>
        <v>0</v>
      </c>
      <c r="AZ29" s="197">
        <f t="shared" si="50"/>
        <v>0</v>
      </c>
      <c r="BA29" s="6">
        <f t="shared" si="50"/>
        <v>0</v>
      </c>
      <c r="BB29" s="6">
        <f t="shared" si="50"/>
        <v>0</v>
      </c>
      <c r="BC29" s="6">
        <f t="shared" si="50"/>
        <v>0</v>
      </c>
      <c r="BD29" s="6">
        <f t="shared" si="50"/>
        <v>0</v>
      </c>
      <c r="BE29" s="6">
        <f t="shared" ref="BE29" si="55">BE30+BE31+BE32+BE33+BE34</f>
        <v>0</v>
      </c>
      <c r="BF29" s="6">
        <f t="shared" si="50"/>
        <v>0</v>
      </c>
      <c r="BG29" s="6">
        <f t="shared" si="50"/>
        <v>0</v>
      </c>
      <c r="BH29" s="6">
        <f t="shared" si="50"/>
        <v>0</v>
      </c>
      <c r="BI29" s="6">
        <f t="shared" si="50"/>
        <v>0</v>
      </c>
      <c r="BJ29" s="6">
        <f t="shared" si="50"/>
        <v>0</v>
      </c>
      <c r="BK29" s="6">
        <f t="shared" si="50"/>
        <v>0</v>
      </c>
      <c r="BL29" s="6">
        <f t="shared" si="50"/>
        <v>0</v>
      </c>
      <c r="BM29" s="6">
        <f t="shared" si="50"/>
        <v>0</v>
      </c>
      <c r="BN29" s="6">
        <f>BN30+BN31+BN32+BN33+BN34</f>
        <v>0</v>
      </c>
      <c r="BO29" s="6">
        <f t="shared" si="50"/>
        <v>0</v>
      </c>
      <c r="BP29" s="6">
        <f t="shared" si="50"/>
        <v>0</v>
      </c>
      <c r="BQ29" s="6">
        <f t="shared" si="50"/>
        <v>0</v>
      </c>
      <c r="BR29" s="6">
        <f>BR30+BR31+BR32+BR33+BR34</f>
        <v>0</v>
      </c>
      <c r="BS29" s="6">
        <f>BS30+BS31+BS32+BS33+BS34</f>
        <v>0</v>
      </c>
      <c r="BT29" s="213">
        <f>BT30+BT31+BT32+BT33+BT34</f>
        <v>0</v>
      </c>
    </row>
    <row r="30" spans="1:74" x14ac:dyDescent="0.25">
      <c r="A30" s="218" t="s">
        <v>356</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196">
        <f t="shared" ref="AP30:AP36" si="56">SUM(B30:AO30)</f>
        <v>0</v>
      </c>
      <c r="AQ30" s="7"/>
      <c r="AR30" s="7"/>
      <c r="AS30" s="7"/>
      <c r="AT30" s="7"/>
      <c r="AU30" s="7"/>
      <c r="AV30" s="7"/>
      <c r="AW30" s="7"/>
      <c r="AX30" s="7"/>
      <c r="AY30" s="7"/>
      <c r="AZ30" s="196">
        <f t="shared" ref="AZ30:AZ36" si="57">SUM(AQ30:AY30)</f>
        <v>0</v>
      </c>
      <c r="BA30" s="7"/>
      <c r="BB30" s="7"/>
      <c r="BC30" s="7"/>
      <c r="BD30" s="7"/>
      <c r="BE30" s="7"/>
      <c r="BF30" s="7"/>
      <c r="BG30" s="7"/>
      <c r="BH30" s="7"/>
      <c r="BI30" s="7"/>
      <c r="BJ30" s="7"/>
      <c r="BK30" s="7"/>
      <c r="BL30" s="7"/>
      <c r="BM30" s="7"/>
      <c r="BN30" s="7"/>
      <c r="BO30" s="8">
        <f t="shared" ref="BO30:BO36" si="58">SUM(BA30:BN30)</f>
        <v>0</v>
      </c>
      <c r="BP30" s="8"/>
      <c r="BQ30" s="8"/>
      <c r="BR30" s="8"/>
      <c r="BS30" s="11">
        <f t="shared" ref="BS30:BS36" si="59">BO30+BP30+BQ30+BR30</f>
        <v>0</v>
      </c>
      <c r="BT30" s="211">
        <f t="shared" ref="BT30:BT36" si="60">AP30+AZ30+BS30</f>
        <v>0</v>
      </c>
      <c r="BU30" s="17"/>
      <c r="BV30" s="17"/>
    </row>
    <row r="31" spans="1:74" x14ac:dyDescent="0.25">
      <c r="A31" s="218" t="s">
        <v>357</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196">
        <f t="shared" si="56"/>
        <v>0</v>
      </c>
      <c r="AQ31" s="7"/>
      <c r="AR31" s="7"/>
      <c r="AS31" s="7"/>
      <c r="AT31" s="7"/>
      <c r="AU31" s="7"/>
      <c r="AV31" s="7"/>
      <c r="AW31" s="7"/>
      <c r="AX31" s="7"/>
      <c r="AY31" s="7"/>
      <c r="AZ31" s="196">
        <f t="shared" si="57"/>
        <v>0</v>
      </c>
      <c r="BA31" s="7"/>
      <c r="BB31" s="7"/>
      <c r="BC31" s="7"/>
      <c r="BD31" s="7"/>
      <c r="BE31" s="7"/>
      <c r="BF31" s="7"/>
      <c r="BG31" s="7"/>
      <c r="BH31" s="7"/>
      <c r="BI31" s="7"/>
      <c r="BJ31" s="7"/>
      <c r="BK31" s="7"/>
      <c r="BL31" s="7"/>
      <c r="BM31" s="7"/>
      <c r="BN31" s="7"/>
      <c r="BO31" s="8">
        <f t="shared" si="58"/>
        <v>0</v>
      </c>
      <c r="BP31" s="8"/>
      <c r="BQ31" s="8"/>
      <c r="BR31" s="8"/>
      <c r="BS31" s="11">
        <f t="shared" si="59"/>
        <v>0</v>
      </c>
      <c r="BT31" s="211">
        <f t="shared" si="60"/>
        <v>0</v>
      </c>
    </row>
    <row r="32" spans="1:74" x14ac:dyDescent="0.25">
      <c r="A32" s="218" t="s">
        <v>358</v>
      </c>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196">
        <f t="shared" si="56"/>
        <v>0</v>
      </c>
      <c r="AQ32" s="7"/>
      <c r="AR32" s="7"/>
      <c r="AS32" s="7"/>
      <c r="AT32" s="7"/>
      <c r="AU32" s="7"/>
      <c r="AV32" s="7"/>
      <c r="AW32" s="7"/>
      <c r="AX32" s="7"/>
      <c r="AY32" s="7"/>
      <c r="AZ32" s="196">
        <f t="shared" si="57"/>
        <v>0</v>
      </c>
      <c r="BA32" s="7"/>
      <c r="BB32" s="7"/>
      <c r="BC32" s="7"/>
      <c r="BD32" s="7"/>
      <c r="BE32" s="7"/>
      <c r="BF32" s="7"/>
      <c r="BG32" s="7"/>
      <c r="BH32" s="7"/>
      <c r="BI32" s="7"/>
      <c r="BJ32" s="7"/>
      <c r="BK32" s="7"/>
      <c r="BL32" s="7"/>
      <c r="BM32" s="7"/>
      <c r="BN32" s="7"/>
      <c r="BO32" s="8">
        <f t="shared" si="58"/>
        <v>0</v>
      </c>
      <c r="BP32" s="8"/>
      <c r="BQ32" s="8"/>
      <c r="BR32" s="8"/>
      <c r="BS32" s="11">
        <f t="shared" si="59"/>
        <v>0</v>
      </c>
      <c r="BT32" s="211">
        <f t="shared" si="60"/>
        <v>0</v>
      </c>
    </row>
    <row r="33" spans="1:72" x14ac:dyDescent="0.25">
      <c r="A33" s="218" t="s">
        <v>359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196">
        <f t="shared" si="56"/>
        <v>0</v>
      </c>
      <c r="AQ33" s="7"/>
      <c r="AR33" s="7"/>
      <c r="AS33" s="7"/>
      <c r="AT33" s="7"/>
      <c r="AU33" s="7"/>
      <c r="AV33" s="7"/>
      <c r="AW33" s="7"/>
      <c r="AX33" s="7"/>
      <c r="AY33" s="7"/>
      <c r="AZ33" s="196">
        <f t="shared" si="57"/>
        <v>0</v>
      </c>
      <c r="BA33" s="7"/>
      <c r="BB33" s="7"/>
      <c r="BC33" s="7"/>
      <c r="BD33" s="7"/>
      <c r="BE33" s="7"/>
      <c r="BF33" s="7"/>
      <c r="BG33" s="7"/>
      <c r="BH33" s="7"/>
      <c r="BI33" s="7"/>
      <c r="BJ33" s="7"/>
      <c r="BK33" s="7"/>
      <c r="BL33" s="7"/>
      <c r="BM33" s="7"/>
      <c r="BN33" s="7"/>
      <c r="BO33" s="8">
        <f t="shared" si="58"/>
        <v>0</v>
      </c>
      <c r="BP33" s="8"/>
      <c r="BQ33" s="8"/>
      <c r="BR33" s="8"/>
      <c r="BS33" s="11">
        <f t="shared" si="59"/>
        <v>0</v>
      </c>
      <c r="BT33" s="211">
        <f t="shared" si="60"/>
        <v>0</v>
      </c>
    </row>
    <row r="34" spans="1:72" x14ac:dyDescent="0.25">
      <c r="A34" s="218" t="s">
        <v>360</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196">
        <f t="shared" si="56"/>
        <v>0</v>
      </c>
      <c r="AQ34" s="7">
        <f>Tervezőhiv.!D278</f>
        <v>0</v>
      </c>
      <c r="AR34" s="7">
        <f>Tervezőhiv.!H278</f>
        <v>0</v>
      </c>
      <c r="AS34" s="7">
        <f>Tervezőhiv.!L278</f>
        <v>0</v>
      </c>
      <c r="AT34" s="7">
        <f>Tervezőhiv.!T278</f>
        <v>0</v>
      </c>
      <c r="AU34" s="7">
        <f>Tervezőhiv.!X278</f>
        <v>0</v>
      </c>
      <c r="AV34" s="7"/>
      <c r="AW34" s="7"/>
      <c r="AX34" s="7">
        <f>Tervezőhiv.!AN278</f>
        <v>0</v>
      </c>
      <c r="AY34" s="7"/>
      <c r="AZ34" s="196">
        <f t="shared" si="57"/>
        <v>0</v>
      </c>
      <c r="BA34" s="7"/>
      <c r="BB34" s="7"/>
      <c r="BC34" s="7"/>
      <c r="BD34" s="7"/>
      <c r="BE34" s="7"/>
      <c r="BF34" s="7"/>
      <c r="BG34" s="7"/>
      <c r="BH34" s="7"/>
      <c r="BI34" s="7"/>
      <c r="BJ34" s="7"/>
      <c r="BK34" s="7"/>
      <c r="BL34" s="7"/>
      <c r="BM34" s="7"/>
      <c r="BN34" s="7"/>
      <c r="BO34" s="8">
        <f t="shared" si="58"/>
        <v>0</v>
      </c>
      <c r="BP34" s="8"/>
      <c r="BQ34" s="8"/>
      <c r="BR34" s="8"/>
      <c r="BS34" s="11">
        <f t="shared" si="59"/>
        <v>0</v>
      </c>
      <c r="BT34" s="211">
        <f t="shared" si="60"/>
        <v>0</v>
      </c>
    </row>
    <row r="35" spans="1:72" x14ac:dyDescent="0.25">
      <c r="A35" s="218" t="s">
        <v>361</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196">
        <f t="shared" si="56"/>
        <v>0</v>
      </c>
      <c r="AQ35" s="7">
        <f>Tervezőhiv.!D285</f>
        <v>1000</v>
      </c>
      <c r="AR35" s="7">
        <f>Tervezőhiv.!H285</f>
        <v>1300</v>
      </c>
      <c r="AS35" s="7">
        <f>Tervezőhiv.!L285</f>
        <v>0</v>
      </c>
      <c r="AT35" s="7">
        <f>Tervezőhiv.!T285</f>
        <v>0</v>
      </c>
      <c r="AU35" s="7">
        <f>Tervezőhiv.!X285</f>
        <v>0</v>
      </c>
      <c r="AV35" s="7"/>
      <c r="AW35" s="7"/>
      <c r="AX35" s="7">
        <f>Tervezőhiv.!AN285</f>
        <v>0</v>
      </c>
      <c r="AY35" s="7"/>
      <c r="AZ35" s="196">
        <f t="shared" si="57"/>
        <v>2300</v>
      </c>
      <c r="BA35" s="7"/>
      <c r="BB35" s="7"/>
      <c r="BC35" s="7"/>
      <c r="BD35" s="7"/>
      <c r="BE35" s="7"/>
      <c r="BF35" s="7"/>
      <c r="BG35" s="7"/>
      <c r="BH35" s="7"/>
      <c r="BI35" s="7"/>
      <c r="BJ35" s="7"/>
      <c r="BK35" s="7"/>
      <c r="BL35" s="7"/>
      <c r="BM35" s="7"/>
      <c r="BN35" s="7"/>
      <c r="BO35" s="8">
        <f t="shared" si="58"/>
        <v>0</v>
      </c>
      <c r="BP35" s="8"/>
      <c r="BQ35" s="8"/>
      <c r="BR35" s="8"/>
      <c r="BS35" s="11">
        <f t="shared" si="59"/>
        <v>0</v>
      </c>
      <c r="BT35" s="211">
        <f t="shared" si="60"/>
        <v>2300</v>
      </c>
    </row>
    <row r="36" spans="1:72" x14ac:dyDescent="0.25">
      <c r="A36" s="218" t="s">
        <v>362</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196">
        <f t="shared" si="56"/>
        <v>0</v>
      </c>
      <c r="AQ36" s="7">
        <f>Tervezőhiv.!D292</f>
        <v>0</v>
      </c>
      <c r="AR36" s="7">
        <f>Tervezőhiv.!H292</f>
        <v>0</v>
      </c>
      <c r="AS36" s="7">
        <f>Tervezőhiv.!L292</f>
        <v>1600</v>
      </c>
      <c r="AT36" s="7">
        <f>Tervezőhiv.!T292</f>
        <v>0</v>
      </c>
      <c r="AU36" s="7">
        <f>Tervezőhiv.!X292</f>
        <v>0</v>
      </c>
      <c r="AV36" s="7"/>
      <c r="AW36" s="7"/>
      <c r="AX36" s="7">
        <f>Tervezőhiv.!AN292</f>
        <v>0</v>
      </c>
      <c r="AY36" s="7"/>
      <c r="AZ36" s="196">
        <f t="shared" si="57"/>
        <v>1600</v>
      </c>
      <c r="BA36" s="7"/>
      <c r="BB36" s="7"/>
      <c r="BC36" s="7"/>
      <c r="BD36" s="7"/>
      <c r="BE36" s="7"/>
      <c r="BF36" s="7"/>
      <c r="BG36" s="7"/>
      <c r="BH36" s="7"/>
      <c r="BI36" s="7"/>
      <c r="BJ36" s="7"/>
      <c r="BK36" s="7"/>
      <c r="BL36" s="7"/>
      <c r="BM36" s="7"/>
      <c r="BN36" s="7"/>
      <c r="BO36" s="8">
        <f t="shared" si="58"/>
        <v>0</v>
      </c>
      <c r="BP36" s="8"/>
      <c r="BQ36" s="8"/>
      <c r="BR36" s="8"/>
      <c r="BS36" s="11">
        <f t="shared" si="59"/>
        <v>0</v>
      </c>
      <c r="BT36" s="211">
        <f t="shared" si="60"/>
        <v>1600</v>
      </c>
    </row>
    <row r="37" spans="1:72" s="13" customFormat="1" x14ac:dyDescent="0.25">
      <c r="A37" s="219" t="s">
        <v>363</v>
      </c>
      <c r="B37" s="6">
        <f>B38+B39</f>
        <v>0</v>
      </c>
      <c r="C37" s="6">
        <f t="shared" ref="C37:BQ37" si="61">C38+C39</f>
        <v>0</v>
      </c>
      <c r="D37" s="6">
        <f t="shared" si="61"/>
        <v>0</v>
      </c>
      <c r="E37" s="6">
        <f t="shared" si="61"/>
        <v>0</v>
      </c>
      <c r="F37" s="6">
        <f t="shared" si="61"/>
        <v>0</v>
      </c>
      <c r="G37" s="6">
        <f t="shared" si="61"/>
        <v>0</v>
      </c>
      <c r="H37" s="6">
        <f t="shared" si="61"/>
        <v>0</v>
      </c>
      <c r="I37" s="6">
        <f t="shared" si="61"/>
        <v>0</v>
      </c>
      <c r="J37" s="6">
        <f t="shared" si="61"/>
        <v>0</v>
      </c>
      <c r="K37" s="6">
        <f t="shared" si="61"/>
        <v>0</v>
      </c>
      <c r="L37" s="6">
        <f t="shared" si="61"/>
        <v>0</v>
      </c>
      <c r="M37" s="6">
        <f t="shared" si="61"/>
        <v>0</v>
      </c>
      <c r="N37" s="6">
        <f t="shared" si="61"/>
        <v>0</v>
      </c>
      <c r="O37" s="6">
        <f t="shared" si="61"/>
        <v>0</v>
      </c>
      <c r="P37" s="6">
        <f>P38+P39</f>
        <v>0</v>
      </c>
      <c r="Q37" s="6">
        <f t="shared" si="61"/>
        <v>0</v>
      </c>
      <c r="R37" s="6">
        <f t="shared" si="61"/>
        <v>0</v>
      </c>
      <c r="S37" s="6">
        <f t="shared" si="61"/>
        <v>0</v>
      </c>
      <c r="T37" s="6">
        <f t="shared" si="61"/>
        <v>0</v>
      </c>
      <c r="U37" s="6">
        <f t="shared" si="61"/>
        <v>0</v>
      </c>
      <c r="V37" s="6">
        <f t="shared" si="61"/>
        <v>0</v>
      </c>
      <c r="W37" s="6">
        <f t="shared" si="61"/>
        <v>0</v>
      </c>
      <c r="X37" s="6">
        <f t="shared" si="61"/>
        <v>0</v>
      </c>
      <c r="Y37" s="6">
        <f t="shared" si="61"/>
        <v>0</v>
      </c>
      <c r="Z37" s="6">
        <f t="shared" si="61"/>
        <v>0</v>
      </c>
      <c r="AA37" s="6">
        <f t="shared" si="61"/>
        <v>0</v>
      </c>
      <c r="AB37" s="6">
        <f t="shared" si="61"/>
        <v>0</v>
      </c>
      <c r="AC37" s="6">
        <f t="shared" si="61"/>
        <v>0</v>
      </c>
      <c r="AD37" s="6">
        <f t="shared" si="61"/>
        <v>0</v>
      </c>
      <c r="AE37" s="6">
        <f t="shared" si="61"/>
        <v>0</v>
      </c>
      <c r="AF37" s="6">
        <f t="shared" si="61"/>
        <v>0</v>
      </c>
      <c r="AG37" s="6">
        <f t="shared" si="61"/>
        <v>0</v>
      </c>
      <c r="AH37" s="6">
        <f t="shared" si="61"/>
        <v>0</v>
      </c>
      <c r="AI37" s="6">
        <f t="shared" si="61"/>
        <v>0</v>
      </c>
      <c r="AJ37" s="6">
        <f t="shared" si="61"/>
        <v>0</v>
      </c>
      <c r="AK37" s="6">
        <f t="shared" si="61"/>
        <v>0</v>
      </c>
      <c r="AL37" s="6">
        <f t="shared" si="61"/>
        <v>0</v>
      </c>
      <c r="AM37" s="6">
        <f t="shared" si="61"/>
        <v>0</v>
      </c>
      <c r="AN37" s="6">
        <f t="shared" si="61"/>
        <v>0</v>
      </c>
      <c r="AO37" s="6">
        <f t="shared" si="61"/>
        <v>0</v>
      </c>
      <c r="AP37" s="197">
        <f t="shared" si="61"/>
        <v>0</v>
      </c>
      <c r="AQ37" s="6">
        <f t="shared" ref="AQ37:AY37" si="62">AQ38+AQ39</f>
        <v>0</v>
      </c>
      <c r="AR37" s="6">
        <f t="shared" ref="AR37" si="63">AR38+AR39</f>
        <v>0</v>
      </c>
      <c r="AS37" s="6">
        <f t="shared" ref="AS37:AT37" si="64">AS38+AS39</f>
        <v>0</v>
      </c>
      <c r="AT37" s="6">
        <f t="shared" si="64"/>
        <v>0</v>
      </c>
      <c r="AU37" s="6">
        <f t="shared" ref="AU37" si="65">AU38+AU39</f>
        <v>0</v>
      </c>
      <c r="AV37" s="6">
        <f t="shared" si="62"/>
        <v>0</v>
      </c>
      <c r="AW37" s="6">
        <f t="shared" si="62"/>
        <v>0</v>
      </c>
      <c r="AX37" s="6">
        <f t="shared" si="62"/>
        <v>0</v>
      </c>
      <c r="AY37" s="6">
        <f t="shared" si="62"/>
        <v>0</v>
      </c>
      <c r="AZ37" s="197">
        <f t="shared" si="61"/>
        <v>0</v>
      </c>
      <c r="BA37" s="6">
        <f t="shared" si="61"/>
        <v>0</v>
      </c>
      <c r="BB37" s="6">
        <f t="shared" si="61"/>
        <v>0</v>
      </c>
      <c r="BC37" s="6">
        <f t="shared" si="61"/>
        <v>0</v>
      </c>
      <c r="BD37" s="6">
        <f t="shared" si="61"/>
        <v>0</v>
      </c>
      <c r="BE37" s="6">
        <f t="shared" ref="BE37" si="66">BE38+BE39</f>
        <v>0</v>
      </c>
      <c r="BF37" s="6">
        <f t="shared" si="61"/>
        <v>0</v>
      </c>
      <c r="BG37" s="6">
        <f t="shared" si="61"/>
        <v>0</v>
      </c>
      <c r="BH37" s="6">
        <f t="shared" si="61"/>
        <v>0</v>
      </c>
      <c r="BI37" s="6">
        <f t="shared" si="61"/>
        <v>0</v>
      </c>
      <c r="BJ37" s="6">
        <f t="shared" si="61"/>
        <v>0</v>
      </c>
      <c r="BK37" s="6">
        <f t="shared" si="61"/>
        <v>0</v>
      </c>
      <c r="BL37" s="6">
        <f t="shared" si="61"/>
        <v>0</v>
      </c>
      <c r="BM37" s="6">
        <f t="shared" si="61"/>
        <v>0</v>
      </c>
      <c r="BN37" s="6">
        <f>BN38+BN39</f>
        <v>0</v>
      </c>
      <c r="BO37" s="6">
        <f t="shared" si="61"/>
        <v>0</v>
      </c>
      <c r="BP37" s="6">
        <f t="shared" si="61"/>
        <v>0</v>
      </c>
      <c r="BQ37" s="6">
        <f t="shared" si="61"/>
        <v>0</v>
      </c>
      <c r="BR37" s="6">
        <f>BR38+BR39</f>
        <v>0</v>
      </c>
      <c r="BS37" s="6">
        <f>BS38+BS39</f>
        <v>0</v>
      </c>
      <c r="BT37" s="213">
        <f>BT38+BT39</f>
        <v>0</v>
      </c>
    </row>
    <row r="38" spans="1:72" x14ac:dyDescent="0.25">
      <c r="A38" s="218" t="s">
        <v>364</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196">
        <f>SUM(B38:AO38)</f>
        <v>0</v>
      </c>
      <c r="AQ38" s="7"/>
      <c r="AR38" s="7"/>
      <c r="AS38" s="7"/>
      <c r="AT38" s="7"/>
      <c r="AU38" s="7"/>
      <c r="AV38" s="7"/>
      <c r="AW38" s="7"/>
      <c r="AX38" s="7"/>
      <c r="AY38" s="7"/>
      <c r="AZ38" s="196">
        <f>SUM(AQ38:AY38)</f>
        <v>0</v>
      </c>
      <c r="BA38" s="7"/>
      <c r="BB38" s="7"/>
      <c r="BC38" s="7"/>
      <c r="BD38" s="7"/>
      <c r="BE38" s="7"/>
      <c r="BF38" s="7"/>
      <c r="BG38" s="7"/>
      <c r="BH38" s="7"/>
      <c r="BI38" s="7"/>
      <c r="BJ38" s="7"/>
      <c r="BK38" s="7"/>
      <c r="BL38" s="7"/>
      <c r="BM38" s="7"/>
      <c r="BN38" s="7"/>
      <c r="BO38" s="8">
        <f>SUM(BA38:BN38)</f>
        <v>0</v>
      </c>
      <c r="BP38" s="8"/>
      <c r="BQ38" s="8"/>
      <c r="BR38" s="8"/>
      <c r="BS38" s="11">
        <f>BO38+BP38+BQ38+BR38</f>
        <v>0</v>
      </c>
      <c r="BT38" s="211">
        <f>AP38+AZ38+BS38</f>
        <v>0</v>
      </c>
    </row>
    <row r="39" spans="1:72" x14ac:dyDescent="0.25">
      <c r="A39" s="218" t="s">
        <v>365</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196">
        <f>SUM(B39:AO39)</f>
        <v>0</v>
      </c>
      <c r="AQ39" s="7">
        <f>Tervezőhiv.!D299</f>
        <v>0</v>
      </c>
      <c r="AR39" s="7">
        <f>Tervezőhiv.!H299</f>
        <v>0</v>
      </c>
      <c r="AS39" s="7">
        <f>Tervezőhiv.!L299</f>
        <v>0</v>
      </c>
      <c r="AT39" s="7">
        <f>Tervezőhiv.!T299</f>
        <v>0</v>
      </c>
      <c r="AU39" s="7">
        <f>Tervezőhiv.!X299</f>
        <v>0</v>
      </c>
      <c r="AV39" s="7"/>
      <c r="AW39" s="7"/>
      <c r="AX39" s="7">
        <f>Tervezőhiv.!AN299</f>
        <v>0</v>
      </c>
      <c r="AY39" s="7"/>
      <c r="AZ39" s="196">
        <f>SUM(AQ39:AY39)</f>
        <v>0</v>
      </c>
      <c r="BA39" s="7"/>
      <c r="BB39" s="7"/>
      <c r="BC39" s="7"/>
      <c r="BD39" s="7"/>
      <c r="BE39" s="7"/>
      <c r="BF39" s="7"/>
      <c r="BG39" s="7"/>
      <c r="BH39" s="7"/>
      <c r="BI39" s="7"/>
      <c r="BJ39" s="7"/>
      <c r="BK39" s="7"/>
      <c r="BL39" s="7"/>
      <c r="BM39" s="7"/>
      <c r="BN39" s="7"/>
      <c r="BO39" s="8">
        <f>SUM(BA39:BN39)</f>
        <v>0</v>
      </c>
      <c r="BP39" s="8"/>
      <c r="BQ39" s="8"/>
      <c r="BR39" s="8"/>
      <c r="BS39" s="11">
        <f>BO39+BP39+BQ39+BR39</f>
        <v>0</v>
      </c>
      <c r="BT39" s="211">
        <f>AP39+AZ39+BS39</f>
        <v>0</v>
      </c>
    </row>
    <row r="40" spans="1:72" s="13" customFormat="1" x14ac:dyDescent="0.25">
      <c r="A40" s="219" t="s">
        <v>366</v>
      </c>
      <c r="B40" s="6">
        <f>B41+B46+B47+B48+B49</f>
        <v>0</v>
      </c>
      <c r="C40" s="6">
        <f t="shared" ref="C40:BQ40" si="67">C41+C46+C47+C48+C49</f>
        <v>0</v>
      </c>
      <c r="D40" s="6">
        <f t="shared" si="67"/>
        <v>0</v>
      </c>
      <c r="E40" s="6">
        <f t="shared" si="67"/>
        <v>0</v>
      </c>
      <c r="F40" s="6">
        <f t="shared" si="67"/>
        <v>0</v>
      </c>
      <c r="G40" s="6">
        <f t="shared" si="67"/>
        <v>0</v>
      </c>
      <c r="H40" s="6">
        <f t="shared" si="67"/>
        <v>0</v>
      </c>
      <c r="I40" s="6">
        <f t="shared" si="67"/>
        <v>0</v>
      </c>
      <c r="J40" s="6">
        <f t="shared" si="67"/>
        <v>0</v>
      </c>
      <c r="K40" s="6">
        <f t="shared" si="67"/>
        <v>0</v>
      </c>
      <c r="L40" s="6">
        <f t="shared" si="67"/>
        <v>0</v>
      </c>
      <c r="M40" s="6">
        <f t="shared" si="67"/>
        <v>0</v>
      </c>
      <c r="N40" s="6">
        <f t="shared" si="67"/>
        <v>0</v>
      </c>
      <c r="O40" s="6">
        <f t="shared" si="67"/>
        <v>0</v>
      </c>
      <c r="P40" s="6">
        <f>P41+P46+P47+P48+P49</f>
        <v>0</v>
      </c>
      <c r="Q40" s="6">
        <f t="shared" si="67"/>
        <v>0</v>
      </c>
      <c r="R40" s="6">
        <f t="shared" si="67"/>
        <v>0</v>
      </c>
      <c r="S40" s="6">
        <f t="shared" si="67"/>
        <v>0</v>
      </c>
      <c r="T40" s="6">
        <f t="shared" si="67"/>
        <v>0</v>
      </c>
      <c r="U40" s="6">
        <f t="shared" si="67"/>
        <v>0</v>
      </c>
      <c r="V40" s="6">
        <f t="shared" si="67"/>
        <v>0</v>
      </c>
      <c r="W40" s="6">
        <f t="shared" si="67"/>
        <v>0</v>
      </c>
      <c r="X40" s="6">
        <f t="shared" si="67"/>
        <v>0</v>
      </c>
      <c r="Y40" s="6">
        <f t="shared" si="67"/>
        <v>0</v>
      </c>
      <c r="Z40" s="6">
        <f t="shared" si="67"/>
        <v>0</v>
      </c>
      <c r="AA40" s="6">
        <f t="shared" si="67"/>
        <v>0</v>
      </c>
      <c r="AB40" s="6">
        <f t="shared" si="67"/>
        <v>0</v>
      </c>
      <c r="AC40" s="6">
        <f t="shared" si="67"/>
        <v>0</v>
      </c>
      <c r="AD40" s="6">
        <f t="shared" si="67"/>
        <v>0</v>
      </c>
      <c r="AE40" s="6">
        <f t="shared" si="67"/>
        <v>0</v>
      </c>
      <c r="AF40" s="6">
        <f t="shared" si="67"/>
        <v>0</v>
      </c>
      <c r="AG40" s="6">
        <f t="shared" si="67"/>
        <v>0</v>
      </c>
      <c r="AH40" s="6">
        <f t="shared" si="67"/>
        <v>0</v>
      </c>
      <c r="AI40" s="6">
        <f t="shared" si="67"/>
        <v>0</v>
      </c>
      <c r="AJ40" s="6">
        <f t="shared" si="67"/>
        <v>0</v>
      </c>
      <c r="AK40" s="6">
        <f t="shared" si="67"/>
        <v>0</v>
      </c>
      <c r="AL40" s="6">
        <f t="shared" si="67"/>
        <v>0</v>
      </c>
      <c r="AM40" s="6">
        <f t="shared" si="67"/>
        <v>0</v>
      </c>
      <c r="AN40" s="6">
        <f t="shared" si="67"/>
        <v>0</v>
      </c>
      <c r="AO40" s="6">
        <f t="shared" si="67"/>
        <v>0</v>
      </c>
      <c r="AP40" s="197">
        <f t="shared" si="67"/>
        <v>0</v>
      </c>
      <c r="AQ40" s="6">
        <f t="shared" ref="AQ40:AY40" si="68">AQ41+AQ46+AQ47+AQ48+AQ49</f>
        <v>0</v>
      </c>
      <c r="AR40" s="6">
        <f t="shared" ref="AR40" si="69">AR41+AR46+AR47+AR48+AR49</f>
        <v>0</v>
      </c>
      <c r="AS40" s="6">
        <f t="shared" ref="AS40:AT40" si="70">AS41+AS46+AS47+AS48+AS49</f>
        <v>0</v>
      </c>
      <c r="AT40" s="6">
        <f t="shared" si="70"/>
        <v>0</v>
      </c>
      <c r="AU40" s="6">
        <f t="shared" ref="AU40" si="71">AU41+AU46+AU47+AU48+AU49</f>
        <v>0</v>
      </c>
      <c r="AV40" s="6">
        <f t="shared" si="68"/>
        <v>0</v>
      </c>
      <c r="AW40" s="6">
        <f t="shared" si="68"/>
        <v>0</v>
      </c>
      <c r="AX40" s="6">
        <f t="shared" si="68"/>
        <v>0</v>
      </c>
      <c r="AY40" s="6">
        <f t="shared" si="68"/>
        <v>0</v>
      </c>
      <c r="AZ40" s="197">
        <f t="shared" si="67"/>
        <v>0</v>
      </c>
      <c r="BA40" s="6">
        <f t="shared" si="67"/>
        <v>0</v>
      </c>
      <c r="BB40" s="6">
        <f t="shared" si="67"/>
        <v>0</v>
      </c>
      <c r="BC40" s="6">
        <f t="shared" si="67"/>
        <v>0</v>
      </c>
      <c r="BD40" s="6">
        <f t="shared" si="67"/>
        <v>0</v>
      </c>
      <c r="BE40" s="6">
        <f t="shared" ref="BE40" si="72">BE41+BE46+BE47+BE48+BE49</f>
        <v>0</v>
      </c>
      <c r="BF40" s="6">
        <f t="shared" si="67"/>
        <v>0</v>
      </c>
      <c r="BG40" s="6">
        <f t="shared" si="67"/>
        <v>0</v>
      </c>
      <c r="BH40" s="6">
        <f t="shared" si="67"/>
        <v>0</v>
      </c>
      <c r="BI40" s="6">
        <f t="shared" si="67"/>
        <v>0</v>
      </c>
      <c r="BJ40" s="6">
        <f t="shared" si="67"/>
        <v>0</v>
      </c>
      <c r="BK40" s="6">
        <f t="shared" si="67"/>
        <v>0</v>
      </c>
      <c r="BL40" s="6">
        <f t="shared" si="67"/>
        <v>0</v>
      </c>
      <c r="BM40" s="6">
        <f t="shared" si="67"/>
        <v>0</v>
      </c>
      <c r="BN40" s="6">
        <f>BN41+BN46+BN47+BN48+BN49</f>
        <v>0</v>
      </c>
      <c r="BO40" s="6">
        <f t="shared" si="67"/>
        <v>0</v>
      </c>
      <c r="BP40" s="6">
        <f t="shared" si="67"/>
        <v>0</v>
      </c>
      <c r="BQ40" s="6">
        <f t="shared" si="67"/>
        <v>0</v>
      </c>
      <c r="BR40" s="6">
        <f>BR41+BR46+BR47+BR48+BR49</f>
        <v>0</v>
      </c>
      <c r="BS40" s="6">
        <f>BS41+BS46+BS47+BS48+BS49</f>
        <v>0</v>
      </c>
      <c r="BT40" s="213">
        <f>BT41+BT46+BT47+BT48+BT49</f>
        <v>0</v>
      </c>
    </row>
    <row r="41" spans="1:72" s="13" customFormat="1" ht="26.4" x14ac:dyDescent="0.25">
      <c r="A41" s="219" t="s">
        <v>367</v>
      </c>
      <c r="B41" s="6">
        <f>B42+B43+B44+B45</f>
        <v>0</v>
      </c>
      <c r="C41" s="6">
        <f t="shared" ref="C41:BQ41" si="73">C42+C43+C44+C45</f>
        <v>0</v>
      </c>
      <c r="D41" s="6">
        <f t="shared" si="73"/>
        <v>0</v>
      </c>
      <c r="E41" s="6">
        <f t="shared" si="73"/>
        <v>0</v>
      </c>
      <c r="F41" s="6">
        <f t="shared" si="73"/>
        <v>0</v>
      </c>
      <c r="G41" s="6">
        <f t="shared" si="73"/>
        <v>0</v>
      </c>
      <c r="H41" s="6">
        <f t="shared" si="73"/>
        <v>0</v>
      </c>
      <c r="I41" s="6">
        <f t="shared" si="73"/>
        <v>0</v>
      </c>
      <c r="J41" s="6">
        <f t="shared" si="73"/>
        <v>0</v>
      </c>
      <c r="K41" s="6">
        <f t="shared" si="73"/>
        <v>0</v>
      </c>
      <c r="L41" s="6">
        <f t="shared" si="73"/>
        <v>0</v>
      </c>
      <c r="M41" s="6">
        <f t="shared" si="73"/>
        <v>0</v>
      </c>
      <c r="N41" s="6">
        <f t="shared" si="73"/>
        <v>0</v>
      </c>
      <c r="O41" s="6">
        <f t="shared" si="73"/>
        <v>0</v>
      </c>
      <c r="P41" s="6">
        <f>P42+P43+P44+P45</f>
        <v>0</v>
      </c>
      <c r="Q41" s="6">
        <f t="shared" si="73"/>
        <v>0</v>
      </c>
      <c r="R41" s="6">
        <f t="shared" si="73"/>
        <v>0</v>
      </c>
      <c r="S41" s="6">
        <f t="shared" si="73"/>
        <v>0</v>
      </c>
      <c r="T41" s="6">
        <f t="shared" si="73"/>
        <v>0</v>
      </c>
      <c r="U41" s="6">
        <f t="shared" si="73"/>
        <v>0</v>
      </c>
      <c r="V41" s="6">
        <f t="shared" si="73"/>
        <v>0</v>
      </c>
      <c r="W41" s="6">
        <f t="shared" si="73"/>
        <v>0</v>
      </c>
      <c r="X41" s="6">
        <f t="shared" si="73"/>
        <v>0</v>
      </c>
      <c r="Y41" s="6">
        <f t="shared" si="73"/>
        <v>0</v>
      </c>
      <c r="Z41" s="6">
        <f t="shared" si="73"/>
        <v>0</v>
      </c>
      <c r="AA41" s="6">
        <f t="shared" si="73"/>
        <v>0</v>
      </c>
      <c r="AB41" s="6">
        <f t="shared" si="73"/>
        <v>0</v>
      </c>
      <c r="AC41" s="6">
        <f t="shared" si="73"/>
        <v>0</v>
      </c>
      <c r="AD41" s="6">
        <f t="shared" si="73"/>
        <v>0</v>
      </c>
      <c r="AE41" s="6">
        <f t="shared" si="73"/>
        <v>0</v>
      </c>
      <c r="AF41" s="6">
        <f t="shared" si="73"/>
        <v>0</v>
      </c>
      <c r="AG41" s="6">
        <f t="shared" si="73"/>
        <v>0</v>
      </c>
      <c r="AH41" s="6">
        <f t="shared" si="73"/>
        <v>0</v>
      </c>
      <c r="AI41" s="6">
        <f t="shared" si="73"/>
        <v>0</v>
      </c>
      <c r="AJ41" s="6">
        <f t="shared" si="73"/>
        <v>0</v>
      </c>
      <c r="AK41" s="6">
        <f t="shared" si="73"/>
        <v>0</v>
      </c>
      <c r="AL41" s="6">
        <f t="shared" si="73"/>
        <v>0</v>
      </c>
      <c r="AM41" s="6">
        <f t="shared" si="73"/>
        <v>0</v>
      </c>
      <c r="AN41" s="6">
        <f t="shared" si="73"/>
        <v>0</v>
      </c>
      <c r="AO41" s="6">
        <f t="shared" si="73"/>
        <v>0</v>
      </c>
      <c r="AP41" s="197">
        <f t="shared" si="73"/>
        <v>0</v>
      </c>
      <c r="AQ41" s="6">
        <f t="shared" ref="AQ41:AY41" si="74">AQ42+AQ43+AQ44+AQ45</f>
        <v>0</v>
      </c>
      <c r="AR41" s="6">
        <f t="shared" ref="AR41" si="75">AR42+AR43+AR44+AR45</f>
        <v>0</v>
      </c>
      <c r="AS41" s="6">
        <f t="shared" ref="AS41:AT41" si="76">AS42+AS43+AS44+AS45</f>
        <v>0</v>
      </c>
      <c r="AT41" s="6">
        <f t="shared" si="76"/>
        <v>0</v>
      </c>
      <c r="AU41" s="6">
        <f t="shared" ref="AU41" si="77">AU42+AU43+AU44+AU45</f>
        <v>0</v>
      </c>
      <c r="AV41" s="6">
        <f t="shared" si="74"/>
        <v>0</v>
      </c>
      <c r="AW41" s="6">
        <f t="shared" si="74"/>
        <v>0</v>
      </c>
      <c r="AX41" s="6">
        <f t="shared" si="74"/>
        <v>0</v>
      </c>
      <c r="AY41" s="6">
        <f t="shared" si="74"/>
        <v>0</v>
      </c>
      <c r="AZ41" s="197">
        <f t="shared" si="73"/>
        <v>0</v>
      </c>
      <c r="BA41" s="6">
        <f t="shared" si="73"/>
        <v>0</v>
      </c>
      <c r="BB41" s="6">
        <f t="shared" si="73"/>
        <v>0</v>
      </c>
      <c r="BC41" s="6">
        <f t="shared" si="73"/>
        <v>0</v>
      </c>
      <c r="BD41" s="6">
        <f t="shared" si="73"/>
        <v>0</v>
      </c>
      <c r="BE41" s="6">
        <f t="shared" ref="BE41" si="78">BE42+BE43+BE44+BE45</f>
        <v>0</v>
      </c>
      <c r="BF41" s="6">
        <f t="shared" si="73"/>
        <v>0</v>
      </c>
      <c r="BG41" s="6">
        <f t="shared" si="73"/>
        <v>0</v>
      </c>
      <c r="BH41" s="6">
        <f t="shared" si="73"/>
        <v>0</v>
      </c>
      <c r="BI41" s="6">
        <f t="shared" si="73"/>
        <v>0</v>
      </c>
      <c r="BJ41" s="6">
        <f t="shared" si="73"/>
        <v>0</v>
      </c>
      <c r="BK41" s="6">
        <f t="shared" si="73"/>
        <v>0</v>
      </c>
      <c r="BL41" s="6">
        <f t="shared" si="73"/>
        <v>0</v>
      </c>
      <c r="BM41" s="6">
        <f t="shared" si="73"/>
        <v>0</v>
      </c>
      <c r="BN41" s="6">
        <f>BN42+BN43+BN44+BN45</f>
        <v>0</v>
      </c>
      <c r="BO41" s="6">
        <f t="shared" si="73"/>
        <v>0</v>
      </c>
      <c r="BP41" s="6">
        <f t="shared" si="73"/>
        <v>0</v>
      </c>
      <c r="BQ41" s="6">
        <f t="shared" si="73"/>
        <v>0</v>
      </c>
      <c r="BR41" s="6">
        <f>BR42+BR43+BR44+BR45</f>
        <v>0</v>
      </c>
      <c r="BS41" s="6">
        <f>BS42+BS43+BS44+BS45</f>
        <v>0</v>
      </c>
      <c r="BT41" s="213">
        <f>BT42+BT43+BT44+BT45</f>
        <v>0</v>
      </c>
    </row>
    <row r="42" spans="1:72" x14ac:dyDescent="0.25">
      <c r="A42" s="218" t="s">
        <v>368</v>
      </c>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196">
        <f t="shared" ref="AP42:AP48" si="79">SUM(B42:AO42)</f>
        <v>0</v>
      </c>
      <c r="AQ42" s="7"/>
      <c r="AR42" s="7"/>
      <c r="AS42" s="7"/>
      <c r="AT42" s="7"/>
      <c r="AU42" s="7"/>
      <c r="AV42" s="7"/>
      <c r="AW42" s="7"/>
      <c r="AX42" s="7"/>
      <c r="AY42" s="7"/>
      <c r="AZ42" s="196">
        <f t="shared" ref="AZ42:AZ48" si="80">SUM(AQ42:AY42)</f>
        <v>0</v>
      </c>
      <c r="BA42" s="7"/>
      <c r="BB42" s="7"/>
      <c r="BC42" s="7"/>
      <c r="BD42" s="7"/>
      <c r="BE42" s="7"/>
      <c r="BF42" s="7"/>
      <c r="BG42" s="7"/>
      <c r="BH42" s="7"/>
      <c r="BI42" s="7"/>
      <c r="BJ42" s="7"/>
      <c r="BK42" s="7"/>
      <c r="BL42" s="7"/>
      <c r="BM42" s="7"/>
      <c r="BN42" s="7"/>
      <c r="BO42" s="8">
        <f t="shared" ref="BO42:BO48" si="81">SUM(BA42:BN42)</f>
        <v>0</v>
      </c>
      <c r="BP42" s="8"/>
      <c r="BQ42" s="8"/>
      <c r="BR42" s="8"/>
      <c r="BS42" s="11">
        <f t="shared" ref="BS42:BS48" si="82">BO42+BP42+BQ42+BR42</f>
        <v>0</v>
      </c>
      <c r="BT42" s="211">
        <f t="shared" ref="BT42:BT48" si="83">AP42+AZ42+BS42</f>
        <v>0</v>
      </c>
    </row>
    <row r="43" spans="1:72" ht="26.4" x14ac:dyDescent="0.25">
      <c r="A43" s="218" t="s">
        <v>369</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196">
        <f t="shared" si="79"/>
        <v>0</v>
      </c>
      <c r="AQ43" s="7"/>
      <c r="AR43" s="7"/>
      <c r="AS43" s="7"/>
      <c r="AT43" s="7"/>
      <c r="AU43" s="7"/>
      <c r="AV43" s="7"/>
      <c r="AW43" s="7"/>
      <c r="AX43" s="7"/>
      <c r="AY43" s="7"/>
      <c r="AZ43" s="196">
        <f t="shared" si="80"/>
        <v>0</v>
      </c>
      <c r="BA43" s="7"/>
      <c r="BB43" s="7"/>
      <c r="BC43" s="7"/>
      <c r="BD43" s="7"/>
      <c r="BE43" s="7"/>
      <c r="BF43" s="7"/>
      <c r="BG43" s="7"/>
      <c r="BH43" s="7"/>
      <c r="BI43" s="7"/>
      <c r="BJ43" s="7"/>
      <c r="BK43" s="7"/>
      <c r="BL43" s="7"/>
      <c r="BM43" s="7"/>
      <c r="BN43" s="7"/>
      <c r="BO43" s="8">
        <f t="shared" si="81"/>
        <v>0</v>
      </c>
      <c r="BP43" s="8"/>
      <c r="BQ43" s="8"/>
      <c r="BR43" s="8"/>
      <c r="BS43" s="11">
        <f t="shared" si="82"/>
        <v>0</v>
      </c>
      <c r="BT43" s="211">
        <f t="shared" si="83"/>
        <v>0</v>
      </c>
    </row>
    <row r="44" spans="1:72" x14ac:dyDescent="0.25">
      <c r="A44" s="218" t="s">
        <v>370</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196">
        <f t="shared" si="79"/>
        <v>0</v>
      </c>
      <c r="AQ44" s="7"/>
      <c r="AR44" s="7"/>
      <c r="AS44" s="7"/>
      <c r="AT44" s="7"/>
      <c r="AU44" s="7"/>
      <c r="AV44" s="7"/>
      <c r="AW44" s="7"/>
      <c r="AX44" s="7"/>
      <c r="AY44" s="7"/>
      <c r="AZ44" s="196">
        <f t="shared" si="80"/>
        <v>0</v>
      </c>
      <c r="BA44" s="7"/>
      <c r="BB44" s="7"/>
      <c r="BC44" s="7"/>
      <c r="BD44" s="7"/>
      <c r="BE44" s="7"/>
      <c r="BF44" s="7"/>
      <c r="BG44" s="7"/>
      <c r="BH44" s="7"/>
      <c r="BI44" s="7"/>
      <c r="BJ44" s="7"/>
      <c r="BK44" s="7"/>
      <c r="BL44" s="7"/>
      <c r="BM44" s="7"/>
      <c r="BN44" s="7"/>
      <c r="BO44" s="8">
        <f t="shared" si="81"/>
        <v>0</v>
      </c>
      <c r="BP44" s="8"/>
      <c r="BQ44" s="8"/>
      <c r="BR44" s="8"/>
      <c r="BS44" s="11">
        <f t="shared" si="82"/>
        <v>0</v>
      </c>
      <c r="BT44" s="211">
        <f t="shared" si="83"/>
        <v>0</v>
      </c>
    </row>
    <row r="45" spans="1:72" x14ac:dyDescent="0.25">
      <c r="A45" s="218" t="s">
        <v>371</v>
      </c>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196">
        <f t="shared" si="79"/>
        <v>0</v>
      </c>
      <c r="AQ45" s="7">
        <f>Tervezőhiv.!D322</f>
        <v>0</v>
      </c>
      <c r="AR45" s="7">
        <f>Tervezőhiv.!H322</f>
        <v>0</v>
      </c>
      <c r="AS45" s="7">
        <f>Tervezőhiv.!L322</f>
        <v>0</v>
      </c>
      <c r="AT45" s="7">
        <f>Tervezőhiv.!T322</f>
        <v>0</v>
      </c>
      <c r="AU45" s="7">
        <f>Tervezőhiv.!X322</f>
        <v>0</v>
      </c>
      <c r="AV45" s="7"/>
      <c r="AW45" s="7"/>
      <c r="AX45" s="7">
        <f>Tervezőhiv.!AN322</f>
        <v>0</v>
      </c>
      <c r="AY45" s="7"/>
      <c r="AZ45" s="196">
        <f t="shared" si="80"/>
        <v>0</v>
      </c>
      <c r="BA45" s="7"/>
      <c r="BB45" s="7"/>
      <c r="BC45" s="7"/>
      <c r="BD45" s="7"/>
      <c r="BE45" s="7"/>
      <c r="BF45" s="7"/>
      <c r="BG45" s="7"/>
      <c r="BH45" s="7"/>
      <c r="BI45" s="7"/>
      <c r="BJ45" s="7"/>
      <c r="BK45" s="7"/>
      <c r="BL45" s="7"/>
      <c r="BM45" s="7"/>
      <c r="BN45" s="7"/>
      <c r="BO45" s="8">
        <f t="shared" si="81"/>
        <v>0</v>
      </c>
      <c r="BP45" s="8"/>
      <c r="BQ45" s="8"/>
      <c r="BR45" s="8"/>
      <c r="BS45" s="11">
        <f t="shared" si="82"/>
        <v>0</v>
      </c>
      <c r="BT45" s="211">
        <f t="shared" si="83"/>
        <v>0</v>
      </c>
    </row>
    <row r="46" spans="1:72" x14ac:dyDescent="0.25">
      <c r="A46" s="218" t="s">
        <v>372</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196">
        <f t="shared" si="79"/>
        <v>0</v>
      </c>
      <c r="AQ46" s="7">
        <f>Tervezőhiv.!D327</f>
        <v>0</v>
      </c>
      <c r="AR46" s="7">
        <f>Tervezőhiv.!H327</f>
        <v>0</v>
      </c>
      <c r="AS46" s="7">
        <f>Tervezőhiv.!L327</f>
        <v>0</v>
      </c>
      <c r="AT46" s="7">
        <f>Tervezőhiv.!T327</f>
        <v>0</v>
      </c>
      <c r="AU46" s="7">
        <f>Tervezőhiv.!X327</f>
        <v>0</v>
      </c>
      <c r="AV46" s="7"/>
      <c r="AW46" s="7"/>
      <c r="AX46" s="7">
        <f>Tervezőhiv.!AN327</f>
        <v>0</v>
      </c>
      <c r="AY46" s="7"/>
      <c r="AZ46" s="196">
        <f t="shared" si="80"/>
        <v>0</v>
      </c>
      <c r="BA46" s="7"/>
      <c r="BB46" s="7"/>
      <c r="BC46" s="7"/>
      <c r="BD46" s="7"/>
      <c r="BE46" s="7"/>
      <c r="BF46" s="7"/>
      <c r="BG46" s="7"/>
      <c r="BH46" s="7"/>
      <c r="BI46" s="7"/>
      <c r="BJ46" s="7"/>
      <c r="BK46" s="7"/>
      <c r="BL46" s="7"/>
      <c r="BM46" s="7"/>
      <c r="BN46" s="7"/>
      <c r="BO46" s="8">
        <f t="shared" si="81"/>
        <v>0</v>
      </c>
      <c r="BP46" s="8"/>
      <c r="BQ46" s="8"/>
      <c r="BR46" s="8"/>
      <c r="BS46" s="11">
        <f t="shared" si="82"/>
        <v>0</v>
      </c>
      <c r="BT46" s="211">
        <f t="shared" si="83"/>
        <v>0</v>
      </c>
    </row>
    <row r="47" spans="1:72" x14ac:dyDescent="0.25">
      <c r="A47" s="218" t="s">
        <v>373</v>
      </c>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196">
        <f t="shared" si="79"/>
        <v>0</v>
      </c>
      <c r="AQ47" s="7">
        <f>Tervezőhiv.!D333</f>
        <v>0</v>
      </c>
      <c r="AR47" s="7">
        <f>Tervezőhiv.!H333</f>
        <v>0</v>
      </c>
      <c r="AS47" s="7">
        <f>Tervezőhiv.!L333</f>
        <v>0</v>
      </c>
      <c r="AT47" s="7">
        <f>Tervezőhiv.!T333</f>
        <v>0</v>
      </c>
      <c r="AU47" s="7">
        <f>Tervezőhiv.!X333</f>
        <v>0</v>
      </c>
      <c r="AV47" s="7"/>
      <c r="AW47" s="7"/>
      <c r="AX47" s="7">
        <f>Tervezőhiv.!AN333</f>
        <v>0</v>
      </c>
      <c r="AY47" s="7"/>
      <c r="AZ47" s="196">
        <f t="shared" si="80"/>
        <v>0</v>
      </c>
      <c r="BA47" s="7"/>
      <c r="BB47" s="7"/>
      <c r="BC47" s="7"/>
      <c r="BD47" s="7"/>
      <c r="BE47" s="7"/>
      <c r="BF47" s="7"/>
      <c r="BG47" s="7"/>
      <c r="BH47" s="7"/>
      <c r="BI47" s="7"/>
      <c r="BJ47" s="7"/>
      <c r="BK47" s="7"/>
      <c r="BL47" s="7"/>
      <c r="BM47" s="7"/>
      <c r="BN47" s="7"/>
      <c r="BO47" s="8">
        <f t="shared" si="81"/>
        <v>0</v>
      </c>
      <c r="BP47" s="8"/>
      <c r="BQ47" s="8"/>
      <c r="BR47" s="8"/>
      <c r="BS47" s="11">
        <f t="shared" si="82"/>
        <v>0</v>
      </c>
      <c r="BT47" s="211">
        <f t="shared" si="83"/>
        <v>0</v>
      </c>
    </row>
    <row r="48" spans="1:72" ht="26.4" x14ac:dyDescent="0.25">
      <c r="A48" s="218" t="s">
        <v>374</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196">
        <f t="shared" si="79"/>
        <v>0</v>
      </c>
      <c r="AQ48" s="7"/>
      <c r="AR48" s="7"/>
      <c r="AS48" s="7"/>
      <c r="AT48" s="7"/>
      <c r="AU48" s="7"/>
      <c r="AV48" s="7"/>
      <c r="AW48" s="7"/>
      <c r="AX48" s="7"/>
      <c r="AY48" s="7"/>
      <c r="AZ48" s="196">
        <f t="shared" si="80"/>
        <v>0</v>
      </c>
      <c r="BA48" s="7"/>
      <c r="BB48" s="7"/>
      <c r="BC48" s="7"/>
      <c r="BD48" s="7"/>
      <c r="BE48" s="7"/>
      <c r="BF48" s="7"/>
      <c r="BG48" s="7"/>
      <c r="BH48" s="7"/>
      <c r="BI48" s="7"/>
      <c r="BJ48" s="7"/>
      <c r="BK48" s="7"/>
      <c r="BL48" s="7"/>
      <c r="BM48" s="7"/>
      <c r="BN48" s="7"/>
      <c r="BO48" s="8">
        <f t="shared" si="81"/>
        <v>0</v>
      </c>
      <c r="BP48" s="8"/>
      <c r="BQ48" s="8"/>
      <c r="BR48" s="8"/>
      <c r="BS48" s="11">
        <f t="shared" si="82"/>
        <v>0</v>
      </c>
      <c r="BT48" s="211">
        <f t="shared" si="83"/>
        <v>0</v>
      </c>
    </row>
    <row r="49" spans="1:72" s="13" customFormat="1" x14ac:dyDescent="0.25">
      <c r="A49" s="219" t="s">
        <v>375</v>
      </c>
      <c r="B49" s="6">
        <f>B50+B51</f>
        <v>0</v>
      </c>
      <c r="C49" s="6">
        <f t="shared" ref="C49:BQ49" si="84">C50+C51</f>
        <v>0</v>
      </c>
      <c r="D49" s="6">
        <f t="shared" si="84"/>
        <v>0</v>
      </c>
      <c r="E49" s="6">
        <f t="shared" si="84"/>
        <v>0</v>
      </c>
      <c r="F49" s="6">
        <f t="shared" si="84"/>
        <v>0</v>
      </c>
      <c r="G49" s="6">
        <f t="shared" si="84"/>
        <v>0</v>
      </c>
      <c r="H49" s="6">
        <f t="shared" si="84"/>
        <v>0</v>
      </c>
      <c r="I49" s="6">
        <f t="shared" si="84"/>
        <v>0</v>
      </c>
      <c r="J49" s="6">
        <f t="shared" si="84"/>
        <v>0</v>
      </c>
      <c r="K49" s="6">
        <f t="shared" si="84"/>
        <v>0</v>
      </c>
      <c r="L49" s="6">
        <f t="shared" si="84"/>
        <v>0</v>
      </c>
      <c r="M49" s="6">
        <f t="shared" si="84"/>
        <v>0</v>
      </c>
      <c r="N49" s="6">
        <f t="shared" si="84"/>
        <v>0</v>
      </c>
      <c r="O49" s="6">
        <f t="shared" si="84"/>
        <v>0</v>
      </c>
      <c r="P49" s="6">
        <f>P50+P51</f>
        <v>0</v>
      </c>
      <c r="Q49" s="6">
        <f t="shared" si="84"/>
        <v>0</v>
      </c>
      <c r="R49" s="6">
        <f t="shared" si="84"/>
        <v>0</v>
      </c>
      <c r="S49" s="6">
        <f t="shared" si="84"/>
        <v>0</v>
      </c>
      <c r="T49" s="6">
        <f t="shared" si="84"/>
        <v>0</v>
      </c>
      <c r="U49" s="6">
        <f t="shared" si="84"/>
        <v>0</v>
      </c>
      <c r="V49" s="6">
        <f t="shared" si="84"/>
        <v>0</v>
      </c>
      <c r="W49" s="6">
        <f t="shared" si="84"/>
        <v>0</v>
      </c>
      <c r="X49" s="6">
        <f t="shared" si="84"/>
        <v>0</v>
      </c>
      <c r="Y49" s="6">
        <f t="shared" si="84"/>
        <v>0</v>
      </c>
      <c r="Z49" s="6">
        <f t="shared" si="84"/>
        <v>0</v>
      </c>
      <c r="AA49" s="6">
        <f t="shared" si="84"/>
        <v>0</v>
      </c>
      <c r="AB49" s="6">
        <f t="shared" si="84"/>
        <v>0</v>
      </c>
      <c r="AC49" s="6">
        <f t="shared" si="84"/>
        <v>0</v>
      </c>
      <c r="AD49" s="6">
        <f t="shared" si="84"/>
        <v>0</v>
      </c>
      <c r="AE49" s="6">
        <f t="shared" si="84"/>
        <v>0</v>
      </c>
      <c r="AF49" s="6">
        <f t="shared" si="84"/>
        <v>0</v>
      </c>
      <c r="AG49" s="6">
        <f t="shared" si="84"/>
        <v>0</v>
      </c>
      <c r="AH49" s="6">
        <f t="shared" si="84"/>
        <v>0</v>
      </c>
      <c r="AI49" s="6">
        <f t="shared" si="84"/>
        <v>0</v>
      </c>
      <c r="AJ49" s="6">
        <f t="shared" si="84"/>
        <v>0</v>
      </c>
      <c r="AK49" s="6">
        <f t="shared" si="84"/>
        <v>0</v>
      </c>
      <c r="AL49" s="6">
        <f t="shared" si="84"/>
        <v>0</v>
      </c>
      <c r="AM49" s="6">
        <f t="shared" si="84"/>
        <v>0</v>
      </c>
      <c r="AN49" s="6">
        <f t="shared" si="84"/>
        <v>0</v>
      </c>
      <c r="AO49" s="6">
        <f t="shared" si="84"/>
        <v>0</v>
      </c>
      <c r="AP49" s="197">
        <f t="shared" si="84"/>
        <v>0</v>
      </c>
      <c r="AQ49" s="6">
        <f t="shared" ref="AQ49:AY49" si="85">AQ50+AQ51</f>
        <v>0</v>
      </c>
      <c r="AR49" s="6">
        <f t="shared" ref="AR49" si="86">AR50+AR51</f>
        <v>0</v>
      </c>
      <c r="AS49" s="6">
        <f t="shared" ref="AS49:AT49" si="87">AS50+AS51</f>
        <v>0</v>
      </c>
      <c r="AT49" s="6">
        <f t="shared" si="87"/>
        <v>0</v>
      </c>
      <c r="AU49" s="6">
        <f t="shared" ref="AU49" si="88">AU50+AU51</f>
        <v>0</v>
      </c>
      <c r="AV49" s="6">
        <f t="shared" si="85"/>
        <v>0</v>
      </c>
      <c r="AW49" s="6">
        <f t="shared" si="85"/>
        <v>0</v>
      </c>
      <c r="AX49" s="6">
        <f t="shared" si="85"/>
        <v>0</v>
      </c>
      <c r="AY49" s="6">
        <f t="shared" si="85"/>
        <v>0</v>
      </c>
      <c r="AZ49" s="197">
        <f t="shared" si="84"/>
        <v>0</v>
      </c>
      <c r="BA49" s="6">
        <f t="shared" si="84"/>
        <v>0</v>
      </c>
      <c r="BB49" s="6">
        <f t="shared" si="84"/>
        <v>0</v>
      </c>
      <c r="BC49" s="6">
        <f t="shared" si="84"/>
        <v>0</v>
      </c>
      <c r="BD49" s="6">
        <f t="shared" si="84"/>
        <v>0</v>
      </c>
      <c r="BE49" s="6">
        <f t="shared" ref="BE49" si="89">BE50+BE51</f>
        <v>0</v>
      </c>
      <c r="BF49" s="6">
        <f t="shared" si="84"/>
        <v>0</v>
      </c>
      <c r="BG49" s="6">
        <f t="shared" si="84"/>
        <v>0</v>
      </c>
      <c r="BH49" s="6">
        <f t="shared" si="84"/>
        <v>0</v>
      </c>
      <c r="BI49" s="6">
        <f t="shared" si="84"/>
        <v>0</v>
      </c>
      <c r="BJ49" s="6">
        <f t="shared" si="84"/>
        <v>0</v>
      </c>
      <c r="BK49" s="6">
        <f t="shared" si="84"/>
        <v>0</v>
      </c>
      <c r="BL49" s="6">
        <f t="shared" si="84"/>
        <v>0</v>
      </c>
      <c r="BM49" s="6">
        <f t="shared" si="84"/>
        <v>0</v>
      </c>
      <c r="BN49" s="6">
        <f>BN50+BN51</f>
        <v>0</v>
      </c>
      <c r="BO49" s="6">
        <f t="shared" si="84"/>
        <v>0</v>
      </c>
      <c r="BP49" s="6">
        <f t="shared" si="84"/>
        <v>0</v>
      </c>
      <c r="BQ49" s="6">
        <f t="shared" si="84"/>
        <v>0</v>
      </c>
      <c r="BR49" s="6">
        <f>BR50+BR51</f>
        <v>0</v>
      </c>
      <c r="BS49" s="6">
        <f>BS50+BS51</f>
        <v>0</v>
      </c>
      <c r="BT49" s="213">
        <f>BT50+BT51</f>
        <v>0</v>
      </c>
    </row>
    <row r="50" spans="1:72" ht="26.4" x14ac:dyDescent="0.25">
      <c r="A50" s="218" t="s">
        <v>376</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196">
        <f>SUM(B50:AO50)</f>
        <v>0</v>
      </c>
      <c r="AQ50" s="7"/>
      <c r="AR50" s="7"/>
      <c r="AS50" s="7"/>
      <c r="AT50" s="7"/>
      <c r="AU50" s="7"/>
      <c r="AV50" s="7"/>
      <c r="AW50" s="7"/>
      <c r="AX50" s="7"/>
      <c r="AY50" s="7"/>
      <c r="AZ50" s="196">
        <f>SUM(AQ50:AY50)</f>
        <v>0</v>
      </c>
      <c r="BA50" s="7"/>
      <c r="BB50" s="7"/>
      <c r="BC50" s="7"/>
      <c r="BD50" s="7"/>
      <c r="BE50" s="7"/>
      <c r="BF50" s="7"/>
      <c r="BG50" s="7"/>
      <c r="BH50" s="7"/>
      <c r="BI50" s="7"/>
      <c r="BJ50" s="7"/>
      <c r="BK50" s="7"/>
      <c r="BL50" s="7"/>
      <c r="BM50" s="7"/>
      <c r="BN50" s="7"/>
      <c r="BO50" s="8">
        <f>SUM(BA50:BN50)</f>
        <v>0</v>
      </c>
      <c r="BP50" s="8"/>
      <c r="BQ50" s="8"/>
      <c r="BR50" s="8"/>
      <c r="BS50" s="11">
        <f>BO50+BP50+BQ50+BR50</f>
        <v>0</v>
      </c>
      <c r="BT50" s="211">
        <f>AP50+AZ50+BS50</f>
        <v>0</v>
      </c>
    </row>
    <row r="51" spans="1:72" x14ac:dyDescent="0.25">
      <c r="A51" s="218" t="s">
        <v>377</v>
      </c>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196">
        <f>SUM(B51:AO51)</f>
        <v>0</v>
      </c>
      <c r="AQ51" s="7">
        <f>Tervezőhiv.!D338</f>
        <v>0</v>
      </c>
      <c r="AR51" s="7">
        <f>Tervezőhiv.!H338</f>
        <v>0</v>
      </c>
      <c r="AS51" s="7">
        <f>Tervezőhiv.!L338</f>
        <v>0</v>
      </c>
      <c r="AT51" s="7">
        <f>Tervezőhiv.!T338</f>
        <v>0</v>
      </c>
      <c r="AU51" s="7">
        <f>Tervezőhiv.!X338</f>
        <v>0</v>
      </c>
      <c r="AV51" s="7"/>
      <c r="AW51" s="7"/>
      <c r="AX51" s="7">
        <f>Tervezőhiv.!AN338</f>
        <v>0</v>
      </c>
      <c r="AY51" s="7"/>
      <c r="AZ51" s="196">
        <f>SUM(AQ51:AY51)</f>
        <v>0</v>
      </c>
      <c r="BA51" s="7"/>
      <c r="BB51" s="7"/>
      <c r="BC51" s="7"/>
      <c r="BD51" s="7"/>
      <c r="BE51" s="7"/>
      <c r="BF51" s="7"/>
      <c r="BG51" s="7"/>
      <c r="BH51" s="7"/>
      <c r="BI51" s="7"/>
      <c r="BJ51" s="7"/>
      <c r="BK51" s="7"/>
      <c r="BL51" s="7"/>
      <c r="BM51" s="7"/>
      <c r="BN51" s="7"/>
      <c r="BO51" s="8">
        <f>SUM(BA51:BN51)</f>
        <v>0</v>
      </c>
      <c r="BP51" s="8"/>
      <c r="BQ51" s="8"/>
      <c r="BR51" s="8"/>
      <c r="BS51" s="11">
        <f>BO51+BP51+BQ51+BR51</f>
        <v>0</v>
      </c>
      <c r="BT51" s="211">
        <f>AP51+AZ51+BS51</f>
        <v>0</v>
      </c>
    </row>
    <row r="52" spans="1:72" s="13" customFormat="1" x14ac:dyDescent="0.25">
      <c r="A52" s="219" t="s">
        <v>378</v>
      </c>
      <c r="B52" s="6">
        <f>B28+B40</f>
        <v>0</v>
      </c>
      <c r="C52" s="6">
        <f t="shared" ref="C52:BP52" si="90">C28+C40</f>
        <v>0</v>
      </c>
      <c r="D52" s="6">
        <f t="shared" si="90"/>
        <v>0</v>
      </c>
      <c r="E52" s="6">
        <f t="shared" si="90"/>
        <v>0</v>
      </c>
      <c r="F52" s="6">
        <f t="shared" si="90"/>
        <v>0</v>
      </c>
      <c r="G52" s="6">
        <f t="shared" si="90"/>
        <v>0</v>
      </c>
      <c r="H52" s="6">
        <f t="shared" si="90"/>
        <v>0</v>
      </c>
      <c r="I52" s="6">
        <f t="shared" si="90"/>
        <v>0</v>
      </c>
      <c r="J52" s="6">
        <f t="shared" si="90"/>
        <v>0</v>
      </c>
      <c r="K52" s="6">
        <f t="shared" si="90"/>
        <v>0</v>
      </c>
      <c r="L52" s="6">
        <f t="shared" si="90"/>
        <v>0</v>
      </c>
      <c r="M52" s="6">
        <f t="shared" si="90"/>
        <v>0</v>
      </c>
      <c r="N52" s="6">
        <f t="shared" si="90"/>
        <v>0</v>
      </c>
      <c r="O52" s="6">
        <f t="shared" si="90"/>
        <v>0</v>
      </c>
      <c r="P52" s="6">
        <f>P28+P40</f>
        <v>0</v>
      </c>
      <c r="Q52" s="6">
        <f t="shared" si="90"/>
        <v>0</v>
      </c>
      <c r="R52" s="6">
        <f t="shared" si="90"/>
        <v>0</v>
      </c>
      <c r="S52" s="6">
        <f t="shared" si="90"/>
        <v>0</v>
      </c>
      <c r="T52" s="6">
        <f t="shared" si="90"/>
        <v>0</v>
      </c>
      <c r="U52" s="6">
        <f t="shared" si="90"/>
        <v>0</v>
      </c>
      <c r="V52" s="6">
        <f t="shared" si="90"/>
        <v>0</v>
      </c>
      <c r="W52" s="6">
        <f t="shared" si="90"/>
        <v>0</v>
      </c>
      <c r="X52" s="6">
        <f t="shared" si="90"/>
        <v>0</v>
      </c>
      <c r="Y52" s="6">
        <f t="shared" si="90"/>
        <v>0</v>
      </c>
      <c r="Z52" s="6">
        <f t="shared" si="90"/>
        <v>0</v>
      </c>
      <c r="AA52" s="6">
        <f t="shared" si="90"/>
        <v>0</v>
      </c>
      <c r="AB52" s="6">
        <f t="shared" si="90"/>
        <v>0</v>
      </c>
      <c r="AC52" s="6">
        <f t="shared" si="90"/>
        <v>0</v>
      </c>
      <c r="AD52" s="6">
        <f t="shared" si="90"/>
        <v>0</v>
      </c>
      <c r="AE52" s="6">
        <f t="shared" si="90"/>
        <v>0</v>
      </c>
      <c r="AF52" s="6">
        <f t="shared" si="90"/>
        <v>0</v>
      </c>
      <c r="AG52" s="6">
        <f t="shared" si="90"/>
        <v>0</v>
      </c>
      <c r="AH52" s="6">
        <f t="shared" si="90"/>
        <v>0</v>
      </c>
      <c r="AI52" s="6">
        <f t="shared" si="90"/>
        <v>0</v>
      </c>
      <c r="AJ52" s="6">
        <f t="shared" si="90"/>
        <v>0</v>
      </c>
      <c r="AK52" s="6">
        <f t="shared" si="90"/>
        <v>0</v>
      </c>
      <c r="AL52" s="6">
        <f t="shared" si="90"/>
        <v>0</v>
      </c>
      <c r="AM52" s="6">
        <f t="shared" si="90"/>
        <v>0</v>
      </c>
      <c r="AN52" s="6">
        <f t="shared" si="90"/>
        <v>0</v>
      </c>
      <c r="AO52" s="6">
        <f t="shared" si="90"/>
        <v>0</v>
      </c>
      <c r="AP52" s="197">
        <f t="shared" si="90"/>
        <v>0</v>
      </c>
      <c r="AQ52" s="6">
        <f t="shared" ref="AQ52:AY52" si="91">AQ28+AQ40</f>
        <v>1000</v>
      </c>
      <c r="AR52" s="6">
        <f t="shared" ref="AR52" si="92">AR28+AR40</f>
        <v>1300</v>
      </c>
      <c r="AS52" s="6">
        <f t="shared" ref="AS52:AT52" si="93">AS28+AS40</f>
        <v>1600</v>
      </c>
      <c r="AT52" s="6">
        <f t="shared" si="93"/>
        <v>0</v>
      </c>
      <c r="AU52" s="6">
        <f t="shared" ref="AU52" si="94">AU28+AU40</f>
        <v>0</v>
      </c>
      <c r="AV52" s="6">
        <f t="shared" si="91"/>
        <v>0</v>
      </c>
      <c r="AW52" s="6">
        <f t="shared" si="91"/>
        <v>0</v>
      </c>
      <c r="AX52" s="6">
        <f t="shared" si="91"/>
        <v>0</v>
      </c>
      <c r="AY52" s="6">
        <f t="shared" si="91"/>
        <v>0</v>
      </c>
      <c r="AZ52" s="197">
        <f t="shared" si="90"/>
        <v>3900</v>
      </c>
      <c r="BA52" s="6">
        <f t="shared" si="90"/>
        <v>0</v>
      </c>
      <c r="BB52" s="6">
        <f t="shared" si="90"/>
        <v>0</v>
      </c>
      <c r="BC52" s="6">
        <f t="shared" si="90"/>
        <v>0</v>
      </c>
      <c r="BD52" s="6">
        <f t="shared" si="90"/>
        <v>0</v>
      </c>
      <c r="BE52" s="6">
        <f t="shared" ref="BE52" si="95">BE28+BE40</f>
        <v>0</v>
      </c>
      <c r="BF52" s="6">
        <f t="shared" si="90"/>
        <v>0</v>
      </c>
      <c r="BG52" s="6">
        <f t="shared" si="90"/>
        <v>0</v>
      </c>
      <c r="BH52" s="6">
        <f t="shared" si="90"/>
        <v>0</v>
      </c>
      <c r="BI52" s="6">
        <f t="shared" si="90"/>
        <v>0</v>
      </c>
      <c r="BJ52" s="6">
        <f t="shared" si="90"/>
        <v>0</v>
      </c>
      <c r="BK52" s="6">
        <f t="shared" si="90"/>
        <v>0</v>
      </c>
      <c r="BL52" s="6">
        <f t="shared" si="90"/>
        <v>0</v>
      </c>
      <c r="BM52" s="6">
        <f t="shared" si="90"/>
        <v>0</v>
      </c>
      <c r="BN52" s="6">
        <f t="shared" si="90"/>
        <v>0</v>
      </c>
      <c r="BO52" s="6">
        <f t="shared" si="90"/>
        <v>0</v>
      </c>
      <c r="BP52" s="6">
        <f t="shared" si="90"/>
        <v>0</v>
      </c>
      <c r="BQ52" s="6">
        <f>BQ28+BQ40</f>
        <v>0</v>
      </c>
      <c r="BR52" s="6">
        <f>BR28+BR40</f>
        <v>0</v>
      </c>
      <c r="BS52" s="6">
        <f>BS28+BS40</f>
        <v>0</v>
      </c>
      <c r="BT52" s="213">
        <f>BT28+BT40</f>
        <v>3900</v>
      </c>
    </row>
    <row r="53" spans="1:72" s="13" customFormat="1" x14ac:dyDescent="0.25">
      <c r="A53" s="219" t="s">
        <v>379</v>
      </c>
      <c r="B53" s="6">
        <f>B54+B58</f>
        <v>0</v>
      </c>
      <c r="C53" s="6">
        <f t="shared" ref="C53:BQ53" si="96">C54+C58</f>
        <v>0</v>
      </c>
      <c r="D53" s="6">
        <f t="shared" si="96"/>
        <v>0</v>
      </c>
      <c r="E53" s="6">
        <f t="shared" si="96"/>
        <v>0</v>
      </c>
      <c r="F53" s="6">
        <f t="shared" si="96"/>
        <v>0</v>
      </c>
      <c r="G53" s="6">
        <f t="shared" si="96"/>
        <v>0</v>
      </c>
      <c r="H53" s="6">
        <f t="shared" si="96"/>
        <v>0</v>
      </c>
      <c r="I53" s="6">
        <f t="shared" si="96"/>
        <v>0</v>
      </c>
      <c r="J53" s="6">
        <f t="shared" si="96"/>
        <v>266242</v>
      </c>
      <c r="K53" s="6">
        <f t="shared" si="96"/>
        <v>0</v>
      </c>
      <c r="L53" s="6">
        <f t="shared" si="96"/>
        <v>0</v>
      </c>
      <c r="M53" s="6">
        <f t="shared" si="96"/>
        <v>0</v>
      </c>
      <c r="N53" s="6">
        <f t="shared" si="96"/>
        <v>0</v>
      </c>
      <c r="O53" s="6">
        <f t="shared" si="96"/>
        <v>0</v>
      </c>
      <c r="P53" s="6">
        <f>P54+P58</f>
        <v>0</v>
      </c>
      <c r="Q53" s="6">
        <f t="shared" si="96"/>
        <v>0</v>
      </c>
      <c r="R53" s="6">
        <f t="shared" si="96"/>
        <v>0</v>
      </c>
      <c r="S53" s="6">
        <f t="shared" si="96"/>
        <v>0</v>
      </c>
      <c r="T53" s="6">
        <f t="shared" si="96"/>
        <v>0</v>
      </c>
      <c r="U53" s="6">
        <f t="shared" si="96"/>
        <v>0</v>
      </c>
      <c r="V53" s="6">
        <f t="shared" si="96"/>
        <v>0</v>
      </c>
      <c r="W53" s="6">
        <f t="shared" si="96"/>
        <v>0</v>
      </c>
      <c r="X53" s="6">
        <f t="shared" si="96"/>
        <v>0</v>
      </c>
      <c r="Y53" s="6">
        <f t="shared" si="96"/>
        <v>0</v>
      </c>
      <c r="Z53" s="6">
        <f t="shared" si="96"/>
        <v>0</v>
      </c>
      <c r="AA53" s="6">
        <f t="shared" si="96"/>
        <v>0</v>
      </c>
      <c r="AB53" s="6">
        <f t="shared" si="96"/>
        <v>0</v>
      </c>
      <c r="AC53" s="6">
        <f t="shared" si="96"/>
        <v>0</v>
      </c>
      <c r="AD53" s="6">
        <f t="shared" si="96"/>
        <v>0</v>
      </c>
      <c r="AE53" s="6">
        <f t="shared" si="96"/>
        <v>0</v>
      </c>
      <c r="AF53" s="6">
        <f t="shared" si="96"/>
        <v>0</v>
      </c>
      <c r="AG53" s="6">
        <f t="shared" si="96"/>
        <v>0</v>
      </c>
      <c r="AH53" s="6">
        <f t="shared" si="96"/>
        <v>0</v>
      </c>
      <c r="AI53" s="6">
        <f t="shared" si="96"/>
        <v>0</v>
      </c>
      <c r="AJ53" s="6">
        <f t="shared" si="96"/>
        <v>0</v>
      </c>
      <c r="AK53" s="6">
        <f t="shared" si="96"/>
        <v>0</v>
      </c>
      <c r="AL53" s="6">
        <f t="shared" si="96"/>
        <v>0</v>
      </c>
      <c r="AM53" s="6">
        <f t="shared" si="96"/>
        <v>0</v>
      </c>
      <c r="AN53" s="6">
        <f t="shared" si="96"/>
        <v>0</v>
      </c>
      <c r="AO53" s="6">
        <f t="shared" si="96"/>
        <v>0</v>
      </c>
      <c r="AP53" s="197">
        <f t="shared" si="96"/>
        <v>266242</v>
      </c>
      <c r="AQ53" s="6">
        <f t="shared" ref="AQ53:AY53" si="97">AQ54+AQ58</f>
        <v>0</v>
      </c>
      <c r="AR53" s="6">
        <f t="shared" ref="AR53" si="98">AR54+AR58</f>
        <v>0</v>
      </c>
      <c r="AS53" s="6">
        <f t="shared" ref="AS53:AT53" si="99">AS54+AS58</f>
        <v>0</v>
      </c>
      <c r="AT53" s="6">
        <f t="shared" si="99"/>
        <v>0</v>
      </c>
      <c r="AU53" s="6">
        <f t="shared" ref="AU53" si="100">AU54+AU58</f>
        <v>0</v>
      </c>
      <c r="AV53" s="6">
        <f t="shared" si="97"/>
        <v>0</v>
      </c>
      <c r="AW53" s="6">
        <f t="shared" si="97"/>
        <v>0</v>
      </c>
      <c r="AX53" s="6">
        <f t="shared" si="97"/>
        <v>0</v>
      </c>
      <c r="AY53" s="6">
        <f t="shared" si="97"/>
        <v>0</v>
      </c>
      <c r="AZ53" s="197">
        <f t="shared" si="96"/>
        <v>0</v>
      </c>
      <c r="BA53" s="6">
        <f t="shared" si="96"/>
        <v>0</v>
      </c>
      <c r="BB53" s="6">
        <f t="shared" si="96"/>
        <v>0</v>
      </c>
      <c r="BC53" s="6">
        <f t="shared" si="96"/>
        <v>0</v>
      </c>
      <c r="BD53" s="6">
        <f t="shared" si="96"/>
        <v>0</v>
      </c>
      <c r="BE53" s="6">
        <f t="shared" ref="BE53" si="101">BE54+BE58</f>
        <v>0</v>
      </c>
      <c r="BF53" s="6">
        <f t="shared" si="96"/>
        <v>0</v>
      </c>
      <c r="BG53" s="6">
        <f t="shared" si="96"/>
        <v>0</v>
      </c>
      <c r="BH53" s="6">
        <f t="shared" si="96"/>
        <v>0</v>
      </c>
      <c r="BI53" s="6">
        <f t="shared" si="96"/>
        <v>0</v>
      </c>
      <c r="BJ53" s="6">
        <f t="shared" si="96"/>
        <v>0</v>
      </c>
      <c r="BK53" s="6">
        <f t="shared" si="96"/>
        <v>0</v>
      </c>
      <c r="BL53" s="6">
        <f t="shared" si="96"/>
        <v>0</v>
      </c>
      <c r="BM53" s="6">
        <f t="shared" si="96"/>
        <v>0</v>
      </c>
      <c r="BN53" s="6">
        <f>BN54+BN58</f>
        <v>0</v>
      </c>
      <c r="BO53" s="6">
        <f t="shared" si="96"/>
        <v>0</v>
      </c>
      <c r="BP53" s="6">
        <f t="shared" si="96"/>
        <v>0</v>
      </c>
      <c r="BQ53" s="6">
        <f t="shared" si="96"/>
        <v>0</v>
      </c>
      <c r="BR53" s="6">
        <f>BR54+BR58</f>
        <v>0</v>
      </c>
      <c r="BS53" s="6">
        <f>BS54+BS58</f>
        <v>0</v>
      </c>
      <c r="BT53" s="213">
        <f>BT54+BT58</f>
        <v>266242</v>
      </c>
    </row>
    <row r="54" spans="1:72" s="13" customFormat="1" x14ac:dyDescent="0.25">
      <c r="A54" s="219" t="s">
        <v>380</v>
      </c>
      <c r="B54" s="6">
        <f>B55+B56+B57</f>
        <v>0</v>
      </c>
      <c r="C54" s="6">
        <f t="shared" ref="C54:BQ54" si="102">C55+C56+C57</f>
        <v>0</v>
      </c>
      <c r="D54" s="6">
        <f t="shared" si="102"/>
        <v>0</v>
      </c>
      <c r="E54" s="6">
        <f t="shared" si="102"/>
        <v>0</v>
      </c>
      <c r="F54" s="6">
        <f t="shared" si="102"/>
        <v>0</v>
      </c>
      <c r="G54" s="6">
        <f t="shared" si="102"/>
        <v>0</v>
      </c>
      <c r="H54" s="6">
        <f t="shared" si="102"/>
        <v>0</v>
      </c>
      <c r="I54" s="6">
        <f t="shared" si="102"/>
        <v>0</v>
      </c>
      <c r="J54" s="6">
        <f t="shared" si="102"/>
        <v>266242</v>
      </c>
      <c r="K54" s="6">
        <f t="shared" si="102"/>
        <v>0</v>
      </c>
      <c r="L54" s="6">
        <f t="shared" si="102"/>
        <v>0</v>
      </c>
      <c r="M54" s="6">
        <f t="shared" si="102"/>
        <v>0</v>
      </c>
      <c r="N54" s="6">
        <f t="shared" si="102"/>
        <v>0</v>
      </c>
      <c r="O54" s="6">
        <f t="shared" si="102"/>
        <v>0</v>
      </c>
      <c r="P54" s="6">
        <f>P55+P56+P57</f>
        <v>0</v>
      </c>
      <c r="Q54" s="6">
        <f t="shared" si="102"/>
        <v>0</v>
      </c>
      <c r="R54" s="6">
        <f t="shared" si="102"/>
        <v>0</v>
      </c>
      <c r="S54" s="6">
        <f t="shared" si="102"/>
        <v>0</v>
      </c>
      <c r="T54" s="6">
        <f t="shared" si="102"/>
        <v>0</v>
      </c>
      <c r="U54" s="6">
        <f t="shared" si="102"/>
        <v>0</v>
      </c>
      <c r="V54" s="6">
        <f t="shared" si="102"/>
        <v>0</v>
      </c>
      <c r="W54" s="6">
        <f t="shared" si="102"/>
        <v>0</v>
      </c>
      <c r="X54" s="6">
        <f t="shared" si="102"/>
        <v>0</v>
      </c>
      <c r="Y54" s="6">
        <f t="shared" si="102"/>
        <v>0</v>
      </c>
      <c r="Z54" s="6">
        <f t="shared" si="102"/>
        <v>0</v>
      </c>
      <c r="AA54" s="6">
        <f t="shared" si="102"/>
        <v>0</v>
      </c>
      <c r="AB54" s="6">
        <f t="shared" si="102"/>
        <v>0</v>
      </c>
      <c r="AC54" s="6">
        <f t="shared" si="102"/>
        <v>0</v>
      </c>
      <c r="AD54" s="6">
        <f t="shared" si="102"/>
        <v>0</v>
      </c>
      <c r="AE54" s="6">
        <f t="shared" si="102"/>
        <v>0</v>
      </c>
      <c r="AF54" s="6">
        <f t="shared" si="102"/>
        <v>0</v>
      </c>
      <c r="AG54" s="6">
        <f t="shared" si="102"/>
        <v>0</v>
      </c>
      <c r="AH54" s="6">
        <f t="shared" si="102"/>
        <v>0</v>
      </c>
      <c r="AI54" s="6">
        <f t="shared" si="102"/>
        <v>0</v>
      </c>
      <c r="AJ54" s="6">
        <f t="shared" si="102"/>
        <v>0</v>
      </c>
      <c r="AK54" s="6">
        <f t="shared" si="102"/>
        <v>0</v>
      </c>
      <c r="AL54" s="6">
        <f t="shared" si="102"/>
        <v>0</v>
      </c>
      <c r="AM54" s="6">
        <f t="shared" si="102"/>
        <v>0</v>
      </c>
      <c r="AN54" s="6">
        <f t="shared" si="102"/>
        <v>0</v>
      </c>
      <c r="AO54" s="6">
        <f t="shared" si="102"/>
        <v>0</v>
      </c>
      <c r="AP54" s="197">
        <f t="shared" si="102"/>
        <v>266242</v>
      </c>
      <c r="AQ54" s="6">
        <f t="shared" ref="AQ54:AY54" si="103">AQ55+AQ56+AQ57</f>
        <v>0</v>
      </c>
      <c r="AR54" s="6">
        <f t="shared" ref="AR54" si="104">AR55+AR56+AR57</f>
        <v>0</v>
      </c>
      <c r="AS54" s="6">
        <f t="shared" ref="AS54:AT54" si="105">AS55+AS56+AS57</f>
        <v>0</v>
      </c>
      <c r="AT54" s="6">
        <f t="shared" si="105"/>
        <v>0</v>
      </c>
      <c r="AU54" s="6">
        <f t="shared" ref="AU54" si="106">AU55+AU56+AU57</f>
        <v>0</v>
      </c>
      <c r="AV54" s="6">
        <f t="shared" si="103"/>
        <v>0</v>
      </c>
      <c r="AW54" s="6">
        <f t="shared" si="103"/>
        <v>0</v>
      </c>
      <c r="AX54" s="6">
        <f t="shared" si="103"/>
        <v>0</v>
      </c>
      <c r="AY54" s="6">
        <f t="shared" si="103"/>
        <v>0</v>
      </c>
      <c r="AZ54" s="197">
        <f t="shared" si="102"/>
        <v>0</v>
      </c>
      <c r="BA54" s="6">
        <f t="shared" si="102"/>
        <v>0</v>
      </c>
      <c r="BB54" s="6">
        <f t="shared" si="102"/>
        <v>0</v>
      </c>
      <c r="BC54" s="6">
        <f t="shared" si="102"/>
        <v>0</v>
      </c>
      <c r="BD54" s="6">
        <f t="shared" si="102"/>
        <v>0</v>
      </c>
      <c r="BE54" s="6">
        <f t="shared" ref="BE54" si="107">BE55+BE56+BE57</f>
        <v>0</v>
      </c>
      <c r="BF54" s="6">
        <f t="shared" si="102"/>
        <v>0</v>
      </c>
      <c r="BG54" s="6">
        <f t="shared" si="102"/>
        <v>0</v>
      </c>
      <c r="BH54" s="6">
        <f t="shared" si="102"/>
        <v>0</v>
      </c>
      <c r="BI54" s="6">
        <f t="shared" si="102"/>
        <v>0</v>
      </c>
      <c r="BJ54" s="6">
        <f t="shared" si="102"/>
        <v>0</v>
      </c>
      <c r="BK54" s="6">
        <f t="shared" si="102"/>
        <v>0</v>
      </c>
      <c r="BL54" s="6">
        <f t="shared" si="102"/>
        <v>0</v>
      </c>
      <c r="BM54" s="6">
        <f t="shared" si="102"/>
        <v>0</v>
      </c>
      <c r="BN54" s="6">
        <f>BN55+BN56+BN57</f>
        <v>0</v>
      </c>
      <c r="BO54" s="6">
        <f t="shared" si="102"/>
        <v>0</v>
      </c>
      <c r="BP54" s="6">
        <f t="shared" si="102"/>
        <v>0</v>
      </c>
      <c r="BQ54" s="6">
        <f t="shared" si="102"/>
        <v>0</v>
      </c>
      <c r="BR54" s="6">
        <f>BR55+BR56+BR57</f>
        <v>0</v>
      </c>
      <c r="BS54" s="6">
        <f>BS55+BS56+BS57</f>
        <v>0</v>
      </c>
      <c r="BT54" s="213">
        <f>BT55+BT56+BT57</f>
        <v>266242</v>
      </c>
    </row>
    <row r="55" spans="1:72" s="13" customFormat="1" x14ac:dyDescent="0.25">
      <c r="A55" s="218" t="s">
        <v>381</v>
      </c>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196">
        <f>SUM(B55:AO55)</f>
        <v>0</v>
      </c>
      <c r="AQ55" s="7"/>
      <c r="AR55" s="7"/>
      <c r="AS55" s="7"/>
      <c r="AT55" s="7"/>
      <c r="AU55" s="7"/>
      <c r="AV55" s="7"/>
      <c r="AW55" s="7"/>
      <c r="AX55" s="7"/>
      <c r="AY55" s="7"/>
      <c r="AZ55" s="196">
        <f>SUM(AQ55:AY55)</f>
        <v>0</v>
      </c>
      <c r="BA55" s="7"/>
      <c r="BB55" s="7"/>
      <c r="BC55" s="7"/>
      <c r="BD55" s="7"/>
      <c r="BE55" s="7"/>
      <c r="BF55" s="7"/>
      <c r="BG55" s="7"/>
      <c r="BH55" s="7"/>
      <c r="BI55" s="7"/>
      <c r="BJ55" s="7"/>
      <c r="BK55" s="7"/>
      <c r="BL55" s="7"/>
      <c r="BM55" s="7"/>
      <c r="BN55" s="7"/>
      <c r="BO55" s="8">
        <f>SUM(BA55:BN55)</f>
        <v>0</v>
      </c>
      <c r="BP55" s="8"/>
      <c r="BQ55" s="8"/>
      <c r="BR55" s="8"/>
      <c r="BS55" s="11">
        <f>BO55+BP55+BQ55+BR55</f>
        <v>0</v>
      </c>
      <c r="BT55" s="211">
        <f>AP55+AZ55+BS55</f>
        <v>0</v>
      </c>
    </row>
    <row r="56" spans="1:72" s="13" customFormat="1" x14ac:dyDescent="0.25">
      <c r="A56" s="218" t="s">
        <v>382</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196">
        <f>SUM(B56:AO56)</f>
        <v>0</v>
      </c>
      <c r="AQ56" s="7"/>
      <c r="AR56" s="7"/>
      <c r="AS56" s="7"/>
      <c r="AT56" s="7"/>
      <c r="AU56" s="7"/>
      <c r="AV56" s="7"/>
      <c r="AW56" s="7"/>
      <c r="AX56" s="7"/>
      <c r="AY56" s="7"/>
      <c r="AZ56" s="196">
        <f>SUM(AQ56:AY56)</f>
        <v>0</v>
      </c>
      <c r="BA56" s="7"/>
      <c r="BB56" s="7"/>
      <c r="BC56" s="7"/>
      <c r="BD56" s="7"/>
      <c r="BE56" s="7"/>
      <c r="BF56" s="7"/>
      <c r="BG56" s="7"/>
      <c r="BH56" s="7"/>
      <c r="BI56" s="7"/>
      <c r="BJ56" s="7"/>
      <c r="BK56" s="7"/>
      <c r="BL56" s="7"/>
      <c r="BM56" s="7"/>
      <c r="BN56" s="7"/>
      <c r="BO56" s="8">
        <f>SUM(BA56:BN56)</f>
        <v>0</v>
      </c>
      <c r="BP56" s="8"/>
      <c r="BQ56" s="8"/>
      <c r="BR56" s="8"/>
      <c r="BS56" s="11">
        <f>BO56+BP56+BQ56+BR56</f>
        <v>0</v>
      </c>
      <c r="BT56" s="211">
        <f>AP56+AZ56+BS56</f>
        <v>0</v>
      </c>
    </row>
    <row r="57" spans="1:72" x14ac:dyDescent="0.25">
      <c r="A57" s="220" t="s">
        <v>383</v>
      </c>
      <c r="B57" s="7"/>
      <c r="C57" s="7"/>
      <c r="D57" s="7"/>
      <c r="E57" s="7"/>
      <c r="F57" s="7"/>
      <c r="G57" s="7"/>
      <c r="H57" s="7"/>
      <c r="I57" s="7"/>
      <c r="J57" s="7">
        <f>AZ63</f>
        <v>266242</v>
      </c>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196">
        <f>SUM(B57:AO57)</f>
        <v>266242</v>
      </c>
      <c r="AQ57" s="7"/>
      <c r="AR57" s="7"/>
      <c r="AS57" s="7"/>
      <c r="AT57" s="7"/>
      <c r="AU57" s="7"/>
      <c r="AV57" s="7"/>
      <c r="AW57" s="7"/>
      <c r="AX57" s="7"/>
      <c r="AY57" s="7"/>
      <c r="AZ57" s="196">
        <f>SUM(AQ57:AY57)</f>
        <v>0</v>
      </c>
      <c r="BA57" s="7"/>
      <c r="BB57" s="7"/>
      <c r="BC57" s="7"/>
      <c r="BD57" s="7"/>
      <c r="BE57" s="7"/>
      <c r="BF57" s="7"/>
      <c r="BG57" s="7"/>
      <c r="BH57" s="7"/>
      <c r="BI57" s="7"/>
      <c r="BJ57" s="7"/>
      <c r="BK57" s="7"/>
      <c r="BL57" s="7"/>
      <c r="BM57" s="7"/>
      <c r="BN57" s="7"/>
      <c r="BO57" s="8">
        <f>SUM(BA57:BN57)</f>
        <v>0</v>
      </c>
      <c r="BP57" s="8"/>
      <c r="BQ57" s="8"/>
      <c r="BR57" s="8"/>
      <c r="BS57" s="11">
        <f>BO57+BP57+BQ57+BR57</f>
        <v>0</v>
      </c>
      <c r="BT57" s="211">
        <f>AP57+AZ57+BS57</f>
        <v>266242</v>
      </c>
    </row>
    <row r="58" spans="1:72" s="13" customFormat="1" x14ac:dyDescent="0.25">
      <c r="A58" s="219" t="s">
        <v>384</v>
      </c>
      <c r="B58" s="6">
        <f>B59+B60</f>
        <v>0</v>
      </c>
      <c r="C58" s="6">
        <f t="shared" ref="C58:BQ58" si="108">C59+C60</f>
        <v>0</v>
      </c>
      <c r="D58" s="6">
        <f t="shared" si="108"/>
        <v>0</v>
      </c>
      <c r="E58" s="6">
        <f t="shared" si="108"/>
        <v>0</v>
      </c>
      <c r="F58" s="6">
        <f t="shared" si="108"/>
        <v>0</v>
      </c>
      <c r="G58" s="6">
        <f t="shared" si="108"/>
        <v>0</v>
      </c>
      <c r="H58" s="6">
        <f t="shared" si="108"/>
        <v>0</v>
      </c>
      <c r="I58" s="6">
        <f t="shared" si="108"/>
        <v>0</v>
      </c>
      <c r="J58" s="6">
        <f t="shared" si="108"/>
        <v>0</v>
      </c>
      <c r="K58" s="6">
        <f t="shared" si="108"/>
        <v>0</v>
      </c>
      <c r="L58" s="6">
        <f t="shared" si="108"/>
        <v>0</v>
      </c>
      <c r="M58" s="6">
        <f t="shared" si="108"/>
        <v>0</v>
      </c>
      <c r="N58" s="6">
        <f t="shared" si="108"/>
        <v>0</v>
      </c>
      <c r="O58" s="6">
        <f t="shared" si="108"/>
        <v>0</v>
      </c>
      <c r="P58" s="6">
        <f>P59+P60</f>
        <v>0</v>
      </c>
      <c r="Q58" s="6">
        <f t="shared" si="108"/>
        <v>0</v>
      </c>
      <c r="R58" s="6">
        <f t="shared" si="108"/>
        <v>0</v>
      </c>
      <c r="S58" s="6">
        <f t="shared" si="108"/>
        <v>0</v>
      </c>
      <c r="T58" s="6">
        <f t="shared" si="108"/>
        <v>0</v>
      </c>
      <c r="U58" s="6">
        <f t="shared" si="108"/>
        <v>0</v>
      </c>
      <c r="V58" s="6">
        <f t="shared" si="108"/>
        <v>0</v>
      </c>
      <c r="W58" s="6">
        <f t="shared" si="108"/>
        <v>0</v>
      </c>
      <c r="X58" s="6">
        <f t="shared" si="108"/>
        <v>0</v>
      </c>
      <c r="Y58" s="6">
        <f t="shared" si="108"/>
        <v>0</v>
      </c>
      <c r="Z58" s="6">
        <f t="shared" si="108"/>
        <v>0</v>
      </c>
      <c r="AA58" s="6">
        <f t="shared" si="108"/>
        <v>0</v>
      </c>
      <c r="AB58" s="6">
        <f t="shared" si="108"/>
        <v>0</v>
      </c>
      <c r="AC58" s="6">
        <f t="shared" si="108"/>
        <v>0</v>
      </c>
      <c r="AD58" s="6">
        <f t="shared" si="108"/>
        <v>0</v>
      </c>
      <c r="AE58" s="6">
        <f t="shared" si="108"/>
        <v>0</v>
      </c>
      <c r="AF58" s="6">
        <f t="shared" si="108"/>
        <v>0</v>
      </c>
      <c r="AG58" s="6">
        <f t="shared" si="108"/>
        <v>0</v>
      </c>
      <c r="AH58" s="6">
        <f t="shared" si="108"/>
        <v>0</v>
      </c>
      <c r="AI58" s="6">
        <f t="shared" si="108"/>
        <v>0</v>
      </c>
      <c r="AJ58" s="6">
        <f t="shared" si="108"/>
        <v>0</v>
      </c>
      <c r="AK58" s="6">
        <f t="shared" si="108"/>
        <v>0</v>
      </c>
      <c r="AL58" s="6">
        <f t="shared" si="108"/>
        <v>0</v>
      </c>
      <c r="AM58" s="6">
        <f t="shared" si="108"/>
        <v>0</v>
      </c>
      <c r="AN58" s="6">
        <f t="shared" si="108"/>
        <v>0</v>
      </c>
      <c r="AO58" s="6">
        <f t="shared" si="108"/>
        <v>0</v>
      </c>
      <c r="AP58" s="197">
        <f t="shared" si="108"/>
        <v>0</v>
      </c>
      <c r="AQ58" s="6">
        <f t="shared" ref="AQ58:AY58" si="109">AQ59+AQ60</f>
        <v>0</v>
      </c>
      <c r="AR58" s="6">
        <f t="shared" ref="AR58" si="110">AR59+AR60</f>
        <v>0</v>
      </c>
      <c r="AS58" s="6">
        <f t="shared" ref="AS58:AT58" si="111">AS59+AS60</f>
        <v>0</v>
      </c>
      <c r="AT58" s="6">
        <f t="shared" si="111"/>
        <v>0</v>
      </c>
      <c r="AU58" s="6">
        <f t="shared" ref="AU58" si="112">AU59+AU60</f>
        <v>0</v>
      </c>
      <c r="AV58" s="6">
        <f t="shared" si="109"/>
        <v>0</v>
      </c>
      <c r="AW58" s="6">
        <f t="shared" si="109"/>
        <v>0</v>
      </c>
      <c r="AX58" s="6">
        <f t="shared" si="109"/>
        <v>0</v>
      </c>
      <c r="AY58" s="6">
        <f t="shared" si="109"/>
        <v>0</v>
      </c>
      <c r="AZ58" s="197">
        <f t="shared" si="108"/>
        <v>0</v>
      </c>
      <c r="BA58" s="6">
        <f t="shared" si="108"/>
        <v>0</v>
      </c>
      <c r="BB58" s="6">
        <f t="shared" si="108"/>
        <v>0</v>
      </c>
      <c r="BC58" s="6">
        <f t="shared" si="108"/>
        <v>0</v>
      </c>
      <c r="BD58" s="6">
        <f t="shared" si="108"/>
        <v>0</v>
      </c>
      <c r="BE58" s="6">
        <f t="shared" ref="BE58" si="113">BE59+BE60</f>
        <v>0</v>
      </c>
      <c r="BF58" s="6">
        <f t="shared" si="108"/>
        <v>0</v>
      </c>
      <c r="BG58" s="6">
        <f t="shared" si="108"/>
        <v>0</v>
      </c>
      <c r="BH58" s="6">
        <f t="shared" si="108"/>
        <v>0</v>
      </c>
      <c r="BI58" s="6">
        <f t="shared" si="108"/>
        <v>0</v>
      </c>
      <c r="BJ58" s="6">
        <f t="shared" si="108"/>
        <v>0</v>
      </c>
      <c r="BK58" s="6">
        <f t="shared" si="108"/>
        <v>0</v>
      </c>
      <c r="BL58" s="6">
        <f t="shared" si="108"/>
        <v>0</v>
      </c>
      <c r="BM58" s="6">
        <f t="shared" si="108"/>
        <v>0</v>
      </c>
      <c r="BN58" s="6">
        <f>BN59+BN60</f>
        <v>0</v>
      </c>
      <c r="BO58" s="6">
        <f t="shared" si="108"/>
        <v>0</v>
      </c>
      <c r="BP58" s="6">
        <f t="shared" si="108"/>
        <v>0</v>
      </c>
      <c r="BQ58" s="6">
        <f t="shared" si="108"/>
        <v>0</v>
      </c>
      <c r="BR58" s="6">
        <f>BR59+BR60</f>
        <v>0</v>
      </c>
      <c r="BS58" s="6">
        <f>BS59+BS60</f>
        <v>0</v>
      </c>
      <c r="BT58" s="213">
        <f>BT59+BT60</f>
        <v>0</v>
      </c>
    </row>
    <row r="59" spans="1:72" x14ac:dyDescent="0.25">
      <c r="A59" s="220" t="s">
        <v>385</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196">
        <f>SUM(B59:AO59)</f>
        <v>0</v>
      </c>
      <c r="AQ59" s="7"/>
      <c r="AR59" s="7"/>
      <c r="AS59" s="7"/>
      <c r="AT59" s="7"/>
      <c r="AU59" s="7"/>
      <c r="AV59" s="7"/>
      <c r="AW59" s="7"/>
      <c r="AX59" s="7"/>
      <c r="AY59" s="7"/>
      <c r="AZ59" s="196">
        <f>SUM(AQ59:AY59)</f>
        <v>0</v>
      </c>
      <c r="BA59" s="7"/>
      <c r="BB59" s="7"/>
      <c r="BC59" s="7"/>
      <c r="BD59" s="7"/>
      <c r="BE59" s="7"/>
      <c r="BF59" s="7"/>
      <c r="BG59" s="7"/>
      <c r="BH59" s="7"/>
      <c r="BI59" s="7"/>
      <c r="BJ59" s="7"/>
      <c r="BK59" s="7"/>
      <c r="BL59" s="7"/>
      <c r="BM59" s="7"/>
      <c r="BN59" s="7"/>
      <c r="BO59" s="8">
        <f>SUM(BA59:BN59)</f>
        <v>0</v>
      </c>
      <c r="BP59" s="8"/>
      <c r="BQ59" s="8"/>
      <c r="BR59" s="8"/>
      <c r="BS59" s="11">
        <f>BO59+BP59+BQ59+BR59</f>
        <v>0</v>
      </c>
      <c r="BT59" s="211">
        <f>AP59+AZ59+BS59</f>
        <v>0</v>
      </c>
    </row>
    <row r="60" spans="1:72" x14ac:dyDescent="0.25">
      <c r="A60" s="218" t="s">
        <v>386</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196">
        <f>SUM(B60:AO60)</f>
        <v>0</v>
      </c>
      <c r="AQ60" s="7"/>
      <c r="AR60" s="7"/>
      <c r="AS60" s="7"/>
      <c r="AT60" s="7"/>
      <c r="AU60" s="7"/>
      <c r="AV60" s="7"/>
      <c r="AW60" s="7"/>
      <c r="AX60" s="7"/>
      <c r="AY60" s="7"/>
      <c r="AZ60" s="196">
        <f>SUM(AQ60:AY60)</f>
        <v>0</v>
      </c>
      <c r="BA60" s="7"/>
      <c r="BB60" s="7"/>
      <c r="BC60" s="7"/>
      <c r="BD60" s="7"/>
      <c r="BE60" s="7"/>
      <c r="BF60" s="7"/>
      <c r="BG60" s="7"/>
      <c r="BH60" s="7"/>
      <c r="BI60" s="7"/>
      <c r="BJ60" s="7"/>
      <c r="BK60" s="7"/>
      <c r="BL60" s="7"/>
      <c r="BM60" s="7"/>
      <c r="BN60" s="7"/>
      <c r="BO60" s="8">
        <f>SUM(BA60:BN60)</f>
        <v>0</v>
      </c>
      <c r="BP60" s="8"/>
      <c r="BQ60" s="8"/>
      <c r="BR60" s="8"/>
      <c r="BS60" s="11">
        <f>BO60+BP60+BQ60+BR60</f>
        <v>0</v>
      </c>
      <c r="BT60" s="211">
        <f>AP60+AZ60+BS60</f>
        <v>0</v>
      </c>
    </row>
    <row r="61" spans="1:72" s="13" customFormat="1" x14ac:dyDescent="0.25">
      <c r="A61" s="219" t="s">
        <v>387</v>
      </c>
      <c r="B61" s="6">
        <f>B62+B67</f>
        <v>0</v>
      </c>
      <c r="C61" s="6">
        <f t="shared" ref="C61:BQ61" si="114">C62+C67</f>
        <v>0</v>
      </c>
      <c r="D61" s="6">
        <f t="shared" si="114"/>
        <v>0</v>
      </c>
      <c r="E61" s="6">
        <f t="shared" si="114"/>
        <v>0</v>
      </c>
      <c r="F61" s="6">
        <f t="shared" si="114"/>
        <v>0</v>
      </c>
      <c r="G61" s="6">
        <f t="shared" si="114"/>
        <v>0</v>
      </c>
      <c r="H61" s="6">
        <f t="shared" si="114"/>
        <v>0</v>
      </c>
      <c r="I61" s="6">
        <f t="shared" si="114"/>
        <v>0</v>
      </c>
      <c r="J61" s="6">
        <f t="shared" si="114"/>
        <v>0</v>
      </c>
      <c r="K61" s="6">
        <f t="shared" si="114"/>
        <v>0</v>
      </c>
      <c r="L61" s="6">
        <f t="shared" si="114"/>
        <v>0</v>
      </c>
      <c r="M61" s="6">
        <f t="shared" si="114"/>
        <v>0</v>
      </c>
      <c r="N61" s="6">
        <f t="shared" si="114"/>
        <v>0</v>
      </c>
      <c r="O61" s="6">
        <f t="shared" si="114"/>
        <v>0</v>
      </c>
      <c r="P61" s="6">
        <f>P62+P67</f>
        <v>0</v>
      </c>
      <c r="Q61" s="6">
        <f t="shared" si="114"/>
        <v>0</v>
      </c>
      <c r="R61" s="6">
        <f t="shared" si="114"/>
        <v>0</v>
      </c>
      <c r="S61" s="6">
        <f t="shared" si="114"/>
        <v>0</v>
      </c>
      <c r="T61" s="6">
        <f t="shared" si="114"/>
        <v>0</v>
      </c>
      <c r="U61" s="6">
        <f t="shared" si="114"/>
        <v>0</v>
      </c>
      <c r="V61" s="6">
        <f t="shared" si="114"/>
        <v>0</v>
      </c>
      <c r="W61" s="6">
        <f t="shared" si="114"/>
        <v>0</v>
      </c>
      <c r="X61" s="6">
        <f t="shared" si="114"/>
        <v>0</v>
      </c>
      <c r="Y61" s="6">
        <f t="shared" si="114"/>
        <v>0</v>
      </c>
      <c r="Z61" s="6">
        <f t="shared" si="114"/>
        <v>0</v>
      </c>
      <c r="AA61" s="6">
        <f t="shared" si="114"/>
        <v>0</v>
      </c>
      <c r="AB61" s="6">
        <f t="shared" si="114"/>
        <v>0</v>
      </c>
      <c r="AC61" s="6">
        <f t="shared" si="114"/>
        <v>0</v>
      </c>
      <c r="AD61" s="6">
        <f t="shared" si="114"/>
        <v>0</v>
      </c>
      <c r="AE61" s="6">
        <f t="shared" si="114"/>
        <v>0</v>
      </c>
      <c r="AF61" s="6">
        <f t="shared" si="114"/>
        <v>0</v>
      </c>
      <c r="AG61" s="6">
        <f t="shared" si="114"/>
        <v>0</v>
      </c>
      <c r="AH61" s="6">
        <f t="shared" si="114"/>
        <v>0</v>
      </c>
      <c r="AI61" s="6">
        <f t="shared" si="114"/>
        <v>0</v>
      </c>
      <c r="AJ61" s="6">
        <f t="shared" si="114"/>
        <v>0</v>
      </c>
      <c r="AK61" s="6">
        <f t="shared" si="114"/>
        <v>0</v>
      </c>
      <c r="AL61" s="6">
        <f t="shared" si="114"/>
        <v>0</v>
      </c>
      <c r="AM61" s="6">
        <f t="shared" si="114"/>
        <v>0</v>
      </c>
      <c r="AN61" s="6">
        <f t="shared" si="114"/>
        <v>0</v>
      </c>
      <c r="AO61" s="6">
        <f t="shared" si="114"/>
        <v>0</v>
      </c>
      <c r="AP61" s="197">
        <f t="shared" si="114"/>
        <v>0</v>
      </c>
      <c r="AQ61" s="6">
        <f t="shared" ref="AQ61:AY61" si="115">AQ62+AQ67</f>
        <v>11303</v>
      </c>
      <c r="AR61" s="6">
        <f t="shared" ref="AR61" si="116">AR62+AR67</f>
        <v>4489</v>
      </c>
      <c r="AS61" s="6">
        <f t="shared" ref="AS61:AT61" si="117">AS62+AS67</f>
        <v>3840</v>
      </c>
      <c r="AT61" s="6">
        <f t="shared" si="117"/>
        <v>1500</v>
      </c>
      <c r="AU61" s="6">
        <f t="shared" ref="AU61" si="118">AU62+AU67</f>
        <v>500</v>
      </c>
      <c r="AV61" s="6">
        <f t="shared" si="115"/>
        <v>0</v>
      </c>
      <c r="AW61" s="6">
        <f t="shared" si="115"/>
        <v>0</v>
      </c>
      <c r="AX61" s="6">
        <f t="shared" si="115"/>
        <v>244610</v>
      </c>
      <c r="AY61" s="6">
        <f t="shared" si="115"/>
        <v>0</v>
      </c>
      <c r="AZ61" s="197">
        <f t="shared" si="114"/>
        <v>266242</v>
      </c>
      <c r="BA61" s="6">
        <f t="shared" si="114"/>
        <v>0</v>
      </c>
      <c r="BB61" s="6">
        <f t="shared" si="114"/>
        <v>0</v>
      </c>
      <c r="BC61" s="6">
        <f t="shared" si="114"/>
        <v>0</v>
      </c>
      <c r="BD61" s="6">
        <f t="shared" si="114"/>
        <v>0</v>
      </c>
      <c r="BE61" s="6">
        <f t="shared" ref="BE61" si="119">BE62+BE67</f>
        <v>0</v>
      </c>
      <c r="BF61" s="6">
        <f t="shared" si="114"/>
        <v>0</v>
      </c>
      <c r="BG61" s="6">
        <f t="shared" si="114"/>
        <v>0</v>
      </c>
      <c r="BH61" s="6">
        <f t="shared" si="114"/>
        <v>0</v>
      </c>
      <c r="BI61" s="6">
        <f t="shared" si="114"/>
        <v>0</v>
      </c>
      <c r="BJ61" s="6">
        <f t="shared" si="114"/>
        <v>0</v>
      </c>
      <c r="BK61" s="6">
        <f t="shared" si="114"/>
        <v>0</v>
      </c>
      <c r="BL61" s="6">
        <f t="shared" si="114"/>
        <v>0</v>
      </c>
      <c r="BM61" s="6">
        <f t="shared" si="114"/>
        <v>0</v>
      </c>
      <c r="BN61" s="6">
        <f>BN62+BN67</f>
        <v>0</v>
      </c>
      <c r="BO61" s="6">
        <f t="shared" si="114"/>
        <v>0</v>
      </c>
      <c r="BP61" s="6">
        <f t="shared" si="114"/>
        <v>0</v>
      </c>
      <c r="BQ61" s="6">
        <f t="shared" si="114"/>
        <v>0</v>
      </c>
      <c r="BR61" s="6">
        <f>BR62+BR67</f>
        <v>0</v>
      </c>
      <c r="BS61" s="6">
        <f>BS62+BS67</f>
        <v>0</v>
      </c>
      <c r="BT61" s="213">
        <f>BT62+BT67</f>
        <v>266242</v>
      </c>
    </row>
    <row r="62" spans="1:72" s="13" customFormat="1" x14ac:dyDescent="0.25">
      <c r="A62" s="219" t="s">
        <v>388</v>
      </c>
      <c r="B62" s="6">
        <f>B63+B64+B65+B66</f>
        <v>0</v>
      </c>
      <c r="C62" s="6">
        <f t="shared" ref="C62:BQ62" si="120">C63+C64+C65+C66</f>
        <v>0</v>
      </c>
      <c r="D62" s="6">
        <f t="shared" si="120"/>
        <v>0</v>
      </c>
      <c r="E62" s="6">
        <f t="shared" si="120"/>
        <v>0</v>
      </c>
      <c r="F62" s="6">
        <f t="shared" si="120"/>
        <v>0</v>
      </c>
      <c r="G62" s="6">
        <f t="shared" si="120"/>
        <v>0</v>
      </c>
      <c r="H62" s="6">
        <f t="shared" si="120"/>
        <v>0</v>
      </c>
      <c r="I62" s="6">
        <f t="shared" si="120"/>
        <v>0</v>
      </c>
      <c r="J62" s="6">
        <f t="shared" si="120"/>
        <v>0</v>
      </c>
      <c r="K62" s="6">
        <f t="shared" si="120"/>
        <v>0</v>
      </c>
      <c r="L62" s="6">
        <f t="shared" si="120"/>
        <v>0</v>
      </c>
      <c r="M62" s="6">
        <f t="shared" si="120"/>
        <v>0</v>
      </c>
      <c r="N62" s="6">
        <f t="shared" si="120"/>
        <v>0</v>
      </c>
      <c r="O62" s="6">
        <f t="shared" si="120"/>
        <v>0</v>
      </c>
      <c r="P62" s="6">
        <f>P63+P64+P65+P66</f>
        <v>0</v>
      </c>
      <c r="Q62" s="6">
        <f t="shared" si="120"/>
        <v>0</v>
      </c>
      <c r="R62" s="6">
        <f t="shared" si="120"/>
        <v>0</v>
      </c>
      <c r="S62" s="6">
        <f t="shared" si="120"/>
        <v>0</v>
      </c>
      <c r="T62" s="6">
        <f t="shared" si="120"/>
        <v>0</v>
      </c>
      <c r="U62" s="6">
        <f t="shared" si="120"/>
        <v>0</v>
      </c>
      <c r="V62" s="6">
        <f t="shared" si="120"/>
        <v>0</v>
      </c>
      <c r="W62" s="6">
        <f t="shared" si="120"/>
        <v>0</v>
      </c>
      <c r="X62" s="6">
        <f t="shared" si="120"/>
        <v>0</v>
      </c>
      <c r="Y62" s="6">
        <f t="shared" si="120"/>
        <v>0</v>
      </c>
      <c r="Z62" s="6">
        <f t="shared" si="120"/>
        <v>0</v>
      </c>
      <c r="AA62" s="6">
        <f t="shared" si="120"/>
        <v>0</v>
      </c>
      <c r="AB62" s="6">
        <f t="shared" si="120"/>
        <v>0</v>
      </c>
      <c r="AC62" s="6">
        <f t="shared" si="120"/>
        <v>0</v>
      </c>
      <c r="AD62" s="6">
        <f t="shared" si="120"/>
        <v>0</v>
      </c>
      <c r="AE62" s="6">
        <f t="shared" si="120"/>
        <v>0</v>
      </c>
      <c r="AF62" s="6">
        <f t="shared" si="120"/>
        <v>0</v>
      </c>
      <c r="AG62" s="6">
        <f t="shared" si="120"/>
        <v>0</v>
      </c>
      <c r="AH62" s="6">
        <f t="shared" si="120"/>
        <v>0</v>
      </c>
      <c r="AI62" s="6">
        <f t="shared" si="120"/>
        <v>0</v>
      </c>
      <c r="AJ62" s="6">
        <f t="shared" si="120"/>
        <v>0</v>
      </c>
      <c r="AK62" s="6">
        <f t="shared" si="120"/>
        <v>0</v>
      </c>
      <c r="AL62" s="6">
        <f t="shared" si="120"/>
        <v>0</v>
      </c>
      <c r="AM62" s="6">
        <f t="shared" si="120"/>
        <v>0</v>
      </c>
      <c r="AN62" s="6">
        <f t="shared" si="120"/>
        <v>0</v>
      </c>
      <c r="AO62" s="6">
        <f t="shared" si="120"/>
        <v>0</v>
      </c>
      <c r="AP62" s="197">
        <f t="shared" si="120"/>
        <v>0</v>
      </c>
      <c r="AQ62" s="6">
        <f t="shared" ref="AQ62:AY62" si="121">AQ63+AQ64+AQ65+AQ66</f>
        <v>11303</v>
      </c>
      <c r="AR62" s="6">
        <f t="shared" ref="AR62" si="122">AR63+AR64+AR65+AR66</f>
        <v>4489</v>
      </c>
      <c r="AS62" s="6">
        <f t="shared" ref="AS62:AT62" si="123">AS63+AS64+AS65+AS66</f>
        <v>3840</v>
      </c>
      <c r="AT62" s="6">
        <f t="shared" si="123"/>
        <v>1500</v>
      </c>
      <c r="AU62" s="6">
        <f t="shared" ref="AU62" si="124">AU63+AU64+AU65+AU66</f>
        <v>500</v>
      </c>
      <c r="AV62" s="6">
        <f t="shared" si="121"/>
        <v>0</v>
      </c>
      <c r="AW62" s="6">
        <f t="shared" si="121"/>
        <v>0</v>
      </c>
      <c r="AX62" s="6">
        <f t="shared" si="121"/>
        <v>244610</v>
      </c>
      <c r="AY62" s="6">
        <f t="shared" si="121"/>
        <v>0</v>
      </c>
      <c r="AZ62" s="197">
        <f t="shared" si="120"/>
        <v>266242</v>
      </c>
      <c r="BA62" s="6">
        <f t="shared" si="120"/>
        <v>0</v>
      </c>
      <c r="BB62" s="6">
        <f t="shared" si="120"/>
        <v>0</v>
      </c>
      <c r="BC62" s="6">
        <f t="shared" si="120"/>
        <v>0</v>
      </c>
      <c r="BD62" s="6">
        <f t="shared" si="120"/>
        <v>0</v>
      </c>
      <c r="BE62" s="6">
        <f t="shared" ref="BE62" si="125">BE63+BE64+BE65+BE66</f>
        <v>0</v>
      </c>
      <c r="BF62" s="6">
        <f t="shared" si="120"/>
        <v>0</v>
      </c>
      <c r="BG62" s="6">
        <f t="shared" si="120"/>
        <v>0</v>
      </c>
      <c r="BH62" s="6">
        <f t="shared" si="120"/>
        <v>0</v>
      </c>
      <c r="BI62" s="6">
        <f t="shared" si="120"/>
        <v>0</v>
      </c>
      <c r="BJ62" s="6">
        <f t="shared" si="120"/>
        <v>0</v>
      </c>
      <c r="BK62" s="6">
        <f t="shared" si="120"/>
        <v>0</v>
      </c>
      <c r="BL62" s="6">
        <f t="shared" si="120"/>
        <v>0</v>
      </c>
      <c r="BM62" s="6">
        <f t="shared" si="120"/>
        <v>0</v>
      </c>
      <c r="BN62" s="6">
        <f>BN63+BN64+BN65+BN66</f>
        <v>0</v>
      </c>
      <c r="BO62" s="6">
        <f t="shared" si="120"/>
        <v>0</v>
      </c>
      <c r="BP62" s="6">
        <f t="shared" si="120"/>
        <v>0</v>
      </c>
      <c r="BQ62" s="6">
        <f t="shared" si="120"/>
        <v>0</v>
      </c>
      <c r="BR62" s="6">
        <f>BR63+BR64+BR65+BR66</f>
        <v>0</v>
      </c>
      <c r="BS62" s="6">
        <f>BS63+BS64+BS65+BS66</f>
        <v>0</v>
      </c>
      <c r="BT62" s="213">
        <f>BT63+BT64+BT65+BT66</f>
        <v>266242</v>
      </c>
    </row>
    <row r="63" spans="1:72" x14ac:dyDescent="0.25">
      <c r="A63" s="220" t="s">
        <v>389</v>
      </c>
      <c r="B63" s="7"/>
      <c r="C63" s="7"/>
      <c r="D63" s="7"/>
      <c r="E63" s="7"/>
      <c r="F63" s="7"/>
      <c r="G63" s="7"/>
      <c r="H63" s="7"/>
      <c r="I63" s="7"/>
      <c r="J63" s="7">
        <f>AZ68</f>
        <v>0</v>
      </c>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196">
        <f>SUM(B63:AO63)</f>
        <v>0</v>
      </c>
      <c r="AQ63" s="7">
        <f>Tervezőhiv.!D304</f>
        <v>11303</v>
      </c>
      <c r="AR63" s="7">
        <f>Tervezőhiv.!H304</f>
        <v>4489</v>
      </c>
      <c r="AS63" s="7">
        <f>Tervezőhiv.!L304</f>
        <v>3840</v>
      </c>
      <c r="AT63" s="7">
        <f>Tervezőhiv.!T304</f>
        <v>1500</v>
      </c>
      <c r="AU63" s="7">
        <f>Tervezőhiv.!X304</f>
        <v>500</v>
      </c>
      <c r="AV63" s="7"/>
      <c r="AW63" s="7"/>
      <c r="AX63" s="7">
        <f>Tervezőhiv.!AN304</f>
        <v>244610</v>
      </c>
      <c r="AY63" s="7"/>
      <c r="AZ63" s="196">
        <f>SUM(AQ63:AY63)</f>
        <v>266242</v>
      </c>
      <c r="BA63" s="7"/>
      <c r="BB63" s="7"/>
      <c r="BC63" s="7"/>
      <c r="BD63" s="7"/>
      <c r="BE63" s="7"/>
      <c r="BF63" s="7"/>
      <c r="BG63" s="7"/>
      <c r="BH63" s="7"/>
      <c r="BI63" s="7"/>
      <c r="BJ63" s="7"/>
      <c r="BK63" s="7"/>
      <c r="BL63" s="7"/>
      <c r="BM63" s="7"/>
      <c r="BN63" s="7"/>
      <c r="BO63" s="8">
        <f>SUM(BA63:BN63)</f>
        <v>0</v>
      </c>
      <c r="BP63" s="7"/>
      <c r="BQ63" s="7"/>
      <c r="BR63" s="7"/>
      <c r="BS63" s="7">
        <f>BO63+BP63+BQ63+BR63</f>
        <v>0</v>
      </c>
      <c r="BT63" s="221">
        <f>AP63+AZ63+BS63</f>
        <v>266242</v>
      </c>
    </row>
    <row r="64" spans="1:72" x14ac:dyDescent="0.25">
      <c r="A64" s="218" t="s">
        <v>390</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196">
        <f>SUM(B64:AO64)</f>
        <v>0</v>
      </c>
      <c r="AQ64" s="7"/>
      <c r="AR64" s="7"/>
      <c r="AS64" s="7"/>
      <c r="AT64" s="7"/>
      <c r="AU64" s="7"/>
      <c r="AV64" s="7"/>
      <c r="AW64" s="7"/>
      <c r="AX64" s="7"/>
      <c r="AY64" s="7"/>
      <c r="AZ64" s="196">
        <f>SUM(AQ64:AY64)</f>
        <v>0</v>
      </c>
      <c r="BA64" s="7"/>
      <c r="BB64" s="7"/>
      <c r="BC64" s="7"/>
      <c r="BD64" s="7"/>
      <c r="BE64" s="7"/>
      <c r="BF64" s="7"/>
      <c r="BG64" s="7"/>
      <c r="BH64" s="7"/>
      <c r="BI64" s="7"/>
      <c r="BJ64" s="7"/>
      <c r="BK64" s="7"/>
      <c r="BL64" s="7"/>
      <c r="BM64" s="7"/>
      <c r="BN64" s="7"/>
      <c r="BO64" s="8">
        <f>SUM(BA64:BN64)</f>
        <v>0</v>
      </c>
      <c r="BP64" s="7"/>
      <c r="BQ64" s="7"/>
      <c r="BR64" s="7"/>
      <c r="BS64" s="7">
        <f>BO64+BP64+BQ64+BR64</f>
        <v>0</v>
      </c>
      <c r="BT64" s="221">
        <f>AP64+AZ64+BS64</f>
        <v>0</v>
      </c>
    </row>
    <row r="65" spans="1:72" x14ac:dyDescent="0.25">
      <c r="A65" s="218" t="s">
        <v>391</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196">
        <f>SUM(B65:AO65)</f>
        <v>0</v>
      </c>
      <c r="AQ65" s="7"/>
      <c r="AR65" s="7"/>
      <c r="AS65" s="7"/>
      <c r="AT65" s="7"/>
      <c r="AU65" s="7"/>
      <c r="AV65" s="7"/>
      <c r="AW65" s="7"/>
      <c r="AX65" s="7"/>
      <c r="AY65" s="7"/>
      <c r="AZ65" s="196">
        <f>SUM(AQ65:AY65)</f>
        <v>0</v>
      </c>
      <c r="BA65" s="7"/>
      <c r="BB65" s="7"/>
      <c r="BC65" s="7"/>
      <c r="BD65" s="7"/>
      <c r="BE65" s="7"/>
      <c r="BF65" s="7"/>
      <c r="BG65" s="7"/>
      <c r="BH65" s="7"/>
      <c r="BI65" s="7"/>
      <c r="BJ65" s="7"/>
      <c r="BK65" s="7"/>
      <c r="BL65" s="7"/>
      <c r="BM65" s="7"/>
      <c r="BN65" s="7"/>
      <c r="BO65" s="8">
        <f>SUM(BA65:BN65)</f>
        <v>0</v>
      </c>
      <c r="BP65" s="7"/>
      <c r="BQ65" s="7"/>
      <c r="BR65" s="7"/>
      <c r="BS65" s="7">
        <f>BO65+BP65+BQ65+BR65</f>
        <v>0</v>
      </c>
      <c r="BT65" s="221">
        <f>AP65+AZ65+BS65</f>
        <v>0</v>
      </c>
    </row>
    <row r="66" spans="1:72" x14ac:dyDescent="0.25">
      <c r="A66" s="218" t="s">
        <v>392</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196">
        <f>SUM(B66:AO66)</f>
        <v>0</v>
      </c>
      <c r="AQ66" s="7"/>
      <c r="AR66" s="7"/>
      <c r="AS66" s="7"/>
      <c r="AT66" s="7"/>
      <c r="AU66" s="7"/>
      <c r="AV66" s="7"/>
      <c r="AW66" s="7"/>
      <c r="AX66" s="7"/>
      <c r="AY66" s="7"/>
      <c r="AZ66" s="196">
        <f>SUM(AQ66:AY66)</f>
        <v>0</v>
      </c>
      <c r="BA66" s="7"/>
      <c r="BB66" s="7"/>
      <c r="BC66" s="7"/>
      <c r="BD66" s="7"/>
      <c r="BE66" s="7"/>
      <c r="BF66" s="7"/>
      <c r="BG66" s="7"/>
      <c r="BH66" s="7"/>
      <c r="BI66" s="7"/>
      <c r="BJ66" s="7"/>
      <c r="BK66" s="7"/>
      <c r="BL66" s="7"/>
      <c r="BM66" s="7"/>
      <c r="BN66" s="7"/>
      <c r="BO66" s="8">
        <f>SUM(BA66:BN66)</f>
        <v>0</v>
      </c>
      <c r="BP66" s="7"/>
      <c r="BQ66" s="7"/>
      <c r="BR66" s="7"/>
      <c r="BS66" s="7">
        <f>BO66+BP66+BQ66+BR66</f>
        <v>0</v>
      </c>
      <c r="BT66" s="221">
        <f>AP66+AZ66+BS66</f>
        <v>0</v>
      </c>
    </row>
    <row r="67" spans="1:72" s="13" customFormat="1" x14ac:dyDescent="0.25">
      <c r="A67" s="219" t="s">
        <v>393</v>
      </c>
      <c r="B67" s="6">
        <f t="shared" ref="B67:AQ67" si="126">B68+B70</f>
        <v>0</v>
      </c>
      <c r="C67" s="6">
        <f t="shared" si="126"/>
        <v>0</v>
      </c>
      <c r="D67" s="6">
        <f t="shared" si="126"/>
        <v>0</v>
      </c>
      <c r="E67" s="6">
        <f t="shared" si="126"/>
        <v>0</v>
      </c>
      <c r="F67" s="6">
        <f t="shared" si="126"/>
        <v>0</v>
      </c>
      <c r="G67" s="6">
        <f t="shared" si="126"/>
        <v>0</v>
      </c>
      <c r="H67" s="6">
        <f t="shared" si="126"/>
        <v>0</v>
      </c>
      <c r="I67" s="6">
        <f t="shared" si="126"/>
        <v>0</v>
      </c>
      <c r="J67" s="6">
        <f t="shared" si="126"/>
        <v>0</v>
      </c>
      <c r="K67" s="6">
        <f t="shared" si="126"/>
        <v>0</v>
      </c>
      <c r="L67" s="6">
        <f t="shared" si="126"/>
        <v>0</v>
      </c>
      <c r="M67" s="6">
        <f t="shared" si="126"/>
        <v>0</v>
      </c>
      <c r="N67" s="6">
        <f t="shared" si="126"/>
        <v>0</v>
      </c>
      <c r="O67" s="6">
        <f t="shared" si="126"/>
        <v>0</v>
      </c>
      <c r="P67" s="6">
        <f t="shared" si="126"/>
        <v>0</v>
      </c>
      <c r="Q67" s="6">
        <f t="shared" si="126"/>
        <v>0</v>
      </c>
      <c r="R67" s="6">
        <f t="shared" si="126"/>
        <v>0</v>
      </c>
      <c r="S67" s="6">
        <f t="shared" si="126"/>
        <v>0</v>
      </c>
      <c r="T67" s="6">
        <f t="shared" si="126"/>
        <v>0</v>
      </c>
      <c r="U67" s="6">
        <f t="shared" si="126"/>
        <v>0</v>
      </c>
      <c r="V67" s="6">
        <f t="shared" si="126"/>
        <v>0</v>
      </c>
      <c r="W67" s="6">
        <f t="shared" si="126"/>
        <v>0</v>
      </c>
      <c r="X67" s="6">
        <f t="shared" si="126"/>
        <v>0</v>
      </c>
      <c r="Y67" s="6">
        <f t="shared" si="126"/>
        <v>0</v>
      </c>
      <c r="Z67" s="6">
        <f t="shared" si="126"/>
        <v>0</v>
      </c>
      <c r="AA67" s="6">
        <f t="shared" si="126"/>
        <v>0</v>
      </c>
      <c r="AB67" s="6">
        <f t="shared" si="126"/>
        <v>0</v>
      </c>
      <c r="AC67" s="6">
        <f t="shared" si="126"/>
        <v>0</v>
      </c>
      <c r="AD67" s="6">
        <f t="shared" si="126"/>
        <v>0</v>
      </c>
      <c r="AE67" s="6">
        <f t="shared" si="126"/>
        <v>0</v>
      </c>
      <c r="AF67" s="6">
        <f t="shared" si="126"/>
        <v>0</v>
      </c>
      <c r="AG67" s="6">
        <f t="shared" si="126"/>
        <v>0</v>
      </c>
      <c r="AH67" s="6">
        <f t="shared" si="126"/>
        <v>0</v>
      </c>
      <c r="AI67" s="6">
        <f t="shared" si="126"/>
        <v>0</v>
      </c>
      <c r="AJ67" s="6">
        <f t="shared" si="126"/>
        <v>0</v>
      </c>
      <c r="AK67" s="6">
        <f t="shared" si="126"/>
        <v>0</v>
      </c>
      <c r="AL67" s="6">
        <f t="shared" si="126"/>
        <v>0</v>
      </c>
      <c r="AM67" s="6">
        <f t="shared" si="126"/>
        <v>0</v>
      </c>
      <c r="AN67" s="6">
        <f t="shared" si="126"/>
        <v>0</v>
      </c>
      <c r="AO67" s="6">
        <f t="shared" si="126"/>
        <v>0</v>
      </c>
      <c r="AP67" s="197">
        <f t="shared" si="126"/>
        <v>0</v>
      </c>
      <c r="AQ67" s="6">
        <f t="shared" si="126"/>
        <v>0</v>
      </c>
      <c r="AR67" s="6">
        <f t="shared" ref="AR67" si="127">AR68+AR70</f>
        <v>0</v>
      </c>
      <c r="AS67" s="6">
        <f t="shared" ref="AS67:AT67" si="128">AS68+AS70</f>
        <v>0</v>
      </c>
      <c r="AT67" s="6">
        <f t="shared" si="128"/>
        <v>0</v>
      </c>
      <c r="AU67" s="6">
        <f t="shared" ref="AU67" si="129">AU68+AU70</f>
        <v>0</v>
      </c>
      <c r="AV67" s="6">
        <f t="shared" ref="AV67:AY67" si="130">AV68+AV70</f>
        <v>0</v>
      </c>
      <c r="AW67" s="6">
        <f t="shared" si="130"/>
        <v>0</v>
      </c>
      <c r="AX67" s="6">
        <f t="shared" si="130"/>
        <v>0</v>
      </c>
      <c r="AY67" s="6">
        <f t="shared" si="130"/>
        <v>0</v>
      </c>
      <c r="AZ67" s="197">
        <f>AZ68+AZ70</f>
        <v>0</v>
      </c>
      <c r="BA67" s="6">
        <f t="shared" ref="BA67:BT67" si="131">BA68+BA70</f>
        <v>0</v>
      </c>
      <c r="BB67" s="6">
        <f t="shared" si="131"/>
        <v>0</v>
      </c>
      <c r="BC67" s="6">
        <f t="shared" si="131"/>
        <v>0</v>
      </c>
      <c r="BD67" s="6">
        <f t="shared" si="131"/>
        <v>0</v>
      </c>
      <c r="BE67" s="6">
        <f t="shared" ref="BE67" si="132">BE68+BE70</f>
        <v>0</v>
      </c>
      <c r="BF67" s="6">
        <f t="shared" si="131"/>
        <v>0</v>
      </c>
      <c r="BG67" s="6">
        <f t="shared" si="131"/>
        <v>0</v>
      </c>
      <c r="BH67" s="6">
        <f t="shared" si="131"/>
        <v>0</v>
      </c>
      <c r="BI67" s="6">
        <f t="shared" si="131"/>
        <v>0</v>
      </c>
      <c r="BJ67" s="6">
        <f t="shared" si="131"/>
        <v>0</v>
      </c>
      <c r="BK67" s="6">
        <f t="shared" si="131"/>
        <v>0</v>
      </c>
      <c r="BL67" s="6">
        <f t="shared" si="131"/>
        <v>0</v>
      </c>
      <c r="BM67" s="6">
        <f t="shared" si="131"/>
        <v>0</v>
      </c>
      <c r="BN67" s="6">
        <f t="shared" si="131"/>
        <v>0</v>
      </c>
      <c r="BO67" s="6">
        <f t="shared" si="131"/>
        <v>0</v>
      </c>
      <c r="BP67" s="6">
        <f t="shared" si="131"/>
        <v>0</v>
      </c>
      <c r="BQ67" s="6">
        <f t="shared" si="131"/>
        <v>0</v>
      </c>
      <c r="BR67" s="6">
        <f t="shared" si="131"/>
        <v>0</v>
      </c>
      <c r="BS67" s="6">
        <f t="shared" si="131"/>
        <v>0</v>
      </c>
      <c r="BT67" s="213">
        <f t="shared" si="131"/>
        <v>0</v>
      </c>
    </row>
    <row r="68" spans="1:72" x14ac:dyDescent="0.25">
      <c r="A68" s="220" t="s">
        <v>394</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196">
        <f>SUM(B68:AO68)</f>
        <v>0</v>
      </c>
      <c r="AQ68" s="7">
        <f>Tervezőhiv.!D343</f>
        <v>0</v>
      </c>
      <c r="AR68" s="7">
        <f>Tervezőhiv.!H343</f>
        <v>0</v>
      </c>
      <c r="AS68" s="7">
        <f>Tervezőhiv.!L343</f>
        <v>0</v>
      </c>
      <c r="AT68" s="7">
        <f>Tervezőhiv.!T343</f>
        <v>0</v>
      </c>
      <c r="AU68" s="7">
        <f>Tervezőhiv.!X343</f>
        <v>0</v>
      </c>
      <c r="AV68" s="7"/>
      <c r="AW68" s="7"/>
      <c r="AX68" s="7">
        <f>Tervezőhiv.!AN343</f>
        <v>0</v>
      </c>
      <c r="AY68" s="7"/>
      <c r="AZ68" s="196">
        <f>SUM(AQ68:AY68)</f>
        <v>0</v>
      </c>
      <c r="BA68" s="7"/>
      <c r="BB68" s="7"/>
      <c r="BC68" s="7"/>
      <c r="BD68" s="7"/>
      <c r="BE68" s="7"/>
      <c r="BF68" s="7"/>
      <c r="BG68" s="7"/>
      <c r="BH68" s="7"/>
      <c r="BI68" s="7"/>
      <c r="BJ68" s="7"/>
      <c r="BK68" s="7"/>
      <c r="BL68" s="7"/>
      <c r="BM68" s="7"/>
      <c r="BN68" s="7"/>
      <c r="BO68" s="8">
        <f>SUM(BA68:BN68)</f>
        <v>0</v>
      </c>
      <c r="BP68" s="8"/>
      <c r="BQ68" s="8"/>
      <c r="BR68" s="8"/>
      <c r="BS68" s="11">
        <f>BO68+BP68+BQ68+BR68</f>
        <v>0</v>
      </c>
      <c r="BT68" s="211">
        <f>AP68+AZ68+BS68</f>
        <v>0</v>
      </c>
    </row>
    <row r="69" spans="1:72" x14ac:dyDescent="0.25">
      <c r="A69" s="218" t="s">
        <v>1124</v>
      </c>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c r="AB69" s="878"/>
      <c r="AC69" s="878"/>
      <c r="AD69" s="878"/>
      <c r="AE69" s="878"/>
      <c r="AF69" s="878"/>
      <c r="AG69" s="878"/>
      <c r="AH69" s="878"/>
      <c r="AI69" s="878"/>
      <c r="AJ69" s="878"/>
      <c r="AK69" s="878"/>
      <c r="AL69" s="878"/>
      <c r="AM69" s="878"/>
      <c r="AN69" s="878"/>
      <c r="AO69" s="878"/>
      <c r="AP69" s="196">
        <f>SUM(B69:AO69)</f>
        <v>0</v>
      </c>
      <c r="AQ69" s="878"/>
      <c r="AR69" s="878"/>
      <c r="AS69" s="878"/>
      <c r="AT69" s="878"/>
      <c r="AU69" s="878"/>
      <c r="AV69" s="878"/>
      <c r="AW69" s="878"/>
      <c r="AX69" s="878"/>
      <c r="AY69" s="878"/>
      <c r="AZ69" s="196">
        <f>SUM(AQ69:AY69)</f>
        <v>0</v>
      </c>
      <c r="BA69" s="878"/>
      <c r="BB69" s="878"/>
      <c r="BC69" s="878"/>
      <c r="BD69" s="878"/>
      <c r="BE69" s="878"/>
      <c r="BF69" s="878"/>
      <c r="BG69" s="878"/>
      <c r="BH69" s="878"/>
      <c r="BI69" s="878"/>
      <c r="BJ69" s="878"/>
      <c r="BK69" s="878"/>
      <c r="BL69" s="878"/>
      <c r="BM69" s="878"/>
      <c r="BN69" s="878"/>
      <c r="BO69" s="881"/>
      <c r="BP69" s="881"/>
      <c r="BQ69" s="881"/>
      <c r="BR69" s="881"/>
      <c r="BS69" s="11">
        <f>BO69+BP69+BQ69+BR69</f>
        <v>0</v>
      </c>
      <c r="BT69" s="211">
        <f>AP69+AZ69+BS69</f>
        <v>0</v>
      </c>
    </row>
    <row r="70" spans="1:72" ht="13.8" thickBot="1" x14ac:dyDescent="0.3">
      <c r="A70" s="222" t="s">
        <v>1125</v>
      </c>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4">
        <f>SUM(B70:AO70)</f>
        <v>0</v>
      </c>
      <c r="AQ70" s="223"/>
      <c r="AR70" s="223"/>
      <c r="AS70" s="223"/>
      <c r="AT70" s="223"/>
      <c r="AU70" s="223"/>
      <c r="AV70" s="223"/>
      <c r="AW70" s="223"/>
      <c r="AX70" s="223"/>
      <c r="AY70" s="223"/>
      <c r="AZ70" s="224">
        <f>SUM(AQ70:AY70)</f>
        <v>0</v>
      </c>
      <c r="BA70" s="223"/>
      <c r="BB70" s="223"/>
      <c r="BC70" s="223"/>
      <c r="BD70" s="223"/>
      <c r="BE70" s="223"/>
      <c r="BF70" s="223"/>
      <c r="BG70" s="223"/>
      <c r="BH70" s="223"/>
      <c r="BI70" s="223"/>
      <c r="BJ70" s="223"/>
      <c r="BK70" s="223"/>
      <c r="BL70" s="223"/>
      <c r="BM70" s="223"/>
      <c r="BN70" s="223"/>
      <c r="BO70" s="225">
        <f>SUM(BA70:BN70)</f>
        <v>0</v>
      </c>
      <c r="BP70" s="225"/>
      <c r="BQ70" s="225"/>
      <c r="BR70" s="225"/>
      <c r="BS70" s="226">
        <f>BO70+BP70+BQ70+BR70</f>
        <v>0</v>
      </c>
      <c r="BT70" s="227">
        <f>AP70+AZ70+BS70</f>
        <v>0</v>
      </c>
    </row>
    <row r="71" spans="1:72" x14ac:dyDescent="0.25">
      <c r="B71" s="21"/>
    </row>
    <row r="72" spans="1:72" x14ac:dyDescent="0.25">
      <c r="B72" s="21">
        <f t="shared" ref="B72:P72" si="133">SUM(B6)</f>
        <v>0</v>
      </c>
      <c r="C72" s="21">
        <f t="shared" si="133"/>
        <v>0</v>
      </c>
      <c r="D72" s="21">
        <f t="shared" si="133"/>
        <v>0</v>
      </c>
      <c r="E72" s="21">
        <f t="shared" si="133"/>
        <v>0</v>
      </c>
      <c r="F72" s="21">
        <f t="shared" si="133"/>
        <v>0</v>
      </c>
      <c r="G72" s="21">
        <f t="shared" si="133"/>
        <v>0</v>
      </c>
      <c r="H72" s="21">
        <f t="shared" si="133"/>
        <v>0</v>
      </c>
      <c r="I72" s="21">
        <f t="shared" si="133"/>
        <v>0</v>
      </c>
      <c r="J72" s="21">
        <f t="shared" si="133"/>
        <v>266242</v>
      </c>
      <c r="K72" s="21">
        <f t="shared" si="133"/>
        <v>0</v>
      </c>
      <c r="L72" s="21">
        <f t="shared" si="133"/>
        <v>0</v>
      </c>
      <c r="M72" s="21">
        <f t="shared" si="133"/>
        <v>0</v>
      </c>
      <c r="N72" s="21">
        <f t="shared" si="133"/>
        <v>0</v>
      </c>
      <c r="O72" s="21">
        <f t="shared" si="133"/>
        <v>0</v>
      </c>
      <c r="P72" s="21">
        <f t="shared" si="133"/>
        <v>0</v>
      </c>
      <c r="Q72" s="21">
        <f t="shared" ref="Q72:AA72" si="134">SUM(Q6)</f>
        <v>0</v>
      </c>
      <c r="R72" s="21">
        <f t="shared" si="134"/>
        <v>0</v>
      </c>
      <c r="S72" s="21">
        <f t="shared" si="134"/>
        <v>0</v>
      </c>
      <c r="T72" s="21">
        <f t="shared" si="134"/>
        <v>0</v>
      </c>
      <c r="U72" s="21">
        <f t="shared" si="134"/>
        <v>0</v>
      </c>
      <c r="V72" s="21">
        <f t="shared" si="134"/>
        <v>0</v>
      </c>
      <c r="W72" s="21">
        <f t="shared" si="134"/>
        <v>0</v>
      </c>
      <c r="X72" s="21">
        <f t="shared" si="134"/>
        <v>0</v>
      </c>
      <c r="Y72" s="21">
        <f t="shared" si="134"/>
        <v>0</v>
      </c>
      <c r="Z72" s="21">
        <f t="shared" si="134"/>
        <v>0</v>
      </c>
      <c r="AA72" s="21">
        <f t="shared" si="134"/>
        <v>0</v>
      </c>
      <c r="AB72" s="21">
        <f t="shared" ref="AB72:AL72" si="135">SUM(AB6)</f>
        <v>0</v>
      </c>
      <c r="AC72" s="21">
        <f t="shared" si="135"/>
        <v>0</v>
      </c>
      <c r="AD72" s="21">
        <f t="shared" si="135"/>
        <v>0</v>
      </c>
      <c r="AE72" s="21">
        <f t="shared" si="135"/>
        <v>0</v>
      </c>
      <c r="AF72" s="21">
        <f t="shared" si="135"/>
        <v>0</v>
      </c>
      <c r="AG72" s="21">
        <f t="shared" si="135"/>
        <v>0</v>
      </c>
      <c r="AH72" s="21">
        <f t="shared" si="135"/>
        <v>0</v>
      </c>
      <c r="AI72" s="21">
        <f t="shared" si="135"/>
        <v>0</v>
      </c>
      <c r="AJ72" s="21">
        <f t="shared" si="135"/>
        <v>0</v>
      </c>
      <c r="AK72" s="21">
        <f t="shared" si="135"/>
        <v>0</v>
      </c>
      <c r="AL72" s="21">
        <f t="shared" si="135"/>
        <v>0</v>
      </c>
      <c r="AM72" s="21">
        <f t="shared" ref="AM72:AQ72" si="136">SUM(AM6)</f>
        <v>0</v>
      </c>
      <c r="AN72" s="21">
        <f t="shared" si="136"/>
        <v>0</v>
      </c>
      <c r="AO72" s="21">
        <f t="shared" si="136"/>
        <v>0</v>
      </c>
      <c r="AP72" s="22">
        <f t="shared" si="136"/>
        <v>266242</v>
      </c>
      <c r="AQ72" s="21">
        <f t="shared" si="136"/>
        <v>12303</v>
      </c>
      <c r="AR72" s="21">
        <f t="shared" ref="AR72:AZ72" si="137">SUM(AR6)</f>
        <v>5789</v>
      </c>
      <c r="AS72" s="21">
        <f t="shared" si="137"/>
        <v>5440</v>
      </c>
      <c r="AT72" s="21">
        <f t="shared" si="137"/>
        <v>1500</v>
      </c>
      <c r="AU72" s="21">
        <f t="shared" si="137"/>
        <v>500</v>
      </c>
      <c r="AV72" s="21">
        <f t="shared" si="137"/>
        <v>0</v>
      </c>
      <c r="AW72" s="21">
        <f t="shared" si="137"/>
        <v>0</v>
      </c>
      <c r="AX72" s="21">
        <f t="shared" si="137"/>
        <v>244610</v>
      </c>
      <c r="AY72" s="21">
        <f t="shared" si="137"/>
        <v>0</v>
      </c>
      <c r="AZ72" s="22">
        <f t="shared" si="137"/>
        <v>270142</v>
      </c>
    </row>
    <row r="73" spans="1:72" x14ac:dyDescent="0.25">
      <c r="B73" s="21">
        <f t="shared" ref="B73:P73" si="138">SUM(B27)</f>
        <v>0</v>
      </c>
      <c r="C73" s="21">
        <f t="shared" si="138"/>
        <v>0</v>
      </c>
      <c r="D73" s="21">
        <f t="shared" si="138"/>
        <v>0</v>
      </c>
      <c r="E73" s="21">
        <f t="shared" si="138"/>
        <v>0</v>
      </c>
      <c r="F73" s="21">
        <f t="shared" si="138"/>
        <v>0</v>
      </c>
      <c r="G73" s="21">
        <f t="shared" si="138"/>
        <v>0</v>
      </c>
      <c r="H73" s="21">
        <f t="shared" si="138"/>
        <v>0</v>
      </c>
      <c r="I73" s="21">
        <f t="shared" si="138"/>
        <v>0</v>
      </c>
      <c r="J73" s="21">
        <f t="shared" si="138"/>
        <v>0</v>
      </c>
      <c r="K73" s="21">
        <f t="shared" si="138"/>
        <v>0</v>
      </c>
      <c r="L73" s="21">
        <f t="shared" si="138"/>
        <v>0</v>
      </c>
      <c r="M73" s="21">
        <f t="shared" si="138"/>
        <v>0</v>
      </c>
      <c r="N73" s="21">
        <f t="shared" si="138"/>
        <v>0</v>
      </c>
      <c r="O73" s="21">
        <f t="shared" si="138"/>
        <v>0</v>
      </c>
      <c r="P73" s="21">
        <f t="shared" si="138"/>
        <v>0</v>
      </c>
      <c r="Q73" s="21">
        <f t="shared" ref="Q73:AA73" si="139">SUM(Q27)</f>
        <v>0</v>
      </c>
      <c r="R73" s="21">
        <f t="shared" si="139"/>
        <v>0</v>
      </c>
      <c r="S73" s="21">
        <f t="shared" si="139"/>
        <v>0</v>
      </c>
      <c r="T73" s="21">
        <f t="shared" si="139"/>
        <v>0</v>
      </c>
      <c r="U73" s="21">
        <f t="shared" si="139"/>
        <v>0</v>
      </c>
      <c r="V73" s="21">
        <f t="shared" si="139"/>
        <v>0</v>
      </c>
      <c r="W73" s="21">
        <f t="shared" si="139"/>
        <v>0</v>
      </c>
      <c r="X73" s="21">
        <f t="shared" si="139"/>
        <v>0</v>
      </c>
      <c r="Y73" s="21">
        <f t="shared" si="139"/>
        <v>0</v>
      </c>
      <c r="Z73" s="21">
        <f t="shared" si="139"/>
        <v>0</v>
      </c>
      <c r="AA73" s="21">
        <f t="shared" si="139"/>
        <v>0</v>
      </c>
      <c r="AB73" s="21">
        <f t="shared" ref="AB73:AL73" si="140">SUM(AB27)</f>
        <v>0</v>
      </c>
      <c r="AC73" s="21">
        <f t="shared" si="140"/>
        <v>0</v>
      </c>
      <c r="AD73" s="21">
        <f t="shared" si="140"/>
        <v>0</v>
      </c>
      <c r="AE73" s="21">
        <f t="shared" si="140"/>
        <v>0</v>
      </c>
      <c r="AF73" s="21">
        <f t="shared" si="140"/>
        <v>0</v>
      </c>
      <c r="AG73" s="21">
        <f t="shared" si="140"/>
        <v>0</v>
      </c>
      <c r="AH73" s="21">
        <f t="shared" si="140"/>
        <v>0</v>
      </c>
      <c r="AI73" s="21">
        <f t="shared" si="140"/>
        <v>0</v>
      </c>
      <c r="AJ73" s="21">
        <f t="shared" si="140"/>
        <v>0</v>
      </c>
      <c r="AK73" s="21">
        <f t="shared" si="140"/>
        <v>0</v>
      </c>
      <c r="AL73" s="21">
        <f t="shared" si="140"/>
        <v>0</v>
      </c>
      <c r="AM73" s="21">
        <f t="shared" ref="AM73:AQ73" si="141">SUM(AM27)</f>
        <v>0</v>
      </c>
      <c r="AN73" s="21">
        <f t="shared" si="141"/>
        <v>0</v>
      </c>
      <c r="AO73" s="21">
        <f t="shared" si="141"/>
        <v>0</v>
      </c>
      <c r="AP73" s="22">
        <f t="shared" si="141"/>
        <v>0</v>
      </c>
      <c r="AQ73" s="21">
        <f t="shared" si="141"/>
        <v>12303</v>
      </c>
      <c r="AR73" s="21">
        <f t="shared" ref="AR73:AZ73" si="142">SUM(AR27)</f>
        <v>5789</v>
      </c>
      <c r="AS73" s="21">
        <f t="shared" si="142"/>
        <v>5440</v>
      </c>
      <c r="AT73" s="21">
        <f t="shared" si="142"/>
        <v>1500</v>
      </c>
      <c r="AU73" s="21">
        <f t="shared" si="142"/>
        <v>500</v>
      </c>
      <c r="AV73" s="21">
        <f t="shared" si="142"/>
        <v>0</v>
      </c>
      <c r="AW73" s="21">
        <f t="shared" si="142"/>
        <v>0</v>
      </c>
      <c r="AX73" s="21">
        <f t="shared" si="142"/>
        <v>244610</v>
      </c>
      <c r="AY73" s="21">
        <f t="shared" si="142"/>
        <v>0</v>
      </c>
      <c r="AZ73" s="22">
        <f t="shared" si="142"/>
        <v>270142</v>
      </c>
    </row>
    <row r="74" spans="1:72" x14ac:dyDescent="0.25">
      <c r="B74" s="22">
        <f t="shared" ref="B74:I74" si="143">SUM(B72-B73)</f>
        <v>0</v>
      </c>
      <c r="C74" s="22">
        <f t="shared" si="143"/>
        <v>0</v>
      </c>
      <c r="D74" s="22">
        <f t="shared" si="143"/>
        <v>0</v>
      </c>
      <c r="E74" s="22">
        <f t="shared" si="143"/>
        <v>0</v>
      </c>
      <c r="F74" s="22">
        <f t="shared" si="143"/>
        <v>0</v>
      </c>
      <c r="G74" s="22">
        <f t="shared" si="143"/>
        <v>0</v>
      </c>
      <c r="H74" s="22">
        <f t="shared" si="143"/>
        <v>0</v>
      </c>
      <c r="I74" s="22">
        <f t="shared" si="143"/>
        <v>0</v>
      </c>
      <c r="J74" s="22">
        <f>SUM(J72-J73)</f>
        <v>266242</v>
      </c>
      <c r="K74" s="22">
        <f t="shared" ref="K74" si="144">SUM(K72-K73)</f>
        <v>0</v>
      </c>
      <c r="L74" s="22">
        <f t="shared" ref="L74" si="145">SUM(L72-L73)</f>
        <v>0</v>
      </c>
      <c r="M74" s="22">
        <f t="shared" ref="M74" si="146">SUM(M72-M73)</f>
        <v>0</v>
      </c>
      <c r="N74" s="22">
        <f t="shared" ref="N74" si="147">SUM(N72-N73)</f>
        <v>0</v>
      </c>
      <c r="O74" s="22">
        <f t="shared" ref="O74" si="148">SUM(O72-O73)</f>
        <v>0</v>
      </c>
      <c r="P74" s="21">
        <f t="shared" ref="P74" si="149">SUM(P72-P73)</f>
        <v>0</v>
      </c>
      <c r="Q74" s="22">
        <f t="shared" ref="Q74" si="150">SUM(Q72-Q73)</f>
        <v>0</v>
      </c>
      <c r="R74" s="22">
        <f t="shared" ref="R74" si="151">SUM(R72-R73)</f>
        <v>0</v>
      </c>
      <c r="S74" s="22">
        <f t="shared" ref="S74" si="152">SUM(S72-S73)</f>
        <v>0</v>
      </c>
      <c r="T74" s="22">
        <f t="shared" ref="T74" si="153">SUM(T72-T73)</f>
        <v>0</v>
      </c>
      <c r="U74" s="22">
        <f t="shared" ref="U74" si="154">SUM(U72-U73)</f>
        <v>0</v>
      </c>
      <c r="V74" s="22">
        <f t="shared" ref="V74" si="155">SUM(V72-V73)</f>
        <v>0</v>
      </c>
      <c r="W74" s="22">
        <f t="shared" ref="W74" si="156">SUM(W72-W73)</f>
        <v>0</v>
      </c>
      <c r="X74" s="22">
        <f t="shared" ref="X74" si="157">SUM(X72-X73)</f>
        <v>0</v>
      </c>
      <c r="Y74" s="22">
        <f t="shared" ref="Y74" si="158">SUM(Y72-Y73)</f>
        <v>0</v>
      </c>
      <c r="Z74" s="22">
        <f t="shared" ref="Z74" si="159">SUM(Z72-Z73)</f>
        <v>0</v>
      </c>
      <c r="AA74" s="22">
        <f t="shared" ref="AA74" si="160">SUM(AA72-AA73)</f>
        <v>0</v>
      </c>
      <c r="AB74" s="22">
        <f t="shared" ref="AB74" si="161">SUM(AB72-AB73)</f>
        <v>0</v>
      </c>
      <c r="AC74" s="22">
        <f t="shared" ref="AC74" si="162">SUM(AC72-AC73)</f>
        <v>0</v>
      </c>
      <c r="AD74" s="22">
        <f t="shared" ref="AD74" si="163">SUM(AD72-AD73)</f>
        <v>0</v>
      </c>
      <c r="AE74" s="22">
        <f t="shared" ref="AE74" si="164">SUM(AE72-AE73)</f>
        <v>0</v>
      </c>
      <c r="AF74" s="22">
        <f t="shared" ref="AF74" si="165">SUM(AF72-AF73)</f>
        <v>0</v>
      </c>
      <c r="AG74" s="22">
        <f t="shared" ref="AG74" si="166">SUM(AG72-AG73)</f>
        <v>0</v>
      </c>
      <c r="AH74" s="22">
        <f t="shared" ref="AH74" si="167">SUM(AH72-AH73)</f>
        <v>0</v>
      </c>
      <c r="AI74" s="22">
        <f t="shared" ref="AI74" si="168">SUM(AI72-AI73)</f>
        <v>0</v>
      </c>
      <c r="AJ74" s="22">
        <f t="shared" ref="AJ74" si="169">SUM(AJ72-AJ73)</f>
        <v>0</v>
      </c>
      <c r="AK74" s="22">
        <f t="shared" ref="AK74" si="170">SUM(AK72-AK73)</f>
        <v>0</v>
      </c>
      <c r="AL74" s="22">
        <f t="shared" ref="AL74" si="171">SUM(AL72-AL73)</f>
        <v>0</v>
      </c>
      <c r="AM74" s="22">
        <f t="shared" ref="AM74" si="172">SUM(AM72-AM73)</f>
        <v>0</v>
      </c>
      <c r="AN74" s="22">
        <f t="shared" ref="AN74" si="173">SUM(AN72-AN73)</f>
        <v>0</v>
      </c>
      <c r="AO74" s="22">
        <f t="shared" ref="AO74" si="174">SUM(AO72-AO73)</f>
        <v>0</v>
      </c>
      <c r="AP74" s="22">
        <f t="shared" ref="AP74" si="175">SUM(AP72-AP73)</f>
        <v>266242</v>
      </c>
      <c r="AQ74" s="22">
        <f t="shared" ref="AQ74" si="176">SUM(AQ72-AQ73)</f>
        <v>0</v>
      </c>
      <c r="AR74" s="22">
        <f t="shared" ref="AR74" si="177">SUM(AR72-AR73)</f>
        <v>0</v>
      </c>
      <c r="AS74" s="22">
        <f t="shared" ref="AS74:AT74" si="178">SUM(AS72-AS73)</f>
        <v>0</v>
      </c>
      <c r="AT74" s="22">
        <f t="shared" si="178"/>
        <v>0</v>
      </c>
      <c r="AU74" s="22">
        <f t="shared" ref="AU74" si="179">SUM(AU72-AU73)</f>
        <v>0</v>
      </c>
      <c r="AV74" s="22">
        <f t="shared" ref="AV74" si="180">SUM(AV72-AV73)</f>
        <v>0</v>
      </c>
      <c r="AW74" s="22">
        <f t="shared" ref="AW74" si="181">SUM(AW72-AW73)</f>
        <v>0</v>
      </c>
      <c r="AX74" s="22">
        <f t="shared" ref="AX74" si="182">SUM(AX72-AX73)</f>
        <v>0</v>
      </c>
      <c r="AY74" s="22">
        <f t="shared" ref="AY74" si="183">SUM(AY72-AY73)</f>
        <v>0</v>
      </c>
      <c r="AZ74" s="22">
        <f t="shared" ref="AZ74" si="184">SUM(AZ72-AZ73)</f>
        <v>0</v>
      </c>
    </row>
    <row r="75" spans="1:72" x14ac:dyDescent="0.25">
      <c r="B75" s="21"/>
    </row>
    <row r="76" spans="1:72" x14ac:dyDescent="0.25">
      <c r="B76" s="21"/>
    </row>
    <row r="77" spans="1:72" x14ac:dyDescent="0.25">
      <c r="B77" s="21"/>
    </row>
    <row r="78" spans="1:72" x14ac:dyDescent="0.25">
      <c r="B78" s="21"/>
    </row>
    <row r="79" spans="1:72" x14ac:dyDescent="0.25">
      <c r="B79" s="21"/>
    </row>
    <row r="80" spans="1:72" x14ac:dyDescent="0.25">
      <c r="B80" s="21"/>
    </row>
    <row r="81" spans="2:2" x14ac:dyDescent="0.25">
      <c r="B81" s="21"/>
    </row>
    <row r="82" spans="2:2" x14ac:dyDescent="0.25">
      <c r="B82" s="21"/>
    </row>
    <row r="83" spans="2:2" x14ac:dyDescent="0.25">
      <c r="B83" s="21"/>
    </row>
    <row r="84" spans="2:2" x14ac:dyDescent="0.25">
      <c r="B84" s="21"/>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row r="92" spans="2:2" x14ac:dyDescent="0.25">
      <c r="B92" s="21"/>
    </row>
    <row r="93" spans="2:2" x14ac:dyDescent="0.25">
      <c r="B93" s="21"/>
    </row>
    <row r="94" spans="2:2" x14ac:dyDescent="0.25">
      <c r="B94" s="21"/>
    </row>
    <row r="95" spans="2:2" x14ac:dyDescent="0.25">
      <c r="B95" s="21"/>
    </row>
    <row r="96" spans="2:2" x14ac:dyDescent="0.25">
      <c r="B96" s="21"/>
    </row>
    <row r="97" spans="2:2" x14ac:dyDescent="0.25">
      <c r="B97" s="21"/>
    </row>
    <row r="98" spans="2:2" x14ac:dyDescent="0.25">
      <c r="B98" s="21"/>
    </row>
    <row r="99" spans="2:2" x14ac:dyDescent="0.25">
      <c r="B99" s="21"/>
    </row>
    <row r="100" spans="2:2" x14ac:dyDescent="0.25">
      <c r="B100" s="21"/>
    </row>
    <row r="101" spans="2:2" x14ac:dyDescent="0.25">
      <c r="B101" s="21"/>
    </row>
    <row r="102" spans="2:2" x14ac:dyDescent="0.25">
      <c r="B102" s="21"/>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21"/>
    </row>
    <row r="114" spans="2:2" x14ac:dyDescent="0.25">
      <c r="B114" s="21"/>
    </row>
    <row r="115" spans="2:2" x14ac:dyDescent="0.25">
      <c r="B115" s="21"/>
    </row>
    <row r="116" spans="2:2" x14ac:dyDescent="0.25">
      <c r="B116" s="21"/>
    </row>
    <row r="117" spans="2:2" x14ac:dyDescent="0.25">
      <c r="B117" s="21"/>
    </row>
    <row r="118" spans="2:2" x14ac:dyDescent="0.25">
      <c r="B118" s="21"/>
    </row>
    <row r="119" spans="2:2" x14ac:dyDescent="0.25">
      <c r="B119" s="21"/>
    </row>
    <row r="120" spans="2:2" x14ac:dyDescent="0.25">
      <c r="B120" s="21"/>
    </row>
    <row r="121" spans="2:2" x14ac:dyDescent="0.25">
      <c r="B121" s="21"/>
    </row>
    <row r="122" spans="2:2" x14ac:dyDescent="0.25">
      <c r="B122" s="21"/>
    </row>
    <row r="123" spans="2:2" x14ac:dyDescent="0.25">
      <c r="B123" s="21"/>
    </row>
    <row r="124" spans="2:2" x14ac:dyDescent="0.25">
      <c r="B124" s="21"/>
    </row>
    <row r="125" spans="2:2" x14ac:dyDescent="0.25">
      <c r="B125" s="21"/>
    </row>
    <row r="126" spans="2:2" x14ac:dyDescent="0.25">
      <c r="B126" s="21"/>
    </row>
    <row r="127" spans="2:2" x14ac:dyDescent="0.25">
      <c r="B127" s="21"/>
    </row>
    <row r="128" spans="2:2" x14ac:dyDescent="0.25">
      <c r="B128" s="21"/>
    </row>
    <row r="129" spans="2:2" x14ac:dyDescent="0.25">
      <c r="B129" s="21"/>
    </row>
    <row r="130" spans="2:2" x14ac:dyDescent="0.25">
      <c r="B130" s="21"/>
    </row>
    <row r="131" spans="2:2" x14ac:dyDescent="0.25">
      <c r="B131" s="21"/>
    </row>
    <row r="132" spans="2:2" x14ac:dyDescent="0.25">
      <c r="B132" s="21"/>
    </row>
    <row r="133" spans="2:2" x14ac:dyDescent="0.25">
      <c r="B133" s="21"/>
    </row>
    <row r="134" spans="2:2" x14ac:dyDescent="0.25">
      <c r="B134" s="21"/>
    </row>
    <row r="135" spans="2:2" x14ac:dyDescent="0.25">
      <c r="B135" s="21"/>
    </row>
    <row r="136" spans="2:2" x14ac:dyDescent="0.25">
      <c r="B136" s="21"/>
    </row>
    <row r="137" spans="2:2" x14ac:dyDescent="0.25">
      <c r="B137" s="21"/>
    </row>
    <row r="138" spans="2:2" x14ac:dyDescent="0.25">
      <c r="B138" s="21"/>
    </row>
    <row r="139" spans="2:2" x14ac:dyDescent="0.25">
      <c r="B139" s="21"/>
    </row>
    <row r="140" spans="2:2" x14ac:dyDescent="0.25">
      <c r="B140" s="21"/>
    </row>
    <row r="141" spans="2:2" x14ac:dyDescent="0.25">
      <c r="B141" s="21"/>
    </row>
    <row r="142" spans="2:2" x14ac:dyDescent="0.25">
      <c r="B142" s="21"/>
    </row>
    <row r="143" spans="2:2" x14ac:dyDescent="0.25">
      <c r="B143" s="21"/>
    </row>
    <row r="144" spans="2:2" x14ac:dyDescent="0.25">
      <c r="B144" s="21"/>
    </row>
    <row r="145" spans="2:2" x14ac:dyDescent="0.25">
      <c r="B145" s="21"/>
    </row>
    <row r="146" spans="2:2" x14ac:dyDescent="0.25">
      <c r="B146" s="21"/>
    </row>
    <row r="147" spans="2:2" x14ac:dyDescent="0.25">
      <c r="B147" s="21"/>
    </row>
    <row r="148" spans="2:2" x14ac:dyDescent="0.25">
      <c r="B148" s="21"/>
    </row>
    <row r="149" spans="2:2" x14ac:dyDescent="0.25">
      <c r="B149" s="21"/>
    </row>
    <row r="150" spans="2:2" x14ac:dyDescent="0.25">
      <c r="B150" s="21"/>
    </row>
    <row r="151" spans="2:2" x14ac:dyDescent="0.25">
      <c r="B151" s="21"/>
    </row>
    <row r="152" spans="2:2" x14ac:dyDescent="0.25">
      <c r="B152" s="21"/>
    </row>
    <row r="153" spans="2:2" x14ac:dyDescent="0.25">
      <c r="B153" s="21"/>
    </row>
    <row r="154" spans="2:2" x14ac:dyDescent="0.25">
      <c r="B154" s="21"/>
    </row>
    <row r="155" spans="2:2" x14ac:dyDescent="0.25">
      <c r="B155" s="21"/>
    </row>
    <row r="156" spans="2:2" x14ac:dyDescent="0.25">
      <c r="B156" s="21"/>
    </row>
    <row r="157" spans="2:2" x14ac:dyDescent="0.25">
      <c r="B157" s="21"/>
    </row>
    <row r="158" spans="2:2" x14ac:dyDescent="0.25">
      <c r="B158" s="21"/>
    </row>
    <row r="159" spans="2:2" x14ac:dyDescent="0.25">
      <c r="B159" s="21"/>
    </row>
    <row r="160" spans="2:2" x14ac:dyDescent="0.25">
      <c r="B160" s="21"/>
    </row>
    <row r="161" spans="2:2" x14ac:dyDescent="0.25">
      <c r="B161" s="21"/>
    </row>
    <row r="162" spans="2:2" x14ac:dyDescent="0.25">
      <c r="B162" s="21"/>
    </row>
    <row r="163" spans="2:2" x14ac:dyDescent="0.25">
      <c r="B163" s="21"/>
    </row>
    <row r="164" spans="2:2" x14ac:dyDescent="0.25">
      <c r="B164" s="21"/>
    </row>
    <row r="165" spans="2:2" x14ac:dyDescent="0.25">
      <c r="B165" s="21"/>
    </row>
    <row r="166" spans="2:2" x14ac:dyDescent="0.25">
      <c r="B166" s="21"/>
    </row>
    <row r="167" spans="2:2" x14ac:dyDescent="0.25">
      <c r="B167" s="21"/>
    </row>
    <row r="168" spans="2:2" x14ac:dyDescent="0.25">
      <c r="B168" s="21"/>
    </row>
    <row r="169" spans="2:2" x14ac:dyDescent="0.25">
      <c r="B169" s="21"/>
    </row>
    <row r="170" spans="2:2" x14ac:dyDescent="0.25">
      <c r="B170" s="21"/>
    </row>
    <row r="171" spans="2:2" x14ac:dyDescent="0.25">
      <c r="B171" s="21"/>
    </row>
    <row r="172" spans="2:2" x14ac:dyDescent="0.25">
      <c r="B172" s="21"/>
    </row>
    <row r="173" spans="2:2" x14ac:dyDescent="0.25">
      <c r="B173" s="21"/>
    </row>
    <row r="174" spans="2:2" x14ac:dyDescent="0.25">
      <c r="B174" s="21"/>
    </row>
    <row r="175" spans="2:2" x14ac:dyDescent="0.25">
      <c r="B175" s="21"/>
    </row>
    <row r="176" spans="2:2" x14ac:dyDescent="0.25">
      <c r="B176" s="21"/>
    </row>
    <row r="177" spans="2:2" x14ac:dyDescent="0.25">
      <c r="B177" s="21"/>
    </row>
    <row r="178" spans="2:2" x14ac:dyDescent="0.25">
      <c r="B178" s="21"/>
    </row>
    <row r="179" spans="2:2" x14ac:dyDescent="0.25">
      <c r="B179" s="21"/>
    </row>
    <row r="180" spans="2:2" x14ac:dyDescent="0.25">
      <c r="B180" s="21"/>
    </row>
    <row r="181" spans="2:2" x14ac:dyDescent="0.25">
      <c r="B181" s="21"/>
    </row>
    <row r="182" spans="2:2" x14ac:dyDescent="0.25">
      <c r="B182" s="21"/>
    </row>
    <row r="183" spans="2:2" x14ac:dyDescent="0.25">
      <c r="B183" s="21"/>
    </row>
    <row r="184" spans="2:2" x14ac:dyDescent="0.25">
      <c r="B184" s="21"/>
    </row>
    <row r="185" spans="2:2" x14ac:dyDescent="0.25">
      <c r="B185" s="21"/>
    </row>
    <row r="186" spans="2:2" x14ac:dyDescent="0.25">
      <c r="B186" s="21"/>
    </row>
    <row r="187" spans="2:2" x14ac:dyDescent="0.25">
      <c r="B187" s="21"/>
    </row>
    <row r="188" spans="2:2" x14ac:dyDescent="0.25">
      <c r="B188" s="21"/>
    </row>
    <row r="189" spans="2:2" x14ac:dyDescent="0.25">
      <c r="B189" s="21"/>
    </row>
    <row r="190" spans="2:2" x14ac:dyDescent="0.25">
      <c r="B190" s="21"/>
    </row>
    <row r="191" spans="2:2" x14ac:dyDescent="0.25">
      <c r="B191" s="21"/>
    </row>
    <row r="192" spans="2:2" x14ac:dyDescent="0.25">
      <c r="B192" s="21"/>
    </row>
    <row r="193" spans="2:2" x14ac:dyDescent="0.25">
      <c r="B193" s="21"/>
    </row>
    <row r="194" spans="2:2" x14ac:dyDescent="0.25">
      <c r="B194" s="21"/>
    </row>
    <row r="195" spans="2:2" x14ac:dyDescent="0.25">
      <c r="B195" s="21"/>
    </row>
    <row r="196" spans="2:2" x14ac:dyDescent="0.25">
      <c r="B196" s="21"/>
    </row>
    <row r="197" spans="2:2" x14ac:dyDescent="0.25">
      <c r="B197" s="21"/>
    </row>
    <row r="198" spans="2:2" x14ac:dyDescent="0.25">
      <c r="B198" s="21"/>
    </row>
    <row r="199" spans="2:2" x14ac:dyDescent="0.25">
      <c r="B199" s="21"/>
    </row>
    <row r="200" spans="2:2" x14ac:dyDescent="0.25">
      <c r="B200" s="21"/>
    </row>
    <row r="201" spans="2:2" x14ac:dyDescent="0.25">
      <c r="B201" s="21"/>
    </row>
    <row r="202" spans="2:2" x14ac:dyDescent="0.25">
      <c r="B202" s="21"/>
    </row>
    <row r="203" spans="2:2" x14ac:dyDescent="0.25">
      <c r="B203" s="21"/>
    </row>
    <row r="204" spans="2:2" x14ac:dyDescent="0.25">
      <c r="B204" s="21"/>
    </row>
    <row r="205" spans="2:2" x14ac:dyDescent="0.25">
      <c r="B205" s="21"/>
    </row>
    <row r="206" spans="2:2" x14ac:dyDescent="0.25">
      <c r="B206" s="21"/>
    </row>
    <row r="207" spans="2:2" x14ac:dyDescent="0.25">
      <c r="B207" s="21"/>
    </row>
    <row r="208" spans="2:2" x14ac:dyDescent="0.25">
      <c r="B208" s="21"/>
    </row>
    <row r="209" spans="2:2" x14ac:dyDescent="0.25">
      <c r="B209" s="21"/>
    </row>
    <row r="210" spans="2:2" x14ac:dyDescent="0.25">
      <c r="B210" s="21"/>
    </row>
    <row r="211" spans="2:2" x14ac:dyDescent="0.25">
      <c r="B211" s="21"/>
    </row>
    <row r="212" spans="2:2" x14ac:dyDescent="0.25">
      <c r="B212" s="21"/>
    </row>
    <row r="213" spans="2:2" x14ac:dyDescent="0.25">
      <c r="B213" s="21"/>
    </row>
    <row r="214" spans="2:2" x14ac:dyDescent="0.25">
      <c r="B214" s="21"/>
    </row>
    <row r="215" spans="2:2" x14ac:dyDescent="0.25">
      <c r="B215" s="21"/>
    </row>
    <row r="216" spans="2:2" x14ac:dyDescent="0.25">
      <c r="B216" s="21"/>
    </row>
    <row r="217" spans="2:2" x14ac:dyDescent="0.25">
      <c r="B217" s="21"/>
    </row>
    <row r="218" spans="2:2" x14ac:dyDescent="0.25">
      <c r="B218" s="21"/>
    </row>
    <row r="219" spans="2:2" x14ac:dyDescent="0.25">
      <c r="B219" s="21"/>
    </row>
    <row r="220" spans="2:2" x14ac:dyDescent="0.25">
      <c r="B220" s="21"/>
    </row>
    <row r="221" spans="2:2" x14ac:dyDescent="0.25">
      <c r="B221" s="21"/>
    </row>
    <row r="222" spans="2:2" x14ac:dyDescent="0.25">
      <c r="B222" s="21"/>
    </row>
    <row r="223" spans="2:2" x14ac:dyDescent="0.25">
      <c r="B223" s="21"/>
    </row>
    <row r="224" spans="2:2" x14ac:dyDescent="0.25">
      <c r="B224" s="21"/>
    </row>
    <row r="225" spans="2:2" x14ac:dyDescent="0.25">
      <c r="B225" s="21"/>
    </row>
    <row r="226" spans="2:2" x14ac:dyDescent="0.25">
      <c r="B226" s="21"/>
    </row>
    <row r="227" spans="2:2" x14ac:dyDescent="0.25">
      <c r="B227" s="21"/>
    </row>
    <row r="228" spans="2:2" x14ac:dyDescent="0.25">
      <c r="B228" s="21"/>
    </row>
    <row r="229" spans="2:2" x14ac:dyDescent="0.25">
      <c r="B229" s="21"/>
    </row>
    <row r="230" spans="2:2" x14ac:dyDescent="0.25">
      <c r="B230" s="21"/>
    </row>
    <row r="231" spans="2:2" x14ac:dyDescent="0.25">
      <c r="B231" s="21"/>
    </row>
    <row r="232" spans="2:2" x14ac:dyDescent="0.25">
      <c r="B232" s="21"/>
    </row>
    <row r="233" spans="2:2" x14ac:dyDescent="0.25">
      <c r="B233" s="21"/>
    </row>
    <row r="234" spans="2:2" x14ac:dyDescent="0.25">
      <c r="B234" s="21"/>
    </row>
    <row r="235" spans="2:2" x14ac:dyDescent="0.25">
      <c r="B235" s="21"/>
    </row>
    <row r="236" spans="2:2" x14ac:dyDescent="0.25">
      <c r="B236" s="21"/>
    </row>
    <row r="237" spans="2:2" x14ac:dyDescent="0.25">
      <c r="B237" s="21"/>
    </row>
    <row r="238" spans="2:2" x14ac:dyDescent="0.25">
      <c r="B238" s="21"/>
    </row>
    <row r="239" spans="2:2" x14ac:dyDescent="0.25">
      <c r="B239" s="21"/>
    </row>
    <row r="240" spans="2:2" x14ac:dyDescent="0.25">
      <c r="B240" s="21"/>
    </row>
    <row r="241" spans="2:2" x14ac:dyDescent="0.25">
      <c r="B241" s="21"/>
    </row>
    <row r="242" spans="2:2" x14ac:dyDescent="0.25">
      <c r="B242" s="21"/>
    </row>
    <row r="243" spans="2:2" x14ac:dyDescent="0.25">
      <c r="B243" s="21"/>
    </row>
    <row r="244" spans="2:2" x14ac:dyDescent="0.25">
      <c r="B244" s="21"/>
    </row>
    <row r="245" spans="2:2" x14ac:dyDescent="0.25">
      <c r="B245" s="21"/>
    </row>
    <row r="246" spans="2:2" x14ac:dyDescent="0.25">
      <c r="B246" s="21"/>
    </row>
    <row r="247" spans="2:2" x14ac:dyDescent="0.25">
      <c r="B247" s="21"/>
    </row>
    <row r="248" spans="2:2" x14ac:dyDescent="0.25">
      <c r="B248" s="21"/>
    </row>
    <row r="249" spans="2:2" x14ac:dyDescent="0.25">
      <c r="B249" s="21"/>
    </row>
    <row r="250" spans="2:2" x14ac:dyDescent="0.25">
      <c r="B250" s="21"/>
    </row>
    <row r="251" spans="2:2" x14ac:dyDescent="0.25">
      <c r="B251" s="21"/>
    </row>
    <row r="252" spans="2:2" x14ac:dyDescent="0.25">
      <c r="B252" s="21"/>
    </row>
    <row r="253" spans="2:2" x14ac:dyDescent="0.25">
      <c r="B253" s="21"/>
    </row>
    <row r="254" spans="2:2" x14ac:dyDescent="0.25">
      <c r="B254" s="21"/>
    </row>
    <row r="255" spans="2:2" x14ac:dyDescent="0.25">
      <c r="B255" s="21"/>
    </row>
    <row r="256" spans="2:2" x14ac:dyDescent="0.25">
      <c r="B256" s="21"/>
    </row>
    <row r="257" spans="2:2" x14ac:dyDescent="0.25">
      <c r="B257" s="21"/>
    </row>
    <row r="258" spans="2:2" x14ac:dyDescent="0.25">
      <c r="B258" s="21"/>
    </row>
    <row r="259" spans="2:2" x14ac:dyDescent="0.25">
      <c r="B259" s="21"/>
    </row>
    <row r="260" spans="2:2" x14ac:dyDescent="0.25">
      <c r="B260" s="21"/>
    </row>
    <row r="261" spans="2:2" x14ac:dyDescent="0.25">
      <c r="B261" s="21"/>
    </row>
    <row r="262" spans="2:2" x14ac:dyDescent="0.25">
      <c r="B262" s="21"/>
    </row>
    <row r="263" spans="2:2" x14ac:dyDescent="0.25">
      <c r="B263" s="21"/>
    </row>
    <row r="264" spans="2:2" x14ac:dyDescent="0.25">
      <c r="B264" s="21"/>
    </row>
    <row r="265" spans="2:2" x14ac:dyDescent="0.25">
      <c r="B265" s="21"/>
    </row>
    <row r="266" spans="2:2" x14ac:dyDescent="0.25">
      <c r="B266" s="21"/>
    </row>
    <row r="267" spans="2:2" x14ac:dyDescent="0.25">
      <c r="B267" s="21"/>
    </row>
    <row r="268" spans="2:2" x14ac:dyDescent="0.25">
      <c r="B268" s="21"/>
    </row>
    <row r="269" spans="2:2" x14ac:dyDescent="0.25">
      <c r="B269" s="21"/>
    </row>
    <row r="270" spans="2:2" x14ac:dyDescent="0.25">
      <c r="B270" s="21"/>
    </row>
    <row r="271" spans="2:2" x14ac:dyDescent="0.25">
      <c r="B271" s="21"/>
    </row>
    <row r="272" spans="2:2" x14ac:dyDescent="0.25">
      <c r="B272" s="21"/>
    </row>
    <row r="273" spans="2:2" x14ac:dyDescent="0.25">
      <c r="B273" s="21"/>
    </row>
    <row r="274" spans="2:2" x14ac:dyDescent="0.25">
      <c r="B274" s="21"/>
    </row>
    <row r="275" spans="2:2" x14ac:dyDescent="0.25">
      <c r="B275" s="21"/>
    </row>
    <row r="276" spans="2:2" x14ac:dyDescent="0.25">
      <c r="B276" s="21"/>
    </row>
    <row r="277" spans="2:2" x14ac:dyDescent="0.25">
      <c r="B277" s="21"/>
    </row>
    <row r="278" spans="2:2" x14ac:dyDescent="0.25">
      <c r="B278" s="21"/>
    </row>
    <row r="279" spans="2:2" x14ac:dyDescent="0.25">
      <c r="B279" s="21"/>
    </row>
    <row r="280" spans="2:2" x14ac:dyDescent="0.25">
      <c r="B280" s="21"/>
    </row>
    <row r="281" spans="2:2" x14ac:dyDescent="0.25">
      <c r="B281" s="21"/>
    </row>
    <row r="282" spans="2:2" x14ac:dyDescent="0.25">
      <c r="B282" s="21"/>
    </row>
    <row r="283" spans="2:2" x14ac:dyDescent="0.25">
      <c r="B283" s="21"/>
    </row>
    <row r="284" spans="2:2" x14ac:dyDescent="0.25">
      <c r="B284" s="21"/>
    </row>
    <row r="285" spans="2:2" x14ac:dyDescent="0.25">
      <c r="B285" s="21"/>
    </row>
    <row r="286" spans="2:2" x14ac:dyDescent="0.25">
      <c r="B286" s="21"/>
    </row>
    <row r="287" spans="2:2" x14ac:dyDescent="0.25">
      <c r="B287" s="21"/>
    </row>
    <row r="288" spans="2:2" x14ac:dyDescent="0.25">
      <c r="B288" s="21"/>
    </row>
    <row r="289" spans="2:2" x14ac:dyDescent="0.25">
      <c r="B289" s="21"/>
    </row>
    <row r="290" spans="2:2" x14ac:dyDescent="0.25">
      <c r="B290" s="21"/>
    </row>
    <row r="291" spans="2:2" x14ac:dyDescent="0.25">
      <c r="B291" s="21"/>
    </row>
    <row r="292" spans="2:2" x14ac:dyDescent="0.25">
      <c r="B292" s="21"/>
    </row>
    <row r="293" spans="2:2" x14ac:dyDescent="0.25">
      <c r="B293" s="21"/>
    </row>
    <row r="294" spans="2:2" x14ac:dyDescent="0.25">
      <c r="B294" s="21"/>
    </row>
    <row r="295" spans="2:2" x14ac:dyDescent="0.25">
      <c r="B295" s="21"/>
    </row>
    <row r="296" spans="2:2" x14ac:dyDescent="0.25">
      <c r="B296" s="21"/>
    </row>
    <row r="297" spans="2:2" x14ac:dyDescent="0.25">
      <c r="B297" s="21"/>
    </row>
    <row r="298" spans="2:2" x14ac:dyDescent="0.25">
      <c r="B298" s="21"/>
    </row>
    <row r="299" spans="2:2" x14ac:dyDescent="0.25">
      <c r="B299" s="21"/>
    </row>
    <row r="300" spans="2:2" x14ac:dyDescent="0.25">
      <c r="B300" s="21"/>
    </row>
    <row r="301" spans="2:2" x14ac:dyDescent="0.25">
      <c r="B301" s="21"/>
    </row>
    <row r="302" spans="2:2" x14ac:dyDescent="0.25">
      <c r="B302" s="21"/>
    </row>
    <row r="303" spans="2:2" x14ac:dyDescent="0.25">
      <c r="B303" s="21"/>
    </row>
    <row r="304" spans="2:2" x14ac:dyDescent="0.25">
      <c r="B304" s="21"/>
    </row>
    <row r="305" spans="2:2" x14ac:dyDescent="0.25">
      <c r="B305" s="21"/>
    </row>
    <row r="306" spans="2:2" x14ac:dyDescent="0.25">
      <c r="B306" s="21"/>
    </row>
    <row r="307" spans="2:2" x14ac:dyDescent="0.25">
      <c r="B307" s="21"/>
    </row>
    <row r="308" spans="2:2" x14ac:dyDescent="0.25">
      <c r="B308" s="21"/>
    </row>
    <row r="309" spans="2:2" x14ac:dyDescent="0.25">
      <c r="B309" s="21"/>
    </row>
    <row r="310" spans="2:2" x14ac:dyDescent="0.25">
      <c r="B310" s="21"/>
    </row>
    <row r="311" spans="2:2" x14ac:dyDescent="0.25">
      <c r="B311" s="21"/>
    </row>
    <row r="312" spans="2:2" x14ac:dyDescent="0.25">
      <c r="B312" s="21"/>
    </row>
    <row r="313" spans="2:2" x14ac:dyDescent="0.25">
      <c r="B313" s="21"/>
    </row>
    <row r="314" spans="2:2" x14ac:dyDescent="0.25">
      <c r="B314" s="21"/>
    </row>
    <row r="315" spans="2:2" x14ac:dyDescent="0.25">
      <c r="B315" s="21"/>
    </row>
    <row r="316" spans="2:2" x14ac:dyDescent="0.25">
      <c r="B316" s="21"/>
    </row>
    <row r="317" spans="2:2" x14ac:dyDescent="0.25">
      <c r="B317" s="21"/>
    </row>
    <row r="318" spans="2:2" x14ac:dyDescent="0.25">
      <c r="B318" s="21"/>
    </row>
    <row r="319" spans="2:2" x14ac:dyDescent="0.25">
      <c r="B319" s="21"/>
    </row>
    <row r="320" spans="2:2" x14ac:dyDescent="0.25">
      <c r="B320" s="21"/>
    </row>
    <row r="321" spans="2:2" x14ac:dyDescent="0.25">
      <c r="B321" s="21"/>
    </row>
    <row r="322" spans="2:2" x14ac:dyDescent="0.25">
      <c r="B322" s="21"/>
    </row>
    <row r="323" spans="2:2" x14ac:dyDescent="0.25">
      <c r="B323" s="21"/>
    </row>
    <row r="324" spans="2:2" x14ac:dyDescent="0.25">
      <c r="B324" s="21"/>
    </row>
    <row r="325" spans="2:2" x14ac:dyDescent="0.25">
      <c r="B325" s="21"/>
    </row>
    <row r="326" spans="2:2" x14ac:dyDescent="0.25">
      <c r="B326" s="21"/>
    </row>
    <row r="327" spans="2:2" x14ac:dyDescent="0.25">
      <c r="B327" s="21"/>
    </row>
    <row r="328" spans="2:2" x14ac:dyDescent="0.25">
      <c r="B328" s="21"/>
    </row>
    <row r="329" spans="2:2" x14ac:dyDescent="0.25">
      <c r="B329" s="21"/>
    </row>
    <row r="330" spans="2:2" x14ac:dyDescent="0.25">
      <c r="B330" s="21"/>
    </row>
    <row r="331" spans="2:2" x14ac:dyDescent="0.25">
      <c r="B331" s="21"/>
    </row>
    <row r="332" spans="2:2" x14ac:dyDescent="0.25">
      <c r="B332" s="21"/>
    </row>
    <row r="333" spans="2:2" x14ac:dyDescent="0.25">
      <c r="B333" s="21"/>
    </row>
    <row r="334" spans="2:2" x14ac:dyDescent="0.25">
      <c r="B334" s="21"/>
    </row>
    <row r="335" spans="2:2" x14ac:dyDescent="0.25">
      <c r="B335" s="21"/>
    </row>
    <row r="336" spans="2:2" x14ac:dyDescent="0.25">
      <c r="B336" s="21"/>
    </row>
    <row r="337" spans="2:2" x14ac:dyDescent="0.25">
      <c r="B337" s="21"/>
    </row>
    <row r="338" spans="2:2" x14ac:dyDescent="0.25">
      <c r="B338" s="21"/>
    </row>
    <row r="339" spans="2:2" x14ac:dyDescent="0.25">
      <c r="B339" s="21"/>
    </row>
    <row r="340" spans="2:2" x14ac:dyDescent="0.25">
      <c r="B340" s="21"/>
    </row>
    <row r="341" spans="2:2" x14ac:dyDescent="0.25">
      <c r="B341" s="21"/>
    </row>
    <row r="342" spans="2:2" x14ac:dyDescent="0.25">
      <c r="B342" s="21"/>
    </row>
    <row r="343" spans="2:2" x14ac:dyDescent="0.25">
      <c r="B343" s="21"/>
    </row>
    <row r="344" spans="2:2" x14ac:dyDescent="0.25">
      <c r="B344" s="21"/>
    </row>
    <row r="345" spans="2:2" x14ac:dyDescent="0.25">
      <c r="B345" s="21"/>
    </row>
    <row r="346" spans="2:2" x14ac:dyDescent="0.25">
      <c r="B346" s="21"/>
    </row>
    <row r="347" spans="2:2" x14ac:dyDescent="0.25">
      <c r="B347" s="21"/>
    </row>
    <row r="348" spans="2:2" x14ac:dyDescent="0.25">
      <c r="B348" s="21"/>
    </row>
    <row r="349" spans="2:2" x14ac:dyDescent="0.25">
      <c r="B349" s="21"/>
    </row>
    <row r="350" spans="2:2" x14ac:dyDescent="0.25">
      <c r="B350" s="21"/>
    </row>
    <row r="351" spans="2:2" x14ac:dyDescent="0.25">
      <c r="B351" s="21"/>
    </row>
    <row r="352" spans="2:2" x14ac:dyDescent="0.25">
      <c r="B352" s="21"/>
    </row>
    <row r="353" spans="2:2" x14ac:dyDescent="0.25">
      <c r="B353" s="21"/>
    </row>
    <row r="354" spans="2:2" x14ac:dyDescent="0.25">
      <c r="B354" s="21"/>
    </row>
    <row r="355" spans="2:2" x14ac:dyDescent="0.25">
      <c r="B355" s="21"/>
    </row>
    <row r="356" spans="2:2" x14ac:dyDescent="0.25">
      <c r="B356" s="21"/>
    </row>
    <row r="357" spans="2:2" x14ac:dyDescent="0.25">
      <c r="B357" s="21"/>
    </row>
    <row r="358" spans="2:2" x14ac:dyDescent="0.25">
      <c r="B358" s="21"/>
    </row>
    <row r="359" spans="2:2" x14ac:dyDescent="0.25">
      <c r="B359" s="21"/>
    </row>
    <row r="360" spans="2:2" x14ac:dyDescent="0.25">
      <c r="B360" s="21"/>
    </row>
    <row r="361" spans="2:2" x14ac:dyDescent="0.25">
      <c r="B361" s="21"/>
    </row>
    <row r="362" spans="2:2" x14ac:dyDescent="0.25">
      <c r="B362" s="21"/>
    </row>
    <row r="363" spans="2:2" x14ac:dyDescent="0.25">
      <c r="B363" s="21"/>
    </row>
    <row r="364" spans="2:2" x14ac:dyDescent="0.25">
      <c r="B364" s="21"/>
    </row>
    <row r="365" spans="2:2" x14ac:dyDescent="0.25">
      <c r="B365" s="21"/>
    </row>
    <row r="366" spans="2:2" x14ac:dyDescent="0.25">
      <c r="B366" s="21"/>
    </row>
    <row r="367" spans="2:2" x14ac:dyDescent="0.25">
      <c r="B367" s="21"/>
    </row>
    <row r="368" spans="2:2" x14ac:dyDescent="0.25">
      <c r="B368" s="21"/>
    </row>
    <row r="369" spans="2:2" x14ac:dyDescent="0.25">
      <c r="B369" s="21"/>
    </row>
    <row r="370" spans="2:2" x14ac:dyDescent="0.25">
      <c r="B370" s="21"/>
    </row>
    <row r="371" spans="2:2" x14ac:dyDescent="0.25">
      <c r="B371" s="21"/>
    </row>
    <row r="372" spans="2:2" x14ac:dyDescent="0.25">
      <c r="B372" s="21"/>
    </row>
    <row r="373" spans="2:2" x14ac:dyDescent="0.25">
      <c r="B373" s="21"/>
    </row>
    <row r="374" spans="2:2" x14ac:dyDescent="0.25">
      <c r="B374" s="21"/>
    </row>
    <row r="375" spans="2:2" x14ac:dyDescent="0.25">
      <c r="B375" s="21"/>
    </row>
    <row r="376" spans="2:2" x14ac:dyDescent="0.25">
      <c r="B376" s="21"/>
    </row>
    <row r="377" spans="2:2" x14ac:dyDescent="0.25">
      <c r="B377" s="21"/>
    </row>
    <row r="378" spans="2:2" x14ac:dyDescent="0.25">
      <c r="B378" s="21"/>
    </row>
    <row r="379" spans="2:2" x14ac:dyDescent="0.25">
      <c r="B379" s="21"/>
    </row>
    <row r="380" spans="2:2" x14ac:dyDescent="0.25">
      <c r="B380" s="21"/>
    </row>
    <row r="381" spans="2:2" x14ac:dyDescent="0.25">
      <c r="B381" s="21"/>
    </row>
    <row r="382" spans="2:2" x14ac:dyDescent="0.25">
      <c r="B382" s="21"/>
    </row>
    <row r="383" spans="2:2" x14ac:dyDescent="0.25">
      <c r="B383" s="21"/>
    </row>
    <row r="384" spans="2:2" x14ac:dyDescent="0.25">
      <c r="B384" s="21"/>
    </row>
    <row r="385" spans="2:2" x14ac:dyDescent="0.25">
      <c r="B385" s="21"/>
    </row>
    <row r="386" spans="2:2" x14ac:dyDescent="0.25">
      <c r="B386" s="21"/>
    </row>
    <row r="387" spans="2:2" x14ac:dyDescent="0.25">
      <c r="B387" s="21"/>
    </row>
    <row r="388" spans="2:2" x14ac:dyDescent="0.25">
      <c r="B388" s="21"/>
    </row>
    <row r="389" spans="2:2" x14ac:dyDescent="0.25">
      <c r="B389" s="21"/>
    </row>
    <row r="390" spans="2:2" x14ac:dyDescent="0.25">
      <c r="B390" s="21"/>
    </row>
    <row r="391" spans="2:2" x14ac:dyDescent="0.25">
      <c r="B391" s="21"/>
    </row>
    <row r="392" spans="2:2" x14ac:dyDescent="0.25">
      <c r="B392" s="21"/>
    </row>
    <row r="393" spans="2:2" x14ac:dyDescent="0.25">
      <c r="B393" s="21"/>
    </row>
    <row r="394" spans="2:2" x14ac:dyDescent="0.25">
      <c r="B394" s="21"/>
    </row>
    <row r="395" spans="2:2" x14ac:dyDescent="0.25">
      <c r="B395" s="21"/>
    </row>
    <row r="396" spans="2:2" x14ac:dyDescent="0.25">
      <c r="B396" s="21"/>
    </row>
    <row r="397" spans="2:2" x14ac:dyDescent="0.25">
      <c r="B397" s="21"/>
    </row>
    <row r="398" spans="2:2" x14ac:dyDescent="0.25">
      <c r="B398" s="21"/>
    </row>
    <row r="399" spans="2:2" x14ac:dyDescent="0.25">
      <c r="B399" s="21"/>
    </row>
    <row r="400" spans="2:2" x14ac:dyDescent="0.25">
      <c r="B400" s="21"/>
    </row>
    <row r="401" spans="2:2" x14ac:dyDescent="0.25">
      <c r="B401" s="21"/>
    </row>
    <row r="402" spans="2:2" x14ac:dyDescent="0.25">
      <c r="B402" s="21"/>
    </row>
    <row r="403" spans="2:2" x14ac:dyDescent="0.25">
      <c r="B403" s="21"/>
    </row>
    <row r="404" spans="2:2" x14ac:dyDescent="0.25">
      <c r="B404" s="21"/>
    </row>
    <row r="405" spans="2:2" x14ac:dyDescent="0.25">
      <c r="B405" s="21"/>
    </row>
    <row r="406" spans="2:2" x14ac:dyDescent="0.25">
      <c r="B406" s="21"/>
    </row>
    <row r="407" spans="2:2" x14ac:dyDescent="0.25">
      <c r="B407" s="21"/>
    </row>
    <row r="408" spans="2:2" x14ac:dyDescent="0.25">
      <c r="B408" s="21"/>
    </row>
    <row r="409" spans="2:2" x14ac:dyDescent="0.25">
      <c r="B409" s="21"/>
    </row>
    <row r="410" spans="2:2" x14ac:dyDescent="0.25">
      <c r="B410" s="21"/>
    </row>
    <row r="411" spans="2:2" x14ac:dyDescent="0.25">
      <c r="B411" s="21"/>
    </row>
    <row r="412" spans="2:2" x14ac:dyDescent="0.25">
      <c r="B412" s="21"/>
    </row>
    <row r="413" spans="2:2" x14ac:dyDescent="0.25">
      <c r="B413" s="21"/>
    </row>
    <row r="414" spans="2:2" x14ac:dyDescent="0.25">
      <c r="B414" s="21"/>
    </row>
    <row r="415" spans="2:2" x14ac:dyDescent="0.25">
      <c r="B415" s="21"/>
    </row>
    <row r="416" spans="2:2" x14ac:dyDescent="0.25">
      <c r="B416" s="21"/>
    </row>
    <row r="417" spans="2:2" x14ac:dyDescent="0.25">
      <c r="B417" s="21"/>
    </row>
    <row r="418" spans="2:2" x14ac:dyDescent="0.25">
      <c r="B418" s="21"/>
    </row>
    <row r="419" spans="2:2" x14ac:dyDescent="0.25">
      <c r="B419" s="21"/>
    </row>
    <row r="420" spans="2:2" x14ac:dyDescent="0.25">
      <c r="B420" s="21"/>
    </row>
    <row r="421" spans="2:2" x14ac:dyDescent="0.25">
      <c r="B421" s="21"/>
    </row>
    <row r="422" spans="2:2" x14ac:dyDescent="0.25">
      <c r="B422" s="21"/>
    </row>
    <row r="423" spans="2:2" x14ac:dyDescent="0.25">
      <c r="B423" s="21"/>
    </row>
    <row r="424" spans="2:2" x14ac:dyDescent="0.25">
      <c r="B424" s="21"/>
    </row>
    <row r="425" spans="2:2" x14ac:dyDescent="0.25">
      <c r="B425" s="21"/>
    </row>
    <row r="426" spans="2:2" x14ac:dyDescent="0.25">
      <c r="B426" s="21"/>
    </row>
    <row r="427" spans="2:2" x14ac:dyDescent="0.25">
      <c r="B427" s="21"/>
    </row>
    <row r="428" spans="2:2" x14ac:dyDescent="0.25">
      <c r="B428" s="21"/>
    </row>
    <row r="429" spans="2:2" x14ac:dyDescent="0.25">
      <c r="B429" s="21"/>
    </row>
    <row r="430" spans="2:2" x14ac:dyDescent="0.25">
      <c r="B430" s="21"/>
    </row>
    <row r="431" spans="2:2" x14ac:dyDescent="0.25">
      <c r="B431" s="21"/>
    </row>
    <row r="432" spans="2:2" x14ac:dyDescent="0.25">
      <c r="B432" s="21"/>
    </row>
    <row r="433" spans="2:2" x14ac:dyDescent="0.25">
      <c r="B433" s="21"/>
    </row>
    <row r="434" spans="2:2" x14ac:dyDescent="0.25">
      <c r="B434" s="21"/>
    </row>
    <row r="435" spans="2:2" x14ac:dyDescent="0.25">
      <c r="B435" s="21"/>
    </row>
    <row r="436" spans="2:2" x14ac:dyDescent="0.25">
      <c r="B436" s="21"/>
    </row>
    <row r="437" spans="2:2" x14ac:dyDescent="0.25">
      <c r="B437" s="21"/>
    </row>
    <row r="438" spans="2:2" x14ac:dyDescent="0.25">
      <c r="B438" s="21"/>
    </row>
    <row r="439" spans="2:2" x14ac:dyDescent="0.25">
      <c r="B439" s="21"/>
    </row>
    <row r="440" spans="2:2" x14ac:dyDescent="0.25">
      <c r="B440" s="21"/>
    </row>
    <row r="441" spans="2:2" x14ac:dyDescent="0.25">
      <c r="B441" s="21"/>
    </row>
    <row r="442" spans="2:2" x14ac:dyDescent="0.25">
      <c r="B442" s="21"/>
    </row>
    <row r="443" spans="2:2" x14ac:dyDescent="0.25">
      <c r="B443" s="21"/>
    </row>
    <row r="444" spans="2:2" x14ac:dyDescent="0.25">
      <c r="B444" s="21"/>
    </row>
    <row r="445" spans="2:2" x14ac:dyDescent="0.25">
      <c r="B445" s="21"/>
    </row>
    <row r="446" spans="2:2" x14ac:dyDescent="0.25">
      <c r="B446" s="21"/>
    </row>
    <row r="447" spans="2:2" x14ac:dyDescent="0.25">
      <c r="B447" s="21"/>
    </row>
    <row r="448" spans="2:2" x14ac:dyDescent="0.25">
      <c r="B448" s="21"/>
    </row>
    <row r="449" spans="2:2" x14ac:dyDescent="0.25">
      <c r="B449" s="21"/>
    </row>
    <row r="450" spans="2:2" x14ac:dyDescent="0.25">
      <c r="B450" s="21"/>
    </row>
    <row r="451" spans="2:2" x14ac:dyDescent="0.25">
      <c r="B451" s="21"/>
    </row>
    <row r="452" spans="2:2" x14ac:dyDescent="0.25">
      <c r="B452" s="21"/>
    </row>
    <row r="453" spans="2:2" x14ac:dyDescent="0.25">
      <c r="B453" s="21"/>
    </row>
    <row r="454" spans="2:2" x14ac:dyDescent="0.25">
      <c r="B454" s="21"/>
    </row>
    <row r="455" spans="2:2" x14ac:dyDescent="0.25">
      <c r="B455" s="21"/>
    </row>
    <row r="456" spans="2:2" x14ac:dyDescent="0.25">
      <c r="B456" s="21"/>
    </row>
    <row r="457" spans="2:2" x14ac:dyDescent="0.25">
      <c r="B457" s="21"/>
    </row>
    <row r="458" spans="2:2" x14ac:dyDescent="0.25">
      <c r="B458" s="21"/>
    </row>
    <row r="459" spans="2:2" x14ac:dyDescent="0.25">
      <c r="B459" s="21"/>
    </row>
    <row r="460" spans="2:2" x14ac:dyDescent="0.25">
      <c r="B460" s="21"/>
    </row>
    <row r="461" spans="2:2" x14ac:dyDescent="0.25">
      <c r="B461" s="21"/>
    </row>
    <row r="462" spans="2:2" x14ac:dyDescent="0.25">
      <c r="B462" s="21"/>
    </row>
    <row r="463" spans="2:2" x14ac:dyDescent="0.25">
      <c r="B463" s="21"/>
    </row>
    <row r="464" spans="2:2" x14ac:dyDescent="0.25">
      <c r="B464" s="21"/>
    </row>
    <row r="465" spans="2:2" x14ac:dyDescent="0.25">
      <c r="B465" s="21"/>
    </row>
    <row r="466" spans="2:2" x14ac:dyDescent="0.25">
      <c r="B466" s="21"/>
    </row>
    <row r="467" spans="2:2" x14ac:dyDescent="0.25">
      <c r="B467" s="21"/>
    </row>
    <row r="468" spans="2:2" x14ac:dyDescent="0.25">
      <c r="B468" s="21"/>
    </row>
    <row r="469" spans="2:2" x14ac:dyDescent="0.25">
      <c r="B469" s="21"/>
    </row>
    <row r="470" spans="2:2" x14ac:dyDescent="0.25">
      <c r="B470" s="21"/>
    </row>
    <row r="471" spans="2:2" x14ac:dyDescent="0.25">
      <c r="B471" s="21"/>
    </row>
    <row r="472" spans="2:2" x14ac:dyDescent="0.25">
      <c r="B472" s="21"/>
    </row>
    <row r="473" spans="2:2" x14ac:dyDescent="0.25">
      <c r="B473" s="21"/>
    </row>
    <row r="474" spans="2:2" x14ac:dyDescent="0.25">
      <c r="B474" s="21"/>
    </row>
    <row r="475" spans="2:2" x14ac:dyDescent="0.25">
      <c r="B475" s="21"/>
    </row>
    <row r="476" spans="2:2" x14ac:dyDescent="0.25">
      <c r="B476" s="21"/>
    </row>
    <row r="477" spans="2:2" x14ac:dyDescent="0.25">
      <c r="B477" s="21"/>
    </row>
    <row r="478" spans="2:2" x14ac:dyDescent="0.25">
      <c r="B478" s="21"/>
    </row>
    <row r="479" spans="2:2" x14ac:dyDescent="0.25">
      <c r="B479" s="21"/>
    </row>
    <row r="480" spans="2:2" x14ac:dyDescent="0.25">
      <c r="B480" s="21"/>
    </row>
    <row r="481" spans="2:2" x14ac:dyDescent="0.25">
      <c r="B481" s="21"/>
    </row>
    <row r="482" spans="2:2" x14ac:dyDescent="0.25">
      <c r="B482" s="21"/>
    </row>
    <row r="483" spans="2:2" x14ac:dyDescent="0.25">
      <c r="B483" s="21"/>
    </row>
    <row r="484" spans="2:2" x14ac:dyDescent="0.25">
      <c r="B484" s="21"/>
    </row>
    <row r="485" spans="2:2" x14ac:dyDescent="0.25">
      <c r="B485" s="21"/>
    </row>
    <row r="486" spans="2:2" x14ac:dyDescent="0.25">
      <c r="B486" s="21"/>
    </row>
    <row r="487" spans="2:2" x14ac:dyDescent="0.25">
      <c r="B487" s="21"/>
    </row>
    <row r="488" spans="2:2" x14ac:dyDescent="0.25">
      <c r="B488" s="21"/>
    </row>
    <row r="489" spans="2:2" x14ac:dyDescent="0.25">
      <c r="B489" s="21"/>
    </row>
    <row r="490" spans="2:2" x14ac:dyDescent="0.25">
      <c r="B490" s="21"/>
    </row>
    <row r="491" spans="2:2" x14ac:dyDescent="0.25">
      <c r="B491" s="21"/>
    </row>
    <row r="492" spans="2:2" x14ac:dyDescent="0.25">
      <c r="B492" s="21"/>
    </row>
    <row r="493" spans="2:2" x14ac:dyDescent="0.25">
      <c r="B493" s="21"/>
    </row>
    <row r="494" spans="2:2" x14ac:dyDescent="0.25">
      <c r="B494" s="21"/>
    </row>
    <row r="495" spans="2:2" x14ac:dyDescent="0.25">
      <c r="B495" s="21"/>
    </row>
    <row r="496" spans="2:2" x14ac:dyDescent="0.25">
      <c r="B496" s="21"/>
    </row>
    <row r="497" spans="2:2" x14ac:dyDescent="0.25">
      <c r="B497" s="21"/>
    </row>
    <row r="498" spans="2:2" x14ac:dyDescent="0.25">
      <c r="B498" s="21"/>
    </row>
    <row r="499" spans="2:2" x14ac:dyDescent="0.25">
      <c r="B499" s="21"/>
    </row>
    <row r="500" spans="2:2" x14ac:dyDescent="0.25">
      <c r="B500" s="21"/>
    </row>
    <row r="501" spans="2:2" x14ac:dyDescent="0.25">
      <c r="B501" s="21"/>
    </row>
    <row r="502" spans="2:2" x14ac:dyDescent="0.25">
      <c r="B502" s="21"/>
    </row>
    <row r="503" spans="2:2" x14ac:dyDescent="0.25">
      <c r="B503" s="21"/>
    </row>
    <row r="504" spans="2:2" x14ac:dyDescent="0.25">
      <c r="B504" s="21"/>
    </row>
    <row r="505" spans="2:2" x14ac:dyDescent="0.25">
      <c r="B505" s="21"/>
    </row>
    <row r="506" spans="2:2" x14ac:dyDescent="0.25">
      <c r="B506" s="21"/>
    </row>
    <row r="507" spans="2:2" x14ac:dyDescent="0.25">
      <c r="B507" s="21"/>
    </row>
    <row r="508" spans="2:2" x14ac:dyDescent="0.25">
      <c r="B508" s="21"/>
    </row>
    <row r="509" spans="2:2" x14ac:dyDescent="0.25">
      <c r="B509" s="21"/>
    </row>
    <row r="510" spans="2:2" x14ac:dyDescent="0.25">
      <c r="B510" s="21"/>
    </row>
    <row r="511" spans="2:2" x14ac:dyDescent="0.25">
      <c r="B511" s="21"/>
    </row>
    <row r="512" spans="2:2" x14ac:dyDescent="0.25">
      <c r="B512" s="21"/>
    </row>
    <row r="513" spans="2:2" x14ac:dyDescent="0.25">
      <c r="B513" s="21"/>
    </row>
    <row r="514" spans="2:2" x14ac:dyDescent="0.25">
      <c r="B514" s="21"/>
    </row>
    <row r="515" spans="2:2" x14ac:dyDescent="0.25">
      <c r="B515" s="21"/>
    </row>
    <row r="516" spans="2:2" x14ac:dyDescent="0.25">
      <c r="B516" s="21"/>
    </row>
    <row r="517" spans="2:2" x14ac:dyDescent="0.25">
      <c r="B517" s="21"/>
    </row>
    <row r="518" spans="2:2" x14ac:dyDescent="0.25">
      <c r="B518" s="21"/>
    </row>
    <row r="519" spans="2:2" x14ac:dyDescent="0.25">
      <c r="B519" s="21"/>
    </row>
    <row r="520" spans="2:2" x14ac:dyDescent="0.25">
      <c r="B520" s="21"/>
    </row>
    <row r="521" spans="2:2" x14ac:dyDescent="0.25">
      <c r="B521" s="21"/>
    </row>
    <row r="522" spans="2:2" x14ac:dyDescent="0.25">
      <c r="B522" s="21"/>
    </row>
    <row r="523" spans="2:2" x14ac:dyDescent="0.25">
      <c r="B523" s="21"/>
    </row>
    <row r="524" spans="2:2" x14ac:dyDescent="0.25">
      <c r="B524" s="21"/>
    </row>
    <row r="525" spans="2:2" x14ac:dyDescent="0.25">
      <c r="B525" s="21"/>
    </row>
    <row r="526" spans="2:2" x14ac:dyDescent="0.25">
      <c r="B526" s="21"/>
    </row>
    <row r="527" spans="2:2" x14ac:dyDescent="0.25">
      <c r="B527" s="21"/>
    </row>
    <row r="528" spans="2:2" x14ac:dyDescent="0.25">
      <c r="B528" s="21"/>
    </row>
    <row r="529" spans="2:2" x14ac:dyDescent="0.25">
      <c r="B529" s="21"/>
    </row>
    <row r="530" spans="2:2" x14ac:dyDescent="0.25">
      <c r="B530" s="21"/>
    </row>
    <row r="531" spans="2:2" x14ac:dyDescent="0.25">
      <c r="B531" s="21"/>
    </row>
    <row r="532" spans="2:2" x14ac:dyDescent="0.25">
      <c r="B532" s="21"/>
    </row>
    <row r="533" spans="2:2" x14ac:dyDescent="0.25">
      <c r="B533" s="21"/>
    </row>
    <row r="534" spans="2:2" x14ac:dyDescent="0.25">
      <c r="B534" s="21"/>
    </row>
    <row r="535" spans="2:2" x14ac:dyDescent="0.25">
      <c r="B535" s="21"/>
    </row>
    <row r="536" spans="2:2" x14ac:dyDescent="0.25">
      <c r="B536" s="21"/>
    </row>
    <row r="537" spans="2:2" x14ac:dyDescent="0.25">
      <c r="B537" s="21"/>
    </row>
    <row r="538" spans="2:2" x14ac:dyDescent="0.25">
      <c r="B538" s="21"/>
    </row>
    <row r="539" spans="2:2" x14ac:dyDescent="0.25">
      <c r="B539" s="21"/>
    </row>
    <row r="540" spans="2:2" x14ac:dyDescent="0.25">
      <c r="B540" s="21"/>
    </row>
    <row r="541" spans="2:2" x14ac:dyDescent="0.25">
      <c r="B541" s="21"/>
    </row>
    <row r="542" spans="2:2" x14ac:dyDescent="0.25">
      <c r="B542" s="21"/>
    </row>
    <row r="543" spans="2:2" x14ac:dyDescent="0.25">
      <c r="B543" s="21"/>
    </row>
    <row r="544" spans="2:2" x14ac:dyDescent="0.25">
      <c r="B544" s="21"/>
    </row>
    <row r="545" spans="2:2" x14ac:dyDescent="0.25">
      <c r="B545" s="21"/>
    </row>
    <row r="546" spans="2:2" x14ac:dyDescent="0.25">
      <c r="B546" s="21"/>
    </row>
    <row r="547" spans="2:2" x14ac:dyDescent="0.25">
      <c r="B547" s="21"/>
    </row>
    <row r="548" spans="2:2" x14ac:dyDescent="0.25">
      <c r="B548" s="21"/>
    </row>
    <row r="549" spans="2:2" x14ac:dyDescent="0.25">
      <c r="B549" s="21"/>
    </row>
    <row r="550" spans="2:2" x14ac:dyDescent="0.25">
      <c r="B550" s="21"/>
    </row>
    <row r="551" spans="2:2" x14ac:dyDescent="0.25">
      <c r="B551" s="21"/>
    </row>
    <row r="552" spans="2:2" x14ac:dyDescent="0.25">
      <c r="B552" s="21"/>
    </row>
    <row r="553" spans="2:2" x14ac:dyDescent="0.25">
      <c r="B553" s="21"/>
    </row>
    <row r="554" spans="2:2" x14ac:dyDescent="0.25">
      <c r="B554" s="21"/>
    </row>
    <row r="555" spans="2:2" x14ac:dyDescent="0.25">
      <c r="B555" s="21"/>
    </row>
    <row r="556" spans="2:2" x14ac:dyDescent="0.25">
      <c r="B556" s="21"/>
    </row>
    <row r="557" spans="2:2" x14ac:dyDescent="0.25">
      <c r="B557" s="21"/>
    </row>
    <row r="558" spans="2:2" x14ac:dyDescent="0.25">
      <c r="B558" s="21"/>
    </row>
    <row r="559" spans="2:2" x14ac:dyDescent="0.25">
      <c r="B559" s="21"/>
    </row>
    <row r="560" spans="2:2" x14ac:dyDescent="0.25">
      <c r="B560" s="21"/>
    </row>
    <row r="561" spans="2:2" x14ac:dyDescent="0.25">
      <c r="B561" s="21"/>
    </row>
    <row r="562" spans="2:2" x14ac:dyDescent="0.25">
      <c r="B562" s="21"/>
    </row>
    <row r="563" spans="2:2" x14ac:dyDescent="0.25">
      <c r="B563" s="21"/>
    </row>
    <row r="564" spans="2:2" x14ac:dyDescent="0.25">
      <c r="B564" s="21"/>
    </row>
    <row r="565" spans="2:2" x14ac:dyDescent="0.25">
      <c r="B565" s="21"/>
    </row>
    <row r="566" spans="2:2" x14ac:dyDescent="0.25">
      <c r="B566" s="21"/>
    </row>
    <row r="567" spans="2:2" x14ac:dyDescent="0.25">
      <c r="B567" s="21"/>
    </row>
    <row r="568" spans="2:2" x14ac:dyDescent="0.25">
      <c r="B568" s="21"/>
    </row>
    <row r="569" spans="2:2" x14ac:dyDescent="0.25">
      <c r="B569" s="21"/>
    </row>
    <row r="570" spans="2:2" x14ac:dyDescent="0.25">
      <c r="B570" s="21"/>
    </row>
    <row r="571" spans="2:2" x14ac:dyDescent="0.25">
      <c r="B571" s="21"/>
    </row>
    <row r="572" spans="2:2" x14ac:dyDescent="0.25">
      <c r="B572" s="21"/>
    </row>
    <row r="573" spans="2:2" x14ac:dyDescent="0.25">
      <c r="B573" s="21"/>
    </row>
    <row r="574" spans="2:2" x14ac:dyDescent="0.25">
      <c r="B574" s="21"/>
    </row>
    <row r="575" spans="2:2" x14ac:dyDescent="0.25">
      <c r="B575" s="21"/>
    </row>
    <row r="576" spans="2:2" x14ac:dyDescent="0.25">
      <c r="B576" s="21"/>
    </row>
    <row r="577" spans="2:2" x14ac:dyDescent="0.25">
      <c r="B577" s="21"/>
    </row>
    <row r="578" spans="2:2" x14ac:dyDescent="0.25">
      <c r="B578" s="21"/>
    </row>
    <row r="579" spans="2:2" x14ac:dyDescent="0.25">
      <c r="B579" s="21"/>
    </row>
    <row r="580" spans="2:2" x14ac:dyDescent="0.25">
      <c r="B580" s="21"/>
    </row>
    <row r="581" spans="2:2" x14ac:dyDescent="0.25">
      <c r="B581" s="21"/>
    </row>
    <row r="582" spans="2:2" x14ac:dyDescent="0.25">
      <c r="B582" s="21"/>
    </row>
    <row r="583" spans="2:2" x14ac:dyDescent="0.25">
      <c r="B583" s="21"/>
    </row>
    <row r="584" spans="2:2" x14ac:dyDescent="0.25">
      <c r="B584" s="21"/>
    </row>
    <row r="585" spans="2:2" x14ac:dyDescent="0.25">
      <c r="B585" s="21"/>
    </row>
    <row r="586" spans="2:2" x14ac:dyDescent="0.25">
      <c r="B586" s="21"/>
    </row>
    <row r="587" spans="2:2" x14ac:dyDescent="0.25">
      <c r="B587" s="21"/>
    </row>
    <row r="588" spans="2:2" x14ac:dyDescent="0.25">
      <c r="B588" s="21"/>
    </row>
    <row r="589" spans="2:2" x14ac:dyDescent="0.25">
      <c r="B589" s="21"/>
    </row>
    <row r="590" spans="2:2" x14ac:dyDescent="0.25">
      <c r="B590" s="21"/>
    </row>
    <row r="591" spans="2:2" x14ac:dyDescent="0.25">
      <c r="B591" s="21"/>
    </row>
    <row r="592" spans="2:2" x14ac:dyDescent="0.25">
      <c r="B592" s="21"/>
    </row>
    <row r="593" spans="2:2" x14ac:dyDescent="0.25">
      <c r="B593" s="21"/>
    </row>
    <row r="594" spans="2:2" x14ac:dyDescent="0.25">
      <c r="B594" s="21"/>
    </row>
    <row r="595" spans="2:2" x14ac:dyDescent="0.25">
      <c r="B595" s="21"/>
    </row>
    <row r="596" spans="2:2" x14ac:dyDescent="0.25">
      <c r="B596" s="21"/>
    </row>
    <row r="597" spans="2:2" x14ac:dyDescent="0.25">
      <c r="B597" s="21"/>
    </row>
    <row r="598" spans="2:2" x14ac:dyDescent="0.25">
      <c r="B598" s="21"/>
    </row>
    <row r="599" spans="2:2" x14ac:dyDescent="0.25">
      <c r="B599" s="21"/>
    </row>
    <row r="600" spans="2:2" x14ac:dyDescent="0.25">
      <c r="B600" s="21"/>
    </row>
    <row r="601" spans="2:2" x14ac:dyDescent="0.25">
      <c r="B601" s="21"/>
    </row>
    <row r="602" spans="2:2" x14ac:dyDescent="0.25">
      <c r="B602" s="21"/>
    </row>
    <row r="603" spans="2:2" x14ac:dyDescent="0.25">
      <c r="B603" s="21"/>
    </row>
    <row r="604" spans="2:2" x14ac:dyDescent="0.25">
      <c r="B604" s="21"/>
    </row>
    <row r="605" spans="2:2" x14ac:dyDescent="0.25">
      <c r="B605" s="21"/>
    </row>
    <row r="606" spans="2:2" x14ac:dyDescent="0.25">
      <c r="B606" s="21"/>
    </row>
    <row r="607" spans="2:2" x14ac:dyDescent="0.25">
      <c r="B607" s="21"/>
    </row>
    <row r="608" spans="2:2" x14ac:dyDescent="0.25">
      <c r="B608" s="21"/>
    </row>
    <row r="609" spans="2:2" x14ac:dyDescent="0.25">
      <c r="B609" s="21"/>
    </row>
    <row r="610" spans="2:2" x14ac:dyDescent="0.25">
      <c r="B610" s="21"/>
    </row>
    <row r="611" spans="2:2" x14ac:dyDescent="0.25">
      <c r="B611" s="21"/>
    </row>
    <row r="612" spans="2:2" x14ac:dyDescent="0.25">
      <c r="B612" s="21"/>
    </row>
    <row r="613" spans="2:2" x14ac:dyDescent="0.25">
      <c r="B613" s="21"/>
    </row>
    <row r="614" spans="2:2" x14ac:dyDescent="0.25">
      <c r="B614" s="21"/>
    </row>
    <row r="615" spans="2:2" x14ac:dyDescent="0.25">
      <c r="B615" s="21"/>
    </row>
    <row r="616" spans="2:2" x14ac:dyDescent="0.25">
      <c r="B616" s="21"/>
    </row>
    <row r="617" spans="2:2" x14ac:dyDescent="0.25">
      <c r="B617" s="21"/>
    </row>
    <row r="618" spans="2:2" x14ac:dyDescent="0.25">
      <c r="B618" s="21"/>
    </row>
    <row r="619" spans="2:2" x14ac:dyDescent="0.25">
      <c r="B619" s="21"/>
    </row>
    <row r="620" spans="2:2" x14ac:dyDescent="0.25">
      <c r="B620" s="21"/>
    </row>
    <row r="621" spans="2:2" x14ac:dyDescent="0.25">
      <c r="B621" s="21"/>
    </row>
    <row r="622" spans="2:2" x14ac:dyDescent="0.25">
      <c r="B622" s="21"/>
    </row>
    <row r="623" spans="2:2" x14ac:dyDescent="0.25">
      <c r="B623" s="21"/>
    </row>
    <row r="624" spans="2:2" x14ac:dyDescent="0.25">
      <c r="B624" s="21"/>
    </row>
    <row r="625" spans="2:2" x14ac:dyDescent="0.25">
      <c r="B625" s="21"/>
    </row>
    <row r="626" spans="2:2" x14ac:dyDescent="0.25">
      <c r="B626" s="21"/>
    </row>
    <row r="627" spans="2:2" x14ac:dyDescent="0.25">
      <c r="B627" s="21"/>
    </row>
    <row r="628" spans="2:2" x14ac:dyDescent="0.25">
      <c r="B628" s="21"/>
    </row>
    <row r="629" spans="2:2" x14ac:dyDescent="0.25">
      <c r="B629" s="21"/>
    </row>
    <row r="630" spans="2:2" x14ac:dyDescent="0.25">
      <c r="B630" s="21"/>
    </row>
    <row r="631" spans="2:2" x14ac:dyDescent="0.25">
      <c r="B631" s="21"/>
    </row>
    <row r="632" spans="2:2" x14ac:dyDescent="0.25">
      <c r="B632" s="21"/>
    </row>
    <row r="633" spans="2:2" x14ac:dyDescent="0.25">
      <c r="B633" s="21"/>
    </row>
    <row r="634" spans="2:2" x14ac:dyDescent="0.25">
      <c r="B634" s="21"/>
    </row>
    <row r="635" spans="2:2" x14ac:dyDescent="0.25">
      <c r="B635" s="21"/>
    </row>
    <row r="636" spans="2:2" x14ac:dyDescent="0.25">
      <c r="B636" s="21"/>
    </row>
    <row r="637" spans="2:2" x14ac:dyDescent="0.25">
      <c r="B637" s="21"/>
    </row>
    <row r="638" spans="2:2" x14ac:dyDescent="0.25">
      <c r="B638" s="21"/>
    </row>
    <row r="639" spans="2:2" x14ac:dyDescent="0.25">
      <c r="B639" s="21"/>
    </row>
    <row r="640" spans="2:2" x14ac:dyDescent="0.25">
      <c r="B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row r="704" spans="2:2" x14ac:dyDescent="0.25">
      <c r="B704" s="21"/>
    </row>
    <row r="705" spans="2:2" x14ac:dyDescent="0.25">
      <c r="B705" s="21"/>
    </row>
    <row r="706" spans="2:2" x14ac:dyDescent="0.25">
      <c r="B706" s="21"/>
    </row>
    <row r="707" spans="2:2" x14ac:dyDescent="0.25">
      <c r="B707" s="21"/>
    </row>
    <row r="708" spans="2:2" x14ac:dyDescent="0.25">
      <c r="B708" s="21"/>
    </row>
    <row r="709" spans="2:2" x14ac:dyDescent="0.25">
      <c r="B709" s="21"/>
    </row>
    <row r="710" spans="2:2" x14ac:dyDescent="0.25">
      <c r="B710" s="21"/>
    </row>
    <row r="711" spans="2:2" x14ac:dyDescent="0.25">
      <c r="B711" s="21"/>
    </row>
    <row r="712" spans="2:2" x14ac:dyDescent="0.25">
      <c r="B712" s="21"/>
    </row>
    <row r="713" spans="2:2" x14ac:dyDescent="0.25">
      <c r="B713" s="21"/>
    </row>
    <row r="714" spans="2:2" x14ac:dyDescent="0.25">
      <c r="B714" s="21"/>
    </row>
    <row r="715" spans="2:2" x14ac:dyDescent="0.25">
      <c r="B715" s="21"/>
    </row>
    <row r="716" spans="2:2" x14ac:dyDescent="0.25">
      <c r="B716" s="21"/>
    </row>
    <row r="717" spans="2:2" x14ac:dyDescent="0.25">
      <c r="B717" s="21"/>
    </row>
    <row r="718" spans="2:2" x14ac:dyDescent="0.25">
      <c r="B718" s="21"/>
    </row>
    <row r="719" spans="2:2" x14ac:dyDescent="0.25">
      <c r="B719" s="21"/>
    </row>
    <row r="720" spans="2:2" x14ac:dyDescent="0.25">
      <c r="B720" s="21"/>
    </row>
    <row r="721" spans="2:2" x14ac:dyDescent="0.25">
      <c r="B721" s="21"/>
    </row>
    <row r="722" spans="2:2" x14ac:dyDescent="0.25">
      <c r="B722" s="21"/>
    </row>
    <row r="723" spans="2:2" x14ac:dyDescent="0.25">
      <c r="B723" s="21"/>
    </row>
    <row r="724" spans="2:2" x14ac:dyDescent="0.25">
      <c r="B724" s="21"/>
    </row>
    <row r="725" spans="2:2" x14ac:dyDescent="0.25">
      <c r="B725" s="21"/>
    </row>
    <row r="726" spans="2:2" x14ac:dyDescent="0.25">
      <c r="B726" s="21"/>
    </row>
    <row r="727" spans="2:2" x14ac:dyDescent="0.25">
      <c r="B727" s="21"/>
    </row>
    <row r="728" spans="2:2" x14ac:dyDescent="0.25">
      <c r="B728" s="21"/>
    </row>
    <row r="729" spans="2:2" x14ac:dyDescent="0.25">
      <c r="B729" s="21"/>
    </row>
    <row r="730" spans="2:2" x14ac:dyDescent="0.25">
      <c r="B730" s="21"/>
    </row>
    <row r="731" spans="2:2" x14ac:dyDescent="0.25">
      <c r="B731" s="21"/>
    </row>
    <row r="732" spans="2:2" x14ac:dyDescent="0.25">
      <c r="B732" s="21"/>
    </row>
    <row r="733" spans="2:2" x14ac:dyDescent="0.25">
      <c r="B733" s="21"/>
    </row>
    <row r="734" spans="2:2" x14ac:dyDescent="0.25">
      <c r="B734" s="21"/>
    </row>
    <row r="735" spans="2:2" x14ac:dyDescent="0.25">
      <c r="B735" s="21"/>
    </row>
    <row r="736" spans="2:2" x14ac:dyDescent="0.25">
      <c r="B736" s="21"/>
    </row>
    <row r="737" spans="2:2" x14ac:dyDescent="0.25">
      <c r="B737" s="21"/>
    </row>
    <row r="738" spans="2:2" x14ac:dyDescent="0.25">
      <c r="B738" s="21"/>
    </row>
    <row r="739" spans="2:2" x14ac:dyDescent="0.25">
      <c r="B739" s="21"/>
    </row>
    <row r="740" spans="2:2" x14ac:dyDescent="0.25">
      <c r="B740" s="21"/>
    </row>
    <row r="741" spans="2:2" x14ac:dyDescent="0.25">
      <c r="B741" s="21"/>
    </row>
    <row r="742" spans="2:2" x14ac:dyDescent="0.25">
      <c r="B742" s="21"/>
    </row>
    <row r="743" spans="2:2" x14ac:dyDescent="0.25">
      <c r="B743" s="21"/>
    </row>
    <row r="744" spans="2:2" x14ac:dyDescent="0.25">
      <c r="B744" s="21"/>
    </row>
    <row r="745" spans="2:2" x14ac:dyDescent="0.25">
      <c r="B745" s="21"/>
    </row>
    <row r="746" spans="2:2" x14ac:dyDescent="0.25">
      <c r="B746" s="21"/>
    </row>
    <row r="747" spans="2:2" x14ac:dyDescent="0.25">
      <c r="B747" s="21"/>
    </row>
    <row r="748" spans="2:2" x14ac:dyDescent="0.25">
      <c r="B748" s="21"/>
    </row>
    <row r="749" spans="2:2" x14ac:dyDescent="0.25">
      <c r="B749" s="21"/>
    </row>
    <row r="750" spans="2:2" x14ac:dyDescent="0.25">
      <c r="B750" s="21"/>
    </row>
    <row r="751" spans="2:2" x14ac:dyDescent="0.25">
      <c r="B751" s="21"/>
    </row>
    <row r="752" spans="2:2" x14ac:dyDescent="0.25">
      <c r="B752" s="21"/>
    </row>
    <row r="753" spans="2:2" x14ac:dyDescent="0.25">
      <c r="B753" s="21"/>
    </row>
    <row r="754" spans="2:2" x14ac:dyDescent="0.25">
      <c r="B754" s="21"/>
    </row>
    <row r="755" spans="2:2" x14ac:dyDescent="0.25">
      <c r="B755" s="21"/>
    </row>
    <row r="756" spans="2:2" x14ac:dyDescent="0.25">
      <c r="B756" s="21"/>
    </row>
    <row r="757" spans="2:2" x14ac:dyDescent="0.25">
      <c r="B757" s="21"/>
    </row>
    <row r="758" spans="2:2" x14ac:dyDescent="0.25">
      <c r="B758" s="21"/>
    </row>
    <row r="759" spans="2:2" x14ac:dyDescent="0.25">
      <c r="B759" s="21"/>
    </row>
    <row r="760" spans="2:2" x14ac:dyDescent="0.25">
      <c r="B760" s="21"/>
    </row>
    <row r="761" spans="2:2" x14ac:dyDescent="0.25">
      <c r="B761" s="21"/>
    </row>
    <row r="762" spans="2:2" x14ac:dyDescent="0.25">
      <c r="B762" s="21"/>
    </row>
    <row r="763" spans="2:2" x14ac:dyDescent="0.25">
      <c r="B763" s="21"/>
    </row>
    <row r="764" spans="2:2" x14ac:dyDescent="0.25">
      <c r="B764" s="21"/>
    </row>
    <row r="765" spans="2:2" x14ac:dyDescent="0.25">
      <c r="B765" s="21"/>
    </row>
    <row r="766" spans="2:2" x14ac:dyDescent="0.25">
      <c r="B766" s="21"/>
    </row>
    <row r="767" spans="2:2" x14ac:dyDescent="0.25">
      <c r="B767" s="21"/>
    </row>
    <row r="768" spans="2:2" x14ac:dyDescent="0.25">
      <c r="B768" s="21"/>
    </row>
    <row r="769" spans="2:2" x14ac:dyDescent="0.25">
      <c r="B769" s="21"/>
    </row>
    <row r="770" spans="2:2" x14ac:dyDescent="0.25">
      <c r="B770" s="21"/>
    </row>
    <row r="771" spans="2:2" x14ac:dyDescent="0.25">
      <c r="B771" s="21"/>
    </row>
    <row r="772" spans="2:2" x14ac:dyDescent="0.25">
      <c r="B772" s="21"/>
    </row>
    <row r="773" spans="2:2" x14ac:dyDescent="0.25">
      <c r="B773" s="21"/>
    </row>
    <row r="774" spans="2:2" x14ac:dyDescent="0.25">
      <c r="B774" s="21"/>
    </row>
    <row r="775" spans="2:2" x14ac:dyDescent="0.25">
      <c r="B775" s="21"/>
    </row>
    <row r="776" spans="2:2" x14ac:dyDescent="0.25">
      <c r="B776" s="21"/>
    </row>
    <row r="777" spans="2:2" x14ac:dyDescent="0.25">
      <c r="B777" s="21"/>
    </row>
    <row r="778" spans="2:2" x14ac:dyDescent="0.25">
      <c r="B778" s="21"/>
    </row>
    <row r="779" spans="2:2" x14ac:dyDescent="0.25">
      <c r="B779" s="21"/>
    </row>
    <row r="780" spans="2:2" x14ac:dyDescent="0.25">
      <c r="B780" s="21"/>
    </row>
    <row r="781" spans="2:2" x14ac:dyDescent="0.25">
      <c r="B781" s="21"/>
    </row>
    <row r="782" spans="2:2" x14ac:dyDescent="0.25">
      <c r="B782" s="21"/>
    </row>
    <row r="783" spans="2:2" x14ac:dyDescent="0.25">
      <c r="B783" s="21"/>
    </row>
    <row r="784" spans="2:2" x14ac:dyDescent="0.25">
      <c r="B784" s="21"/>
    </row>
    <row r="785" spans="2:2" x14ac:dyDescent="0.25">
      <c r="B785" s="21"/>
    </row>
    <row r="786" spans="2:2" x14ac:dyDescent="0.25">
      <c r="B786" s="21"/>
    </row>
    <row r="787" spans="2:2" x14ac:dyDescent="0.25">
      <c r="B787" s="21"/>
    </row>
    <row r="788" spans="2:2" x14ac:dyDescent="0.25">
      <c r="B788" s="21"/>
    </row>
    <row r="789" spans="2:2" x14ac:dyDescent="0.25">
      <c r="B789" s="21"/>
    </row>
    <row r="790" spans="2:2" x14ac:dyDescent="0.25">
      <c r="B790" s="21"/>
    </row>
    <row r="791" spans="2:2" x14ac:dyDescent="0.25">
      <c r="B791" s="21"/>
    </row>
    <row r="792" spans="2:2" x14ac:dyDescent="0.25">
      <c r="B792" s="21"/>
    </row>
    <row r="793" spans="2:2" x14ac:dyDescent="0.25">
      <c r="B793" s="21"/>
    </row>
    <row r="794" spans="2:2" x14ac:dyDescent="0.25">
      <c r="B794" s="21"/>
    </row>
    <row r="795" spans="2:2" x14ac:dyDescent="0.25">
      <c r="B795" s="21"/>
    </row>
    <row r="796" spans="2:2" x14ac:dyDescent="0.25">
      <c r="B796" s="21"/>
    </row>
    <row r="797" spans="2:2" x14ac:dyDescent="0.25">
      <c r="B797" s="21"/>
    </row>
    <row r="798" spans="2:2" x14ac:dyDescent="0.25">
      <c r="B798" s="21"/>
    </row>
    <row r="799" spans="2:2" x14ac:dyDescent="0.25">
      <c r="B799" s="21"/>
    </row>
    <row r="800" spans="2:2" x14ac:dyDescent="0.25">
      <c r="B800" s="21"/>
    </row>
    <row r="801" spans="2:2" x14ac:dyDescent="0.25">
      <c r="B801" s="21"/>
    </row>
    <row r="802" spans="2:2" x14ac:dyDescent="0.25">
      <c r="B802" s="21"/>
    </row>
    <row r="803" spans="2:2" x14ac:dyDescent="0.25">
      <c r="B803" s="21"/>
    </row>
    <row r="804" spans="2:2" x14ac:dyDescent="0.25">
      <c r="B804" s="21"/>
    </row>
    <row r="805" spans="2:2" x14ac:dyDescent="0.25">
      <c r="B805" s="21"/>
    </row>
    <row r="806" spans="2:2" x14ac:dyDescent="0.25">
      <c r="B806" s="21"/>
    </row>
    <row r="807" spans="2:2" x14ac:dyDescent="0.25">
      <c r="B807" s="21"/>
    </row>
    <row r="808" spans="2:2" x14ac:dyDescent="0.25">
      <c r="B808" s="21"/>
    </row>
    <row r="809" spans="2:2" x14ac:dyDescent="0.25">
      <c r="B809" s="21"/>
    </row>
    <row r="810" spans="2:2" x14ac:dyDescent="0.25">
      <c r="B810" s="21"/>
    </row>
    <row r="811" spans="2:2" x14ac:dyDescent="0.25">
      <c r="B811" s="21"/>
    </row>
    <row r="812" spans="2:2" x14ac:dyDescent="0.25">
      <c r="B812" s="21"/>
    </row>
    <row r="813" spans="2:2" x14ac:dyDescent="0.25">
      <c r="B813" s="21"/>
    </row>
    <row r="814" spans="2:2" x14ac:dyDescent="0.25">
      <c r="B814" s="21"/>
    </row>
    <row r="815" spans="2:2" x14ac:dyDescent="0.25">
      <c r="B815" s="21"/>
    </row>
    <row r="816" spans="2:2" x14ac:dyDescent="0.25">
      <c r="B816" s="21"/>
    </row>
    <row r="817" spans="2:2" x14ac:dyDescent="0.25">
      <c r="B817" s="21"/>
    </row>
    <row r="818" spans="2:2" x14ac:dyDescent="0.25">
      <c r="B818" s="21"/>
    </row>
    <row r="819" spans="2:2" x14ac:dyDescent="0.25">
      <c r="B819" s="21"/>
    </row>
    <row r="820" spans="2:2" x14ac:dyDescent="0.25">
      <c r="B820" s="21"/>
    </row>
    <row r="821" spans="2:2" x14ac:dyDescent="0.25">
      <c r="B821" s="21"/>
    </row>
    <row r="822" spans="2:2" x14ac:dyDescent="0.25">
      <c r="B822" s="21"/>
    </row>
    <row r="823" spans="2:2" x14ac:dyDescent="0.25">
      <c r="B823" s="21"/>
    </row>
    <row r="824" spans="2:2" x14ac:dyDescent="0.25">
      <c r="B824" s="21"/>
    </row>
    <row r="825" spans="2:2" x14ac:dyDescent="0.25">
      <c r="B825" s="21"/>
    </row>
    <row r="826" spans="2:2" x14ac:dyDescent="0.25">
      <c r="B826" s="21"/>
    </row>
    <row r="827" spans="2:2" x14ac:dyDescent="0.25">
      <c r="B827" s="21"/>
    </row>
    <row r="828" spans="2:2" x14ac:dyDescent="0.25">
      <c r="B828" s="21"/>
    </row>
    <row r="829" spans="2:2" x14ac:dyDescent="0.25">
      <c r="B829" s="21"/>
    </row>
    <row r="830" spans="2:2" x14ac:dyDescent="0.25">
      <c r="B830" s="21"/>
    </row>
    <row r="831" spans="2:2" x14ac:dyDescent="0.25">
      <c r="B831" s="21"/>
    </row>
    <row r="832" spans="2:2" x14ac:dyDescent="0.25">
      <c r="B832" s="21"/>
    </row>
    <row r="833" spans="2:2" x14ac:dyDescent="0.25">
      <c r="B833" s="21"/>
    </row>
    <row r="834" spans="2:2" x14ac:dyDescent="0.25">
      <c r="B834" s="21"/>
    </row>
    <row r="835" spans="2:2" x14ac:dyDescent="0.25">
      <c r="B835" s="21"/>
    </row>
    <row r="836" spans="2:2" x14ac:dyDescent="0.25">
      <c r="B836" s="21"/>
    </row>
    <row r="837" spans="2:2" x14ac:dyDescent="0.25">
      <c r="B837" s="21"/>
    </row>
    <row r="838" spans="2:2" x14ac:dyDescent="0.25">
      <c r="B838" s="21"/>
    </row>
    <row r="839" spans="2:2" x14ac:dyDescent="0.25">
      <c r="B839" s="21"/>
    </row>
    <row r="840" spans="2:2" x14ac:dyDescent="0.25">
      <c r="B840" s="21"/>
    </row>
    <row r="841" spans="2:2" x14ac:dyDescent="0.25">
      <c r="B841" s="21"/>
    </row>
    <row r="842" spans="2:2" x14ac:dyDescent="0.25">
      <c r="B842" s="21"/>
    </row>
    <row r="843" spans="2:2" x14ac:dyDescent="0.25">
      <c r="B843" s="21"/>
    </row>
    <row r="844" spans="2:2" x14ac:dyDescent="0.25">
      <c r="B844" s="21"/>
    </row>
    <row r="845" spans="2:2" x14ac:dyDescent="0.25">
      <c r="B845" s="21"/>
    </row>
    <row r="846" spans="2:2" x14ac:dyDescent="0.25">
      <c r="B846" s="21"/>
    </row>
    <row r="847" spans="2:2" x14ac:dyDescent="0.25">
      <c r="B847" s="21"/>
    </row>
    <row r="848" spans="2:2" x14ac:dyDescent="0.25">
      <c r="B848" s="21"/>
    </row>
    <row r="849" spans="2:2" x14ac:dyDescent="0.25">
      <c r="B849" s="21"/>
    </row>
    <row r="850" spans="2:2" x14ac:dyDescent="0.25">
      <c r="B850" s="21"/>
    </row>
    <row r="851" spans="2:2" x14ac:dyDescent="0.25">
      <c r="B851" s="21"/>
    </row>
    <row r="852" spans="2:2" x14ac:dyDescent="0.25">
      <c r="B852" s="21"/>
    </row>
    <row r="853" spans="2:2" x14ac:dyDescent="0.25">
      <c r="B853" s="21"/>
    </row>
    <row r="854" spans="2:2" x14ac:dyDescent="0.25">
      <c r="B854" s="21"/>
    </row>
    <row r="855" spans="2:2" x14ac:dyDescent="0.25">
      <c r="B855" s="21"/>
    </row>
    <row r="856" spans="2:2" x14ac:dyDescent="0.25">
      <c r="B856" s="21"/>
    </row>
    <row r="857" spans="2:2" x14ac:dyDescent="0.25">
      <c r="B857" s="21"/>
    </row>
    <row r="858" spans="2:2" x14ac:dyDescent="0.25">
      <c r="B858" s="21"/>
    </row>
    <row r="859" spans="2:2" x14ac:dyDescent="0.25">
      <c r="B859" s="21"/>
    </row>
    <row r="860" spans="2:2" x14ac:dyDescent="0.25">
      <c r="B860" s="21"/>
    </row>
    <row r="861" spans="2:2" x14ac:dyDescent="0.25">
      <c r="B861" s="21"/>
    </row>
    <row r="862" spans="2:2" x14ac:dyDescent="0.25">
      <c r="B862" s="21"/>
    </row>
    <row r="863" spans="2:2" x14ac:dyDescent="0.25">
      <c r="B863" s="21"/>
    </row>
    <row r="864" spans="2:2" x14ac:dyDescent="0.25">
      <c r="B864" s="21"/>
    </row>
    <row r="865" spans="2:2" x14ac:dyDescent="0.25">
      <c r="B865" s="21"/>
    </row>
    <row r="866" spans="2:2" x14ac:dyDescent="0.25">
      <c r="B866" s="21"/>
    </row>
    <row r="867" spans="2:2" x14ac:dyDescent="0.25">
      <c r="B867" s="21"/>
    </row>
    <row r="868" spans="2:2" x14ac:dyDescent="0.25">
      <c r="B868" s="21"/>
    </row>
    <row r="869" spans="2:2" x14ac:dyDescent="0.25">
      <c r="B869" s="21"/>
    </row>
    <row r="870" spans="2:2" x14ac:dyDescent="0.25">
      <c r="B870" s="21"/>
    </row>
    <row r="871" spans="2:2" x14ac:dyDescent="0.25">
      <c r="B871" s="21"/>
    </row>
    <row r="872" spans="2:2" x14ac:dyDescent="0.25">
      <c r="B872" s="21"/>
    </row>
    <row r="873" spans="2:2" x14ac:dyDescent="0.25">
      <c r="B873" s="21"/>
    </row>
    <row r="874" spans="2:2" x14ac:dyDescent="0.25">
      <c r="B874" s="21"/>
    </row>
    <row r="875" spans="2:2" x14ac:dyDescent="0.25">
      <c r="B875" s="21"/>
    </row>
    <row r="876" spans="2:2" x14ac:dyDescent="0.25">
      <c r="B876" s="21"/>
    </row>
    <row r="877" spans="2:2" x14ac:dyDescent="0.25">
      <c r="B877" s="21"/>
    </row>
    <row r="878" spans="2:2" x14ac:dyDescent="0.25">
      <c r="B878" s="21"/>
    </row>
    <row r="879" spans="2:2" x14ac:dyDescent="0.25">
      <c r="B879" s="21"/>
    </row>
    <row r="880" spans="2:2" x14ac:dyDescent="0.25">
      <c r="B880" s="21"/>
    </row>
    <row r="881" spans="2:2" x14ac:dyDescent="0.25">
      <c r="B881" s="21"/>
    </row>
    <row r="882" spans="2:2" x14ac:dyDescent="0.25">
      <c r="B882" s="21"/>
    </row>
    <row r="883" spans="2:2" x14ac:dyDescent="0.25">
      <c r="B883" s="21"/>
    </row>
    <row r="884" spans="2:2" x14ac:dyDescent="0.25">
      <c r="B884" s="21"/>
    </row>
    <row r="885" spans="2:2" x14ac:dyDescent="0.25">
      <c r="B885" s="21"/>
    </row>
    <row r="886" spans="2:2" x14ac:dyDescent="0.25">
      <c r="B886" s="21"/>
    </row>
    <row r="887" spans="2:2" x14ac:dyDescent="0.25">
      <c r="B887" s="21"/>
    </row>
    <row r="888" spans="2:2" x14ac:dyDescent="0.25">
      <c r="B888" s="21"/>
    </row>
    <row r="889" spans="2:2" x14ac:dyDescent="0.25">
      <c r="B889" s="21"/>
    </row>
    <row r="890" spans="2:2" x14ac:dyDescent="0.25">
      <c r="B890" s="21"/>
    </row>
    <row r="891" spans="2:2" x14ac:dyDescent="0.25">
      <c r="B891" s="21"/>
    </row>
    <row r="892" spans="2:2" x14ac:dyDescent="0.25">
      <c r="B892" s="21"/>
    </row>
    <row r="893" spans="2:2" x14ac:dyDescent="0.25">
      <c r="B893" s="21"/>
    </row>
    <row r="894" spans="2:2" x14ac:dyDescent="0.25">
      <c r="B894" s="21"/>
    </row>
    <row r="895" spans="2:2" x14ac:dyDescent="0.25">
      <c r="B895" s="21"/>
    </row>
    <row r="896" spans="2:2" x14ac:dyDescent="0.25">
      <c r="B896" s="21"/>
    </row>
    <row r="897" spans="2:2" x14ac:dyDescent="0.25">
      <c r="B897" s="21"/>
    </row>
    <row r="898" spans="2:2" x14ac:dyDescent="0.25">
      <c r="B898" s="21"/>
    </row>
    <row r="899" spans="2:2" x14ac:dyDescent="0.25">
      <c r="B899" s="21"/>
    </row>
    <row r="900" spans="2:2" x14ac:dyDescent="0.25">
      <c r="B900" s="21"/>
    </row>
    <row r="901" spans="2:2" x14ac:dyDescent="0.25">
      <c r="B901" s="21"/>
    </row>
    <row r="902" spans="2:2" x14ac:dyDescent="0.25">
      <c r="B902" s="21"/>
    </row>
    <row r="903" spans="2:2" x14ac:dyDescent="0.25">
      <c r="B903" s="21"/>
    </row>
    <row r="904" spans="2:2" x14ac:dyDescent="0.25">
      <c r="B904" s="21"/>
    </row>
    <row r="905" spans="2:2" x14ac:dyDescent="0.25">
      <c r="B905" s="21"/>
    </row>
    <row r="906" spans="2:2" x14ac:dyDescent="0.25">
      <c r="B906" s="21"/>
    </row>
    <row r="907" spans="2:2" x14ac:dyDescent="0.25">
      <c r="B907" s="21"/>
    </row>
    <row r="908" spans="2:2" x14ac:dyDescent="0.25">
      <c r="B908" s="21"/>
    </row>
    <row r="909" spans="2:2" x14ac:dyDescent="0.25">
      <c r="B909" s="21"/>
    </row>
    <row r="910" spans="2:2" x14ac:dyDescent="0.25">
      <c r="B910" s="21"/>
    </row>
    <row r="911" spans="2:2" x14ac:dyDescent="0.25">
      <c r="B911" s="21"/>
    </row>
    <row r="912" spans="2:2" x14ac:dyDescent="0.25">
      <c r="B912" s="21"/>
    </row>
    <row r="913" spans="2:2" x14ac:dyDescent="0.25">
      <c r="B913" s="21"/>
    </row>
    <row r="914" spans="2:2" x14ac:dyDescent="0.25">
      <c r="B914" s="21"/>
    </row>
    <row r="915" spans="2:2" x14ac:dyDescent="0.25">
      <c r="B915" s="21"/>
    </row>
    <row r="916" spans="2:2" x14ac:dyDescent="0.25">
      <c r="B916" s="21"/>
    </row>
    <row r="917" spans="2:2" x14ac:dyDescent="0.25">
      <c r="B917" s="21"/>
    </row>
    <row r="918" spans="2:2" x14ac:dyDescent="0.25">
      <c r="B918" s="21"/>
    </row>
    <row r="919" spans="2:2" x14ac:dyDescent="0.25">
      <c r="B919" s="21"/>
    </row>
    <row r="920" spans="2:2" x14ac:dyDescent="0.25">
      <c r="B920" s="21"/>
    </row>
    <row r="921" spans="2:2" x14ac:dyDescent="0.25">
      <c r="B921" s="21"/>
    </row>
    <row r="922" spans="2:2" x14ac:dyDescent="0.25">
      <c r="B922" s="21"/>
    </row>
    <row r="923" spans="2:2" x14ac:dyDescent="0.25">
      <c r="B923" s="21"/>
    </row>
    <row r="924" spans="2:2" x14ac:dyDescent="0.25">
      <c r="B924" s="21"/>
    </row>
    <row r="925" spans="2:2" x14ac:dyDescent="0.25">
      <c r="B925" s="21"/>
    </row>
    <row r="926" spans="2:2" x14ac:dyDescent="0.25">
      <c r="B926" s="21"/>
    </row>
    <row r="927" spans="2:2" x14ac:dyDescent="0.25">
      <c r="B927" s="21"/>
    </row>
    <row r="928" spans="2:2" x14ac:dyDescent="0.25">
      <c r="B928" s="21"/>
    </row>
    <row r="929" spans="2:2" x14ac:dyDescent="0.25">
      <c r="B929" s="21"/>
    </row>
    <row r="930" spans="2:2" x14ac:dyDescent="0.25">
      <c r="B930" s="21"/>
    </row>
    <row r="931" spans="2:2" x14ac:dyDescent="0.25">
      <c r="B931" s="21"/>
    </row>
    <row r="932" spans="2:2" x14ac:dyDescent="0.25">
      <c r="B932" s="21"/>
    </row>
    <row r="933" spans="2:2" x14ac:dyDescent="0.25">
      <c r="B933" s="21"/>
    </row>
    <row r="934" spans="2:2" x14ac:dyDescent="0.25">
      <c r="B934" s="21"/>
    </row>
    <row r="935" spans="2:2" x14ac:dyDescent="0.25">
      <c r="B935" s="21"/>
    </row>
    <row r="936" spans="2:2" x14ac:dyDescent="0.25">
      <c r="B936" s="21"/>
    </row>
    <row r="937" spans="2:2" x14ac:dyDescent="0.25">
      <c r="B937" s="21"/>
    </row>
    <row r="938" spans="2:2" x14ac:dyDescent="0.25">
      <c r="B938" s="21"/>
    </row>
    <row r="939" spans="2:2" x14ac:dyDescent="0.25">
      <c r="B939" s="21"/>
    </row>
    <row r="940" spans="2:2" x14ac:dyDescent="0.25">
      <c r="B940" s="21"/>
    </row>
    <row r="941" spans="2:2" x14ac:dyDescent="0.25">
      <c r="B941" s="21"/>
    </row>
    <row r="942" spans="2:2" x14ac:dyDescent="0.25">
      <c r="B942" s="21"/>
    </row>
    <row r="943" spans="2:2" x14ac:dyDescent="0.25">
      <c r="B943" s="21"/>
    </row>
    <row r="944" spans="2:2" x14ac:dyDescent="0.25">
      <c r="B944" s="21"/>
    </row>
    <row r="945" spans="2:2" x14ac:dyDescent="0.25">
      <c r="B945" s="21"/>
    </row>
    <row r="946" spans="2:2" x14ac:dyDescent="0.25">
      <c r="B946" s="21"/>
    </row>
    <row r="947" spans="2:2" x14ac:dyDescent="0.25">
      <c r="B947" s="21"/>
    </row>
    <row r="948" spans="2:2" x14ac:dyDescent="0.25">
      <c r="B948" s="21"/>
    </row>
    <row r="949" spans="2:2" x14ac:dyDescent="0.25">
      <c r="B949" s="21"/>
    </row>
    <row r="950" spans="2:2" x14ac:dyDescent="0.25">
      <c r="B950" s="21"/>
    </row>
    <row r="951" spans="2:2" x14ac:dyDescent="0.25">
      <c r="B951" s="21"/>
    </row>
    <row r="952" spans="2:2" x14ac:dyDescent="0.25">
      <c r="B952" s="21"/>
    </row>
    <row r="953" spans="2:2" x14ac:dyDescent="0.25">
      <c r="B953" s="21"/>
    </row>
    <row r="954" spans="2:2" x14ac:dyDescent="0.25">
      <c r="B954" s="21"/>
    </row>
    <row r="955" spans="2:2" x14ac:dyDescent="0.25">
      <c r="B955" s="21"/>
    </row>
    <row r="956" spans="2:2" x14ac:dyDescent="0.25">
      <c r="B956" s="21"/>
    </row>
    <row r="957" spans="2:2" x14ac:dyDescent="0.25">
      <c r="B957" s="21"/>
    </row>
    <row r="958" spans="2:2" x14ac:dyDescent="0.25">
      <c r="B958" s="21"/>
    </row>
    <row r="959" spans="2:2" x14ac:dyDescent="0.25">
      <c r="B959" s="21"/>
    </row>
    <row r="960" spans="2:2" x14ac:dyDescent="0.25">
      <c r="B960" s="21"/>
    </row>
    <row r="961" spans="2:2" x14ac:dyDescent="0.25">
      <c r="B961" s="21"/>
    </row>
    <row r="962" spans="2:2" x14ac:dyDescent="0.25">
      <c r="B962" s="21"/>
    </row>
    <row r="963" spans="2:2" x14ac:dyDescent="0.25">
      <c r="B963" s="21"/>
    </row>
    <row r="964" spans="2:2" x14ac:dyDescent="0.25">
      <c r="B964" s="21"/>
    </row>
    <row r="965" spans="2:2" x14ac:dyDescent="0.25">
      <c r="B965" s="21"/>
    </row>
    <row r="966" spans="2:2" x14ac:dyDescent="0.25">
      <c r="B966" s="21"/>
    </row>
    <row r="967" spans="2:2" x14ac:dyDescent="0.25">
      <c r="B967" s="21"/>
    </row>
    <row r="968" spans="2:2" x14ac:dyDescent="0.25">
      <c r="B968" s="21"/>
    </row>
    <row r="969" spans="2:2" x14ac:dyDescent="0.25">
      <c r="B969" s="21"/>
    </row>
    <row r="970" spans="2:2" x14ac:dyDescent="0.25">
      <c r="B970" s="21"/>
    </row>
    <row r="971" spans="2:2" x14ac:dyDescent="0.25">
      <c r="B971" s="21"/>
    </row>
    <row r="972" spans="2:2" x14ac:dyDescent="0.25">
      <c r="B972" s="21"/>
    </row>
    <row r="973" spans="2:2" x14ac:dyDescent="0.25">
      <c r="B973" s="21"/>
    </row>
    <row r="974" spans="2:2" x14ac:dyDescent="0.25">
      <c r="B974" s="21"/>
    </row>
    <row r="975" spans="2:2" x14ac:dyDescent="0.25">
      <c r="B975" s="21"/>
    </row>
    <row r="976" spans="2:2" x14ac:dyDescent="0.25">
      <c r="B976" s="21"/>
    </row>
    <row r="977" spans="2:2" x14ac:dyDescent="0.25">
      <c r="B977" s="21"/>
    </row>
    <row r="978" spans="2:2" x14ac:dyDescent="0.25">
      <c r="B978" s="21"/>
    </row>
    <row r="979" spans="2:2" x14ac:dyDescent="0.25">
      <c r="B979" s="21"/>
    </row>
    <row r="980" spans="2:2" x14ac:dyDescent="0.25">
      <c r="B980" s="21"/>
    </row>
    <row r="981" spans="2:2" x14ac:dyDescent="0.25">
      <c r="B981" s="21"/>
    </row>
    <row r="982" spans="2:2" x14ac:dyDescent="0.25">
      <c r="B982" s="21"/>
    </row>
    <row r="983" spans="2:2" x14ac:dyDescent="0.25">
      <c r="B983" s="21"/>
    </row>
    <row r="984" spans="2:2" x14ac:dyDescent="0.25">
      <c r="B984" s="21"/>
    </row>
    <row r="985" spans="2:2" x14ac:dyDescent="0.25">
      <c r="B985" s="21"/>
    </row>
    <row r="986" spans="2:2" x14ac:dyDescent="0.25">
      <c r="B986" s="21"/>
    </row>
    <row r="987" spans="2:2" x14ac:dyDescent="0.25">
      <c r="B987" s="21"/>
    </row>
    <row r="988" spans="2:2" x14ac:dyDescent="0.25">
      <c r="B988" s="21"/>
    </row>
    <row r="989" spans="2:2" x14ac:dyDescent="0.25">
      <c r="B989" s="21"/>
    </row>
    <row r="990" spans="2:2" x14ac:dyDescent="0.25">
      <c r="B990" s="21"/>
    </row>
    <row r="991" spans="2:2" x14ac:dyDescent="0.25">
      <c r="B991" s="21"/>
    </row>
    <row r="992" spans="2:2" x14ac:dyDescent="0.25">
      <c r="B992" s="21"/>
    </row>
    <row r="993" spans="2:2" x14ac:dyDescent="0.25">
      <c r="B993" s="21"/>
    </row>
    <row r="994" spans="2:2" x14ac:dyDescent="0.25">
      <c r="B994" s="21"/>
    </row>
    <row r="995" spans="2:2" x14ac:dyDescent="0.25">
      <c r="B995" s="21"/>
    </row>
    <row r="996" spans="2:2" x14ac:dyDescent="0.25">
      <c r="B996" s="21"/>
    </row>
    <row r="997" spans="2:2" x14ac:dyDescent="0.25">
      <c r="B997" s="21"/>
    </row>
    <row r="998" spans="2:2" x14ac:dyDescent="0.25">
      <c r="B998" s="21"/>
    </row>
    <row r="999" spans="2:2" x14ac:dyDescent="0.25">
      <c r="B999" s="21"/>
    </row>
    <row r="1000" spans="2:2" x14ac:dyDescent="0.25">
      <c r="B1000" s="21"/>
    </row>
    <row r="1001" spans="2:2" x14ac:dyDescent="0.25">
      <c r="B1001" s="21"/>
    </row>
    <row r="1002" spans="2:2" x14ac:dyDescent="0.25">
      <c r="B1002" s="21"/>
    </row>
    <row r="1003" spans="2:2" x14ac:dyDescent="0.25">
      <c r="B1003" s="21"/>
    </row>
    <row r="1004" spans="2:2" x14ac:dyDescent="0.25">
      <c r="B1004" s="21"/>
    </row>
    <row r="1005" spans="2:2" x14ac:dyDescent="0.25">
      <c r="B1005" s="21"/>
    </row>
    <row r="1006" spans="2:2" x14ac:dyDescent="0.25">
      <c r="B1006" s="21"/>
    </row>
    <row r="1007" spans="2:2" x14ac:dyDescent="0.25">
      <c r="B1007" s="21"/>
    </row>
    <row r="1008" spans="2:2" x14ac:dyDescent="0.25">
      <c r="B1008" s="21"/>
    </row>
    <row r="1009" spans="2:2" x14ac:dyDescent="0.25">
      <c r="B1009" s="21"/>
    </row>
    <row r="1010" spans="2:2" x14ac:dyDescent="0.25">
      <c r="B1010" s="21"/>
    </row>
    <row r="1011" spans="2:2" x14ac:dyDescent="0.25">
      <c r="B1011" s="21"/>
    </row>
    <row r="1012" spans="2:2" x14ac:dyDescent="0.25">
      <c r="B1012" s="21"/>
    </row>
    <row r="1013" spans="2:2" x14ac:dyDescent="0.25">
      <c r="B1013" s="21"/>
    </row>
    <row r="1014" spans="2:2" x14ac:dyDescent="0.25">
      <c r="B1014" s="21"/>
    </row>
    <row r="1015" spans="2:2" x14ac:dyDescent="0.25">
      <c r="B1015" s="21"/>
    </row>
    <row r="1016" spans="2:2" x14ac:dyDescent="0.25">
      <c r="B1016" s="21"/>
    </row>
    <row r="1017" spans="2:2" x14ac:dyDescent="0.25">
      <c r="B1017" s="21"/>
    </row>
    <row r="1018" spans="2:2" x14ac:dyDescent="0.25">
      <c r="B1018" s="21"/>
    </row>
    <row r="1019" spans="2:2" x14ac:dyDescent="0.25">
      <c r="B1019" s="21"/>
    </row>
    <row r="1020" spans="2:2" x14ac:dyDescent="0.25">
      <c r="B1020" s="21"/>
    </row>
    <row r="1021" spans="2:2" x14ac:dyDescent="0.25">
      <c r="B1021" s="21"/>
    </row>
    <row r="1022" spans="2:2" x14ac:dyDescent="0.25">
      <c r="B1022" s="21"/>
    </row>
    <row r="1023" spans="2:2" x14ac:dyDescent="0.25">
      <c r="B1023" s="21"/>
    </row>
    <row r="1024" spans="2:2" x14ac:dyDescent="0.25">
      <c r="B1024" s="21"/>
    </row>
    <row r="1025" spans="2:2" x14ac:dyDescent="0.25">
      <c r="B1025" s="21"/>
    </row>
    <row r="1026" spans="2:2" x14ac:dyDescent="0.25">
      <c r="B1026" s="21"/>
    </row>
    <row r="1027" spans="2:2" x14ac:dyDescent="0.25">
      <c r="B1027" s="21"/>
    </row>
    <row r="1028" spans="2:2" x14ac:dyDescent="0.25">
      <c r="B1028" s="21"/>
    </row>
    <row r="1029" spans="2:2" x14ac:dyDescent="0.25">
      <c r="B1029" s="21"/>
    </row>
    <row r="1030" spans="2:2" x14ac:dyDescent="0.25">
      <c r="B1030" s="21"/>
    </row>
    <row r="1031" spans="2:2" x14ac:dyDescent="0.25">
      <c r="B1031" s="21"/>
    </row>
    <row r="1032" spans="2:2" x14ac:dyDescent="0.25">
      <c r="B1032" s="21"/>
    </row>
    <row r="1033" spans="2:2" x14ac:dyDescent="0.25">
      <c r="B1033" s="21"/>
    </row>
    <row r="1034" spans="2:2" x14ac:dyDescent="0.25">
      <c r="B1034" s="21"/>
    </row>
    <row r="1035" spans="2:2" x14ac:dyDescent="0.25">
      <c r="B1035" s="21"/>
    </row>
    <row r="1036" spans="2:2" x14ac:dyDescent="0.25">
      <c r="B1036" s="21"/>
    </row>
    <row r="1037" spans="2:2" x14ac:dyDescent="0.25">
      <c r="B1037" s="21"/>
    </row>
    <row r="1038" spans="2:2" x14ac:dyDescent="0.25">
      <c r="B1038" s="21"/>
    </row>
    <row r="1039" spans="2:2" x14ac:dyDescent="0.25">
      <c r="B1039" s="21"/>
    </row>
    <row r="1040" spans="2:2" x14ac:dyDescent="0.25">
      <c r="B1040" s="21"/>
    </row>
    <row r="1041" spans="2:2" x14ac:dyDescent="0.25">
      <c r="B1041" s="21"/>
    </row>
    <row r="1042" spans="2:2" x14ac:dyDescent="0.25">
      <c r="B1042" s="21"/>
    </row>
    <row r="1043" spans="2:2" x14ac:dyDescent="0.25">
      <c r="B1043" s="21"/>
    </row>
    <row r="1044" spans="2:2" x14ac:dyDescent="0.25">
      <c r="B1044" s="21"/>
    </row>
    <row r="1045" spans="2:2" x14ac:dyDescent="0.25">
      <c r="B1045" s="21"/>
    </row>
    <row r="1046" spans="2:2" x14ac:dyDescent="0.25">
      <c r="B1046" s="21"/>
    </row>
    <row r="1047" spans="2:2" x14ac:dyDescent="0.25">
      <c r="B1047" s="21"/>
    </row>
    <row r="1048" spans="2:2" x14ac:dyDescent="0.25">
      <c r="B1048" s="21"/>
    </row>
    <row r="1049" spans="2:2" x14ac:dyDescent="0.25">
      <c r="B1049" s="21"/>
    </row>
    <row r="1050" spans="2:2" x14ac:dyDescent="0.25">
      <c r="B1050" s="21"/>
    </row>
    <row r="1051" spans="2:2" x14ac:dyDescent="0.25">
      <c r="B1051" s="21"/>
    </row>
    <row r="1052" spans="2:2" x14ac:dyDescent="0.25">
      <c r="B1052" s="21"/>
    </row>
    <row r="1053" spans="2:2" x14ac:dyDescent="0.25">
      <c r="B1053" s="21"/>
    </row>
    <row r="1054" spans="2:2" x14ac:dyDescent="0.25">
      <c r="B1054" s="21"/>
    </row>
    <row r="1055" spans="2:2" x14ac:dyDescent="0.25">
      <c r="B1055" s="21"/>
    </row>
    <row r="1056" spans="2:2" x14ac:dyDescent="0.25">
      <c r="B1056" s="21"/>
    </row>
    <row r="1057" spans="2:2" x14ac:dyDescent="0.25">
      <c r="B1057" s="21"/>
    </row>
    <row r="1058" spans="2:2" x14ac:dyDescent="0.25">
      <c r="B1058" s="21"/>
    </row>
    <row r="1059" spans="2:2" x14ac:dyDescent="0.25">
      <c r="B1059" s="21"/>
    </row>
    <row r="1060" spans="2:2" x14ac:dyDescent="0.25">
      <c r="B1060" s="21"/>
    </row>
    <row r="1061" spans="2:2" x14ac:dyDescent="0.25">
      <c r="B1061" s="21"/>
    </row>
    <row r="1062" spans="2:2" x14ac:dyDescent="0.25">
      <c r="B1062" s="21"/>
    </row>
    <row r="1063" spans="2:2" x14ac:dyDescent="0.25">
      <c r="B1063" s="21"/>
    </row>
    <row r="1064" spans="2:2" x14ac:dyDescent="0.25">
      <c r="B1064" s="21"/>
    </row>
    <row r="1065" spans="2:2" x14ac:dyDescent="0.25">
      <c r="B1065" s="21"/>
    </row>
    <row r="1066" spans="2:2" x14ac:dyDescent="0.25">
      <c r="B1066" s="21"/>
    </row>
    <row r="1067" spans="2:2" x14ac:dyDescent="0.25">
      <c r="B1067" s="21"/>
    </row>
    <row r="1068" spans="2:2" x14ac:dyDescent="0.25">
      <c r="B1068" s="21"/>
    </row>
    <row r="1069" spans="2:2" x14ac:dyDescent="0.25">
      <c r="B1069" s="21"/>
    </row>
    <row r="1070" spans="2:2" x14ac:dyDescent="0.25">
      <c r="B1070" s="21"/>
    </row>
    <row r="1071" spans="2:2" x14ac:dyDescent="0.25">
      <c r="B1071" s="21"/>
    </row>
    <row r="1072" spans="2:2" x14ac:dyDescent="0.25">
      <c r="B1072" s="21"/>
    </row>
    <row r="1073" spans="2:2" x14ac:dyDescent="0.25">
      <c r="B1073" s="21"/>
    </row>
    <row r="1074" spans="2:2" x14ac:dyDescent="0.25">
      <c r="B1074" s="21"/>
    </row>
    <row r="1075" spans="2:2" x14ac:dyDescent="0.25">
      <c r="B1075" s="21"/>
    </row>
    <row r="1076" spans="2:2" x14ac:dyDescent="0.25">
      <c r="B1076" s="21"/>
    </row>
    <row r="1077" spans="2:2" x14ac:dyDescent="0.25">
      <c r="B1077" s="21"/>
    </row>
    <row r="1078" spans="2:2" x14ac:dyDescent="0.25">
      <c r="B1078" s="21"/>
    </row>
    <row r="1079" spans="2:2" x14ac:dyDescent="0.25">
      <c r="B1079" s="21"/>
    </row>
    <row r="1080" spans="2:2" x14ac:dyDescent="0.25">
      <c r="B1080" s="21"/>
    </row>
    <row r="1081" spans="2:2" x14ac:dyDescent="0.25">
      <c r="B1081" s="21"/>
    </row>
    <row r="1082" spans="2:2" x14ac:dyDescent="0.25">
      <c r="B1082" s="21"/>
    </row>
    <row r="1083" spans="2:2" x14ac:dyDescent="0.25">
      <c r="B1083" s="21"/>
    </row>
    <row r="1084" spans="2:2" x14ac:dyDescent="0.25">
      <c r="B1084" s="21"/>
    </row>
    <row r="1085" spans="2:2" x14ac:dyDescent="0.25">
      <c r="B1085" s="21"/>
    </row>
    <row r="1086" spans="2:2" x14ac:dyDescent="0.25">
      <c r="B1086" s="21"/>
    </row>
    <row r="1087" spans="2:2" x14ac:dyDescent="0.25">
      <c r="B1087" s="21"/>
    </row>
    <row r="1088" spans="2:2" x14ac:dyDescent="0.25">
      <c r="B1088" s="21"/>
    </row>
    <row r="1089" spans="2:2" x14ac:dyDescent="0.25">
      <c r="B1089" s="21"/>
    </row>
    <row r="1090" spans="2:2" x14ac:dyDescent="0.25">
      <c r="B1090" s="21"/>
    </row>
    <row r="1091" spans="2:2" x14ac:dyDescent="0.25">
      <c r="B1091" s="21"/>
    </row>
    <row r="1092" spans="2:2" x14ac:dyDescent="0.25">
      <c r="B1092" s="21"/>
    </row>
    <row r="1093" spans="2:2" x14ac:dyDescent="0.25">
      <c r="B1093" s="21"/>
    </row>
    <row r="1094" spans="2:2" x14ac:dyDescent="0.25">
      <c r="B1094" s="21"/>
    </row>
    <row r="1095" spans="2:2" x14ac:dyDescent="0.25">
      <c r="B1095" s="21"/>
    </row>
    <row r="1096" spans="2:2" x14ac:dyDescent="0.25">
      <c r="B1096" s="21"/>
    </row>
    <row r="1097" spans="2:2" x14ac:dyDescent="0.25">
      <c r="B1097" s="21"/>
    </row>
    <row r="1098" spans="2:2" x14ac:dyDescent="0.25">
      <c r="B1098" s="21"/>
    </row>
    <row r="1099" spans="2:2" x14ac:dyDescent="0.25">
      <c r="B1099" s="21"/>
    </row>
    <row r="1100" spans="2:2" x14ac:dyDescent="0.25">
      <c r="B1100" s="21"/>
    </row>
    <row r="1101" spans="2:2" x14ac:dyDescent="0.25">
      <c r="B1101" s="21"/>
    </row>
    <row r="1102" spans="2:2" x14ac:dyDescent="0.25">
      <c r="B1102" s="21"/>
    </row>
    <row r="1103" spans="2:2" x14ac:dyDescent="0.25">
      <c r="B1103" s="21"/>
    </row>
    <row r="1104" spans="2:2" x14ac:dyDescent="0.25">
      <c r="B1104" s="21"/>
    </row>
    <row r="1105" spans="2:2" x14ac:dyDescent="0.25">
      <c r="B1105" s="21"/>
    </row>
    <row r="1106" spans="2:2" x14ac:dyDescent="0.25">
      <c r="B1106" s="21"/>
    </row>
    <row r="1107" spans="2:2" x14ac:dyDescent="0.25">
      <c r="B1107" s="21"/>
    </row>
    <row r="1108" spans="2:2" x14ac:dyDescent="0.25">
      <c r="B1108" s="21"/>
    </row>
    <row r="1109" spans="2:2" x14ac:dyDescent="0.25">
      <c r="B1109" s="21"/>
    </row>
    <row r="1110" spans="2:2" x14ac:dyDescent="0.25">
      <c r="B1110" s="21"/>
    </row>
    <row r="1111" spans="2:2" x14ac:dyDescent="0.25">
      <c r="B1111" s="21"/>
    </row>
    <row r="1112" spans="2:2" x14ac:dyDescent="0.25">
      <c r="B1112" s="21"/>
    </row>
    <row r="1113" spans="2:2" x14ac:dyDescent="0.25">
      <c r="B1113" s="21"/>
    </row>
    <row r="1114" spans="2:2" x14ac:dyDescent="0.25">
      <c r="B1114" s="21"/>
    </row>
    <row r="1115" spans="2:2" x14ac:dyDescent="0.25">
      <c r="B1115" s="21"/>
    </row>
    <row r="1116" spans="2:2" x14ac:dyDescent="0.25">
      <c r="B1116" s="21"/>
    </row>
    <row r="1117" spans="2:2" x14ac:dyDescent="0.25">
      <c r="B1117" s="21"/>
    </row>
    <row r="1118" spans="2:2" x14ac:dyDescent="0.25">
      <c r="B1118" s="21"/>
    </row>
    <row r="1119" spans="2:2" x14ac:dyDescent="0.25">
      <c r="B1119" s="21"/>
    </row>
    <row r="1120" spans="2:2" x14ac:dyDescent="0.25">
      <c r="B1120" s="21"/>
    </row>
    <row r="1121" spans="2:2" x14ac:dyDescent="0.25">
      <c r="B1121" s="21"/>
    </row>
    <row r="1122" spans="2:2" x14ac:dyDescent="0.25">
      <c r="B1122" s="21"/>
    </row>
    <row r="1123" spans="2:2" x14ac:dyDescent="0.25">
      <c r="B1123" s="21"/>
    </row>
    <row r="1124" spans="2:2" x14ac:dyDescent="0.25">
      <c r="B1124" s="21"/>
    </row>
    <row r="1125" spans="2:2" x14ac:dyDescent="0.25">
      <c r="B1125" s="21"/>
    </row>
    <row r="1126" spans="2:2" x14ac:dyDescent="0.25">
      <c r="B1126" s="21"/>
    </row>
    <row r="1127" spans="2:2" x14ac:dyDescent="0.25">
      <c r="B1127" s="21"/>
    </row>
    <row r="1128" spans="2:2" x14ac:dyDescent="0.25">
      <c r="B1128" s="21"/>
    </row>
    <row r="1129" spans="2:2" x14ac:dyDescent="0.25">
      <c r="B1129" s="21"/>
    </row>
    <row r="1130" spans="2:2" x14ac:dyDescent="0.25">
      <c r="B1130" s="21"/>
    </row>
    <row r="1131" spans="2:2" x14ac:dyDescent="0.25">
      <c r="B1131" s="21"/>
    </row>
    <row r="1132" spans="2:2" x14ac:dyDescent="0.25">
      <c r="B1132" s="21"/>
    </row>
    <row r="1133" spans="2:2" x14ac:dyDescent="0.25">
      <c r="B1133" s="21"/>
    </row>
    <row r="1134" spans="2:2" x14ac:dyDescent="0.25">
      <c r="B1134" s="21"/>
    </row>
    <row r="1135" spans="2:2" x14ac:dyDescent="0.25">
      <c r="B1135" s="21"/>
    </row>
    <row r="1136" spans="2:2" x14ac:dyDescent="0.25">
      <c r="B1136" s="21"/>
    </row>
    <row r="1137" spans="2:2" x14ac:dyDescent="0.25">
      <c r="B1137" s="21"/>
    </row>
    <row r="1138" spans="2:2" x14ac:dyDescent="0.25">
      <c r="B1138" s="21"/>
    </row>
    <row r="1139" spans="2:2" x14ac:dyDescent="0.25">
      <c r="B1139" s="21"/>
    </row>
    <row r="1140" spans="2:2" x14ac:dyDescent="0.25">
      <c r="B1140" s="21"/>
    </row>
    <row r="1141" spans="2:2" x14ac:dyDescent="0.25">
      <c r="B1141" s="21"/>
    </row>
    <row r="1142" spans="2:2" x14ac:dyDescent="0.25">
      <c r="B1142" s="21"/>
    </row>
    <row r="1143" spans="2:2" x14ac:dyDescent="0.25">
      <c r="B1143" s="21"/>
    </row>
    <row r="1144" spans="2:2" x14ac:dyDescent="0.25">
      <c r="B1144" s="21"/>
    </row>
    <row r="1145" spans="2:2" x14ac:dyDescent="0.25">
      <c r="B1145" s="21"/>
    </row>
    <row r="1146" spans="2:2" x14ac:dyDescent="0.25">
      <c r="B1146" s="21"/>
    </row>
    <row r="1147" spans="2:2" x14ac:dyDescent="0.25">
      <c r="B1147" s="21"/>
    </row>
    <row r="1148" spans="2:2" x14ac:dyDescent="0.25">
      <c r="B1148" s="21"/>
    </row>
    <row r="1149" spans="2:2" x14ac:dyDescent="0.25">
      <c r="B1149" s="21"/>
    </row>
    <row r="1150" spans="2:2" x14ac:dyDescent="0.25">
      <c r="B1150" s="21"/>
    </row>
    <row r="1151" spans="2:2" x14ac:dyDescent="0.25">
      <c r="B1151" s="21"/>
    </row>
    <row r="1152" spans="2:2" x14ac:dyDescent="0.25">
      <c r="B1152" s="21"/>
    </row>
    <row r="1153" spans="2:2" x14ac:dyDescent="0.25">
      <c r="B1153" s="21"/>
    </row>
    <row r="1154" spans="2:2" x14ac:dyDescent="0.25">
      <c r="B1154" s="21"/>
    </row>
    <row r="1155" spans="2:2" x14ac:dyDescent="0.25">
      <c r="B1155" s="21"/>
    </row>
    <row r="1156" spans="2:2" x14ac:dyDescent="0.25">
      <c r="B1156" s="21"/>
    </row>
    <row r="1157" spans="2:2" x14ac:dyDescent="0.25">
      <c r="B1157" s="21"/>
    </row>
    <row r="1158" spans="2:2" x14ac:dyDescent="0.25">
      <c r="B1158" s="21"/>
    </row>
    <row r="1159" spans="2:2" x14ac:dyDescent="0.25">
      <c r="B1159" s="21"/>
    </row>
    <row r="1160" spans="2:2" x14ac:dyDescent="0.25">
      <c r="B1160" s="21"/>
    </row>
    <row r="1161" spans="2:2" x14ac:dyDescent="0.25">
      <c r="B1161" s="21"/>
    </row>
    <row r="1162" spans="2:2" x14ac:dyDescent="0.25">
      <c r="B1162" s="21"/>
    </row>
    <row r="1163" spans="2:2" x14ac:dyDescent="0.25">
      <c r="B1163" s="21"/>
    </row>
    <row r="1164" spans="2:2" x14ac:dyDescent="0.25">
      <c r="B1164" s="21"/>
    </row>
    <row r="1165" spans="2:2" x14ac:dyDescent="0.25">
      <c r="B1165" s="21"/>
    </row>
    <row r="1166" spans="2:2" x14ac:dyDescent="0.25">
      <c r="B1166" s="21"/>
    </row>
    <row r="1167" spans="2:2" x14ac:dyDescent="0.25">
      <c r="B1167" s="21"/>
    </row>
    <row r="1168" spans="2:2" x14ac:dyDescent="0.25">
      <c r="B1168" s="21"/>
    </row>
    <row r="1169" spans="2:2" x14ac:dyDescent="0.25">
      <c r="B1169" s="21"/>
    </row>
    <row r="1170" spans="2:2" x14ac:dyDescent="0.25">
      <c r="B1170" s="21"/>
    </row>
    <row r="1171" spans="2:2" x14ac:dyDescent="0.25">
      <c r="B1171" s="21"/>
    </row>
    <row r="1172" spans="2:2" x14ac:dyDescent="0.25">
      <c r="B1172" s="21"/>
    </row>
    <row r="1173" spans="2:2" x14ac:dyDescent="0.25">
      <c r="B1173" s="21"/>
    </row>
    <row r="1174" spans="2:2" x14ac:dyDescent="0.25">
      <c r="B1174" s="21"/>
    </row>
    <row r="1175" spans="2:2" x14ac:dyDescent="0.25">
      <c r="B1175" s="21"/>
    </row>
    <row r="1176" spans="2:2" x14ac:dyDescent="0.25">
      <c r="B1176" s="21"/>
    </row>
    <row r="1177" spans="2:2" x14ac:dyDescent="0.25">
      <c r="B1177" s="21"/>
    </row>
    <row r="1178" spans="2:2" x14ac:dyDescent="0.25">
      <c r="B1178" s="21"/>
    </row>
    <row r="1179" spans="2:2" x14ac:dyDescent="0.25">
      <c r="B1179" s="21"/>
    </row>
    <row r="1180" spans="2:2" x14ac:dyDescent="0.25">
      <c r="B1180" s="21"/>
    </row>
    <row r="1181" spans="2:2" x14ac:dyDescent="0.25">
      <c r="B1181" s="21"/>
    </row>
    <row r="1182" spans="2:2" x14ac:dyDescent="0.25">
      <c r="B1182" s="21"/>
    </row>
    <row r="1183" spans="2:2" x14ac:dyDescent="0.25">
      <c r="B1183" s="21"/>
    </row>
    <row r="1184" spans="2:2" x14ac:dyDescent="0.25">
      <c r="B1184" s="21"/>
    </row>
    <row r="1185" spans="2:2" x14ac:dyDescent="0.25">
      <c r="B1185" s="21"/>
    </row>
    <row r="1186" spans="2:2" x14ac:dyDescent="0.25">
      <c r="B1186" s="21"/>
    </row>
    <row r="1187" spans="2:2" x14ac:dyDescent="0.25">
      <c r="B1187" s="21"/>
    </row>
    <row r="1188" spans="2:2" x14ac:dyDescent="0.25">
      <c r="B1188" s="21"/>
    </row>
    <row r="1189" spans="2:2" x14ac:dyDescent="0.25">
      <c r="B1189" s="21"/>
    </row>
    <row r="1190" spans="2:2" x14ac:dyDescent="0.25">
      <c r="B1190" s="21"/>
    </row>
    <row r="1191" spans="2:2" x14ac:dyDescent="0.25">
      <c r="B1191" s="21"/>
    </row>
    <row r="1192" spans="2:2" x14ac:dyDescent="0.25">
      <c r="B1192" s="21"/>
    </row>
    <row r="1193" spans="2:2" x14ac:dyDescent="0.25">
      <c r="B1193" s="21"/>
    </row>
    <row r="1194" spans="2:2" x14ac:dyDescent="0.25">
      <c r="B1194" s="21"/>
    </row>
    <row r="1195" spans="2:2" x14ac:dyDescent="0.25">
      <c r="B1195" s="21"/>
    </row>
    <row r="1196" spans="2:2" x14ac:dyDescent="0.25">
      <c r="B1196" s="21"/>
    </row>
    <row r="1197" spans="2:2" x14ac:dyDescent="0.25">
      <c r="B1197" s="21"/>
    </row>
    <row r="1198" spans="2:2" x14ac:dyDescent="0.25">
      <c r="B1198" s="21"/>
    </row>
    <row r="1199" spans="2:2" x14ac:dyDescent="0.25">
      <c r="B1199" s="21"/>
    </row>
    <row r="1200" spans="2:2" x14ac:dyDescent="0.25">
      <c r="B1200" s="21"/>
    </row>
    <row r="1201" spans="2:2" x14ac:dyDescent="0.25">
      <c r="B1201" s="21"/>
    </row>
    <row r="1202" spans="2:2" x14ac:dyDescent="0.25">
      <c r="B1202" s="21"/>
    </row>
    <row r="1203" spans="2:2" x14ac:dyDescent="0.25">
      <c r="B1203" s="21"/>
    </row>
    <row r="1204" spans="2:2" x14ac:dyDescent="0.25">
      <c r="B1204" s="21"/>
    </row>
    <row r="1205" spans="2:2" x14ac:dyDescent="0.25">
      <c r="B1205" s="21"/>
    </row>
    <row r="1206" spans="2:2" x14ac:dyDescent="0.25">
      <c r="B1206" s="21"/>
    </row>
    <row r="1207" spans="2:2" x14ac:dyDescent="0.25">
      <c r="B1207" s="21"/>
    </row>
    <row r="1208" spans="2:2" x14ac:dyDescent="0.25">
      <c r="B1208" s="21"/>
    </row>
    <row r="1209" spans="2:2" x14ac:dyDescent="0.25">
      <c r="B1209" s="21"/>
    </row>
    <row r="1210" spans="2:2" x14ac:dyDescent="0.25">
      <c r="B1210" s="21"/>
    </row>
    <row r="1211" spans="2:2" x14ac:dyDescent="0.25">
      <c r="B1211" s="21"/>
    </row>
    <row r="1212" spans="2:2" x14ac:dyDescent="0.25">
      <c r="B1212" s="21"/>
    </row>
    <row r="1213" spans="2:2" x14ac:dyDescent="0.25">
      <c r="B1213" s="21"/>
    </row>
    <row r="1214" spans="2:2" x14ac:dyDescent="0.25">
      <c r="B1214" s="21"/>
    </row>
    <row r="1215" spans="2:2" x14ac:dyDescent="0.25">
      <c r="B1215" s="21"/>
    </row>
    <row r="1216" spans="2:2" x14ac:dyDescent="0.25">
      <c r="B1216" s="21"/>
    </row>
    <row r="1217" spans="2:2" x14ac:dyDescent="0.25">
      <c r="B1217" s="21"/>
    </row>
    <row r="1218" spans="2:2" x14ac:dyDescent="0.25">
      <c r="B1218" s="21"/>
    </row>
    <row r="1219" spans="2:2" x14ac:dyDescent="0.25">
      <c r="B1219" s="21"/>
    </row>
    <row r="1220" spans="2:2" x14ac:dyDescent="0.25">
      <c r="B1220" s="21"/>
    </row>
    <row r="1221" spans="2:2" x14ac:dyDescent="0.25">
      <c r="B1221" s="21"/>
    </row>
    <row r="1222" spans="2:2" x14ac:dyDescent="0.25">
      <c r="B1222" s="21"/>
    </row>
    <row r="1223" spans="2:2" x14ac:dyDescent="0.25">
      <c r="B1223" s="21"/>
    </row>
    <row r="1224" spans="2:2" x14ac:dyDescent="0.25">
      <c r="B1224" s="21"/>
    </row>
    <row r="1225" spans="2:2" x14ac:dyDescent="0.25">
      <c r="B1225" s="21"/>
    </row>
    <row r="1226" spans="2:2" x14ac:dyDescent="0.25">
      <c r="B1226" s="21"/>
    </row>
    <row r="1227" spans="2:2" x14ac:dyDescent="0.25">
      <c r="B1227" s="21"/>
    </row>
    <row r="1228" spans="2:2" x14ac:dyDescent="0.25">
      <c r="B1228" s="21"/>
    </row>
    <row r="1229" spans="2:2" x14ac:dyDescent="0.25">
      <c r="B1229" s="21"/>
    </row>
    <row r="1230" spans="2:2" x14ac:dyDescent="0.25">
      <c r="B1230" s="21"/>
    </row>
    <row r="1231" spans="2:2" x14ac:dyDescent="0.25">
      <c r="B1231" s="21"/>
    </row>
    <row r="1232" spans="2:2" x14ac:dyDescent="0.25">
      <c r="B1232" s="21"/>
    </row>
    <row r="1233" spans="2:2" x14ac:dyDescent="0.25">
      <c r="B1233" s="21"/>
    </row>
    <row r="1234" spans="2:2" x14ac:dyDescent="0.25">
      <c r="B1234" s="21"/>
    </row>
    <row r="1235" spans="2:2" x14ac:dyDescent="0.25">
      <c r="B1235" s="21"/>
    </row>
    <row r="1236" spans="2:2" x14ac:dyDescent="0.25">
      <c r="B1236" s="21"/>
    </row>
    <row r="1237" spans="2:2" x14ac:dyDescent="0.25">
      <c r="B1237" s="21"/>
    </row>
    <row r="1238" spans="2:2" x14ac:dyDescent="0.25">
      <c r="B1238" s="21"/>
    </row>
    <row r="1239" spans="2:2" x14ac:dyDescent="0.25">
      <c r="B1239" s="21"/>
    </row>
    <row r="1240" spans="2:2" x14ac:dyDescent="0.25">
      <c r="B1240" s="21"/>
    </row>
    <row r="1241" spans="2:2" x14ac:dyDescent="0.25">
      <c r="B1241" s="21"/>
    </row>
    <row r="1242" spans="2:2" x14ac:dyDescent="0.25">
      <c r="B1242" s="21"/>
    </row>
    <row r="1243" spans="2:2" x14ac:dyDescent="0.25">
      <c r="B1243" s="21"/>
    </row>
    <row r="1244" spans="2:2" x14ac:dyDescent="0.25">
      <c r="B1244" s="21"/>
    </row>
    <row r="1245" spans="2:2" x14ac:dyDescent="0.25">
      <c r="B1245" s="21"/>
    </row>
    <row r="1246" spans="2:2" x14ac:dyDescent="0.25">
      <c r="B1246" s="21"/>
    </row>
    <row r="1247" spans="2:2" x14ac:dyDescent="0.25">
      <c r="B1247" s="21"/>
    </row>
    <row r="1248" spans="2:2" x14ac:dyDescent="0.25">
      <c r="B1248" s="21"/>
    </row>
    <row r="1249" spans="2:2" x14ac:dyDescent="0.25">
      <c r="B1249" s="21"/>
    </row>
    <row r="1250" spans="2:2" x14ac:dyDescent="0.25">
      <c r="B1250" s="21"/>
    </row>
    <row r="1251" spans="2:2" x14ac:dyDescent="0.25">
      <c r="B1251" s="21"/>
    </row>
    <row r="1252" spans="2:2" x14ac:dyDescent="0.25">
      <c r="B1252" s="21"/>
    </row>
    <row r="1253" spans="2:2" x14ac:dyDescent="0.25">
      <c r="B1253" s="21"/>
    </row>
    <row r="1254" spans="2:2" x14ac:dyDescent="0.25">
      <c r="B1254" s="21"/>
    </row>
    <row r="1255" spans="2:2" x14ac:dyDescent="0.25">
      <c r="B1255" s="21"/>
    </row>
    <row r="1256" spans="2:2" x14ac:dyDescent="0.25">
      <c r="B1256" s="21"/>
    </row>
    <row r="1257" spans="2:2" x14ac:dyDescent="0.25">
      <c r="B1257" s="21"/>
    </row>
    <row r="1258" spans="2:2" x14ac:dyDescent="0.25">
      <c r="B1258" s="21"/>
    </row>
    <row r="1259" spans="2:2" x14ac:dyDescent="0.25">
      <c r="B1259" s="21"/>
    </row>
    <row r="1260" spans="2:2" x14ac:dyDescent="0.25">
      <c r="B1260" s="21"/>
    </row>
    <row r="1261" spans="2:2" x14ac:dyDescent="0.25">
      <c r="B1261" s="21"/>
    </row>
    <row r="1262" spans="2:2" x14ac:dyDescent="0.25">
      <c r="B1262" s="21"/>
    </row>
    <row r="1263" spans="2:2" x14ac:dyDescent="0.25">
      <c r="B1263" s="21"/>
    </row>
    <row r="1264" spans="2:2" x14ac:dyDescent="0.25">
      <c r="B1264" s="21"/>
    </row>
    <row r="1265" spans="2:2" x14ac:dyDescent="0.25">
      <c r="B1265" s="21"/>
    </row>
    <row r="1266" spans="2:2" x14ac:dyDescent="0.25">
      <c r="B1266" s="21"/>
    </row>
    <row r="1267" spans="2:2" x14ac:dyDescent="0.25">
      <c r="B1267" s="21"/>
    </row>
    <row r="1268" spans="2:2" x14ac:dyDescent="0.25">
      <c r="B1268" s="21"/>
    </row>
    <row r="1269" spans="2:2" x14ac:dyDescent="0.25">
      <c r="B1269" s="21"/>
    </row>
    <row r="1270" spans="2:2" x14ac:dyDescent="0.25">
      <c r="B1270" s="21"/>
    </row>
    <row r="1271" spans="2:2" x14ac:dyDescent="0.25">
      <c r="B1271" s="21"/>
    </row>
    <row r="1272" spans="2:2" x14ac:dyDescent="0.25">
      <c r="B1272" s="21"/>
    </row>
    <row r="1273" spans="2:2" x14ac:dyDescent="0.25">
      <c r="B1273" s="21"/>
    </row>
    <row r="1274" spans="2:2" x14ac:dyDescent="0.25">
      <c r="B1274" s="21"/>
    </row>
    <row r="1275" spans="2:2" x14ac:dyDescent="0.25">
      <c r="B1275" s="21"/>
    </row>
    <row r="1276" spans="2:2" x14ac:dyDescent="0.25">
      <c r="B1276" s="21"/>
    </row>
    <row r="1277" spans="2:2" x14ac:dyDescent="0.25">
      <c r="B1277" s="21"/>
    </row>
    <row r="1278" spans="2:2" x14ac:dyDescent="0.25">
      <c r="B1278" s="21"/>
    </row>
    <row r="1279" spans="2:2" x14ac:dyDescent="0.25">
      <c r="B1279" s="21"/>
    </row>
    <row r="1280" spans="2:2" x14ac:dyDescent="0.25">
      <c r="B1280" s="21"/>
    </row>
    <row r="1281" spans="2:2" x14ac:dyDescent="0.25">
      <c r="B1281" s="21"/>
    </row>
    <row r="1282" spans="2:2" x14ac:dyDescent="0.25">
      <c r="B1282" s="21"/>
    </row>
    <row r="1283" spans="2:2" x14ac:dyDescent="0.25">
      <c r="B1283" s="21"/>
    </row>
    <row r="1284" spans="2:2" x14ac:dyDescent="0.25">
      <c r="B1284" s="21"/>
    </row>
    <row r="1285" spans="2:2" x14ac:dyDescent="0.25">
      <c r="B1285" s="21"/>
    </row>
    <row r="1286" spans="2:2" x14ac:dyDescent="0.25">
      <c r="B1286" s="21"/>
    </row>
    <row r="1287" spans="2:2" x14ac:dyDescent="0.25">
      <c r="B1287" s="21"/>
    </row>
    <row r="1288" spans="2:2" x14ac:dyDescent="0.25">
      <c r="B1288" s="21"/>
    </row>
    <row r="1289" spans="2:2" x14ac:dyDescent="0.25">
      <c r="B1289" s="21"/>
    </row>
    <row r="1290" spans="2:2" x14ac:dyDescent="0.25">
      <c r="B1290" s="21"/>
    </row>
    <row r="1291" spans="2:2" x14ac:dyDescent="0.25">
      <c r="B1291" s="21"/>
    </row>
    <row r="1292" spans="2:2" x14ac:dyDescent="0.25">
      <c r="B1292" s="21"/>
    </row>
    <row r="1293" spans="2:2" x14ac:dyDescent="0.25">
      <c r="B1293" s="21"/>
    </row>
    <row r="1294" spans="2:2" x14ac:dyDescent="0.25">
      <c r="B1294" s="21"/>
    </row>
    <row r="1295" spans="2:2" x14ac:dyDescent="0.25">
      <c r="B1295" s="21"/>
    </row>
    <row r="1296" spans="2:2" x14ac:dyDescent="0.25">
      <c r="B1296" s="21"/>
    </row>
    <row r="1297" spans="2:2" x14ac:dyDescent="0.25">
      <c r="B1297" s="21"/>
    </row>
    <row r="1298" spans="2:2" x14ac:dyDescent="0.25">
      <c r="B1298" s="21"/>
    </row>
    <row r="1299" spans="2:2" x14ac:dyDescent="0.25">
      <c r="B1299" s="21"/>
    </row>
    <row r="1300" spans="2:2" x14ac:dyDescent="0.25">
      <c r="B1300" s="21"/>
    </row>
    <row r="1301" spans="2:2" x14ac:dyDescent="0.25">
      <c r="B1301" s="21"/>
    </row>
    <row r="1302" spans="2:2" x14ac:dyDescent="0.25">
      <c r="B1302" s="21"/>
    </row>
    <row r="1303" spans="2:2" x14ac:dyDescent="0.25">
      <c r="B1303" s="21"/>
    </row>
    <row r="1304" spans="2:2" x14ac:dyDescent="0.25">
      <c r="B1304" s="21"/>
    </row>
    <row r="1305" spans="2:2" x14ac:dyDescent="0.25">
      <c r="B1305" s="21"/>
    </row>
    <row r="1306" spans="2:2" x14ac:dyDescent="0.25">
      <c r="B1306" s="21"/>
    </row>
    <row r="1307" spans="2:2" x14ac:dyDescent="0.25">
      <c r="B1307" s="21"/>
    </row>
    <row r="1308" spans="2:2" x14ac:dyDescent="0.25">
      <c r="B1308" s="21"/>
    </row>
    <row r="1309" spans="2:2" x14ac:dyDescent="0.25">
      <c r="B1309" s="21"/>
    </row>
    <row r="1310" spans="2:2" x14ac:dyDescent="0.25">
      <c r="B1310" s="21"/>
    </row>
    <row r="1311" spans="2:2" x14ac:dyDescent="0.25">
      <c r="B1311" s="21"/>
    </row>
    <row r="1312" spans="2:2" x14ac:dyDescent="0.25">
      <c r="B1312" s="21"/>
    </row>
    <row r="1313" spans="2:2" x14ac:dyDescent="0.25">
      <c r="B1313" s="21"/>
    </row>
    <row r="1314" spans="2:2" x14ac:dyDescent="0.25">
      <c r="B1314" s="21"/>
    </row>
    <row r="1315" spans="2:2" x14ac:dyDescent="0.25">
      <c r="B1315" s="21"/>
    </row>
    <row r="1316" spans="2:2" x14ac:dyDescent="0.25">
      <c r="B1316" s="21"/>
    </row>
    <row r="1317" spans="2:2" x14ac:dyDescent="0.25">
      <c r="B1317" s="21"/>
    </row>
    <row r="1318" spans="2:2" x14ac:dyDescent="0.25">
      <c r="B1318" s="21"/>
    </row>
    <row r="1319" spans="2:2" x14ac:dyDescent="0.25">
      <c r="B1319" s="21"/>
    </row>
    <row r="1320" spans="2:2" x14ac:dyDescent="0.25">
      <c r="B1320" s="21"/>
    </row>
    <row r="1321" spans="2:2" x14ac:dyDescent="0.25">
      <c r="B1321" s="21"/>
    </row>
    <row r="1322" spans="2:2" x14ac:dyDescent="0.25">
      <c r="B1322" s="21"/>
    </row>
    <row r="1323" spans="2:2" x14ac:dyDescent="0.25">
      <c r="B1323" s="21"/>
    </row>
    <row r="1324" spans="2:2" x14ac:dyDescent="0.25">
      <c r="B1324" s="21"/>
    </row>
    <row r="1325" spans="2:2" x14ac:dyDescent="0.25">
      <c r="B1325" s="21"/>
    </row>
    <row r="1326" spans="2:2" x14ac:dyDescent="0.25">
      <c r="B1326" s="21"/>
    </row>
    <row r="1327" spans="2:2" x14ac:dyDescent="0.25">
      <c r="B1327" s="21"/>
    </row>
    <row r="1328" spans="2:2" x14ac:dyDescent="0.25">
      <c r="B1328" s="21"/>
    </row>
    <row r="1329" spans="2:2" x14ac:dyDescent="0.25">
      <c r="B1329" s="21"/>
    </row>
    <row r="1330" spans="2:2" x14ac:dyDescent="0.25">
      <c r="B1330" s="21"/>
    </row>
    <row r="1331" spans="2:2" x14ac:dyDescent="0.25">
      <c r="B1331" s="21"/>
    </row>
    <row r="1332" spans="2:2" x14ac:dyDescent="0.25">
      <c r="B1332" s="21"/>
    </row>
    <row r="1333" spans="2:2" x14ac:dyDescent="0.25">
      <c r="B1333" s="21"/>
    </row>
    <row r="1334" spans="2:2" x14ac:dyDescent="0.25">
      <c r="B1334" s="21"/>
    </row>
    <row r="1335" spans="2:2" x14ac:dyDescent="0.25">
      <c r="B1335" s="21"/>
    </row>
    <row r="1336" spans="2:2" x14ac:dyDescent="0.25">
      <c r="B1336" s="21"/>
    </row>
    <row r="1337" spans="2:2" x14ac:dyDescent="0.25">
      <c r="B1337" s="21"/>
    </row>
    <row r="1338" spans="2:2" x14ac:dyDescent="0.25">
      <c r="B1338" s="21"/>
    </row>
    <row r="1339" spans="2:2" x14ac:dyDescent="0.25">
      <c r="B1339" s="21"/>
    </row>
    <row r="1340" spans="2:2" x14ac:dyDescent="0.25">
      <c r="B1340" s="21"/>
    </row>
    <row r="1341" spans="2:2" x14ac:dyDescent="0.25">
      <c r="B1341" s="21"/>
    </row>
    <row r="1342" spans="2:2" x14ac:dyDescent="0.25">
      <c r="B1342" s="21"/>
    </row>
    <row r="1343" spans="2:2" x14ac:dyDescent="0.25">
      <c r="B1343" s="21"/>
    </row>
    <row r="1344" spans="2:2" x14ac:dyDescent="0.25">
      <c r="B1344" s="21"/>
    </row>
    <row r="1345" spans="2:2" x14ac:dyDescent="0.25">
      <c r="B1345" s="21"/>
    </row>
    <row r="1346" spans="2:2" x14ac:dyDescent="0.25">
      <c r="B1346" s="21"/>
    </row>
    <row r="1347" spans="2:2" x14ac:dyDescent="0.25">
      <c r="B1347" s="21"/>
    </row>
    <row r="1348" spans="2:2" x14ac:dyDescent="0.25">
      <c r="B1348" s="21"/>
    </row>
    <row r="1349" spans="2:2" x14ac:dyDescent="0.25">
      <c r="B1349" s="21"/>
    </row>
    <row r="1350" spans="2:2" x14ac:dyDescent="0.25">
      <c r="B1350" s="21"/>
    </row>
    <row r="1351" spans="2:2" x14ac:dyDescent="0.25">
      <c r="B1351" s="21"/>
    </row>
    <row r="1352" spans="2:2" x14ac:dyDescent="0.25">
      <c r="B1352" s="21"/>
    </row>
    <row r="1353" spans="2:2" x14ac:dyDescent="0.25">
      <c r="B1353" s="21"/>
    </row>
    <row r="1354" spans="2:2" x14ac:dyDescent="0.25">
      <c r="B1354" s="21"/>
    </row>
    <row r="1355" spans="2:2" x14ac:dyDescent="0.25">
      <c r="B1355" s="21"/>
    </row>
    <row r="1356" spans="2:2" x14ac:dyDescent="0.25">
      <c r="B1356" s="21"/>
    </row>
    <row r="1357" spans="2:2" x14ac:dyDescent="0.25">
      <c r="B1357" s="21"/>
    </row>
    <row r="1358" spans="2:2" x14ac:dyDescent="0.25">
      <c r="B1358" s="21"/>
    </row>
    <row r="1359" spans="2:2" x14ac:dyDescent="0.25">
      <c r="B1359" s="21"/>
    </row>
    <row r="1360" spans="2:2" x14ac:dyDescent="0.25">
      <c r="B1360" s="21"/>
    </row>
    <row r="1361" spans="2:2" x14ac:dyDescent="0.25">
      <c r="B1361" s="21"/>
    </row>
    <row r="1362" spans="2:2" x14ac:dyDescent="0.25">
      <c r="B1362" s="21"/>
    </row>
    <row r="1363" spans="2:2" x14ac:dyDescent="0.25">
      <c r="B1363" s="21"/>
    </row>
    <row r="1364" spans="2:2" x14ac:dyDescent="0.25">
      <c r="B1364" s="21"/>
    </row>
    <row r="1365" spans="2:2" x14ac:dyDescent="0.25">
      <c r="B1365" s="21"/>
    </row>
    <row r="1366" spans="2:2" x14ac:dyDescent="0.25">
      <c r="B1366" s="21"/>
    </row>
    <row r="1367" spans="2:2" x14ac:dyDescent="0.25">
      <c r="B1367" s="21"/>
    </row>
    <row r="1368" spans="2:2" x14ac:dyDescent="0.25">
      <c r="B1368" s="21"/>
    </row>
    <row r="1369" spans="2:2" x14ac:dyDescent="0.25">
      <c r="B1369" s="21"/>
    </row>
    <row r="1370" spans="2:2" x14ac:dyDescent="0.25">
      <c r="B1370" s="21"/>
    </row>
    <row r="1371" spans="2:2" x14ac:dyDescent="0.25">
      <c r="B1371" s="21"/>
    </row>
    <row r="1372" spans="2:2" x14ac:dyDescent="0.25">
      <c r="B1372" s="21"/>
    </row>
    <row r="1373" spans="2:2" x14ac:dyDescent="0.25">
      <c r="B1373" s="21"/>
    </row>
    <row r="1374" spans="2:2" x14ac:dyDescent="0.25">
      <c r="B1374" s="21"/>
    </row>
    <row r="1375" spans="2:2" x14ac:dyDescent="0.25">
      <c r="B1375" s="21"/>
    </row>
    <row r="1376" spans="2:2" x14ac:dyDescent="0.25">
      <c r="B1376" s="21"/>
    </row>
    <row r="1377" spans="2:2" x14ac:dyDescent="0.25">
      <c r="B1377" s="21"/>
    </row>
    <row r="1378" spans="2:2" x14ac:dyDescent="0.25">
      <c r="B1378" s="21"/>
    </row>
    <row r="1379" spans="2:2" x14ac:dyDescent="0.25">
      <c r="B1379" s="21"/>
    </row>
    <row r="1380" spans="2:2" x14ac:dyDescent="0.25">
      <c r="B1380" s="21"/>
    </row>
    <row r="1381" spans="2:2" x14ac:dyDescent="0.25">
      <c r="B1381" s="21"/>
    </row>
    <row r="1382" spans="2:2" x14ac:dyDescent="0.25">
      <c r="B1382" s="21"/>
    </row>
    <row r="1383" spans="2:2" x14ac:dyDescent="0.25">
      <c r="B1383" s="21"/>
    </row>
    <row r="1384" spans="2:2" x14ac:dyDescent="0.25">
      <c r="B1384" s="21"/>
    </row>
    <row r="1385" spans="2:2" x14ac:dyDescent="0.25">
      <c r="B1385" s="21"/>
    </row>
    <row r="1386" spans="2:2" x14ac:dyDescent="0.25">
      <c r="B1386" s="21"/>
    </row>
    <row r="1387" spans="2:2" x14ac:dyDescent="0.25">
      <c r="B1387" s="21"/>
    </row>
    <row r="1388" spans="2:2" x14ac:dyDescent="0.25">
      <c r="B1388" s="21"/>
    </row>
    <row r="1389" spans="2:2" x14ac:dyDescent="0.25">
      <c r="B1389" s="21"/>
    </row>
    <row r="1390" spans="2:2" x14ac:dyDescent="0.25">
      <c r="B1390" s="21"/>
    </row>
    <row r="1391" spans="2:2" x14ac:dyDescent="0.25">
      <c r="B1391" s="21"/>
    </row>
    <row r="1392" spans="2:2" x14ac:dyDescent="0.25">
      <c r="B1392" s="21"/>
    </row>
    <row r="1393" spans="2:2" x14ac:dyDescent="0.25">
      <c r="B1393" s="21"/>
    </row>
    <row r="1394" spans="2:2" x14ac:dyDescent="0.25">
      <c r="B1394" s="21"/>
    </row>
    <row r="1395" spans="2:2" x14ac:dyDescent="0.25">
      <c r="B1395" s="21"/>
    </row>
    <row r="1396" spans="2:2" x14ac:dyDescent="0.25">
      <c r="B1396" s="21"/>
    </row>
    <row r="1397" spans="2:2" x14ac:dyDescent="0.25">
      <c r="B1397" s="21"/>
    </row>
    <row r="1398" spans="2:2" x14ac:dyDescent="0.25">
      <c r="B1398" s="21"/>
    </row>
    <row r="1399" spans="2:2" x14ac:dyDescent="0.25">
      <c r="B1399" s="21"/>
    </row>
    <row r="1400" spans="2:2" x14ac:dyDescent="0.25">
      <c r="B1400" s="21"/>
    </row>
    <row r="1401" spans="2:2" x14ac:dyDescent="0.25">
      <c r="B1401" s="21"/>
    </row>
    <row r="1402" spans="2:2" x14ac:dyDescent="0.25">
      <c r="B1402" s="21"/>
    </row>
    <row r="1403" spans="2:2" x14ac:dyDescent="0.25">
      <c r="B1403" s="21"/>
    </row>
    <row r="1404" spans="2:2" x14ac:dyDescent="0.25">
      <c r="B1404" s="21"/>
    </row>
    <row r="1405" spans="2:2" x14ac:dyDescent="0.25">
      <c r="B1405" s="21"/>
    </row>
    <row r="1406" spans="2:2" x14ac:dyDescent="0.25">
      <c r="B1406" s="21"/>
    </row>
    <row r="1407" spans="2:2" x14ac:dyDescent="0.25">
      <c r="B1407" s="21"/>
    </row>
    <row r="1408" spans="2:2" x14ac:dyDescent="0.25">
      <c r="B1408" s="21"/>
    </row>
    <row r="1409" spans="2:2" x14ac:dyDescent="0.25">
      <c r="B1409" s="21"/>
    </row>
    <row r="1410" spans="2:2" x14ac:dyDescent="0.25">
      <c r="B1410" s="21"/>
    </row>
    <row r="1411" spans="2:2" x14ac:dyDescent="0.25">
      <c r="B1411" s="21"/>
    </row>
    <row r="1412" spans="2:2" x14ac:dyDescent="0.25">
      <c r="B1412" s="21"/>
    </row>
    <row r="1413" spans="2:2" x14ac:dyDescent="0.25">
      <c r="B1413" s="21"/>
    </row>
    <row r="1414" spans="2:2" x14ac:dyDescent="0.25">
      <c r="B1414" s="21"/>
    </row>
    <row r="1415" spans="2:2" x14ac:dyDescent="0.25">
      <c r="B1415" s="21"/>
    </row>
    <row r="1416" spans="2:2" x14ac:dyDescent="0.25">
      <c r="B1416" s="21"/>
    </row>
    <row r="1417" spans="2:2" x14ac:dyDescent="0.25">
      <c r="B1417" s="21"/>
    </row>
    <row r="1418" spans="2:2" x14ac:dyDescent="0.25">
      <c r="B1418" s="21"/>
    </row>
    <row r="1419" spans="2:2" x14ac:dyDescent="0.25">
      <c r="B1419" s="21"/>
    </row>
    <row r="1420" spans="2:2" x14ac:dyDescent="0.25">
      <c r="B1420" s="21"/>
    </row>
    <row r="1421" spans="2:2" x14ac:dyDescent="0.25">
      <c r="B1421" s="21"/>
    </row>
    <row r="1422" spans="2:2" x14ac:dyDescent="0.25">
      <c r="B1422" s="21"/>
    </row>
    <row r="1423" spans="2:2" x14ac:dyDescent="0.25">
      <c r="B1423" s="21"/>
    </row>
    <row r="1424" spans="2:2" x14ac:dyDescent="0.25">
      <c r="B1424" s="21"/>
    </row>
    <row r="1425" spans="2:2" x14ac:dyDescent="0.25">
      <c r="B1425" s="21"/>
    </row>
    <row r="1426" spans="2:2" x14ac:dyDescent="0.25">
      <c r="B1426" s="21"/>
    </row>
    <row r="1427" spans="2:2" x14ac:dyDescent="0.25">
      <c r="B1427" s="21"/>
    </row>
    <row r="1428" spans="2:2" x14ac:dyDescent="0.25">
      <c r="B1428" s="21"/>
    </row>
    <row r="1429" spans="2:2" x14ac:dyDescent="0.25">
      <c r="B1429" s="21"/>
    </row>
    <row r="1430" spans="2:2" x14ac:dyDescent="0.25">
      <c r="B1430" s="21"/>
    </row>
    <row r="1431" spans="2:2" x14ac:dyDescent="0.25">
      <c r="B1431" s="21"/>
    </row>
    <row r="1432" spans="2:2" x14ac:dyDescent="0.25">
      <c r="B1432" s="21"/>
    </row>
    <row r="1433" spans="2:2" x14ac:dyDescent="0.25">
      <c r="B1433" s="21"/>
    </row>
    <row r="1434" spans="2:2" x14ac:dyDescent="0.25">
      <c r="B1434" s="21"/>
    </row>
    <row r="1435" spans="2:2" x14ac:dyDescent="0.25">
      <c r="B1435" s="21"/>
    </row>
    <row r="1436" spans="2:2" x14ac:dyDescent="0.25">
      <c r="B1436" s="21"/>
    </row>
    <row r="1437" spans="2:2" x14ac:dyDescent="0.25">
      <c r="B1437" s="21"/>
    </row>
    <row r="1438" spans="2:2" x14ac:dyDescent="0.25">
      <c r="B1438" s="21"/>
    </row>
    <row r="1439" spans="2:2" x14ac:dyDescent="0.25">
      <c r="B1439" s="21"/>
    </row>
    <row r="1440" spans="2:2" x14ac:dyDescent="0.25">
      <c r="B1440" s="21"/>
    </row>
    <row r="1441" spans="2:2" x14ac:dyDescent="0.25">
      <c r="B1441" s="21"/>
    </row>
    <row r="1442" spans="2:2" x14ac:dyDescent="0.25">
      <c r="B1442" s="21"/>
    </row>
    <row r="1443" spans="2:2" x14ac:dyDescent="0.25">
      <c r="B1443" s="21"/>
    </row>
    <row r="1444" spans="2:2" x14ac:dyDescent="0.25">
      <c r="B1444" s="21"/>
    </row>
    <row r="1445" spans="2:2" x14ac:dyDescent="0.25">
      <c r="B1445" s="21"/>
    </row>
    <row r="1446" spans="2:2" x14ac:dyDescent="0.25">
      <c r="B1446" s="21"/>
    </row>
    <row r="1447" spans="2:2" x14ac:dyDescent="0.25">
      <c r="B1447" s="21"/>
    </row>
    <row r="1448" spans="2:2" x14ac:dyDescent="0.25">
      <c r="B1448" s="21"/>
    </row>
    <row r="1449" spans="2:2" x14ac:dyDescent="0.25">
      <c r="B1449" s="21"/>
    </row>
    <row r="1450" spans="2:2" x14ac:dyDescent="0.25">
      <c r="B1450" s="21"/>
    </row>
    <row r="1451" spans="2:2" x14ac:dyDescent="0.25">
      <c r="B1451" s="21"/>
    </row>
    <row r="1452" spans="2:2" x14ac:dyDescent="0.25">
      <c r="B1452" s="21"/>
    </row>
    <row r="1453" spans="2:2" x14ac:dyDescent="0.25">
      <c r="B1453" s="21"/>
    </row>
    <row r="1454" spans="2:2" x14ac:dyDescent="0.25">
      <c r="B1454" s="21"/>
    </row>
    <row r="1455" spans="2:2" x14ac:dyDescent="0.25">
      <c r="B1455" s="21"/>
    </row>
    <row r="1456" spans="2:2" x14ac:dyDescent="0.25">
      <c r="B1456" s="21"/>
    </row>
    <row r="1457" spans="2:2" x14ac:dyDescent="0.25">
      <c r="B1457" s="21"/>
    </row>
    <row r="1458" spans="2:2" x14ac:dyDescent="0.25">
      <c r="B1458" s="21"/>
    </row>
    <row r="1459" spans="2:2" x14ac:dyDescent="0.25">
      <c r="B1459" s="21"/>
    </row>
    <row r="1460" spans="2:2" x14ac:dyDescent="0.25">
      <c r="B1460" s="21"/>
    </row>
    <row r="1461" spans="2:2" x14ac:dyDescent="0.25">
      <c r="B1461" s="21"/>
    </row>
    <row r="1462" spans="2:2" x14ac:dyDescent="0.25">
      <c r="B1462" s="21"/>
    </row>
    <row r="1463" spans="2:2" x14ac:dyDescent="0.25">
      <c r="B1463" s="21"/>
    </row>
    <row r="1464" spans="2:2" x14ac:dyDescent="0.25">
      <c r="B1464" s="21"/>
    </row>
    <row r="1465" spans="2:2" x14ac:dyDescent="0.25">
      <c r="B1465" s="21"/>
    </row>
    <row r="1466" spans="2:2" x14ac:dyDescent="0.25">
      <c r="B1466" s="21"/>
    </row>
    <row r="1467" spans="2:2" x14ac:dyDescent="0.25">
      <c r="B1467" s="21"/>
    </row>
    <row r="1468" spans="2:2" x14ac:dyDescent="0.25">
      <c r="B1468" s="21"/>
    </row>
    <row r="1469" spans="2:2" x14ac:dyDescent="0.25">
      <c r="B1469" s="21"/>
    </row>
    <row r="1470" spans="2:2" x14ac:dyDescent="0.25">
      <c r="B1470" s="21"/>
    </row>
    <row r="1471" spans="2:2" x14ac:dyDescent="0.25">
      <c r="B1471" s="21"/>
    </row>
    <row r="1472" spans="2:2" x14ac:dyDescent="0.25">
      <c r="B1472" s="21"/>
    </row>
    <row r="1473" spans="2:2" x14ac:dyDescent="0.25">
      <c r="B1473" s="21"/>
    </row>
    <row r="1474" spans="2:2" x14ac:dyDescent="0.25">
      <c r="B1474" s="21"/>
    </row>
    <row r="1475" spans="2:2" x14ac:dyDescent="0.25">
      <c r="B1475" s="21"/>
    </row>
    <row r="1476" spans="2:2" x14ac:dyDescent="0.25">
      <c r="B1476" s="21"/>
    </row>
    <row r="1477" spans="2:2" x14ac:dyDescent="0.25">
      <c r="B1477" s="21"/>
    </row>
    <row r="1478" spans="2:2" x14ac:dyDescent="0.25">
      <c r="B1478" s="21"/>
    </row>
    <row r="1479" spans="2:2" x14ac:dyDescent="0.25">
      <c r="B1479" s="21"/>
    </row>
    <row r="1480" spans="2:2" x14ac:dyDescent="0.25">
      <c r="B1480" s="21"/>
    </row>
    <row r="1481" spans="2:2" x14ac:dyDescent="0.25">
      <c r="B1481" s="21"/>
    </row>
    <row r="1482" spans="2:2" x14ac:dyDescent="0.25">
      <c r="B1482" s="21"/>
    </row>
    <row r="1483" spans="2:2" x14ac:dyDescent="0.25">
      <c r="B1483" s="21"/>
    </row>
    <row r="1484" spans="2:2" x14ac:dyDescent="0.25">
      <c r="B1484" s="21"/>
    </row>
    <row r="1485" spans="2:2" x14ac:dyDescent="0.25">
      <c r="B1485" s="21"/>
    </row>
    <row r="1486" spans="2:2" x14ac:dyDescent="0.25">
      <c r="B1486" s="21"/>
    </row>
    <row r="1487" spans="2:2" x14ac:dyDescent="0.25">
      <c r="B1487" s="21"/>
    </row>
    <row r="1488" spans="2:2" x14ac:dyDescent="0.25">
      <c r="B1488" s="21"/>
    </row>
    <row r="1489" spans="2:2" x14ac:dyDescent="0.25">
      <c r="B1489" s="21"/>
    </row>
    <row r="1490" spans="2:2" x14ac:dyDescent="0.25">
      <c r="B1490" s="21"/>
    </row>
    <row r="1491" spans="2:2" x14ac:dyDescent="0.25">
      <c r="B1491" s="21"/>
    </row>
    <row r="1492" spans="2:2" x14ac:dyDescent="0.25">
      <c r="B1492" s="21"/>
    </row>
    <row r="1493" spans="2:2" x14ac:dyDescent="0.25">
      <c r="B1493" s="21"/>
    </row>
    <row r="1494" spans="2:2" x14ac:dyDescent="0.25">
      <c r="B1494" s="21"/>
    </row>
    <row r="1495" spans="2:2" x14ac:dyDescent="0.25">
      <c r="B1495" s="21"/>
    </row>
    <row r="1496" spans="2:2" x14ac:dyDescent="0.25">
      <c r="B1496" s="21"/>
    </row>
    <row r="1497" spans="2:2" x14ac:dyDescent="0.25">
      <c r="B1497" s="21"/>
    </row>
    <row r="1498" spans="2:2" x14ac:dyDescent="0.25">
      <c r="B1498" s="21"/>
    </row>
    <row r="1499" spans="2:2" x14ac:dyDescent="0.25">
      <c r="B1499" s="21"/>
    </row>
    <row r="1500" spans="2:2" x14ac:dyDescent="0.25">
      <c r="B1500" s="21"/>
    </row>
    <row r="1501" spans="2:2" x14ac:dyDescent="0.25">
      <c r="B1501" s="21"/>
    </row>
    <row r="1502" spans="2:2" x14ac:dyDescent="0.25">
      <c r="B1502" s="21"/>
    </row>
    <row r="1503" spans="2:2" x14ac:dyDescent="0.25">
      <c r="B1503" s="21"/>
    </row>
    <row r="1504" spans="2:2" x14ac:dyDescent="0.25">
      <c r="B1504" s="21"/>
    </row>
    <row r="1505" spans="2:2" x14ac:dyDescent="0.25">
      <c r="B1505" s="21"/>
    </row>
    <row r="1506" spans="2:2" x14ac:dyDescent="0.25">
      <c r="B1506" s="21"/>
    </row>
    <row r="1507" spans="2:2" x14ac:dyDescent="0.25">
      <c r="B1507" s="21"/>
    </row>
    <row r="1508" spans="2:2" x14ac:dyDescent="0.25">
      <c r="B1508" s="21"/>
    </row>
    <row r="1509" spans="2:2" x14ac:dyDescent="0.25">
      <c r="B1509" s="21"/>
    </row>
    <row r="1510" spans="2:2" x14ac:dyDescent="0.25">
      <c r="B1510" s="21"/>
    </row>
    <row r="1511" spans="2:2" x14ac:dyDescent="0.25">
      <c r="B1511" s="21"/>
    </row>
    <row r="1512" spans="2:2" x14ac:dyDescent="0.25">
      <c r="B1512" s="21"/>
    </row>
    <row r="1513" spans="2:2" x14ac:dyDescent="0.25">
      <c r="B1513" s="21"/>
    </row>
    <row r="1514" spans="2:2" x14ac:dyDescent="0.25">
      <c r="B1514" s="21"/>
    </row>
    <row r="1515" spans="2:2" x14ac:dyDescent="0.25">
      <c r="B1515" s="21"/>
    </row>
    <row r="1516" spans="2:2" x14ac:dyDescent="0.25">
      <c r="B1516" s="21"/>
    </row>
    <row r="1517" spans="2:2" x14ac:dyDescent="0.25">
      <c r="B1517" s="21"/>
    </row>
    <row r="1518" spans="2:2" x14ac:dyDescent="0.25">
      <c r="B1518" s="21"/>
    </row>
    <row r="1519" spans="2:2" x14ac:dyDescent="0.25">
      <c r="B1519" s="21"/>
    </row>
    <row r="1520" spans="2:2" x14ac:dyDescent="0.25">
      <c r="B1520" s="21"/>
    </row>
    <row r="1521" spans="2:2" x14ac:dyDescent="0.25">
      <c r="B1521" s="21"/>
    </row>
    <row r="1522" spans="2:2" x14ac:dyDescent="0.25">
      <c r="B1522" s="21"/>
    </row>
    <row r="1523" spans="2:2" x14ac:dyDescent="0.25">
      <c r="B1523" s="21"/>
    </row>
    <row r="1524" spans="2:2" x14ac:dyDescent="0.25">
      <c r="B1524" s="21"/>
    </row>
    <row r="1525" spans="2:2" x14ac:dyDescent="0.25">
      <c r="B1525" s="21"/>
    </row>
    <row r="1526" spans="2:2" x14ac:dyDescent="0.25">
      <c r="B1526" s="21"/>
    </row>
    <row r="1527" spans="2:2" x14ac:dyDescent="0.25">
      <c r="B1527" s="21"/>
    </row>
    <row r="1528" spans="2:2" x14ac:dyDescent="0.25">
      <c r="B1528" s="21"/>
    </row>
    <row r="1529" spans="2:2" x14ac:dyDescent="0.25">
      <c r="B1529" s="21"/>
    </row>
    <row r="1530" spans="2:2" x14ac:dyDescent="0.25">
      <c r="B1530" s="21"/>
    </row>
    <row r="1531" spans="2:2" x14ac:dyDescent="0.25">
      <c r="B1531" s="21"/>
    </row>
    <row r="1532" spans="2:2" x14ac:dyDescent="0.25">
      <c r="B1532" s="21"/>
    </row>
    <row r="1533" spans="2:2" x14ac:dyDescent="0.25">
      <c r="B1533" s="21"/>
    </row>
    <row r="1534" spans="2:2" x14ac:dyDescent="0.25">
      <c r="B1534" s="21"/>
    </row>
    <row r="1535" spans="2:2" x14ac:dyDescent="0.25">
      <c r="B1535" s="21"/>
    </row>
    <row r="1536" spans="2:2" x14ac:dyDescent="0.25">
      <c r="B1536" s="21"/>
    </row>
    <row r="1537" spans="2:2" x14ac:dyDescent="0.25">
      <c r="B1537" s="21"/>
    </row>
    <row r="1538" spans="2:2" x14ac:dyDescent="0.25">
      <c r="B1538" s="21"/>
    </row>
    <row r="1539" spans="2:2" x14ac:dyDescent="0.25">
      <c r="B1539" s="21"/>
    </row>
    <row r="1540" spans="2:2" x14ac:dyDescent="0.25">
      <c r="B1540" s="21"/>
    </row>
    <row r="1541" spans="2:2" x14ac:dyDescent="0.25">
      <c r="B1541" s="21"/>
    </row>
    <row r="1542" spans="2:2" x14ac:dyDescent="0.25">
      <c r="B1542" s="21"/>
    </row>
    <row r="1543" spans="2:2" x14ac:dyDescent="0.25">
      <c r="B1543" s="21"/>
    </row>
    <row r="1544" spans="2:2" x14ac:dyDescent="0.25">
      <c r="B1544" s="21"/>
    </row>
    <row r="1545" spans="2:2" x14ac:dyDescent="0.25">
      <c r="B1545" s="21"/>
    </row>
    <row r="1546" spans="2:2" x14ac:dyDescent="0.25">
      <c r="B1546" s="21"/>
    </row>
    <row r="1547" spans="2:2" x14ac:dyDescent="0.25">
      <c r="B1547" s="21"/>
    </row>
    <row r="1548" spans="2:2" x14ac:dyDescent="0.25">
      <c r="B1548" s="21"/>
    </row>
    <row r="1549" spans="2:2" x14ac:dyDescent="0.25">
      <c r="B1549" s="21"/>
    </row>
    <row r="1550" spans="2:2" x14ac:dyDescent="0.25">
      <c r="B1550" s="21"/>
    </row>
    <row r="1551" spans="2:2" x14ac:dyDescent="0.25">
      <c r="B1551" s="21"/>
    </row>
    <row r="1552" spans="2:2" x14ac:dyDescent="0.25">
      <c r="B1552" s="21"/>
    </row>
    <row r="1553" spans="2:2" x14ac:dyDescent="0.25">
      <c r="B1553" s="21"/>
    </row>
    <row r="1554" spans="2:2" x14ac:dyDescent="0.25">
      <c r="B1554" s="21"/>
    </row>
    <row r="1555" spans="2:2" x14ac:dyDescent="0.25">
      <c r="B1555" s="21"/>
    </row>
    <row r="1556" spans="2:2" x14ac:dyDescent="0.25">
      <c r="B1556" s="21"/>
    </row>
    <row r="1557" spans="2:2" x14ac:dyDescent="0.25">
      <c r="B1557" s="21"/>
    </row>
    <row r="1558" spans="2:2" x14ac:dyDescent="0.25">
      <c r="B1558" s="21"/>
    </row>
    <row r="1559" spans="2:2" x14ac:dyDescent="0.25">
      <c r="B1559" s="21"/>
    </row>
    <row r="1560" spans="2:2" x14ac:dyDescent="0.25">
      <c r="B1560" s="21"/>
    </row>
    <row r="1561" spans="2:2" x14ac:dyDescent="0.25">
      <c r="B1561" s="21"/>
    </row>
    <row r="1562" spans="2:2" x14ac:dyDescent="0.25">
      <c r="B1562" s="21"/>
    </row>
    <row r="1563" spans="2:2" x14ac:dyDescent="0.25">
      <c r="B1563" s="21"/>
    </row>
    <row r="1564" spans="2:2" x14ac:dyDescent="0.25">
      <c r="B1564" s="21"/>
    </row>
    <row r="1565" spans="2:2" x14ac:dyDescent="0.25">
      <c r="B1565" s="21"/>
    </row>
    <row r="1566" spans="2:2" x14ac:dyDescent="0.25">
      <c r="B1566" s="21"/>
    </row>
    <row r="1567" spans="2:2" x14ac:dyDescent="0.25">
      <c r="B1567" s="21"/>
    </row>
    <row r="1568" spans="2:2" x14ac:dyDescent="0.25">
      <c r="B1568" s="21"/>
    </row>
    <row r="1569" spans="2:2" x14ac:dyDescent="0.25">
      <c r="B1569" s="21"/>
    </row>
    <row r="1570" spans="2:2" x14ac:dyDescent="0.25">
      <c r="B1570" s="21"/>
    </row>
    <row r="1571" spans="2:2" x14ac:dyDescent="0.25">
      <c r="B1571" s="21"/>
    </row>
    <row r="1572" spans="2:2" x14ac:dyDescent="0.25">
      <c r="B1572" s="21"/>
    </row>
    <row r="1573" spans="2:2" x14ac:dyDescent="0.25">
      <c r="B1573" s="21"/>
    </row>
    <row r="1574" spans="2:2" x14ac:dyDescent="0.25">
      <c r="B1574" s="21"/>
    </row>
    <row r="1575" spans="2:2" x14ac:dyDescent="0.25">
      <c r="B1575" s="21"/>
    </row>
    <row r="1576" spans="2:2" x14ac:dyDescent="0.25">
      <c r="B1576" s="21"/>
    </row>
    <row r="1577" spans="2:2" x14ac:dyDescent="0.25">
      <c r="B1577" s="21"/>
    </row>
    <row r="1578" spans="2:2" x14ac:dyDescent="0.25">
      <c r="B1578" s="21"/>
    </row>
    <row r="1579" spans="2:2" x14ac:dyDescent="0.25">
      <c r="B1579" s="21"/>
    </row>
    <row r="1580" spans="2:2" x14ac:dyDescent="0.25">
      <c r="B1580" s="21"/>
    </row>
    <row r="1581" spans="2:2" x14ac:dyDescent="0.25">
      <c r="B1581" s="21"/>
    </row>
    <row r="1582" spans="2:2" x14ac:dyDescent="0.25">
      <c r="B1582" s="21"/>
    </row>
    <row r="1583" spans="2:2" x14ac:dyDescent="0.25">
      <c r="B1583" s="21"/>
    </row>
    <row r="1584" spans="2:2" x14ac:dyDescent="0.25">
      <c r="B1584" s="21"/>
    </row>
    <row r="1585" spans="2:2" x14ac:dyDescent="0.25">
      <c r="B1585" s="21"/>
    </row>
    <row r="1586" spans="2:2" x14ac:dyDescent="0.25">
      <c r="B1586" s="21"/>
    </row>
    <row r="1587" spans="2:2" x14ac:dyDescent="0.25">
      <c r="B1587" s="21"/>
    </row>
    <row r="1588" spans="2:2" x14ac:dyDescent="0.25">
      <c r="B1588" s="21"/>
    </row>
    <row r="1589" spans="2:2" x14ac:dyDescent="0.25">
      <c r="B1589" s="21"/>
    </row>
    <row r="1590" spans="2:2" x14ac:dyDescent="0.25">
      <c r="B1590" s="21"/>
    </row>
    <row r="1591" spans="2:2" x14ac:dyDescent="0.25">
      <c r="B1591" s="21"/>
    </row>
    <row r="1592" spans="2:2" x14ac:dyDescent="0.25">
      <c r="B1592" s="21"/>
    </row>
    <row r="1593" spans="2:2" x14ac:dyDescent="0.25">
      <c r="B1593" s="21"/>
    </row>
    <row r="1594" spans="2:2" x14ac:dyDescent="0.25">
      <c r="B1594" s="21"/>
    </row>
    <row r="1595" spans="2:2" x14ac:dyDescent="0.25">
      <c r="B1595" s="21"/>
    </row>
    <row r="1596" spans="2:2" x14ac:dyDescent="0.25">
      <c r="B1596" s="21"/>
    </row>
    <row r="1597" spans="2:2" x14ac:dyDescent="0.25">
      <c r="B1597" s="21"/>
    </row>
    <row r="1598" spans="2:2" x14ac:dyDescent="0.25">
      <c r="B1598" s="21"/>
    </row>
    <row r="1599" spans="2:2" x14ac:dyDescent="0.25">
      <c r="B1599" s="21"/>
    </row>
    <row r="1600" spans="2:2" x14ac:dyDescent="0.25">
      <c r="B1600" s="21"/>
    </row>
    <row r="1601" spans="2:2" x14ac:dyDescent="0.25">
      <c r="B1601" s="21"/>
    </row>
    <row r="1602" spans="2:2" x14ac:dyDescent="0.25">
      <c r="B1602" s="21"/>
    </row>
    <row r="1603" spans="2:2" x14ac:dyDescent="0.25">
      <c r="B1603" s="21"/>
    </row>
    <row r="1604" spans="2:2" x14ac:dyDescent="0.25">
      <c r="B1604" s="21"/>
    </row>
    <row r="1605" spans="2:2" x14ac:dyDescent="0.25">
      <c r="B1605" s="21"/>
    </row>
    <row r="1606" spans="2:2" x14ac:dyDescent="0.25">
      <c r="B1606" s="21"/>
    </row>
    <row r="1607" spans="2:2" x14ac:dyDescent="0.25">
      <c r="B1607" s="21"/>
    </row>
    <row r="1608" spans="2:2" x14ac:dyDescent="0.25">
      <c r="B1608" s="21"/>
    </row>
    <row r="1609" spans="2:2" x14ac:dyDescent="0.25">
      <c r="B1609" s="21"/>
    </row>
    <row r="1610" spans="2:2" x14ac:dyDescent="0.25">
      <c r="B1610" s="21"/>
    </row>
    <row r="1611" spans="2:2" x14ac:dyDescent="0.25">
      <c r="B1611" s="21"/>
    </row>
    <row r="1612" spans="2:2" x14ac:dyDescent="0.25">
      <c r="B1612" s="21"/>
    </row>
    <row r="1613" spans="2:2" x14ac:dyDescent="0.25">
      <c r="B1613" s="21"/>
    </row>
    <row r="1614" spans="2:2" x14ac:dyDescent="0.25">
      <c r="B1614" s="21"/>
    </row>
    <row r="1615" spans="2:2" x14ac:dyDescent="0.25">
      <c r="B1615" s="21"/>
    </row>
    <row r="1616" spans="2:2" x14ac:dyDescent="0.25">
      <c r="B1616" s="21"/>
    </row>
    <row r="1617" spans="2:2" x14ac:dyDescent="0.25">
      <c r="B1617" s="21"/>
    </row>
    <row r="1618" spans="2:2" x14ac:dyDescent="0.25">
      <c r="B1618" s="21"/>
    </row>
    <row r="1619" spans="2:2" x14ac:dyDescent="0.25">
      <c r="B1619" s="21"/>
    </row>
    <row r="1620" spans="2:2" x14ac:dyDescent="0.25">
      <c r="B1620" s="21"/>
    </row>
    <row r="1621" spans="2:2" x14ac:dyDescent="0.25">
      <c r="B1621" s="21"/>
    </row>
    <row r="1622" spans="2:2" x14ac:dyDescent="0.25">
      <c r="B1622" s="21"/>
    </row>
    <row r="1623" spans="2:2" x14ac:dyDescent="0.25">
      <c r="B1623" s="21"/>
    </row>
    <row r="1624" spans="2:2" x14ac:dyDescent="0.25">
      <c r="B1624" s="21"/>
    </row>
    <row r="1625" spans="2:2" x14ac:dyDescent="0.25">
      <c r="B1625" s="21"/>
    </row>
    <row r="1626" spans="2:2" x14ac:dyDescent="0.25">
      <c r="B1626" s="21"/>
    </row>
    <row r="1627" spans="2:2" x14ac:dyDescent="0.25">
      <c r="B1627" s="21"/>
    </row>
    <row r="1628" spans="2:2" x14ac:dyDescent="0.25">
      <c r="B1628" s="21"/>
    </row>
    <row r="1629" spans="2:2" x14ac:dyDescent="0.25">
      <c r="B1629" s="21"/>
    </row>
    <row r="1630" spans="2:2" x14ac:dyDescent="0.25">
      <c r="B1630" s="21"/>
    </row>
    <row r="1631" spans="2:2" x14ac:dyDescent="0.25">
      <c r="B1631" s="21"/>
    </row>
    <row r="1632" spans="2:2" x14ac:dyDescent="0.25">
      <c r="B1632" s="21"/>
    </row>
    <row r="1633" spans="2:2" x14ac:dyDescent="0.25">
      <c r="B1633" s="21"/>
    </row>
    <row r="1634" spans="2:2" x14ac:dyDescent="0.25">
      <c r="B1634" s="21"/>
    </row>
    <row r="1635" spans="2:2" x14ac:dyDescent="0.25">
      <c r="B1635" s="21"/>
    </row>
    <row r="1636" spans="2:2" x14ac:dyDescent="0.25">
      <c r="B1636" s="21"/>
    </row>
    <row r="1637" spans="2:2" x14ac:dyDescent="0.25">
      <c r="B1637" s="21"/>
    </row>
    <row r="1638" spans="2:2" x14ac:dyDescent="0.25">
      <c r="B1638" s="21"/>
    </row>
    <row r="1639" spans="2:2" x14ac:dyDescent="0.25">
      <c r="B1639" s="21"/>
    </row>
    <row r="1640" spans="2:2" x14ac:dyDescent="0.25">
      <c r="B1640" s="21"/>
    </row>
    <row r="1641" spans="2:2" x14ac:dyDescent="0.25">
      <c r="B1641" s="21"/>
    </row>
    <row r="1642" spans="2:2" x14ac:dyDescent="0.25">
      <c r="B1642" s="21"/>
    </row>
    <row r="1643" spans="2:2" x14ac:dyDescent="0.25">
      <c r="B1643" s="21"/>
    </row>
    <row r="1644" spans="2:2" x14ac:dyDescent="0.25">
      <c r="B1644" s="21"/>
    </row>
    <row r="1645" spans="2:2" x14ac:dyDescent="0.25">
      <c r="B1645" s="21"/>
    </row>
    <row r="1646" spans="2:2" x14ac:dyDescent="0.25">
      <c r="B1646" s="21"/>
    </row>
    <row r="1647" spans="2:2" x14ac:dyDescent="0.25">
      <c r="B1647" s="21"/>
    </row>
    <row r="1648" spans="2:2" x14ac:dyDescent="0.25">
      <c r="B1648" s="21"/>
    </row>
    <row r="1649" spans="2:2" x14ac:dyDescent="0.25">
      <c r="B1649" s="21"/>
    </row>
    <row r="1650" spans="2:2" x14ac:dyDescent="0.25">
      <c r="B1650" s="21"/>
    </row>
    <row r="1651" spans="2:2" x14ac:dyDescent="0.25">
      <c r="B1651" s="21"/>
    </row>
    <row r="1652" spans="2:2" x14ac:dyDescent="0.25">
      <c r="B1652" s="21"/>
    </row>
    <row r="1653" spans="2:2" x14ac:dyDescent="0.25">
      <c r="B1653" s="21"/>
    </row>
    <row r="1654" spans="2:2" x14ac:dyDescent="0.25">
      <c r="B1654" s="21"/>
    </row>
    <row r="1655" spans="2:2" x14ac:dyDescent="0.25">
      <c r="B1655" s="21"/>
    </row>
    <row r="1656" spans="2:2" x14ac:dyDescent="0.25">
      <c r="B1656" s="21"/>
    </row>
    <row r="1657" spans="2:2" x14ac:dyDescent="0.25">
      <c r="B1657" s="21"/>
    </row>
    <row r="1658" spans="2:2" x14ac:dyDescent="0.25">
      <c r="B1658" s="21"/>
    </row>
    <row r="1659" spans="2:2" x14ac:dyDescent="0.25">
      <c r="B1659" s="21"/>
    </row>
    <row r="1660" spans="2:2" x14ac:dyDescent="0.25">
      <c r="B1660" s="21"/>
    </row>
    <row r="1661" spans="2:2" x14ac:dyDescent="0.25">
      <c r="B1661" s="21"/>
    </row>
    <row r="1662" spans="2:2" x14ac:dyDescent="0.25">
      <c r="B1662" s="21"/>
    </row>
    <row r="1663" spans="2:2" x14ac:dyDescent="0.25">
      <c r="B1663" s="21"/>
    </row>
    <row r="1664" spans="2:2" x14ac:dyDescent="0.25">
      <c r="B1664" s="21"/>
    </row>
    <row r="1665" spans="2:2" x14ac:dyDescent="0.25">
      <c r="B1665" s="21"/>
    </row>
    <row r="1666" spans="2:2" x14ac:dyDescent="0.25">
      <c r="B1666" s="21"/>
    </row>
    <row r="1667" spans="2:2" x14ac:dyDescent="0.25">
      <c r="B1667" s="21"/>
    </row>
    <row r="1668" spans="2:2" x14ac:dyDescent="0.25">
      <c r="B1668" s="21"/>
    </row>
    <row r="1669" spans="2:2" x14ac:dyDescent="0.25">
      <c r="B1669" s="21"/>
    </row>
    <row r="1670" spans="2:2" x14ac:dyDescent="0.25">
      <c r="B1670" s="21"/>
    </row>
    <row r="1671" spans="2:2" x14ac:dyDescent="0.25">
      <c r="B1671" s="21"/>
    </row>
    <row r="1672" spans="2:2" x14ac:dyDescent="0.25">
      <c r="B1672" s="21"/>
    </row>
    <row r="1673" spans="2:2" x14ac:dyDescent="0.25">
      <c r="B1673" s="21"/>
    </row>
    <row r="1674" spans="2:2" x14ac:dyDescent="0.25">
      <c r="B1674" s="21"/>
    </row>
    <row r="1675" spans="2:2" x14ac:dyDescent="0.25">
      <c r="B1675" s="21"/>
    </row>
    <row r="1676" spans="2:2" x14ac:dyDescent="0.25">
      <c r="B1676" s="21"/>
    </row>
    <row r="1677" spans="2:2" x14ac:dyDescent="0.25">
      <c r="B1677" s="21"/>
    </row>
    <row r="1678" spans="2:2" x14ac:dyDescent="0.25">
      <c r="B1678" s="21"/>
    </row>
    <row r="1679" spans="2:2" x14ac:dyDescent="0.25">
      <c r="B1679" s="21"/>
    </row>
    <row r="1680" spans="2:2" x14ac:dyDescent="0.25">
      <c r="B1680" s="21"/>
    </row>
    <row r="1681" spans="2:2" x14ac:dyDescent="0.25">
      <c r="B1681" s="21"/>
    </row>
    <row r="1682" spans="2:2" x14ac:dyDescent="0.25">
      <c r="B1682" s="21"/>
    </row>
    <row r="1683" spans="2:2" x14ac:dyDescent="0.25">
      <c r="B1683" s="21"/>
    </row>
    <row r="1684" spans="2:2" x14ac:dyDescent="0.25">
      <c r="B1684" s="21"/>
    </row>
    <row r="1685" spans="2:2" x14ac:dyDescent="0.25">
      <c r="B1685" s="21"/>
    </row>
    <row r="1686" spans="2:2" x14ac:dyDescent="0.25">
      <c r="B1686" s="21"/>
    </row>
    <row r="1687" spans="2:2" x14ac:dyDescent="0.25">
      <c r="B1687" s="21"/>
    </row>
    <row r="1688" spans="2:2" x14ac:dyDescent="0.25">
      <c r="B1688" s="21"/>
    </row>
    <row r="1689" spans="2:2" x14ac:dyDescent="0.25">
      <c r="B1689" s="21"/>
    </row>
    <row r="1690" spans="2:2" x14ac:dyDescent="0.25">
      <c r="B1690" s="21"/>
    </row>
    <row r="1691" spans="2:2" x14ac:dyDescent="0.25">
      <c r="B1691" s="21"/>
    </row>
    <row r="1692" spans="2:2" x14ac:dyDescent="0.25">
      <c r="B1692" s="21"/>
    </row>
    <row r="1693" spans="2:2" x14ac:dyDescent="0.25">
      <c r="B1693" s="21"/>
    </row>
    <row r="1694" spans="2:2" x14ac:dyDescent="0.25">
      <c r="B1694" s="21"/>
    </row>
    <row r="1695" spans="2:2" x14ac:dyDescent="0.25">
      <c r="B1695" s="21"/>
    </row>
    <row r="1696" spans="2:2" x14ac:dyDescent="0.25">
      <c r="B1696" s="21"/>
    </row>
    <row r="1697" spans="2:2" x14ac:dyDescent="0.25">
      <c r="B1697" s="21"/>
    </row>
    <row r="1698" spans="2:2" x14ac:dyDescent="0.25">
      <c r="B1698" s="21"/>
    </row>
    <row r="1699" spans="2:2" x14ac:dyDescent="0.25">
      <c r="B1699" s="21"/>
    </row>
    <row r="1700" spans="2:2" x14ac:dyDescent="0.25">
      <c r="B1700" s="21"/>
    </row>
    <row r="1701" spans="2:2" x14ac:dyDescent="0.25">
      <c r="B1701" s="21"/>
    </row>
    <row r="1702" spans="2:2" x14ac:dyDescent="0.25">
      <c r="B1702" s="21"/>
    </row>
    <row r="1703" spans="2:2" x14ac:dyDescent="0.25">
      <c r="B1703" s="21"/>
    </row>
    <row r="1704" spans="2:2" x14ac:dyDescent="0.25">
      <c r="B1704" s="21"/>
    </row>
    <row r="1705" spans="2:2" x14ac:dyDescent="0.25">
      <c r="B1705" s="21"/>
    </row>
    <row r="1706" spans="2:2" x14ac:dyDescent="0.25">
      <c r="B1706" s="21"/>
    </row>
    <row r="1707" spans="2:2" x14ac:dyDescent="0.25">
      <c r="B1707" s="21"/>
    </row>
    <row r="1708" spans="2:2" x14ac:dyDescent="0.25">
      <c r="B1708" s="21"/>
    </row>
    <row r="1709" spans="2:2" x14ac:dyDescent="0.25">
      <c r="B1709" s="21"/>
    </row>
    <row r="1710" spans="2:2" x14ac:dyDescent="0.25">
      <c r="B1710" s="21"/>
    </row>
    <row r="1711" spans="2:2" x14ac:dyDescent="0.25">
      <c r="B1711" s="21"/>
    </row>
    <row r="1712" spans="2:2" x14ac:dyDescent="0.25">
      <c r="B1712" s="21"/>
    </row>
    <row r="1713" spans="2:2" x14ac:dyDescent="0.25">
      <c r="B1713" s="21"/>
    </row>
    <row r="1714" spans="2:2" x14ac:dyDescent="0.25">
      <c r="B1714" s="21"/>
    </row>
    <row r="1715" spans="2:2" x14ac:dyDescent="0.25">
      <c r="B1715" s="21"/>
    </row>
    <row r="1716" spans="2:2" x14ac:dyDescent="0.25">
      <c r="B1716" s="21"/>
    </row>
    <row r="1717" spans="2:2" x14ac:dyDescent="0.25">
      <c r="B1717" s="21"/>
    </row>
    <row r="1718" spans="2:2" x14ac:dyDescent="0.25">
      <c r="B1718" s="21"/>
    </row>
    <row r="1719" spans="2:2" x14ac:dyDescent="0.25">
      <c r="B1719" s="21"/>
    </row>
    <row r="1720" spans="2:2" x14ac:dyDescent="0.25">
      <c r="B1720" s="21"/>
    </row>
    <row r="1721" spans="2:2" x14ac:dyDescent="0.25">
      <c r="B1721" s="21"/>
    </row>
    <row r="1722" spans="2:2" x14ac:dyDescent="0.25">
      <c r="B1722" s="21"/>
    </row>
    <row r="1723" spans="2:2" x14ac:dyDescent="0.25">
      <c r="B1723" s="21"/>
    </row>
    <row r="1724" spans="2:2" x14ac:dyDescent="0.25">
      <c r="B1724" s="21"/>
    </row>
    <row r="1725" spans="2:2" x14ac:dyDescent="0.25">
      <c r="B1725" s="21"/>
    </row>
    <row r="1726" spans="2:2" x14ac:dyDescent="0.25">
      <c r="B1726" s="21"/>
    </row>
    <row r="1727" spans="2:2" x14ac:dyDescent="0.25">
      <c r="B1727" s="21"/>
    </row>
    <row r="1728" spans="2:2" x14ac:dyDescent="0.25">
      <c r="B1728" s="21"/>
    </row>
    <row r="1729" spans="2:2" x14ac:dyDescent="0.25">
      <c r="B1729" s="21"/>
    </row>
    <row r="1730" spans="2:2" x14ac:dyDescent="0.25">
      <c r="B1730" s="21"/>
    </row>
    <row r="1731" spans="2:2" x14ac:dyDescent="0.25">
      <c r="B1731" s="21"/>
    </row>
    <row r="1732" spans="2:2" x14ac:dyDescent="0.25">
      <c r="B1732" s="21"/>
    </row>
    <row r="1733" spans="2:2" x14ac:dyDescent="0.25">
      <c r="B1733" s="21"/>
    </row>
    <row r="1734" spans="2:2" x14ac:dyDescent="0.25">
      <c r="B1734" s="21"/>
    </row>
    <row r="1735" spans="2:2" x14ac:dyDescent="0.25">
      <c r="B1735" s="21"/>
    </row>
    <row r="1736" spans="2:2" x14ac:dyDescent="0.25">
      <c r="B1736" s="21"/>
    </row>
    <row r="1737" spans="2:2" x14ac:dyDescent="0.25">
      <c r="B1737" s="21"/>
    </row>
    <row r="1738" spans="2:2" x14ac:dyDescent="0.25">
      <c r="B1738" s="21"/>
    </row>
    <row r="1739" spans="2:2" x14ac:dyDescent="0.25">
      <c r="B1739" s="21"/>
    </row>
    <row r="1740" spans="2:2" x14ac:dyDescent="0.25">
      <c r="B1740" s="21"/>
    </row>
    <row r="1741" spans="2:2" x14ac:dyDescent="0.25">
      <c r="B1741" s="21"/>
    </row>
    <row r="1742" spans="2:2" x14ac:dyDescent="0.25">
      <c r="B1742" s="21"/>
    </row>
    <row r="1743" spans="2:2" x14ac:dyDescent="0.25">
      <c r="B1743" s="21"/>
    </row>
    <row r="1744" spans="2:2" x14ac:dyDescent="0.25">
      <c r="B1744" s="21"/>
    </row>
    <row r="1745" spans="2:2" x14ac:dyDescent="0.25">
      <c r="B1745" s="21"/>
    </row>
    <row r="1746" spans="2:2" x14ac:dyDescent="0.25">
      <c r="B1746" s="21"/>
    </row>
    <row r="1747" spans="2:2" x14ac:dyDescent="0.25">
      <c r="B1747" s="21"/>
    </row>
    <row r="1748" spans="2:2" x14ac:dyDescent="0.25">
      <c r="B1748" s="21"/>
    </row>
    <row r="1749" spans="2:2" x14ac:dyDescent="0.25">
      <c r="B1749" s="21"/>
    </row>
    <row r="1750" spans="2:2" x14ac:dyDescent="0.25">
      <c r="B1750" s="21"/>
    </row>
    <row r="1751" spans="2:2" x14ac:dyDescent="0.25">
      <c r="B1751" s="21"/>
    </row>
    <row r="1752" spans="2:2" x14ac:dyDescent="0.25">
      <c r="B1752" s="21"/>
    </row>
    <row r="1753" spans="2:2" x14ac:dyDescent="0.25">
      <c r="B1753" s="21"/>
    </row>
    <row r="1754" spans="2:2" x14ac:dyDescent="0.25">
      <c r="B1754" s="21"/>
    </row>
    <row r="1755" spans="2:2" x14ac:dyDescent="0.25">
      <c r="B1755" s="21"/>
    </row>
    <row r="1756" spans="2:2" x14ac:dyDescent="0.25">
      <c r="B1756" s="21"/>
    </row>
    <row r="1757" spans="2:2" x14ac:dyDescent="0.25">
      <c r="B1757" s="21"/>
    </row>
    <row r="1758" spans="2:2" x14ac:dyDescent="0.25">
      <c r="B1758" s="21"/>
    </row>
    <row r="1759" spans="2:2" x14ac:dyDescent="0.25">
      <c r="B1759" s="21"/>
    </row>
    <row r="1760" spans="2:2" x14ac:dyDescent="0.25">
      <c r="B1760" s="21"/>
    </row>
    <row r="1761" spans="2:2" x14ac:dyDescent="0.25">
      <c r="B1761" s="21"/>
    </row>
    <row r="1762" spans="2:2" x14ac:dyDescent="0.25">
      <c r="B1762" s="21"/>
    </row>
    <row r="1763" spans="2:2" x14ac:dyDescent="0.25">
      <c r="B1763" s="21"/>
    </row>
    <row r="1764" spans="2:2" x14ac:dyDescent="0.25">
      <c r="B1764" s="21"/>
    </row>
    <row r="1765" spans="2:2" x14ac:dyDescent="0.25">
      <c r="B1765" s="21"/>
    </row>
    <row r="1766" spans="2:2" x14ac:dyDescent="0.25">
      <c r="B1766" s="21"/>
    </row>
    <row r="1767" spans="2:2" x14ac:dyDescent="0.25">
      <c r="B1767" s="21"/>
    </row>
    <row r="1768" spans="2:2" x14ac:dyDescent="0.25">
      <c r="B1768" s="21"/>
    </row>
    <row r="1769" spans="2:2" x14ac:dyDescent="0.25">
      <c r="B1769" s="21"/>
    </row>
    <row r="1770" spans="2:2" x14ac:dyDescent="0.25">
      <c r="B1770" s="21"/>
    </row>
    <row r="1771" spans="2:2" x14ac:dyDescent="0.25">
      <c r="B1771" s="21"/>
    </row>
    <row r="1772" spans="2:2" x14ac:dyDescent="0.25">
      <c r="B1772" s="21"/>
    </row>
    <row r="1773" spans="2:2" x14ac:dyDescent="0.25">
      <c r="B1773" s="21"/>
    </row>
    <row r="1774" spans="2:2" x14ac:dyDescent="0.25">
      <c r="B1774" s="21"/>
    </row>
    <row r="1775" spans="2:2" x14ac:dyDescent="0.25">
      <c r="B1775" s="21"/>
    </row>
    <row r="1776" spans="2:2" x14ac:dyDescent="0.25">
      <c r="B1776" s="21"/>
    </row>
    <row r="1777" spans="2:2" x14ac:dyDescent="0.25">
      <c r="B1777" s="21"/>
    </row>
    <row r="1778" spans="2:2" x14ac:dyDescent="0.25">
      <c r="B1778" s="21"/>
    </row>
    <row r="1779" spans="2:2" x14ac:dyDescent="0.25">
      <c r="B1779" s="21"/>
    </row>
    <row r="1780" spans="2:2" x14ac:dyDescent="0.25">
      <c r="B1780" s="21"/>
    </row>
    <row r="1781" spans="2:2" x14ac:dyDescent="0.25">
      <c r="B1781" s="21"/>
    </row>
    <row r="1782" spans="2:2" x14ac:dyDescent="0.25">
      <c r="B1782" s="21"/>
    </row>
    <row r="1783" spans="2:2" x14ac:dyDescent="0.25">
      <c r="B1783" s="21"/>
    </row>
    <row r="1784" spans="2:2" x14ac:dyDescent="0.25">
      <c r="B1784" s="21"/>
    </row>
    <row r="1785" spans="2:2" x14ac:dyDescent="0.25">
      <c r="B1785" s="21"/>
    </row>
    <row r="1786" spans="2:2" x14ac:dyDescent="0.25">
      <c r="B1786" s="21"/>
    </row>
    <row r="1787" spans="2:2" x14ac:dyDescent="0.25">
      <c r="B1787" s="21"/>
    </row>
    <row r="1788" spans="2:2" x14ac:dyDescent="0.25">
      <c r="B1788" s="21"/>
    </row>
    <row r="1789" spans="2:2" x14ac:dyDescent="0.25">
      <c r="B1789" s="21"/>
    </row>
    <row r="1790" spans="2:2" x14ac:dyDescent="0.25">
      <c r="B1790" s="21"/>
    </row>
    <row r="1791" spans="2:2" x14ac:dyDescent="0.25">
      <c r="B1791" s="21"/>
    </row>
    <row r="1792" spans="2:2" x14ac:dyDescent="0.25">
      <c r="B1792" s="21"/>
    </row>
    <row r="1793" spans="2:2" x14ac:dyDescent="0.25">
      <c r="B1793" s="21"/>
    </row>
    <row r="1794" spans="2:2" x14ac:dyDescent="0.25">
      <c r="B1794" s="21"/>
    </row>
    <row r="1795" spans="2:2" x14ac:dyDescent="0.25">
      <c r="B1795" s="21"/>
    </row>
    <row r="1796" spans="2:2" x14ac:dyDescent="0.25">
      <c r="B1796" s="21"/>
    </row>
    <row r="1797" spans="2:2" x14ac:dyDescent="0.25">
      <c r="B1797" s="21"/>
    </row>
    <row r="1798" spans="2:2" x14ac:dyDescent="0.25">
      <c r="B1798" s="21"/>
    </row>
    <row r="1799" spans="2:2" x14ac:dyDescent="0.25">
      <c r="B1799" s="21"/>
    </row>
    <row r="1800" spans="2:2" x14ac:dyDescent="0.25">
      <c r="B1800" s="21"/>
    </row>
    <row r="1801" spans="2:2" x14ac:dyDescent="0.25">
      <c r="B1801" s="21"/>
    </row>
    <row r="1802" spans="2:2" x14ac:dyDescent="0.25">
      <c r="B1802" s="21"/>
    </row>
    <row r="1803" spans="2:2" x14ac:dyDescent="0.25">
      <c r="B1803" s="21"/>
    </row>
    <row r="1804" spans="2:2" x14ac:dyDescent="0.25">
      <c r="B1804" s="21"/>
    </row>
    <row r="1805" spans="2:2" x14ac:dyDescent="0.25">
      <c r="B1805" s="21"/>
    </row>
    <row r="1806" spans="2:2" x14ac:dyDescent="0.25">
      <c r="B1806" s="21"/>
    </row>
    <row r="1807" spans="2:2" x14ac:dyDescent="0.25">
      <c r="B1807" s="21"/>
    </row>
    <row r="1808" spans="2:2" x14ac:dyDescent="0.25">
      <c r="B1808" s="21"/>
    </row>
    <row r="1809" spans="2:2" x14ac:dyDescent="0.25">
      <c r="B1809" s="21"/>
    </row>
    <row r="1810" spans="2:2" x14ac:dyDescent="0.25">
      <c r="B1810" s="21"/>
    </row>
    <row r="1811" spans="2:2" x14ac:dyDescent="0.25">
      <c r="B1811" s="21"/>
    </row>
    <row r="1812" spans="2:2" x14ac:dyDescent="0.25">
      <c r="B1812" s="21"/>
    </row>
    <row r="1813" spans="2:2" x14ac:dyDescent="0.25">
      <c r="B1813" s="21"/>
    </row>
    <row r="1814" spans="2:2" x14ac:dyDescent="0.25">
      <c r="B1814" s="21"/>
    </row>
    <row r="1815" spans="2:2" x14ac:dyDescent="0.25">
      <c r="B1815" s="21"/>
    </row>
    <row r="1816" spans="2:2" x14ac:dyDescent="0.25">
      <c r="B1816" s="21"/>
    </row>
    <row r="1817" spans="2:2" x14ac:dyDescent="0.25">
      <c r="B1817" s="21"/>
    </row>
    <row r="1818" spans="2:2" x14ac:dyDescent="0.25">
      <c r="B1818" s="21"/>
    </row>
    <row r="1819" spans="2:2" x14ac:dyDescent="0.25">
      <c r="B1819" s="21"/>
    </row>
    <row r="1820" spans="2:2" x14ac:dyDescent="0.25">
      <c r="B1820" s="21"/>
    </row>
    <row r="1821" spans="2:2" x14ac:dyDescent="0.25">
      <c r="B1821" s="21"/>
    </row>
    <row r="1822" spans="2:2" x14ac:dyDescent="0.25">
      <c r="B1822" s="21"/>
    </row>
    <row r="1823" spans="2:2" x14ac:dyDescent="0.25">
      <c r="B1823" s="21"/>
    </row>
    <row r="1824" spans="2:2" x14ac:dyDescent="0.25">
      <c r="B1824" s="21"/>
    </row>
    <row r="1825" spans="2:2" x14ac:dyDescent="0.25">
      <c r="B1825" s="21"/>
    </row>
    <row r="1826" spans="2:2" x14ac:dyDescent="0.25">
      <c r="B1826" s="21"/>
    </row>
    <row r="1827" spans="2:2" x14ac:dyDescent="0.25">
      <c r="B1827" s="21"/>
    </row>
    <row r="1828" spans="2:2" x14ac:dyDescent="0.25">
      <c r="B1828" s="21"/>
    </row>
    <row r="1829" spans="2:2" x14ac:dyDescent="0.25">
      <c r="B1829" s="21"/>
    </row>
    <row r="1830" spans="2:2" x14ac:dyDescent="0.25">
      <c r="B1830" s="21"/>
    </row>
    <row r="1831" spans="2:2" x14ac:dyDescent="0.25">
      <c r="B1831" s="21"/>
    </row>
    <row r="1832" spans="2:2" x14ac:dyDescent="0.25">
      <c r="B1832" s="21"/>
    </row>
    <row r="1833" spans="2:2" x14ac:dyDescent="0.25">
      <c r="B1833" s="21"/>
    </row>
    <row r="1834" spans="2:2" x14ac:dyDescent="0.25">
      <c r="B1834" s="21"/>
    </row>
    <row r="1835" spans="2:2" x14ac:dyDescent="0.25">
      <c r="B1835" s="21"/>
    </row>
    <row r="1836" spans="2:2" x14ac:dyDescent="0.25">
      <c r="B1836" s="21"/>
    </row>
    <row r="1837" spans="2:2" x14ac:dyDescent="0.25">
      <c r="B1837" s="21"/>
    </row>
    <row r="1838" spans="2:2" x14ac:dyDescent="0.25">
      <c r="B1838" s="21"/>
    </row>
    <row r="1839" spans="2:2" x14ac:dyDescent="0.25">
      <c r="B1839" s="21"/>
    </row>
    <row r="1840" spans="2:2" x14ac:dyDescent="0.25">
      <c r="B1840" s="21"/>
    </row>
    <row r="1841" spans="2:2" x14ac:dyDescent="0.25">
      <c r="B1841" s="21"/>
    </row>
    <row r="1842" spans="2:2" x14ac:dyDescent="0.25">
      <c r="B1842" s="21"/>
    </row>
    <row r="1843" spans="2:2" x14ac:dyDescent="0.25">
      <c r="B1843" s="21"/>
    </row>
    <row r="1844" spans="2:2" x14ac:dyDescent="0.25">
      <c r="B1844" s="21"/>
    </row>
    <row r="1845" spans="2:2" x14ac:dyDescent="0.25">
      <c r="B1845" s="21"/>
    </row>
    <row r="1846" spans="2:2" x14ac:dyDescent="0.25">
      <c r="B1846" s="21"/>
    </row>
    <row r="1847" spans="2:2" x14ac:dyDescent="0.25">
      <c r="B1847" s="21"/>
    </row>
    <row r="1848" spans="2:2" x14ac:dyDescent="0.25">
      <c r="B1848" s="21"/>
    </row>
    <row r="1849" spans="2:2" x14ac:dyDescent="0.25">
      <c r="B1849" s="21"/>
    </row>
    <row r="1850" spans="2:2" x14ac:dyDescent="0.25">
      <c r="B1850" s="21"/>
    </row>
    <row r="1851" spans="2:2" x14ac:dyDescent="0.25">
      <c r="B1851" s="21"/>
    </row>
    <row r="1852" spans="2:2" x14ac:dyDescent="0.25">
      <c r="B1852" s="21"/>
    </row>
    <row r="1853" spans="2:2" x14ac:dyDescent="0.25">
      <c r="B1853" s="21"/>
    </row>
    <row r="1854" spans="2:2" x14ac:dyDescent="0.25">
      <c r="B1854" s="21"/>
    </row>
    <row r="1855" spans="2:2" x14ac:dyDescent="0.25">
      <c r="B1855" s="21"/>
    </row>
    <row r="1856" spans="2:2" x14ac:dyDescent="0.25">
      <c r="B1856" s="21"/>
    </row>
    <row r="1857" spans="2:2" x14ac:dyDescent="0.25">
      <c r="B1857" s="21"/>
    </row>
    <row r="1858" spans="2:2" x14ac:dyDescent="0.25">
      <c r="B1858" s="21"/>
    </row>
    <row r="1859" spans="2:2" x14ac:dyDescent="0.25">
      <c r="B1859" s="21"/>
    </row>
    <row r="1860" spans="2:2" x14ac:dyDescent="0.25">
      <c r="B1860" s="21"/>
    </row>
    <row r="1861" spans="2:2" x14ac:dyDescent="0.25">
      <c r="B1861" s="21"/>
    </row>
    <row r="1862" spans="2:2" x14ac:dyDescent="0.25">
      <c r="B1862" s="21"/>
    </row>
    <row r="1863" spans="2:2" x14ac:dyDescent="0.25">
      <c r="B1863" s="21"/>
    </row>
    <row r="1864" spans="2:2" x14ac:dyDescent="0.25">
      <c r="B1864" s="21"/>
    </row>
    <row r="1865" spans="2:2" x14ac:dyDescent="0.25">
      <c r="B1865" s="21"/>
    </row>
    <row r="1866" spans="2:2" x14ac:dyDescent="0.25">
      <c r="B1866" s="21"/>
    </row>
    <row r="1867" spans="2:2" x14ac:dyDescent="0.25">
      <c r="B1867" s="21"/>
    </row>
    <row r="1868" spans="2:2" x14ac:dyDescent="0.25">
      <c r="B1868" s="21"/>
    </row>
    <row r="1869" spans="2:2" x14ac:dyDescent="0.25">
      <c r="B1869" s="21"/>
    </row>
    <row r="1870" spans="2:2" x14ac:dyDescent="0.25">
      <c r="B1870" s="21"/>
    </row>
    <row r="1871" spans="2:2" x14ac:dyDescent="0.25">
      <c r="B1871" s="21"/>
    </row>
    <row r="1872" spans="2:2" x14ac:dyDescent="0.25">
      <c r="B1872" s="21"/>
    </row>
    <row r="1873" spans="2:2" x14ac:dyDescent="0.25">
      <c r="B1873" s="21"/>
    </row>
    <row r="1874" spans="2:2" x14ac:dyDescent="0.25">
      <c r="B1874" s="21"/>
    </row>
    <row r="1875" spans="2:2" x14ac:dyDescent="0.25">
      <c r="B1875" s="21"/>
    </row>
    <row r="1876" spans="2:2" x14ac:dyDescent="0.25">
      <c r="B1876" s="21"/>
    </row>
    <row r="1877" spans="2:2" x14ac:dyDescent="0.25">
      <c r="B1877" s="21"/>
    </row>
    <row r="1878" spans="2:2" x14ac:dyDescent="0.25">
      <c r="B1878" s="21"/>
    </row>
    <row r="1879" spans="2:2" x14ac:dyDescent="0.25">
      <c r="B1879" s="21"/>
    </row>
    <row r="1880" spans="2:2" x14ac:dyDescent="0.25">
      <c r="B1880" s="21"/>
    </row>
    <row r="1881" spans="2:2" x14ac:dyDescent="0.25">
      <c r="B1881" s="21"/>
    </row>
    <row r="1882" spans="2:2" x14ac:dyDescent="0.25">
      <c r="B1882" s="21"/>
    </row>
    <row r="1883" spans="2:2" x14ac:dyDescent="0.25">
      <c r="B1883" s="21"/>
    </row>
    <row r="1884" spans="2:2" x14ac:dyDescent="0.25">
      <c r="B1884" s="21"/>
    </row>
    <row r="1885" spans="2:2" x14ac:dyDescent="0.25">
      <c r="B1885" s="21"/>
    </row>
    <row r="1886" spans="2:2" x14ac:dyDescent="0.25">
      <c r="B1886" s="21"/>
    </row>
    <row r="1887" spans="2:2" x14ac:dyDescent="0.25">
      <c r="B1887" s="21"/>
    </row>
    <row r="1888" spans="2:2" x14ac:dyDescent="0.25">
      <c r="B1888" s="21"/>
    </row>
    <row r="1889" spans="2:2" x14ac:dyDescent="0.25">
      <c r="B1889" s="21"/>
    </row>
    <row r="1890" spans="2:2" x14ac:dyDescent="0.25">
      <c r="B1890" s="21"/>
    </row>
    <row r="1891" spans="2:2" x14ac:dyDescent="0.25">
      <c r="B1891" s="21"/>
    </row>
    <row r="1892" spans="2:2" x14ac:dyDescent="0.25">
      <c r="B1892" s="21"/>
    </row>
    <row r="1893" spans="2:2" x14ac:dyDescent="0.25">
      <c r="B1893" s="21"/>
    </row>
    <row r="1894" spans="2:2" x14ac:dyDescent="0.25">
      <c r="B1894" s="21"/>
    </row>
    <row r="1895" spans="2:2" x14ac:dyDescent="0.25">
      <c r="B1895" s="21"/>
    </row>
    <row r="1896" spans="2:2" x14ac:dyDescent="0.25">
      <c r="B1896" s="21"/>
    </row>
    <row r="1897" spans="2:2" x14ac:dyDescent="0.25">
      <c r="B1897" s="21"/>
    </row>
    <row r="1898" spans="2:2" x14ac:dyDescent="0.25">
      <c r="B1898" s="21"/>
    </row>
    <row r="1899" spans="2:2" x14ac:dyDescent="0.25">
      <c r="B1899" s="21"/>
    </row>
    <row r="1900" spans="2:2" x14ac:dyDescent="0.25">
      <c r="B1900" s="21"/>
    </row>
    <row r="1901" spans="2:2" x14ac:dyDescent="0.25">
      <c r="B1901" s="21"/>
    </row>
    <row r="1902" spans="2:2" x14ac:dyDescent="0.25">
      <c r="B1902" s="21"/>
    </row>
    <row r="1903" spans="2:2" x14ac:dyDescent="0.25">
      <c r="B1903" s="21"/>
    </row>
    <row r="1904" spans="2:2" x14ac:dyDescent="0.25">
      <c r="B1904" s="21"/>
    </row>
    <row r="1905" spans="2:2" x14ac:dyDescent="0.25">
      <c r="B1905" s="21"/>
    </row>
    <row r="1906" spans="2:2" x14ac:dyDescent="0.25">
      <c r="B1906" s="21"/>
    </row>
    <row r="1907" spans="2:2" x14ac:dyDescent="0.25">
      <c r="B1907" s="21"/>
    </row>
    <row r="1908" spans="2:2" x14ac:dyDescent="0.25">
      <c r="B1908" s="21"/>
    </row>
    <row r="1909" spans="2:2" x14ac:dyDescent="0.25">
      <c r="B1909" s="21"/>
    </row>
    <row r="1910" spans="2:2" x14ac:dyDescent="0.25">
      <c r="B1910" s="21"/>
    </row>
    <row r="1911" spans="2:2" x14ac:dyDescent="0.25">
      <c r="B1911" s="21"/>
    </row>
    <row r="1912" spans="2:2" x14ac:dyDescent="0.25">
      <c r="B1912" s="21"/>
    </row>
    <row r="1913" spans="2:2" x14ac:dyDescent="0.25">
      <c r="B1913" s="21"/>
    </row>
    <row r="1914" spans="2:2" x14ac:dyDescent="0.25">
      <c r="B1914" s="21"/>
    </row>
    <row r="1915" spans="2:2" x14ac:dyDescent="0.25">
      <c r="B1915" s="21"/>
    </row>
    <row r="1916" spans="2:2" x14ac:dyDescent="0.25">
      <c r="B1916" s="21"/>
    </row>
    <row r="1917" spans="2:2" x14ac:dyDescent="0.25">
      <c r="B1917" s="21"/>
    </row>
    <row r="1918" spans="2:2" x14ac:dyDescent="0.25">
      <c r="B1918" s="21"/>
    </row>
    <row r="1919" spans="2:2" x14ac:dyDescent="0.25">
      <c r="B1919" s="21"/>
    </row>
    <row r="1920" spans="2:2" x14ac:dyDescent="0.25">
      <c r="B1920" s="21"/>
    </row>
    <row r="1921" spans="2:2" x14ac:dyDescent="0.25">
      <c r="B1921" s="21"/>
    </row>
    <row r="1922" spans="2:2" x14ac:dyDescent="0.25">
      <c r="B1922" s="21"/>
    </row>
    <row r="1923" spans="2:2" x14ac:dyDescent="0.25">
      <c r="B1923" s="21"/>
    </row>
    <row r="1924" spans="2:2" x14ac:dyDescent="0.25">
      <c r="B1924" s="21"/>
    </row>
    <row r="1925" spans="2:2" x14ac:dyDescent="0.25">
      <c r="B1925" s="21"/>
    </row>
    <row r="1926" spans="2:2" x14ac:dyDescent="0.25">
      <c r="B1926" s="21"/>
    </row>
    <row r="1927" spans="2:2" x14ac:dyDescent="0.25">
      <c r="B1927" s="21"/>
    </row>
    <row r="1928" spans="2:2" x14ac:dyDescent="0.25">
      <c r="B1928" s="21"/>
    </row>
    <row r="1929" spans="2:2" x14ac:dyDescent="0.25">
      <c r="B1929" s="21"/>
    </row>
    <row r="1930" spans="2:2" x14ac:dyDescent="0.25">
      <c r="B1930" s="21"/>
    </row>
    <row r="1931" spans="2:2" x14ac:dyDescent="0.25">
      <c r="B1931" s="21"/>
    </row>
    <row r="1932" spans="2:2" x14ac:dyDescent="0.25">
      <c r="B1932" s="21"/>
    </row>
    <row r="1933" spans="2:2" x14ac:dyDescent="0.25">
      <c r="B1933" s="21"/>
    </row>
    <row r="1934" spans="2:2" x14ac:dyDescent="0.25">
      <c r="B1934" s="21"/>
    </row>
    <row r="1935" spans="2:2" x14ac:dyDescent="0.25">
      <c r="B1935" s="21"/>
    </row>
    <row r="1936" spans="2:2" x14ac:dyDescent="0.25">
      <c r="B1936" s="21"/>
    </row>
    <row r="1937" spans="2:2" x14ac:dyDescent="0.25">
      <c r="B1937" s="21"/>
    </row>
    <row r="1938" spans="2:2" x14ac:dyDescent="0.25">
      <c r="B1938" s="21"/>
    </row>
    <row r="1939" spans="2:2" x14ac:dyDescent="0.25">
      <c r="B1939" s="21"/>
    </row>
    <row r="1940" spans="2:2" x14ac:dyDescent="0.25">
      <c r="B1940" s="21"/>
    </row>
    <row r="1941" spans="2:2" x14ac:dyDescent="0.25">
      <c r="B1941" s="21"/>
    </row>
    <row r="1942" spans="2:2" x14ac:dyDescent="0.25">
      <c r="B1942" s="21"/>
    </row>
    <row r="1943" spans="2:2" x14ac:dyDescent="0.25">
      <c r="B1943" s="21"/>
    </row>
    <row r="1944" spans="2:2" x14ac:dyDescent="0.25">
      <c r="B1944" s="21"/>
    </row>
    <row r="1945" spans="2:2" x14ac:dyDescent="0.25">
      <c r="B1945" s="21"/>
    </row>
    <row r="1946" spans="2:2" x14ac:dyDescent="0.25">
      <c r="B1946" s="21"/>
    </row>
    <row r="1947" spans="2:2" x14ac:dyDescent="0.25">
      <c r="B1947" s="21"/>
    </row>
    <row r="1948" spans="2:2" x14ac:dyDescent="0.25">
      <c r="B1948" s="21"/>
    </row>
    <row r="1949" spans="2:2" x14ac:dyDescent="0.25">
      <c r="B1949" s="21"/>
    </row>
    <row r="1950" spans="2:2" x14ac:dyDescent="0.25">
      <c r="B1950" s="21"/>
    </row>
    <row r="1951" spans="2:2" x14ac:dyDescent="0.25">
      <c r="B1951" s="21"/>
    </row>
    <row r="1952" spans="2:2" x14ac:dyDescent="0.25">
      <c r="B1952" s="21"/>
    </row>
    <row r="1953" spans="2:2" x14ac:dyDescent="0.25">
      <c r="B1953" s="21"/>
    </row>
    <row r="1954" spans="2:2" x14ac:dyDescent="0.25">
      <c r="B1954" s="21"/>
    </row>
    <row r="1955" spans="2:2" x14ac:dyDescent="0.25">
      <c r="B1955" s="21"/>
    </row>
    <row r="1956" spans="2:2" x14ac:dyDescent="0.25">
      <c r="B1956" s="21"/>
    </row>
    <row r="1957" spans="2:2" x14ac:dyDescent="0.25">
      <c r="B1957" s="21"/>
    </row>
    <row r="1958" spans="2:2" x14ac:dyDescent="0.25">
      <c r="B1958" s="21"/>
    </row>
    <row r="1959" spans="2:2" x14ac:dyDescent="0.25">
      <c r="B1959" s="21"/>
    </row>
    <row r="1960" spans="2:2" x14ac:dyDescent="0.25">
      <c r="B1960" s="21"/>
    </row>
    <row r="1961" spans="2:2" x14ac:dyDescent="0.25">
      <c r="B1961" s="21"/>
    </row>
    <row r="1962" spans="2:2" x14ac:dyDescent="0.25">
      <c r="B1962" s="21"/>
    </row>
    <row r="1963" spans="2:2" x14ac:dyDescent="0.25">
      <c r="B1963" s="21"/>
    </row>
    <row r="1964" spans="2:2" x14ac:dyDescent="0.25">
      <c r="B1964" s="21"/>
    </row>
    <row r="1965" spans="2:2" x14ac:dyDescent="0.25">
      <c r="B1965" s="21"/>
    </row>
    <row r="1966" spans="2:2" x14ac:dyDescent="0.25">
      <c r="B1966" s="21"/>
    </row>
    <row r="1967" spans="2:2" x14ac:dyDescent="0.25">
      <c r="B1967" s="21"/>
    </row>
    <row r="1968" spans="2:2" x14ac:dyDescent="0.25">
      <c r="B1968" s="21"/>
    </row>
    <row r="1969" spans="2:2" x14ac:dyDescent="0.25">
      <c r="B1969" s="21"/>
    </row>
    <row r="1970" spans="2:2" x14ac:dyDescent="0.25">
      <c r="B1970" s="21"/>
    </row>
    <row r="1971" spans="2:2" x14ac:dyDescent="0.25">
      <c r="B1971" s="21"/>
    </row>
    <row r="1972" spans="2:2" x14ac:dyDescent="0.25">
      <c r="B1972" s="21"/>
    </row>
    <row r="1973" spans="2:2" x14ac:dyDescent="0.25">
      <c r="B1973" s="21"/>
    </row>
    <row r="1974" spans="2:2" x14ac:dyDescent="0.25">
      <c r="B1974" s="21"/>
    </row>
    <row r="1975" spans="2:2" x14ac:dyDescent="0.25">
      <c r="B1975" s="21"/>
    </row>
    <row r="1976" spans="2:2" x14ac:dyDescent="0.25">
      <c r="B1976" s="21"/>
    </row>
    <row r="1977" spans="2:2" x14ac:dyDescent="0.25">
      <c r="B1977" s="21"/>
    </row>
    <row r="1978" spans="2:2" x14ac:dyDescent="0.25">
      <c r="B1978" s="21"/>
    </row>
    <row r="1979" spans="2:2" x14ac:dyDescent="0.25">
      <c r="B1979" s="21"/>
    </row>
    <row r="1980" spans="2:2" x14ac:dyDescent="0.25">
      <c r="B1980" s="21"/>
    </row>
    <row r="1981" spans="2:2" x14ac:dyDescent="0.25">
      <c r="B1981" s="21"/>
    </row>
    <row r="1982" spans="2:2" x14ac:dyDescent="0.25">
      <c r="B1982" s="21"/>
    </row>
    <row r="1983" spans="2:2" x14ac:dyDescent="0.25">
      <c r="B1983" s="21"/>
    </row>
    <row r="1984" spans="2:2" x14ac:dyDescent="0.25">
      <c r="B1984" s="21"/>
    </row>
    <row r="1985" spans="2:2" x14ac:dyDescent="0.25">
      <c r="B1985" s="21"/>
    </row>
    <row r="1986" spans="2:2" x14ac:dyDescent="0.25">
      <c r="B1986" s="21"/>
    </row>
    <row r="1987" spans="2:2" x14ac:dyDescent="0.25">
      <c r="B1987" s="21"/>
    </row>
    <row r="1988" spans="2:2" x14ac:dyDescent="0.25">
      <c r="B1988" s="21"/>
    </row>
    <row r="1989" spans="2:2" x14ac:dyDescent="0.25">
      <c r="B1989" s="21"/>
    </row>
    <row r="1990" spans="2:2" x14ac:dyDescent="0.25">
      <c r="B1990" s="21"/>
    </row>
    <row r="1991" spans="2:2" x14ac:dyDescent="0.25">
      <c r="B1991" s="21"/>
    </row>
    <row r="1992" spans="2:2" x14ac:dyDescent="0.25">
      <c r="B1992" s="21"/>
    </row>
    <row r="1993" spans="2:2" x14ac:dyDescent="0.25">
      <c r="B1993" s="21"/>
    </row>
    <row r="1994" spans="2:2" x14ac:dyDescent="0.25">
      <c r="B1994" s="21"/>
    </row>
    <row r="1995" spans="2:2" x14ac:dyDescent="0.25">
      <c r="B1995" s="21"/>
    </row>
    <row r="1996" spans="2:2" x14ac:dyDescent="0.25">
      <c r="B1996" s="21"/>
    </row>
    <row r="1997" spans="2:2" x14ac:dyDescent="0.25">
      <c r="B1997" s="21"/>
    </row>
    <row r="1998" spans="2:2" x14ac:dyDescent="0.25">
      <c r="B1998" s="21"/>
    </row>
    <row r="1999" spans="2:2" x14ac:dyDescent="0.25">
      <c r="B1999" s="21"/>
    </row>
    <row r="2000" spans="2:2" x14ac:dyDescent="0.25">
      <c r="B2000" s="21"/>
    </row>
    <row r="2001" spans="2:2" x14ac:dyDescent="0.25">
      <c r="B2001" s="21"/>
    </row>
    <row r="2002" spans="2:2" x14ac:dyDescent="0.25">
      <c r="B2002" s="21"/>
    </row>
    <row r="2003" spans="2:2" x14ac:dyDescent="0.25">
      <c r="B2003" s="21"/>
    </row>
    <row r="2004" spans="2:2" x14ac:dyDescent="0.25">
      <c r="B2004" s="21"/>
    </row>
    <row r="2005" spans="2:2" x14ac:dyDescent="0.25">
      <c r="B2005" s="21"/>
    </row>
    <row r="2006" spans="2:2" x14ac:dyDescent="0.25">
      <c r="B2006" s="21"/>
    </row>
    <row r="2007" spans="2:2" x14ac:dyDescent="0.25">
      <c r="B2007" s="21"/>
    </row>
    <row r="2008" spans="2:2" x14ac:dyDescent="0.25">
      <c r="B2008" s="21"/>
    </row>
    <row r="2009" spans="2:2" x14ac:dyDescent="0.25">
      <c r="B2009" s="21"/>
    </row>
    <row r="2010" spans="2:2" x14ac:dyDescent="0.25">
      <c r="B2010" s="21"/>
    </row>
    <row r="2011" spans="2:2" x14ac:dyDescent="0.25">
      <c r="B2011" s="21"/>
    </row>
    <row r="2012" spans="2:2" x14ac:dyDescent="0.25">
      <c r="B2012" s="21"/>
    </row>
    <row r="2013" spans="2:2" x14ac:dyDescent="0.25">
      <c r="B2013" s="21"/>
    </row>
    <row r="2014" spans="2:2" x14ac:dyDescent="0.25">
      <c r="B2014" s="21"/>
    </row>
    <row r="2015" spans="2:2" x14ac:dyDescent="0.25">
      <c r="B2015" s="21"/>
    </row>
    <row r="2016" spans="2:2" x14ac:dyDescent="0.25">
      <c r="B2016" s="21"/>
    </row>
    <row r="2017" spans="2:2" x14ac:dyDescent="0.25">
      <c r="B2017" s="21"/>
    </row>
    <row r="2018" spans="2:2" x14ac:dyDescent="0.25">
      <c r="B2018" s="21"/>
    </row>
    <row r="2019" spans="2:2" x14ac:dyDescent="0.25">
      <c r="B2019" s="21"/>
    </row>
    <row r="2020" spans="2:2" x14ac:dyDescent="0.25">
      <c r="B2020" s="21"/>
    </row>
    <row r="2021" spans="2:2" x14ac:dyDescent="0.25">
      <c r="B2021" s="21"/>
    </row>
    <row r="2022" spans="2:2" x14ac:dyDescent="0.25">
      <c r="B2022" s="21"/>
    </row>
    <row r="2023" spans="2:2" x14ac:dyDescent="0.25">
      <c r="B2023" s="21"/>
    </row>
    <row r="2024" spans="2:2" x14ac:dyDescent="0.25">
      <c r="B2024" s="21"/>
    </row>
    <row r="2025" spans="2:2" x14ac:dyDescent="0.25">
      <c r="B2025" s="21"/>
    </row>
    <row r="2026" spans="2:2" x14ac:dyDescent="0.25">
      <c r="B2026" s="21"/>
    </row>
    <row r="2027" spans="2:2" x14ac:dyDescent="0.25">
      <c r="B2027" s="21"/>
    </row>
    <row r="2028" spans="2:2" x14ac:dyDescent="0.25">
      <c r="B2028" s="21"/>
    </row>
    <row r="2029" spans="2:2" x14ac:dyDescent="0.25">
      <c r="B2029" s="21"/>
    </row>
    <row r="2030" spans="2:2" x14ac:dyDescent="0.25">
      <c r="B2030" s="21"/>
    </row>
    <row r="2031" spans="2:2" x14ac:dyDescent="0.25">
      <c r="B2031" s="21"/>
    </row>
    <row r="2032" spans="2:2" x14ac:dyDescent="0.25">
      <c r="B2032" s="21"/>
    </row>
    <row r="2033" spans="2:2" x14ac:dyDescent="0.25">
      <c r="B2033" s="21"/>
    </row>
    <row r="2034" spans="2:2" x14ac:dyDescent="0.25">
      <c r="B2034" s="21"/>
    </row>
    <row r="2035" spans="2:2" x14ac:dyDescent="0.25">
      <c r="B2035" s="21"/>
    </row>
    <row r="2036" spans="2:2" x14ac:dyDescent="0.25">
      <c r="B2036" s="21"/>
    </row>
    <row r="2037" spans="2:2" x14ac:dyDescent="0.25">
      <c r="B2037" s="21"/>
    </row>
    <row r="2038" spans="2:2" x14ac:dyDescent="0.25">
      <c r="B2038" s="21"/>
    </row>
    <row r="2039" spans="2:2" x14ac:dyDescent="0.25">
      <c r="B2039" s="21"/>
    </row>
    <row r="2040" spans="2:2" x14ac:dyDescent="0.25">
      <c r="B2040" s="21"/>
    </row>
    <row r="2041" spans="2:2" x14ac:dyDescent="0.25">
      <c r="B2041" s="21"/>
    </row>
    <row r="2042" spans="2:2" x14ac:dyDescent="0.25">
      <c r="B2042" s="21"/>
    </row>
    <row r="2043" spans="2:2" x14ac:dyDescent="0.25">
      <c r="B2043" s="21"/>
    </row>
    <row r="2044" spans="2:2" x14ac:dyDescent="0.25">
      <c r="B2044" s="21"/>
    </row>
    <row r="2045" spans="2:2" x14ac:dyDescent="0.25">
      <c r="B2045" s="21"/>
    </row>
    <row r="2046" spans="2:2" x14ac:dyDescent="0.25">
      <c r="B2046" s="21"/>
    </row>
    <row r="2047" spans="2:2" x14ac:dyDescent="0.25">
      <c r="B2047" s="21"/>
    </row>
    <row r="2048" spans="2:2" x14ac:dyDescent="0.25">
      <c r="B2048" s="21"/>
    </row>
    <row r="2049" spans="2:2" x14ac:dyDescent="0.25">
      <c r="B2049" s="21"/>
    </row>
    <row r="2050" spans="2:2" x14ac:dyDescent="0.25">
      <c r="B2050" s="21"/>
    </row>
    <row r="2051" spans="2:2" x14ac:dyDescent="0.25">
      <c r="B2051" s="21"/>
    </row>
    <row r="2052" spans="2:2" x14ac:dyDescent="0.25">
      <c r="B2052" s="21"/>
    </row>
    <row r="2053" spans="2:2" x14ac:dyDescent="0.25">
      <c r="B2053" s="21"/>
    </row>
    <row r="2054" spans="2:2" x14ac:dyDescent="0.25">
      <c r="B2054" s="21"/>
    </row>
    <row r="2055" spans="2:2" x14ac:dyDescent="0.25">
      <c r="B2055" s="21"/>
    </row>
    <row r="2056" spans="2:2" x14ac:dyDescent="0.25">
      <c r="B2056" s="21"/>
    </row>
    <row r="2057" spans="2:2" x14ac:dyDescent="0.25">
      <c r="B2057" s="21"/>
    </row>
    <row r="2058" spans="2:2" x14ac:dyDescent="0.25">
      <c r="B2058" s="21"/>
    </row>
    <row r="2059" spans="2:2" x14ac:dyDescent="0.25">
      <c r="B2059" s="21"/>
    </row>
    <row r="2060" spans="2:2" x14ac:dyDescent="0.25">
      <c r="B2060" s="21"/>
    </row>
    <row r="2061" spans="2:2" x14ac:dyDescent="0.25">
      <c r="B2061" s="21"/>
    </row>
    <row r="2062" spans="2:2" x14ac:dyDescent="0.25">
      <c r="B2062" s="21"/>
    </row>
    <row r="2063" spans="2:2" x14ac:dyDescent="0.25">
      <c r="B2063" s="21"/>
    </row>
    <row r="2064" spans="2:2" x14ac:dyDescent="0.25">
      <c r="B2064" s="21"/>
    </row>
    <row r="2065" spans="2:2" x14ac:dyDescent="0.25">
      <c r="B2065" s="21"/>
    </row>
    <row r="2066" spans="2:2" x14ac:dyDescent="0.25">
      <c r="B2066" s="21"/>
    </row>
    <row r="2067" spans="2:2" x14ac:dyDescent="0.25">
      <c r="B2067" s="21"/>
    </row>
    <row r="2068" spans="2:2" x14ac:dyDescent="0.25">
      <c r="B2068" s="21"/>
    </row>
    <row r="2069" spans="2:2" x14ac:dyDescent="0.25">
      <c r="B2069" s="21"/>
    </row>
    <row r="2070" spans="2:2" x14ac:dyDescent="0.25">
      <c r="B2070" s="21"/>
    </row>
    <row r="2071" spans="2:2" x14ac:dyDescent="0.25">
      <c r="B2071" s="21"/>
    </row>
    <row r="2072" spans="2:2" x14ac:dyDescent="0.25">
      <c r="B2072" s="21"/>
    </row>
    <row r="2073" spans="2:2" x14ac:dyDescent="0.25">
      <c r="B2073" s="21"/>
    </row>
    <row r="2074" spans="2:2" x14ac:dyDescent="0.25">
      <c r="B2074" s="21"/>
    </row>
    <row r="2075" spans="2:2" x14ac:dyDescent="0.25">
      <c r="B2075" s="21"/>
    </row>
    <row r="2076" spans="2:2" x14ac:dyDescent="0.25">
      <c r="B2076" s="21"/>
    </row>
    <row r="2077" spans="2:2" x14ac:dyDescent="0.25">
      <c r="B2077" s="21"/>
    </row>
    <row r="2078" spans="2:2" x14ac:dyDescent="0.25">
      <c r="B2078" s="21"/>
    </row>
    <row r="2079" spans="2:2" x14ac:dyDescent="0.25">
      <c r="B2079" s="21"/>
    </row>
    <row r="2080" spans="2:2" x14ac:dyDescent="0.25">
      <c r="B2080" s="21"/>
    </row>
    <row r="2081" spans="2:2" x14ac:dyDescent="0.25">
      <c r="B2081" s="21"/>
    </row>
    <row r="2082" spans="2:2" x14ac:dyDescent="0.25">
      <c r="B2082" s="21"/>
    </row>
    <row r="2083" spans="2:2" x14ac:dyDescent="0.25">
      <c r="B2083" s="21"/>
    </row>
    <row r="2084" spans="2:2" x14ac:dyDescent="0.25">
      <c r="B2084" s="21"/>
    </row>
    <row r="2085" spans="2:2" x14ac:dyDescent="0.25">
      <c r="B2085" s="21"/>
    </row>
    <row r="2086" spans="2:2" x14ac:dyDescent="0.25">
      <c r="B2086" s="21"/>
    </row>
    <row r="2087" spans="2:2" x14ac:dyDescent="0.25">
      <c r="B2087" s="21"/>
    </row>
    <row r="2088" spans="2:2" x14ac:dyDescent="0.25">
      <c r="B2088" s="21"/>
    </row>
    <row r="2089" spans="2:2" x14ac:dyDescent="0.25">
      <c r="B2089" s="21"/>
    </row>
    <row r="2090" spans="2:2" x14ac:dyDescent="0.25">
      <c r="B2090" s="21"/>
    </row>
    <row r="2091" spans="2:2" x14ac:dyDescent="0.25">
      <c r="B2091" s="21"/>
    </row>
    <row r="2092" spans="2:2" x14ac:dyDescent="0.25">
      <c r="B2092" s="21"/>
    </row>
    <row r="2093" spans="2:2" x14ac:dyDescent="0.25">
      <c r="B2093" s="21"/>
    </row>
    <row r="2094" spans="2:2" x14ac:dyDescent="0.25">
      <c r="B2094" s="21"/>
    </row>
    <row r="2095" spans="2:2" x14ac:dyDescent="0.25">
      <c r="B2095" s="21"/>
    </row>
    <row r="2096" spans="2:2" x14ac:dyDescent="0.25">
      <c r="B2096" s="21"/>
    </row>
    <row r="2097" spans="2:2" x14ac:dyDescent="0.25">
      <c r="B2097" s="21"/>
    </row>
    <row r="2098" spans="2:2" x14ac:dyDescent="0.25">
      <c r="B2098" s="21"/>
    </row>
    <row r="2099" spans="2:2" x14ac:dyDescent="0.25">
      <c r="B2099" s="21"/>
    </row>
    <row r="2100" spans="2:2" x14ac:dyDescent="0.25">
      <c r="B2100" s="21"/>
    </row>
    <row r="2101" spans="2:2" x14ac:dyDescent="0.25">
      <c r="B2101" s="21"/>
    </row>
    <row r="2102" spans="2:2" x14ac:dyDescent="0.25">
      <c r="B2102" s="21"/>
    </row>
    <row r="2103" spans="2:2" x14ac:dyDescent="0.25">
      <c r="B2103" s="21"/>
    </row>
    <row r="2104" spans="2:2" x14ac:dyDescent="0.25">
      <c r="B2104" s="21"/>
    </row>
    <row r="2105" spans="2:2" x14ac:dyDescent="0.25">
      <c r="B2105" s="21"/>
    </row>
    <row r="2106" spans="2:2" x14ac:dyDescent="0.25">
      <c r="B2106" s="21"/>
    </row>
    <row r="2107" spans="2:2" x14ac:dyDescent="0.25">
      <c r="B2107" s="21"/>
    </row>
    <row r="2108" spans="2:2" x14ac:dyDescent="0.25">
      <c r="B2108" s="21"/>
    </row>
    <row r="2109" spans="2:2" x14ac:dyDescent="0.25">
      <c r="B2109" s="21"/>
    </row>
    <row r="2110" spans="2:2" x14ac:dyDescent="0.25">
      <c r="B2110" s="21"/>
    </row>
    <row r="2111" spans="2:2" x14ac:dyDescent="0.25">
      <c r="B2111" s="21"/>
    </row>
    <row r="2112" spans="2:2" x14ac:dyDescent="0.25">
      <c r="B2112" s="21"/>
    </row>
    <row r="2113" spans="2:2" x14ac:dyDescent="0.25">
      <c r="B2113" s="21"/>
    </row>
    <row r="2114" spans="2:2" x14ac:dyDescent="0.25">
      <c r="B2114" s="21"/>
    </row>
    <row r="2115" spans="2:2" x14ac:dyDescent="0.25">
      <c r="B2115" s="21"/>
    </row>
    <row r="2116" spans="2:2" x14ac:dyDescent="0.25">
      <c r="B2116" s="21"/>
    </row>
    <row r="2117" spans="2:2" x14ac:dyDescent="0.25">
      <c r="B2117" s="21"/>
    </row>
    <row r="2118" spans="2:2" x14ac:dyDescent="0.25">
      <c r="B2118" s="21"/>
    </row>
    <row r="2119" spans="2:2" x14ac:dyDescent="0.25">
      <c r="B2119" s="21"/>
    </row>
    <row r="2120" spans="2:2" x14ac:dyDescent="0.25">
      <c r="B2120" s="21"/>
    </row>
    <row r="2121" spans="2:2" x14ac:dyDescent="0.25">
      <c r="B2121" s="21"/>
    </row>
    <row r="2122" spans="2:2" x14ac:dyDescent="0.25">
      <c r="B2122" s="21"/>
    </row>
    <row r="2123" spans="2:2" x14ac:dyDescent="0.25">
      <c r="B2123" s="21"/>
    </row>
    <row r="2124" spans="2:2" x14ac:dyDescent="0.25">
      <c r="B2124" s="21"/>
    </row>
    <row r="2125" spans="2:2" x14ac:dyDescent="0.25">
      <c r="B2125" s="21"/>
    </row>
    <row r="2126" spans="2:2" x14ac:dyDescent="0.25">
      <c r="B2126" s="21"/>
    </row>
    <row r="2127" spans="2:2" x14ac:dyDescent="0.25">
      <c r="B2127" s="21"/>
    </row>
    <row r="2128" spans="2:2" x14ac:dyDescent="0.25">
      <c r="B2128" s="21"/>
    </row>
    <row r="2129" spans="2:2" x14ac:dyDescent="0.25">
      <c r="B2129" s="21"/>
    </row>
    <row r="2130" spans="2:2" x14ac:dyDescent="0.25">
      <c r="B2130" s="21"/>
    </row>
    <row r="2131" spans="2:2" x14ac:dyDescent="0.25">
      <c r="B2131" s="21"/>
    </row>
    <row r="2132" spans="2:2" x14ac:dyDescent="0.25">
      <c r="B2132" s="21"/>
    </row>
    <row r="2133" spans="2:2" x14ac:dyDescent="0.25">
      <c r="B2133" s="21"/>
    </row>
    <row r="2134" spans="2:2" x14ac:dyDescent="0.25">
      <c r="B2134" s="21"/>
    </row>
    <row r="2135" spans="2:2" x14ac:dyDescent="0.25">
      <c r="B2135" s="21"/>
    </row>
    <row r="2136" spans="2:2" x14ac:dyDescent="0.25">
      <c r="B2136" s="21"/>
    </row>
    <row r="2137" spans="2:2" x14ac:dyDescent="0.25">
      <c r="B2137" s="21"/>
    </row>
    <row r="2138" spans="2:2" x14ac:dyDescent="0.25">
      <c r="B2138" s="21"/>
    </row>
    <row r="2139" spans="2:2" x14ac:dyDescent="0.25">
      <c r="B2139" s="21"/>
    </row>
    <row r="2140" spans="2:2" x14ac:dyDescent="0.25">
      <c r="B2140" s="21"/>
    </row>
    <row r="2141" spans="2:2" x14ac:dyDescent="0.25">
      <c r="B2141" s="21"/>
    </row>
    <row r="2142" spans="2:2" x14ac:dyDescent="0.25">
      <c r="B2142" s="21"/>
    </row>
    <row r="2143" spans="2:2" x14ac:dyDescent="0.25">
      <c r="B2143" s="21"/>
    </row>
    <row r="2144" spans="2:2" x14ac:dyDescent="0.25">
      <c r="B2144" s="21"/>
    </row>
    <row r="2145" spans="2:2" x14ac:dyDescent="0.25">
      <c r="B2145" s="21"/>
    </row>
    <row r="2146" spans="2:2" x14ac:dyDescent="0.25">
      <c r="B2146" s="21"/>
    </row>
    <row r="2147" spans="2:2" x14ac:dyDescent="0.25">
      <c r="B2147" s="21"/>
    </row>
    <row r="2148" spans="2:2" x14ac:dyDescent="0.25">
      <c r="B2148" s="21"/>
    </row>
    <row r="2149" spans="2:2" x14ac:dyDescent="0.25">
      <c r="B2149" s="21"/>
    </row>
    <row r="2150" spans="2:2" x14ac:dyDescent="0.25">
      <c r="B2150" s="21"/>
    </row>
    <row r="2151" spans="2:2" x14ac:dyDescent="0.25">
      <c r="B2151" s="21"/>
    </row>
    <row r="2152" spans="2:2" x14ac:dyDescent="0.25">
      <c r="B2152" s="21"/>
    </row>
    <row r="2153" spans="2:2" x14ac:dyDescent="0.25">
      <c r="B2153" s="21"/>
    </row>
    <row r="2154" spans="2:2" x14ac:dyDescent="0.25">
      <c r="B2154" s="21"/>
    </row>
    <row r="2155" spans="2:2" x14ac:dyDescent="0.25">
      <c r="B2155" s="21"/>
    </row>
    <row r="2156" spans="2:2" x14ac:dyDescent="0.25">
      <c r="B2156" s="21"/>
    </row>
    <row r="2157" spans="2:2" x14ac:dyDescent="0.25">
      <c r="B2157" s="21"/>
    </row>
    <row r="2158" spans="2:2" x14ac:dyDescent="0.25">
      <c r="B2158" s="21"/>
    </row>
    <row r="2159" spans="2:2" x14ac:dyDescent="0.25">
      <c r="B2159" s="21"/>
    </row>
    <row r="2160" spans="2:2" x14ac:dyDescent="0.25">
      <c r="B2160" s="21"/>
    </row>
    <row r="2161" spans="2:2" x14ac:dyDescent="0.25">
      <c r="B2161" s="21"/>
    </row>
    <row r="2162" spans="2:2" x14ac:dyDescent="0.25">
      <c r="B2162" s="21"/>
    </row>
    <row r="2163" spans="2:2" x14ac:dyDescent="0.25">
      <c r="B2163" s="21"/>
    </row>
    <row r="2164" spans="2:2" x14ac:dyDescent="0.25">
      <c r="B2164" s="21"/>
    </row>
    <row r="2165" spans="2:2" x14ac:dyDescent="0.25">
      <c r="B2165" s="21"/>
    </row>
    <row r="2166" spans="2:2" x14ac:dyDescent="0.25">
      <c r="B2166" s="21"/>
    </row>
    <row r="2167" spans="2:2" x14ac:dyDescent="0.25">
      <c r="B2167" s="21"/>
    </row>
    <row r="2168" spans="2:2" x14ac:dyDescent="0.25">
      <c r="B2168" s="21"/>
    </row>
    <row r="2169" spans="2:2" x14ac:dyDescent="0.25">
      <c r="B2169" s="21"/>
    </row>
    <row r="2170" spans="2:2" x14ac:dyDescent="0.25">
      <c r="B2170" s="21"/>
    </row>
    <row r="2171" spans="2:2" x14ac:dyDescent="0.25">
      <c r="B2171" s="21"/>
    </row>
    <row r="2172" spans="2:2" x14ac:dyDescent="0.25">
      <c r="B2172" s="21"/>
    </row>
    <row r="2173" spans="2:2" x14ac:dyDescent="0.25">
      <c r="B2173" s="21"/>
    </row>
    <row r="2174" spans="2:2" x14ac:dyDescent="0.25">
      <c r="B2174" s="21"/>
    </row>
    <row r="2175" spans="2:2" x14ac:dyDescent="0.25">
      <c r="B2175" s="21"/>
    </row>
    <row r="2176" spans="2:2" x14ac:dyDescent="0.25">
      <c r="B2176" s="21"/>
    </row>
    <row r="2177" spans="2:2" x14ac:dyDescent="0.25">
      <c r="B2177" s="21"/>
    </row>
    <row r="2178" spans="2:2" x14ac:dyDescent="0.25">
      <c r="B2178" s="21"/>
    </row>
    <row r="2179" spans="2:2" x14ac:dyDescent="0.25">
      <c r="B2179" s="21"/>
    </row>
    <row r="2180" spans="2:2" x14ac:dyDescent="0.25">
      <c r="B2180" s="21"/>
    </row>
    <row r="2181" spans="2:2" x14ac:dyDescent="0.25">
      <c r="B2181" s="21"/>
    </row>
    <row r="2182" spans="2:2" x14ac:dyDescent="0.25">
      <c r="B2182" s="21"/>
    </row>
    <row r="2183" spans="2:2" x14ac:dyDescent="0.25">
      <c r="B2183" s="21"/>
    </row>
    <row r="2184" spans="2:2" x14ac:dyDescent="0.25">
      <c r="B2184" s="21"/>
    </row>
    <row r="2185" spans="2:2" x14ac:dyDescent="0.25">
      <c r="B2185" s="21"/>
    </row>
    <row r="2186" spans="2:2" x14ac:dyDescent="0.25">
      <c r="B2186" s="21"/>
    </row>
    <row r="2187" spans="2:2" x14ac:dyDescent="0.25">
      <c r="B2187" s="21"/>
    </row>
    <row r="2188" spans="2:2" x14ac:dyDescent="0.25">
      <c r="B2188" s="21"/>
    </row>
    <row r="2189" spans="2:2" x14ac:dyDescent="0.25">
      <c r="B2189" s="21"/>
    </row>
    <row r="2190" spans="2:2" x14ac:dyDescent="0.25">
      <c r="B2190" s="21"/>
    </row>
    <row r="2191" spans="2:2" x14ac:dyDescent="0.25">
      <c r="B2191" s="21"/>
    </row>
    <row r="2192" spans="2:2" x14ac:dyDescent="0.25">
      <c r="B2192" s="21"/>
    </row>
    <row r="2193" spans="2:2" x14ac:dyDescent="0.25">
      <c r="B2193" s="21"/>
    </row>
    <row r="2194" spans="2:2" x14ac:dyDescent="0.25">
      <c r="B2194" s="21"/>
    </row>
    <row r="2195" spans="2:2" x14ac:dyDescent="0.25">
      <c r="B2195" s="21"/>
    </row>
    <row r="2196" spans="2:2" x14ac:dyDescent="0.25">
      <c r="B2196" s="21"/>
    </row>
    <row r="2197" spans="2:2" x14ac:dyDescent="0.25">
      <c r="B2197" s="21"/>
    </row>
    <row r="2198" spans="2:2" x14ac:dyDescent="0.25">
      <c r="B2198" s="21"/>
    </row>
    <row r="2199" spans="2:2" x14ac:dyDescent="0.25">
      <c r="B2199" s="21"/>
    </row>
    <row r="2200" spans="2:2" x14ac:dyDescent="0.25">
      <c r="B2200" s="21"/>
    </row>
    <row r="2201" spans="2:2" x14ac:dyDescent="0.25">
      <c r="B2201" s="21"/>
    </row>
    <row r="2202" spans="2:2" x14ac:dyDescent="0.25">
      <c r="B2202" s="21"/>
    </row>
    <row r="2203" spans="2:2" x14ac:dyDescent="0.25">
      <c r="B2203" s="21"/>
    </row>
    <row r="2204" spans="2:2" x14ac:dyDescent="0.25">
      <c r="B2204" s="21"/>
    </row>
    <row r="2205" spans="2:2" x14ac:dyDescent="0.25">
      <c r="B2205" s="21"/>
    </row>
    <row r="2206" spans="2:2" x14ac:dyDescent="0.25">
      <c r="B2206" s="21"/>
    </row>
    <row r="2207" spans="2:2" x14ac:dyDescent="0.25">
      <c r="B2207" s="21"/>
    </row>
    <row r="2208" spans="2:2" x14ac:dyDescent="0.25">
      <c r="B2208" s="21"/>
    </row>
    <row r="2209" spans="2:2" x14ac:dyDescent="0.25">
      <c r="B2209" s="21"/>
    </row>
    <row r="2210" spans="2:2" x14ac:dyDescent="0.25">
      <c r="B2210" s="21"/>
    </row>
    <row r="2211" spans="2:2" x14ac:dyDescent="0.25">
      <c r="B2211" s="21"/>
    </row>
    <row r="2212" spans="2:2" x14ac:dyDescent="0.25">
      <c r="B2212" s="21"/>
    </row>
    <row r="2213" spans="2:2" x14ac:dyDescent="0.25">
      <c r="B2213" s="21"/>
    </row>
    <row r="2214" spans="2:2" x14ac:dyDescent="0.25">
      <c r="B2214" s="21"/>
    </row>
    <row r="2215" spans="2:2" x14ac:dyDescent="0.25">
      <c r="B2215" s="21"/>
    </row>
    <row r="2216" spans="2:2" x14ac:dyDescent="0.25">
      <c r="B2216" s="21"/>
    </row>
    <row r="2217" spans="2:2" x14ac:dyDescent="0.25">
      <c r="B2217" s="21"/>
    </row>
    <row r="2218" spans="2:2" x14ac:dyDescent="0.25">
      <c r="B2218" s="21"/>
    </row>
    <row r="2219" spans="2:2" x14ac:dyDescent="0.25">
      <c r="B2219" s="21"/>
    </row>
    <row r="2220" spans="2:2" x14ac:dyDescent="0.25">
      <c r="B2220" s="21"/>
    </row>
    <row r="2221" spans="2:2" x14ac:dyDescent="0.25">
      <c r="B2221" s="21"/>
    </row>
    <row r="2222" spans="2:2" x14ac:dyDescent="0.25">
      <c r="B2222" s="21"/>
    </row>
    <row r="2223" spans="2:2" x14ac:dyDescent="0.25">
      <c r="B2223" s="21"/>
    </row>
    <row r="2224" spans="2:2" x14ac:dyDescent="0.25">
      <c r="B2224" s="21"/>
    </row>
    <row r="2225" spans="2:2" x14ac:dyDescent="0.25">
      <c r="B2225" s="21"/>
    </row>
    <row r="2226" spans="2:2" x14ac:dyDescent="0.25">
      <c r="B2226" s="21"/>
    </row>
    <row r="2227" spans="2:2" x14ac:dyDescent="0.25">
      <c r="B2227" s="21"/>
    </row>
    <row r="2228" spans="2:2" x14ac:dyDescent="0.25">
      <c r="B2228" s="21"/>
    </row>
    <row r="2229" spans="2:2" x14ac:dyDescent="0.25">
      <c r="B2229" s="21"/>
    </row>
    <row r="2230" spans="2:2" x14ac:dyDescent="0.25">
      <c r="B2230" s="21"/>
    </row>
    <row r="2231" spans="2:2" x14ac:dyDescent="0.25">
      <c r="B2231" s="21"/>
    </row>
    <row r="2232" spans="2:2" x14ac:dyDescent="0.25">
      <c r="B2232" s="21"/>
    </row>
    <row r="2233" spans="2:2" x14ac:dyDescent="0.25">
      <c r="B2233" s="21"/>
    </row>
    <row r="2234" spans="2:2" x14ac:dyDescent="0.25">
      <c r="B2234" s="21"/>
    </row>
    <row r="2235" spans="2:2" x14ac:dyDescent="0.25">
      <c r="B2235" s="21"/>
    </row>
    <row r="2236" spans="2:2" x14ac:dyDescent="0.25">
      <c r="B2236" s="21"/>
    </row>
    <row r="2237" spans="2:2" x14ac:dyDescent="0.25">
      <c r="B2237" s="21"/>
    </row>
    <row r="2238" spans="2:2" x14ac:dyDescent="0.25">
      <c r="B2238" s="21"/>
    </row>
    <row r="2239" spans="2:2" x14ac:dyDescent="0.25">
      <c r="B2239" s="21"/>
    </row>
    <row r="2240" spans="2:2" x14ac:dyDescent="0.25">
      <c r="B2240" s="21"/>
    </row>
    <row r="2241" spans="2:2" x14ac:dyDescent="0.25">
      <c r="B2241" s="21"/>
    </row>
    <row r="2242" spans="2:2" x14ac:dyDescent="0.25">
      <c r="B2242" s="21"/>
    </row>
    <row r="2243" spans="2:2" x14ac:dyDescent="0.25">
      <c r="B2243" s="21"/>
    </row>
    <row r="2244" spans="2:2" x14ac:dyDescent="0.25">
      <c r="B2244" s="21"/>
    </row>
    <row r="2245" spans="2:2" x14ac:dyDescent="0.25">
      <c r="B2245" s="21"/>
    </row>
    <row r="2246" spans="2:2" x14ac:dyDescent="0.25">
      <c r="B2246" s="21"/>
    </row>
    <row r="2247" spans="2:2" x14ac:dyDescent="0.25">
      <c r="B2247" s="21"/>
    </row>
    <row r="2248" spans="2:2" x14ac:dyDescent="0.25">
      <c r="B2248" s="21"/>
    </row>
    <row r="2249" spans="2:2" x14ac:dyDescent="0.25">
      <c r="B2249" s="21"/>
    </row>
    <row r="2250" spans="2:2" x14ac:dyDescent="0.25">
      <c r="B2250" s="21"/>
    </row>
    <row r="2251" spans="2:2" x14ac:dyDescent="0.25">
      <c r="B2251" s="21"/>
    </row>
    <row r="2252" spans="2:2" x14ac:dyDescent="0.25">
      <c r="B2252" s="21"/>
    </row>
    <row r="2253" spans="2:2" x14ac:dyDescent="0.25">
      <c r="B2253" s="21"/>
    </row>
    <row r="2254" spans="2:2" x14ac:dyDescent="0.25">
      <c r="B2254" s="21"/>
    </row>
    <row r="2255" spans="2:2" x14ac:dyDescent="0.25">
      <c r="B2255" s="21"/>
    </row>
    <row r="2256" spans="2:2" x14ac:dyDescent="0.25">
      <c r="B2256" s="21"/>
    </row>
    <row r="2257" spans="2:2" x14ac:dyDescent="0.25">
      <c r="B2257" s="21"/>
    </row>
    <row r="2258" spans="2:2" x14ac:dyDescent="0.25">
      <c r="B2258" s="21"/>
    </row>
    <row r="2259" spans="2:2" x14ac:dyDescent="0.25">
      <c r="B2259" s="21"/>
    </row>
    <row r="2260" spans="2:2" x14ac:dyDescent="0.25">
      <c r="B2260" s="21"/>
    </row>
    <row r="2261" spans="2:2" x14ac:dyDescent="0.25">
      <c r="B2261" s="21"/>
    </row>
    <row r="2262" spans="2:2" x14ac:dyDescent="0.25">
      <c r="B2262" s="21"/>
    </row>
    <row r="2263" spans="2:2" x14ac:dyDescent="0.25">
      <c r="B2263" s="21"/>
    </row>
    <row r="2264" spans="2:2" x14ac:dyDescent="0.25">
      <c r="B2264" s="21"/>
    </row>
    <row r="2265" spans="2:2" x14ac:dyDescent="0.25">
      <c r="B2265" s="21"/>
    </row>
    <row r="2266" spans="2:2" x14ac:dyDescent="0.25">
      <c r="B2266" s="21"/>
    </row>
    <row r="2267" spans="2:2" x14ac:dyDescent="0.25">
      <c r="B2267" s="21"/>
    </row>
    <row r="2268" spans="2:2" x14ac:dyDescent="0.25">
      <c r="B2268" s="21"/>
    </row>
    <row r="2269" spans="2:2" x14ac:dyDescent="0.25">
      <c r="B2269" s="21"/>
    </row>
    <row r="2270" spans="2:2" x14ac:dyDescent="0.25">
      <c r="B2270" s="21"/>
    </row>
    <row r="2271" spans="2:2" x14ac:dyDescent="0.25">
      <c r="B2271" s="21"/>
    </row>
    <row r="2272" spans="2:2" x14ac:dyDescent="0.25">
      <c r="B2272" s="21"/>
    </row>
    <row r="2273" spans="2:2" x14ac:dyDescent="0.25">
      <c r="B2273" s="21"/>
    </row>
    <row r="2274" spans="2:2" x14ac:dyDescent="0.25">
      <c r="B2274" s="21"/>
    </row>
    <row r="2275" spans="2:2" x14ac:dyDescent="0.25">
      <c r="B2275" s="21"/>
    </row>
    <row r="2276" spans="2:2" x14ac:dyDescent="0.25">
      <c r="B2276" s="21"/>
    </row>
    <row r="2277" spans="2:2" x14ac:dyDescent="0.25">
      <c r="B2277" s="21"/>
    </row>
    <row r="2278" spans="2:2" x14ac:dyDescent="0.25">
      <c r="B2278" s="21"/>
    </row>
    <row r="2279" spans="2:2" x14ac:dyDescent="0.25">
      <c r="B2279" s="21"/>
    </row>
    <row r="2280" spans="2:2" x14ac:dyDescent="0.25">
      <c r="B2280" s="21"/>
    </row>
    <row r="2281" spans="2:2" x14ac:dyDescent="0.25">
      <c r="B2281" s="21"/>
    </row>
    <row r="2282" spans="2:2" x14ac:dyDescent="0.25">
      <c r="B2282" s="21"/>
    </row>
    <row r="2283" spans="2:2" x14ac:dyDescent="0.25">
      <c r="B2283" s="21"/>
    </row>
    <row r="2284" spans="2:2" x14ac:dyDescent="0.25">
      <c r="B2284" s="21"/>
    </row>
    <row r="2285" spans="2:2" x14ac:dyDescent="0.25">
      <c r="B2285" s="21"/>
    </row>
    <row r="2286" spans="2:2" x14ac:dyDescent="0.25">
      <c r="B2286" s="21"/>
    </row>
    <row r="2287" spans="2:2" x14ac:dyDescent="0.25">
      <c r="B2287" s="21"/>
    </row>
    <row r="2288" spans="2:2" x14ac:dyDescent="0.25">
      <c r="B2288" s="21"/>
    </row>
    <row r="2289" spans="2:2" x14ac:dyDescent="0.25">
      <c r="B2289" s="21"/>
    </row>
    <row r="2290" spans="2:2" x14ac:dyDescent="0.25">
      <c r="B2290" s="21"/>
    </row>
    <row r="2291" spans="2:2" x14ac:dyDescent="0.25">
      <c r="B2291" s="21"/>
    </row>
    <row r="2292" spans="2:2" x14ac:dyDescent="0.25">
      <c r="B2292" s="21"/>
    </row>
    <row r="2293" spans="2:2" x14ac:dyDescent="0.25">
      <c r="B2293" s="21"/>
    </row>
    <row r="2294" spans="2:2" x14ac:dyDescent="0.25">
      <c r="B2294" s="21"/>
    </row>
    <row r="2295" spans="2:2" x14ac:dyDescent="0.25">
      <c r="B2295" s="21"/>
    </row>
    <row r="2296" spans="2:2" x14ac:dyDescent="0.25">
      <c r="B2296" s="21"/>
    </row>
    <row r="2297" spans="2:2" x14ac:dyDescent="0.25">
      <c r="B2297" s="21"/>
    </row>
    <row r="2298" spans="2:2" x14ac:dyDescent="0.25">
      <c r="B2298" s="21"/>
    </row>
    <row r="2299" spans="2:2" x14ac:dyDescent="0.25">
      <c r="B2299" s="21"/>
    </row>
    <row r="2300" spans="2:2" x14ac:dyDescent="0.25">
      <c r="B2300" s="21"/>
    </row>
    <row r="2301" spans="2:2" x14ac:dyDescent="0.25">
      <c r="B2301" s="21"/>
    </row>
    <row r="2302" spans="2:2" x14ac:dyDescent="0.25">
      <c r="B2302" s="21"/>
    </row>
    <row r="2303" spans="2:2" x14ac:dyDescent="0.25">
      <c r="B2303" s="21"/>
    </row>
    <row r="2304" spans="2:2" x14ac:dyDescent="0.25">
      <c r="B2304" s="21"/>
    </row>
    <row r="2305" spans="2:2" x14ac:dyDescent="0.25">
      <c r="B2305" s="21"/>
    </row>
    <row r="2306" spans="2:2" x14ac:dyDescent="0.25">
      <c r="B2306" s="21"/>
    </row>
    <row r="2307" spans="2:2" x14ac:dyDescent="0.25">
      <c r="B2307" s="21"/>
    </row>
    <row r="2308" spans="2:2" x14ac:dyDescent="0.25">
      <c r="B2308" s="21"/>
    </row>
    <row r="2309" spans="2:2" x14ac:dyDescent="0.25">
      <c r="B2309" s="21"/>
    </row>
    <row r="2310" spans="2:2" x14ac:dyDescent="0.25">
      <c r="B2310" s="21"/>
    </row>
    <row r="2311" spans="2:2" x14ac:dyDescent="0.25">
      <c r="B2311" s="21"/>
    </row>
    <row r="2312" spans="2:2" x14ac:dyDescent="0.25">
      <c r="B2312" s="21"/>
    </row>
    <row r="2313" spans="2:2" x14ac:dyDescent="0.25">
      <c r="B2313" s="21"/>
    </row>
    <row r="2314" spans="2:2" x14ac:dyDescent="0.25">
      <c r="B2314" s="21"/>
    </row>
    <row r="2315" spans="2:2" x14ac:dyDescent="0.25">
      <c r="B2315" s="21"/>
    </row>
    <row r="2316" spans="2:2" x14ac:dyDescent="0.25">
      <c r="B2316" s="21"/>
    </row>
    <row r="2317" spans="2:2" x14ac:dyDescent="0.25">
      <c r="B2317" s="21"/>
    </row>
    <row r="2318" spans="2:2" x14ac:dyDescent="0.25">
      <c r="B2318" s="21"/>
    </row>
    <row r="2319" spans="2:2" x14ac:dyDescent="0.25">
      <c r="B2319" s="21"/>
    </row>
    <row r="2320" spans="2:2" x14ac:dyDescent="0.25">
      <c r="B2320" s="21"/>
    </row>
    <row r="2321" spans="2:2" x14ac:dyDescent="0.25">
      <c r="B2321" s="21"/>
    </row>
    <row r="2322" spans="2:2" x14ac:dyDescent="0.25">
      <c r="B2322" s="21"/>
    </row>
    <row r="2323" spans="2:2" x14ac:dyDescent="0.25">
      <c r="B2323" s="21"/>
    </row>
    <row r="2324" spans="2:2" x14ac:dyDescent="0.25">
      <c r="B2324" s="21"/>
    </row>
    <row r="2325" spans="2:2" x14ac:dyDescent="0.25">
      <c r="B2325" s="21"/>
    </row>
    <row r="2326" spans="2:2" x14ac:dyDescent="0.25">
      <c r="B2326" s="21"/>
    </row>
    <row r="2327" spans="2:2" x14ac:dyDescent="0.25">
      <c r="B2327" s="21"/>
    </row>
    <row r="2328" spans="2:2" x14ac:dyDescent="0.25">
      <c r="B2328" s="21"/>
    </row>
    <row r="2329" spans="2:2" x14ac:dyDescent="0.25">
      <c r="B2329" s="21"/>
    </row>
    <row r="2330" spans="2:2" x14ac:dyDescent="0.25">
      <c r="B2330" s="21"/>
    </row>
    <row r="2331" spans="2:2" x14ac:dyDescent="0.25">
      <c r="B2331" s="21"/>
    </row>
    <row r="2332" spans="2:2" x14ac:dyDescent="0.25">
      <c r="B2332" s="21"/>
    </row>
    <row r="2333" spans="2:2" x14ac:dyDescent="0.25">
      <c r="B2333" s="21"/>
    </row>
    <row r="2334" spans="2:2" x14ac:dyDescent="0.25">
      <c r="B2334" s="21"/>
    </row>
    <row r="2335" spans="2:2" x14ac:dyDescent="0.25">
      <c r="B2335" s="21"/>
    </row>
    <row r="2336" spans="2:2" x14ac:dyDescent="0.25">
      <c r="B2336" s="21"/>
    </row>
    <row r="2337" spans="2:2" x14ac:dyDescent="0.25">
      <c r="B2337" s="21"/>
    </row>
    <row r="2338" spans="2:2" x14ac:dyDescent="0.25">
      <c r="B2338" s="21"/>
    </row>
    <row r="2339" spans="2:2" x14ac:dyDescent="0.25">
      <c r="B2339" s="21"/>
    </row>
    <row r="2340" spans="2:2" x14ac:dyDescent="0.25">
      <c r="B2340" s="21"/>
    </row>
    <row r="2341" spans="2:2" x14ac:dyDescent="0.25">
      <c r="B2341" s="21"/>
    </row>
    <row r="2342" spans="2:2" x14ac:dyDescent="0.25">
      <c r="B2342" s="21"/>
    </row>
    <row r="2343" spans="2:2" x14ac:dyDescent="0.25">
      <c r="B2343" s="21"/>
    </row>
    <row r="2344" spans="2:2" x14ac:dyDescent="0.25">
      <c r="B2344" s="21"/>
    </row>
    <row r="2345" spans="2:2" x14ac:dyDescent="0.25">
      <c r="B2345" s="21"/>
    </row>
    <row r="2346" spans="2:2" x14ac:dyDescent="0.25">
      <c r="B2346" s="21"/>
    </row>
    <row r="2347" spans="2:2" x14ac:dyDescent="0.25">
      <c r="B2347" s="21"/>
    </row>
    <row r="2348" spans="2:2" x14ac:dyDescent="0.25">
      <c r="B2348" s="21"/>
    </row>
    <row r="2349" spans="2:2" x14ac:dyDescent="0.25">
      <c r="B2349" s="21"/>
    </row>
    <row r="2350" spans="2:2" x14ac:dyDescent="0.25">
      <c r="B2350" s="21"/>
    </row>
    <row r="2351" spans="2:2" x14ac:dyDescent="0.25">
      <c r="B2351" s="21"/>
    </row>
    <row r="2352" spans="2:2" x14ac:dyDescent="0.25">
      <c r="B2352" s="21"/>
    </row>
    <row r="2353" spans="2:2" x14ac:dyDescent="0.25">
      <c r="B2353" s="21"/>
    </row>
    <row r="2354" spans="2:2" x14ac:dyDescent="0.25">
      <c r="B2354" s="21"/>
    </row>
    <row r="2355" spans="2:2" x14ac:dyDescent="0.25">
      <c r="B2355" s="21"/>
    </row>
    <row r="2356" spans="2:2" x14ac:dyDescent="0.25">
      <c r="B2356" s="21"/>
    </row>
    <row r="2357" spans="2:2" x14ac:dyDescent="0.25">
      <c r="B2357" s="21"/>
    </row>
    <row r="2358" spans="2:2" x14ac:dyDescent="0.25">
      <c r="B2358" s="21"/>
    </row>
    <row r="2359" spans="2:2" x14ac:dyDescent="0.25">
      <c r="B2359" s="21"/>
    </row>
    <row r="2360" spans="2:2" x14ac:dyDescent="0.25">
      <c r="B2360" s="21"/>
    </row>
    <row r="2361" spans="2:2" x14ac:dyDescent="0.25">
      <c r="B2361" s="21"/>
    </row>
    <row r="2362" spans="2:2" x14ac:dyDescent="0.25">
      <c r="B2362" s="21"/>
    </row>
    <row r="2363" spans="2:2" x14ac:dyDescent="0.25">
      <c r="B2363" s="21"/>
    </row>
    <row r="2364" spans="2:2" x14ac:dyDescent="0.25">
      <c r="B2364" s="21"/>
    </row>
    <row r="2365" spans="2:2" x14ac:dyDescent="0.25">
      <c r="B2365" s="21"/>
    </row>
    <row r="2366" spans="2:2" x14ac:dyDescent="0.25">
      <c r="B2366" s="21"/>
    </row>
    <row r="2367" spans="2:2" x14ac:dyDescent="0.25">
      <c r="B2367" s="21"/>
    </row>
    <row r="2368" spans="2:2" x14ac:dyDescent="0.25">
      <c r="B2368" s="21"/>
    </row>
    <row r="2369" spans="2:2" x14ac:dyDescent="0.25">
      <c r="B2369" s="21"/>
    </row>
    <row r="2370" spans="2:2" x14ac:dyDescent="0.25">
      <c r="B2370" s="21"/>
    </row>
    <row r="2371" spans="2:2" x14ac:dyDescent="0.25">
      <c r="B2371" s="21"/>
    </row>
    <row r="2372" spans="2:2" x14ac:dyDescent="0.25">
      <c r="B2372" s="21"/>
    </row>
    <row r="2373" spans="2:2" x14ac:dyDescent="0.25">
      <c r="B2373" s="21"/>
    </row>
    <row r="2374" spans="2:2" x14ac:dyDescent="0.25">
      <c r="B2374" s="21"/>
    </row>
    <row r="2375" spans="2:2" x14ac:dyDescent="0.25">
      <c r="B2375" s="21"/>
    </row>
    <row r="2376" spans="2:2" x14ac:dyDescent="0.25">
      <c r="B2376" s="21"/>
    </row>
    <row r="2377" spans="2:2" x14ac:dyDescent="0.25">
      <c r="B2377" s="21"/>
    </row>
    <row r="2378" spans="2:2" x14ac:dyDescent="0.25">
      <c r="B2378" s="21"/>
    </row>
    <row r="2379" spans="2:2" x14ac:dyDescent="0.25">
      <c r="B2379" s="21"/>
    </row>
    <row r="2380" spans="2:2" x14ac:dyDescent="0.25">
      <c r="B2380" s="21"/>
    </row>
    <row r="2381" spans="2:2" x14ac:dyDescent="0.25">
      <c r="B2381" s="21"/>
    </row>
    <row r="2382" spans="2:2" x14ac:dyDescent="0.25">
      <c r="B2382" s="21"/>
    </row>
    <row r="2383" spans="2:2" x14ac:dyDescent="0.25">
      <c r="B2383" s="21"/>
    </row>
    <row r="2384" spans="2:2" x14ac:dyDescent="0.25">
      <c r="B2384" s="21"/>
    </row>
    <row r="2385" spans="2:2" x14ac:dyDescent="0.25">
      <c r="B2385" s="21"/>
    </row>
    <row r="2386" spans="2:2" x14ac:dyDescent="0.25">
      <c r="B2386" s="21"/>
    </row>
    <row r="2387" spans="2:2" x14ac:dyDescent="0.25">
      <c r="B2387" s="21"/>
    </row>
    <row r="2388" spans="2:2" x14ac:dyDescent="0.25">
      <c r="B2388" s="21"/>
    </row>
    <row r="2389" spans="2:2" x14ac:dyDescent="0.25">
      <c r="B2389" s="21"/>
    </row>
    <row r="2390" spans="2:2" x14ac:dyDescent="0.25">
      <c r="B2390" s="21"/>
    </row>
    <row r="2391" spans="2:2" x14ac:dyDescent="0.25">
      <c r="B2391" s="21"/>
    </row>
    <row r="2392" spans="2:2" x14ac:dyDescent="0.25">
      <c r="B2392" s="21"/>
    </row>
    <row r="2393" spans="2:2" x14ac:dyDescent="0.25">
      <c r="B2393" s="21"/>
    </row>
    <row r="2394" spans="2:2" x14ac:dyDescent="0.25">
      <c r="B2394" s="21"/>
    </row>
    <row r="2395" spans="2:2" x14ac:dyDescent="0.25">
      <c r="B2395" s="21"/>
    </row>
    <row r="2396" spans="2:2" x14ac:dyDescent="0.25">
      <c r="B2396" s="21"/>
    </row>
    <row r="2397" spans="2:2" x14ac:dyDescent="0.25">
      <c r="B2397" s="21"/>
    </row>
    <row r="2398" spans="2:2" x14ac:dyDescent="0.25">
      <c r="B2398" s="21"/>
    </row>
    <row r="2399" spans="2:2" x14ac:dyDescent="0.25">
      <c r="B2399" s="21"/>
    </row>
    <row r="2400" spans="2:2" x14ac:dyDescent="0.25">
      <c r="B2400" s="21"/>
    </row>
    <row r="2401" spans="2:2" x14ac:dyDescent="0.25">
      <c r="B2401" s="21"/>
    </row>
    <row r="2402" spans="2:2" x14ac:dyDescent="0.25">
      <c r="B2402" s="21"/>
    </row>
    <row r="2403" spans="2:2" x14ac:dyDescent="0.25">
      <c r="B2403" s="21"/>
    </row>
    <row r="2404" spans="2:2" x14ac:dyDescent="0.25">
      <c r="B2404" s="21"/>
    </row>
    <row r="2405" spans="2:2" x14ac:dyDescent="0.25">
      <c r="B2405" s="21"/>
    </row>
    <row r="2406" spans="2:2" x14ac:dyDescent="0.25">
      <c r="B2406" s="21"/>
    </row>
    <row r="2407" spans="2:2" x14ac:dyDescent="0.25">
      <c r="B2407" s="21"/>
    </row>
    <row r="2408" spans="2:2" x14ac:dyDescent="0.25">
      <c r="B2408" s="21"/>
    </row>
    <row r="2409" spans="2:2" x14ac:dyDescent="0.25">
      <c r="B2409" s="21"/>
    </row>
    <row r="2410" spans="2:2" x14ac:dyDescent="0.25">
      <c r="B2410" s="21"/>
    </row>
    <row r="2411" spans="2:2" x14ac:dyDescent="0.25">
      <c r="B2411" s="21"/>
    </row>
    <row r="2412" spans="2:2" x14ac:dyDescent="0.25">
      <c r="B2412" s="21"/>
    </row>
    <row r="2413" spans="2:2" x14ac:dyDescent="0.25">
      <c r="B2413" s="21"/>
    </row>
    <row r="2414" spans="2:2" x14ac:dyDescent="0.25">
      <c r="B2414" s="21"/>
    </row>
    <row r="2415" spans="2:2" x14ac:dyDescent="0.25">
      <c r="B2415" s="21"/>
    </row>
    <row r="2416" spans="2:2" x14ac:dyDescent="0.25">
      <c r="B2416" s="21"/>
    </row>
    <row r="2417" spans="2:2" x14ac:dyDescent="0.25">
      <c r="B2417" s="21"/>
    </row>
    <row r="2418" spans="2:2" x14ac:dyDescent="0.25">
      <c r="B2418" s="21"/>
    </row>
    <row r="2419" spans="2:2" x14ac:dyDescent="0.25">
      <c r="B2419" s="21"/>
    </row>
    <row r="2420" spans="2:2" x14ac:dyDescent="0.25">
      <c r="B2420" s="21"/>
    </row>
    <row r="2421" spans="2:2" x14ac:dyDescent="0.25">
      <c r="B2421" s="21"/>
    </row>
    <row r="2422" spans="2:2" x14ac:dyDescent="0.25">
      <c r="B2422" s="21"/>
    </row>
    <row r="2423" spans="2:2" x14ac:dyDescent="0.25">
      <c r="B2423" s="21"/>
    </row>
  </sheetData>
  <mergeCells count="4">
    <mergeCell ref="AP1:AP2"/>
    <mergeCell ref="AZ1:AZ2"/>
    <mergeCell ref="BS1:BS2"/>
    <mergeCell ref="BT1:BT2"/>
  </mergeCells>
  <printOptions horizontalCentered="1"/>
  <pageMargins left="0.59055118110236227" right="0.39370078740157483" top="1.1811023622047245" bottom="0.59055118110236227" header="0.51181102362204722" footer="0.51181102362204722"/>
  <pageSetup paperSize="9" scale="61" orientation="portrait" r:id="rId1"/>
  <headerFooter alignWithMargins="0">
    <oddHeader xml:space="preserve">&amp;C&amp;"Times New Roman,Félkövér"&amp;9 &amp;12 Budapest VIII. kerületi Önkormányzat 2020. évi költségvetés
 bevételi és kiadási előirányzatai címrendenként
&amp;R&amp;"Cambria,Félkövér"2. melléklet a ......önkormányzati rendelethez
ezer Ft-ban
</oddHeader>
    <oddFooter>&amp;R
&amp;P</oddFooter>
  </headerFooter>
  <colBreaks count="4" manualBreakCount="4">
    <brk id="42" max="68" man="1"/>
    <brk id="47" max="68" man="1"/>
    <brk id="60" max="68" man="1"/>
    <brk id="66" max="6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V2404"/>
  <sheetViews>
    <sheetView zoomScaleNormal="100" workbookViewId="0">
      <selection activeCell="J15" sqref="J15"/>
    </sheetView>
  </sheetViews>
  <sheetFormatPr defaultRowHeight="13.2" x14ac:dyDescent="0.25"/>
  <cols>
    <col min="1" max="1" width="55.33203125" customWidth="1"/>
    <col min="2" max="2" width="12.6640625" style="9" hidden="1" customWidth="1"/>
    <col min="3" max="3" width="15.6640625" style="9" customWidth="1"/>
    <col min="4" max="4" width="9.6640625" style="9" hidden="1" customWidth="1"/>
    <col min="5" max="17" width="12.6640625" customWidth="1"/>
    <col min="18" max="18" width="10.5546875" bestFit="1" customWidth="1"/>
    <col min="20" max="20" width="9.44140625" bestFit="1" customWidth="1"/>
  </cols>
  <sheetData>
    <row r="1" spans="1:22" s="591" customFormat="1" ht="70.2" customHeight="1" thickBot="1" x14ac:dyDescent="0.3">
      <c r="A1" s="587" t="s">
        <v>817</v>
      </c>
      <c r="B1" s="2596" t="s">
        <v>2336</v>
      </c>
      <c r="C1" s="2597"/>
      <c r="D1" s="2598"/>
      <c r="E1" s="588" t="s">
        <v>848</v>
      </c>
      <c r="F1" s="589" t="s">
        <v>849</v>
      </c>
      <c r="G1" s="589" t="s">
        <v>850</v>
      </c>
      <c r="H1" s="589" t="s">
        <v>851</v>
      </c>
      <c r="I1" s="589" t="s">
        <v>852</v>
      </c>
      <c r="J1" s="589" t="s">
        <v>853</v>
      </c>
      <c r="K1" s="589" t="s">
        <v>854</v>
      </c>
      <c r="L1" s="589" t="s">
        <v>855</v>
      </c>
      <c r="M1" s="589" t="s">
        <v>856</v>
      </c>
      <c r="N1" s="589" t="s">
        <v>746</v>
      </c>
      <c r="O1" s="589" t="s">
        <v>747</v>
      </c>
      <c r="P1" s="589" t="s">
        <v>748</v>
      </c>
      <c r="Q1" s="590" t="s">
        <v>575</v>
      </c>
      <c r="S1" s="596"/>
    </row>
    <row r="2" spans="1:22" ht="15" customHeight="1" thickBot="1" x14ac:dyDescent="0.3">
      <c r="A2" s="207" t="s">
        <v>333</v>
      </c>
      <c r="B2" s="80">
        <v>23918894</v>
      </c>
      <c r="C2" s="228">
        <f>C22</f>
        <v>23963529.600000001</v>
      </c>
      <c r="D2" s="901">
        <f t="shared" ref="D2:P2" si="0">D22</f>
        <v>2086.8080595334145</v>
      </c>
      <c r="E2" s="80">
        <f t="shared" si="0"/>
        <v>1857530.416666667</v>
      </c>
      <c r="F2" s="80">
        <f t="shared" si="0"/>
        <v>1857530.416666667</v>
      </c>
      <c r="G2" s="80">
        <f t="shared" si="0"/>
        <v>1857530.416666667</v>
      </c>
      <c r="H2" s="80">
        <f t="shared" si="0"/>
        <v>1857530.416666667</v>
      </c>
      <c r="I2" s="80">
        <f t="shared" si="0"/>
        <v>1930535.416666667</v>
      </c>
      <c r="J2" s="80">
        <f t="shared" si="0"/>
        <v>2097530.416666667</v>
      </c>
      <c r="K2" s="80">
        <f t="shared" si="0"/>
        <v>2037530.416666667</v>
      </c>
      <c r="L2" s="80">
        <f t="shared" si="0"/>
        <v>2197530.416666667</v>
      </c>
      <c r="M2" s="80">
        <f t="shared" si="0"/>
        <v>1877530.416666667</v>
      </c>
      <c r="N2" s="80">
        <f t="shared" si="0"/>
        <v>1877530.416666667</v>
      </c>
      <c r="O2" s="80">
        <f t="shared" si="0"/>
        <v>1906819.416666667</v>
      </c>
      <c r="P2" s="80">
        <f t="shared" si="0"/>
        <v>2608401.416666667</v>
      </c>
      <c r="Q2" s="228">
        <f>SUM(E2:P2)</f>
        <v>23963530.000000011</v>
      </c>
      <c r="R2" s="560">
        <f>SUM(C2-Q2)</f>
        <v>-0.40000000968575478</v>
      </c>
      <c r="T2" s="560"/>
    </row>
    <row r="3" spans="1:22" ht="15" customHeight="1" x14ac:dyDescent="0.25">
      <c r="A3" s="208" t="s">
        <v>334</v>
      </c>
      <c r="B3" s="4">
        <v>15609953</v>
      </c>
      <c r="C3" s="4">
        <f t="shared" ref="C3:P3" si="1">SUM(C4:C8)</f>
        <v>17644725.600000001</v>
      </c>
      <c r="D3" s="229">
        <f t="shared" si="1"/>
        <v>940.85787348109136</v>
      </c>
      <c r="E3" s="592">
        <f t="shared" si="1"/>
        <v>1463970.916666667</v>
      </c>
      <c r="F3" s="4">
        <f t="shared" si="1"/>
        <v>1463970.916666667</v>
      </c>
      <c r="G3" s="4">
        <f t="shared" si="1"/>
        <v>1463970.916666667</v>
      </c>
      <c r="H3" s="4">
        <f t="shared" si="1"/>
        <v>1463970.916666667</v>
      </c>
      <c r="I3" s="4">
        <f t="shared" si="1"/>
        <v>1463970.916666667</v>
      </c>
      <c r="J3" s="4">
        <f t="shared" si="1"/>
        <v>1463970.916666667</v>
      </c>
      <c r="K3" s="4">
        <f t="shared" si="1"/>
        <v>1463970.916666667</v>
      </c>
      <c r="L3" s="4">
        <f t="shared" si="1"/>
        <v>1463970.916666667</v>
      </c>
      <c r="M3" s="4">
        <f t="shared" si="1"/>
        <v>1463970.916666667</v>
      </c>
      <c r="N3" s="4">
        <f t="shared" si="1"/>
        <v>1463970.916666667</v>
      </c>
      <c r="O3" s="4">
        <f t="shared" si="1"/>
        <v>1463970.916666667</v>
      </c>
      <c r="P3" s="4">
        <f t="shared" si="1"/>
        <v>1541045.916666667</v>
      </c>
      <c r="Q3" s="229">
        <f>SUM(E3:P3)</f>
        <v>17644726.000000007</v>
      </c>
      <c r="R3" s="560">
        <f t="shared" ref="R3:R56" si="2">SUM(C3-Q3)</f>
        <v>-0.40000000596046448</v>
      </c>
      <c r="S3" s="596"/>
      <c r="T3" s="560"/>
    </row>
    <row r="4" spans="1:22" s="596" customFormat="1" ht="15" customHeight="1" x14ac:dyDescent="0.25">
      <c r="A4" s="210" t="s">
        <v>335</v>
      </c>
      <c r="B4" s="387">
        <v>4633350</v>
      </c>
      <c r="C4" s="387">
        <f>SUM(mérleg!N5)</f>
        <v>5824366</v>
      </c>
      <c r="D4" s="2493">
        <v>104.30904205380556</v>
      </c>
      <c r="E4" s="850">
        <v>480000</v>
      </c>
      <c r="F4" s="387">
        <v>480000</v>
      </c>
      <c r="G4" s="387">
        <v>480000</v>
      </c>
      <c r="H4" s="387">
        <v>480000</v>
      </c>
      <c r="I4" s="387">
        <v>480000</v>
      </c>
      <c r="J4" s="387">
        <v>480000</v>
      </c>
      <c r="K4" s="387">
        <v>480000</v>
      </c>
      <c r="L4" s="387">
        <v>480000</v>
      </c>
      <c r="M4" s="387">
        <v>480000</v>
      </c>
      <c r="N4" s="387">
        <v>480000</v>
      </c>
      <c r="O4" s="387">
        <v>480000</v>
      </c>
      <c r="P4" s="387">
        <v>544366</v>
      </c>
      <c r="Q4" s="595">
        <f t="shared" ref="Q4:Q55" si="3">SUM(E4:P4)</f>
        <v>5824366</v>
      </c>
      <c r="R4" s="560">
        <f t="shared" si="2"/>
        <v>0</v>
      </c>
      <c r="T4" s="560"/>
      <c r="V4" s="596">
        <f>38009/12</f>
        <v>3167.4166666666665</v>
      </c>
    </row>
    <row r="5" spans="1:22" s="596" customFormat="1" ht="15" customHeight="1" x14ac:dyDescent="0.25">
      <c r="A5" s="210" t="s">
        <v>336</v>
      </c>
      <c r="B5" s="387">
        <v>1121063</v>
      </c>
      <c r="C5" s="387">
        <f>SUM(mérleg!N6)</f>
        <v>1144427.6000000001</v>
      </c>
      <c r="D5" s="2493">
        <v>93.143828669753617</v>
      </c>
      <c r="E5" s="594">
        <v>94310</v>
      </c>
      <c r="F5" s="388">
        <v>94310</v>
      </c>
      <c r="G5" s="388">
        <v>94310</v>
      </c>
      <c r="H5" s="388">
        <v>94310</v>
      </c>
      <c r="I5" s="388">
        <v>94310</v>
      </c>
      <c r="J5" s="388">
        <v>94310</v>
      </c>
      <c r="K5" s="388">
        <v>94310</v>
      </c>
      <c r="L5" s="388">
        <v>94310</v>
      </c>
      <c r="M5" s="388">
        <v>94310</v>
      </c>
      <c r="N5" s="388">
        <v>94310</v>
      </c>
      <c r="O5" s="388">
        <v>94310</v>
      </c>
      <c r="P5" s="388">
        <f>107013+5</f>
        <v>107018</v>
      </c>
      <c r="Q5" s="595">
        <f t="shared" si="3"/>
        <v>1144428</v>
      </c>
      <c r="R5" s="560">
        <f t="shared" si="2"/>
        <v>-0.39999999990686774</v>
      </c>
      <c r="S5"/>
      <c r="T5" s="560"/>
    </row>
    <row r="6" spans="1:22" s="596" customFormat="1" ht="15" customHeight="1" x14ac:dyDescent="0.25">
      <c r="A6" s="210" t="s">
        <v>337</v>
      </c>
      <c r="B6" s="387">
        <v>6860549</v>
      </c>
      <c r="C6" s="387">
        <f>SUM(mérleg!N7)</f>
        <v>7956784</v>
      </c>
      <c r="D6" s="2493">
        <v>107.80250968253415</v>
      </c>
      <c r="E6" s="594">
        <f>SUM($C$6/12)</f>
        <v>663065.33333333337</v>
      </c>
      <c r="F6" s="388">
        <f t="shared" ref="F6:P6" si="4">SUM($C$6/12)</f>
        <v>663065.33333333337</v>
      </c>
      <c r="G6" s="388">
        <f t="shared" si="4"/>
        <v>663065.33333333337</v>
      </c>
      <c r="H6" s="388">
        <f t="shared" si="4"/>
        <v>663065.33333333337</v>
      </c>
      <c r="I6" s="388">
        <f t="shared" si="4"/>
        <v>663065.33333333337</v>
      </c>
      <c r="J6" s="388">
        <f t="shared" si="4"/>
        <v>663065.33333333337</v>
      </c>
      <c r="K6" s="388">
        <f t="shared" si="4"/>
        <v>663065.33333333337</v>
      </c>
      <c r="L6" s="388">
        <f t="shared" si="4"/>
        <v>663065.33333333337</v>
      </c>
      <c r="M6" s="388">
        <f t="shared" si="4"/>
        <v>663065.33333333337</v>
      </c>
      <c r="N6" s="388">
        <f t="shared" si="4"/>
        <v>663065.33333333337</v>
      </c>
      <c r="O6" s="388">
        <f t="shared" si="4"/>
        <v>663065.33333333337</v>
      </c>
      <c r="P6" s="388">
        <f t="shared" si="4"/>
        <v>663065.33333333337</v>
      </c>
      <c r="Q6" s="595">
        <f t="shared" si="3"/>
        <v>7956783.9999999991</v>
      </c>
      <c r="R6" s="560">
        <f t="shared" si="2"/>
        <v>9.3132257461547852E-10</v>
      </c>
      <c r="T6" s="560"/>
    </row>
    <row r="7" spans="1:22" s="596" customFormat="1" ht="15" customHeight="1" x14ac:dyDescent="0.25">
      <c r="A7" s="210" t="s">
        <v>338</v>
      </c>
      <c r="B7" s="387">
        <v>155730</v>
      </c>
      <c r="C7" s="387">
        <f>SUM(mérleg!N8)</f>
        <v>119429</v>
      </c>
      <c r="D7" s="2493">
        <v>87.2908238618121</v>
      </c>
      <c r="E7" s="594">
        <f>SUM($C$7/12)</f>
        <v>9952.4166666666661</v>
      </c>
      <c r="F7" s="388">
        <f t="shared" ref="F7:P7" si="5">SUM($C$7/12)</f>
        <v>9952.4166666666661</v>
      </c>
      <c r="G7" s="388">
        <f t="shared" si="5"/>
        <v>9952.4166666666661</v>
      </c>
      <c r="H7" s="388">
        <f t="shared" si="5"/>
        <v>9952.4166666666661</v>
      </c>
      <c r="I7" s="388">
        <f t="shared" si="5"/>
        <v>9952.4166666666661</v>
      </c>
      <c r="J7" s="388">
        <f t="shared" si="5"/>
        <v>9952.4166666666661</v>
      </c>
      <c r="K7" s="388">
        <f t="shared" si="5"/>
        <v>9952.4166666666661</v>
      </c>
      <c r="L7" s="388">
        <f t="shared" si="5"/>
        <v>9952.4166666666661</v>
      </c>
      <c r="M7" s="388">
        <f t="shared" si="5"/>
        <v>9952.4166666666661</v>
      </c>
      <c r="N7" s="388">
        <f t="shared" si="5"/>
        <v>9952.4166666666661</v>
      </c>
      <c r="O7" s="388">
        <f t="shared" si="5"/>
        <v>9952.4166666666661</v>
      </c>
      <c r="P7" s="388">
        <f t="shared" si="5"/>
        <v>9952.4166666666661</v>
      </c>
      <c r="Q7" s="595">
        <f t="shared" si="3"/>
        <v>119429.00000000001</v>
      </c>
      <c r="R7" s="560">
        <f t="shared" si="2"/>
        <v>-1.4551915228366852E-11</v>
      </c>
      <c r="T7" s="560"/>
    </row>
    <row r="8" spans="1:22" ht="15" customHeight="1" x14ac:dyDescent="0.25">
      <c r="A8" s="212" t="s">
        <v>339</v>
      </c>
      <c r="B8" s="38">
        <v>2839261</v>
      </c>
      <c r="C8" s="38">
        <f t="shared" ref="C8:O8" si="6">SUM(C9:C13)</f>
        <v>2599719</v>
      </c>
      <c r="D8" s="565">
        <f t="shared" si="6"/>
        <v>548.31166921318595</v>
      </c>
      <c r="E8" s="597">
        <f t="shared" si="6"/>
        <v>216643.16666666666</v>
      </c>
      <c r="F8" s="38">
        <f t="shared" si="6"/>
        <v>216643.16666666666</v>
      </c>
      <c r="G8" s="38">
        <f t="shared" si="6"/>
        <v>216643.16666666666</v>
      </c>
      <c r="H8" s="38">
        <f t="shared" si="6"/>
        <v>216643.16666666666</v>
      </c>
      <c r="I8" s="38">
        <f t="shared" si="6"/>
        <v>216643.16666666666</v>
      </c>
      <c r="J8" s="38">
        <f t="shared" si="6"/>
        <v>216643.16666666666</v>
      </c>
      <c r="K8" s="38">
        <f t="shared" si="6"/>
        <v>216643.16666666666</v>
      </c>
      <c r="L8" s="38">
        <f t="shared" si="6"/>
        <v>216643.16666666666</v>
      </c>
      <c r="M8" s="38">
        <f t="shared" si="6"/>
        <v>216643.16666666666</v>
      </c>
      <c r="N8" s="38">
        <f t="shared" si="6"/>
        <v>216643.16666666666</v>
      </c>
      <c r="O8" s="38">
        <f t="shared" si="6"/>
        <v>216643.16666666666</v>
      </c>
      <c r="P8" s="38">
        <f>SUM(P9:P13)</f>
        <v>216644.16666666666</v>
      </c>
      <c r="Q8" s="230">
        <f t="shared" si="3"/>
        <v>2599719</v>
      </c>
      <c r="R8" s="560">
        <f t="shared" si="2"/>
        <v>0</v>
      </c>
      <c r="S8" s="596"/>
      <c r="T8" s="560"/>
    </row>
    <row r="9" spans="1:22" s="596" customFormat="1" ht="15" customHeight="1" x14ac:dyDescent="0.25">
      <c r="A9" s="210" t="s">
        <v>340</v>
      </c>
      <c r="B9" s="387">
        <v>15758</v>
      </c>
      <c r="C9" s="387">
        <f>SUM(mérleg!N10)</f>
        <v>28717</v>
      </c>
      <c r="D9" s="2493">
        <v>321.90633329102678</v>
      </c>
      <c r="E9" s="594">
        <v>2393</v>
      </c>
      <c r="F9" s="388">
        <v>2393</v>
      </c>
      <c r="G9" s="388">
        <v>2393</v>
      </c>
      <c r="H9" s="388">
        <v>2393</v>
      </c>
      <c r="I9" s="388">
        <v>2393</v>
      </c>
      <c r="J9" s="388">
        <v>2393</v>
      </c>
      <c r="K9" s="388">
        <v>2393</v>
      </c>
      <c r="L9" s="388">
        <v>2393</v>
      </c>
      <c r="M9" s="388">
        <v>2393</v>
      </c>
      <c r="N9" s="388">
        <v>2393</v>
      </c>
      <c r="O9" s="388">
        <v>2393</v>
      </c>
      <c r="P9" s="388">
        <f>2399-5</f>
        <v>2394</v>
      </c>
      <c r="Q9" s="595">
        <f t="shared" si="3"/>
        <v>28717</v>
      </c>
      <c r="R9" s="560">
        <f t="shared" si="2"/>
        <v>0</v>
      </c>
      <c r="T9" s="560"/>
    </row>
    <row r="10" spans="1:22" s="596" customFormat="1" ht="15" customHeight="1" x14ac:dyDescent="0.25">
      <c r="A10" s="210" t="s">
        <v>341</v>
      </c>
      <c r="B10" s="387">
        <v>0</v>
      </c>
      <c r="C10" s="387">
        <f>SUM(mérleg!N11)</f>
        <v>0</v>
      </c>
      <c r="D10" s="2493"/>
      <c r="E10" s="594"/>
      <c r="F10" s="388"/>
      <c r="G10" s="388"/>
      <c r="H10" s="388"/>
      <c r="I10" s="388"/>
      <c r="J10" s="388"/>
      <c r="K10" s="388"/>
      <c r="L10" s="388"/>
      <c r="M10" s="388"/>
      <c r="N10" s="388"/>
      <c r="O10" s="388"/>
      <c r="P10" s="388"/>
      <c r="Q10" s="595">
        <f t="shared" si="3"/>
        <v>0</v>
      </c>
      <c r="R10" s="560">
        <f t="shared" si="2"/>
        <v>0</v>
      </c>
      <c r="S10"/>
      <c r="T10" s="560"/>
    </row>
    <row r="11" spans="1:22" s="596" customFormat="1" ht="15" customHeight="1" x14ac:dyDescent="0.25">
      <c r="A11" s="210" t="s">
        <v>342</v>
      </c>
      <c r="B11" s="387">
        <v>153839</v>
      </c>
      <c r="C11" s="387">
        <f>SUM(mérleg!N12)</f>
        <v>158024</v>
      </c>
      <c r="D11" s="2493">
        <v>78.47619914326016</v>
      </c>
      <c r="E11" s="850">
        <f>SUM($C$11/12)</f>
        <v>13168.666666666666</v>
      </c>
      <c r="F11" s="387">
        <f t="shared" ref="F11:P11" si="7">SUM($C$11/12)</f>
        <v>13168.666666666666</v>
      </c>
      <c r="G11" s="387">
        <f t="shared" si="7"/>
        <v>13168.666666666666</v>
      </c>
      <c r="H11" s="387">
        <f t="shared" si="7"/>
        <v>13168.666666666666</v>
      </c>
      <c r="I11" s="387">
        <f t="shared" si="7"/>
        <v>13168.666666666666</v>
      </c>
      <c r="J11" s="387">
        <f t="shared" si="7"/>
        <v>13168.666666666666</v>
      </c>
      <c r="K11" s="387">
        <f t="shared" si="7"/>
        <v>13168.666666666666</v>
      </c>
      <c r="L11" s="387">
        <f t="shared" si="7"/>
        <v>13168.666666666666</v>
      </c>
      <c r="M11" s="387">
        <f t="shared" si="7"/>
        <v>13168.666666666666</v>
      </c>
      <c r="N11" s="387">
        <f t="shared" si="7"/>
        <v>13168.666666666666</v>
      </c>
      <c r="O11" s="387">
        <f t="shared" si="7"/>
        <v>13168.666666666666</v>
      </c>
      <c r="P11" s="387">
        <f t="shared" si="7"/>
        <v>13168.666666666666</v>
      </c>
      <c r="Q11" s="595">
        <f t="shared" si="3"/>
        <v>158024</v>
      </c>
      <c r="R11" s="560">
        <f t="shared" si="2"/>
        <v>0</v>
      </c>
      <c r="S11"/>
      <c r="T11" s="560"/>
    </row>
    <row r="12" spans="1:22" s="596" customFormat="1" ht="15" customHeight="1" x14ac:dyDescent="0.25">
      <c r="A12" s="210" t="s">
        <v>343</v>
      </c>
      <c r="B12" s="387">
        <v>1976347</v>
      </c>
      <c r="C12" s="387">
        <f>SUM(mérleg!N13)</f>
        <v>2128512</v>
      </c>
      <c r="D12" s="2493">
        <v>97.565306092502993</v>
      </c>
      <c r="E12" s="594">
        <f>SUM($C$12/12)</f>
        <v>177376</v>
      </c>
      <c r="F12" s="388">
        <f t="shared" ref="F12:P12" si="8">SUM($C$12/12)</f>
        <v>177376</v>
      </c>
      <c r="G12" s="388">
        <f t="shared" si="8"/>
        <v>177376</v>
      </c>
      <c r="H12" s="388">
        <f t="shared" si="8"/>
        <v>177376</v>
      </c>
      <c r="I12" s="388">
        <f t="shared" si="8"/>
        <v>177376</v>
      </c>
      <c r="J12" s="388">
        <f t="shared" si="8"/>
        <v>177376</v>
      </c>
      <c r="K12" s="388">
        <f t="shared" si="8"/>
        <v>177376</v>
      </c>
      <c r="L12" s="388">
        <f t="shared" si="8"/>
        <v>177376</v>
      </c>
      <c r="M12" s="388">
        <f t="shared" si="8"/>
        <v>177376</v>
      </c>
      <c r="N12" s="388">
        <f t="shared" si="8"/>
        <v>177376</v>
      </c>
      <c r="O12" s="388">
        <f t="shared" si="8"/>
        <v>177376</v>
      </c>
      <c r="P12" s="388">
        <f t="shared" si="8"/>
        <v>177376</v>
      </c>
      <c r="Q12" s="595">
        <f t="shared" si="3"/>
        <v>2128512</v>
      </c>
      <c r="R12" s="560">
        <f t="shared" si="2"/>
        <v>0</v>
      </c>
      <c r="S12"/>
      <c r="T12" s="560"/>
      <c r="V12" s="596">
        <f>20562/12</f>
        <v>1713.5</v>
      </c>
    </row>
    <row r="13" spans="1:22" s="596" customFormat="1" ht="15" customHeight="1" x14ac:dyDescent="0.25">
      <c r="A13" s="210" t="s">
        <v>344</v>
      </c>
      <c r="B13" s="387">
        <v>693317</v>
      </c>
      <c r="C13" s="387">
        <f>SUM(mérleg!N14)</f>
        <v>284466</v>
      </c>
      <c r="D13" s="2493">
        <v>50.363830686395985</v>
      </c>
      <c r="E13" s="594">
        <f>SUM($C$13/12)</f>
        <v>23705.5</v>
      </c>
      <c r="F13" s="388">
        <f t="shared" ref="F13:P13" si="9">SUM($C$13/12)</f>
        <v>23705.5</v>
      </c>
      <c r="G13" s="388">
        <f t="shared" si="9"/>
        <v>23705.5</v>
      </c>
      <c r="H13" s="388">
        <f t="shared" si="9"/>
        <v>23705.5</v>
      </c>
      <c r="I13" s="388">
        <f t="shared" si="9"/>
        <v>23705.5</v>
      </c>
      <c r="J13" s="388">
        <f t="shared" si="9"/>
        <v>23705.5</v>
      </c>
      <c r="K13" s="388">
        <f t="shared" si="9"/>
        <v>23705.5</v>
      </c>
      <c r="L13" s="388">
        <f t="shared" si="9"/>
        <v>23705.5</v>
      </c>
      <c r="M13" s="388">
        <f t="shared" si="9"/>
        <v>23705.5</v>
      </c>
      <c r="N13" s="388">
        <f t="shared" si="9"/>
        <v>23705.5</v>
      </c>
      <c r="O13" s="388">
        <f t="shared" si="9"/>
        <v>23705.5</v>
      </c>
      <c r="P13" s="388">
        <f t="shared" si="9"/>
        <v>23705.5</v>
      </c>
      <c r="Q13" s="595">
        <f t="shared" si="3"/>
        <v>284466</v>
      </c>
      <c r="R13" s="560">
        <f t="shared" si="2"/>
        <v>0</v>
      </c>
      <c r="S13"/>
      <c r="T13" s="560"/>
    </row>
    <row r="14" spans="1:22" ht="15" customHeight="1" x14ac:dyDescent="0.25">
      <c r="A14" s="212" t="s">
        <v>345</v>
      </c>
      <c r="B14" s="38">
        <v>2614822</v>
      </c>
      <c r="C14" s="38">
        <f>SUM(C15:C17)</f>
        <v>6318804</v>
      </c>
      <c r="D14" s="230">
        <f t="shared" ref="D14:P14" si="10">SUM(D15:D17)</f>
        <v>1145.950186052323</v>
      </c>
      <c r="E14" s="597">
        <f t="shared" si="10"/>
        <v>393559.5</v>
      </c>
      <c r="F14" s="38">
        <f t="shared" si="10"/>
        <v>393559.5</v>
      </c>
      <c r="G14" s="38">
        <f t="shared" si="10"/>
        <v>393559.5</v>
      </c>
      <c r="H14" s="38">
        <f t="shared" si="10"/>
        <v>393559.5</v>
      </c>
      <c r="I14" s="38">
        <f t="shared" si="10"/>
        <v>466564.5</v>
      </c>
      <c r="J14" s="38">
        <f t="shared" si="10"/>
        <v>633559.5</v>
      </c>
      <c r="K14" s="38">
        <f t="shared" si="10"/>
        <v>573559.5</v>
      </c>
      <c r="L14" s="38">
        <f t="shared" si="10"/>
        <v>733559.5</v>
      </c>
      <c r="M14" s="38">
        <f t="shared" si="10"/>
        <v>413559.5</v>
      </c>
      <c r="N14" s="38">
        <f t="shared" si="10"/>
        <v>413559.5</v>
      </c>
      <c r="O14" s="38">
        <f t="shared" si="10"/>
        <v>442848.5</v>
      </c>
      <c r="P14" s="38">
        <f t="shared" si="10"/>
        <v>1067355.5</v>
      </c>
      <c r="Q14" s="230">
        <f t="shared" si="3"/>
        <v>6318804</v>
      </c>
      <c r="R14" s="560">
        <f t="shared" si="2"/>
        <v>0</v>
      </c>
      <c r="S14" s="596"/>
      <c r="T14" s="560"/>
    </row>
    <row r="15" spans="1:22" s="596" customFormat="1" ht="15" customHeight="1" x14ac:dyDescent="0.25">
      <c r="A15" s="210" t="s">
        <v>346</v>
      </c>
      <c r="B15" s="387">
        <v>474804</v>
      </c>
      <c r="C15" s="387">
        <f>SUM(mérleg!N16)</f>
        <v>2541515</v>
      </c>
      <c r="D15" s="593">
        <v>100.51368564713019</v>
      </c>
      <c r="E15" s="850">
        <f>SUM($C$15/12)</f>
        <v>211792.91666666666</v>
      </c>
      <c r="F15" s="387">
        <f t="shared" ref="F15:P15" si="11">SUM($C$15/12)</f>
        <v>211792.91666666666</v>
      </c>
      <c r="G15" s="387">
        <f t="shared" si="11"/>
        <v>211792.91666666666</v>
      </c>
      <c r="H15" s="387">
        <f t="shared" si="11"/>
        <v>211792.91666666666</v>
      </c>
      <c r="I15" s="387">
        <f t="shared" si="11"/>
        <v>211792.91666666666</v>
      </c>
      <c r="J15" s="387">
        <f t="shared" si="11"/>
        <v>211792.91666666666</v>
      </c>
      <c r="K15" s="387">
        <f t="shared" si="11"/>
        <v>211792.91666666666</v>
      </c>
      <c r="L15" s="387">
        <f t="shared" si="11"/>
        <v>211792.91666666666</v>
      </c>
      <c r="M15" s="387">
        <f t="shared" si="11"/>
        <v>211792.91666666666</v>
      </c>
      <c r="N15" s="387">
        <f t="shared" si="11"/>
        <v>211792.91666666666</v>
      </c>
      <c r="O15" s="387">
        <f t="shared" si="11"/>
        <v>211792.91666666666</v>
      </c>
      <c r="P15" s="387">
        <f t="shared" si="11"/>
        <v>211792.91666666666</v>
      </c>
      <c r="Q15" s="595">
        <f t="shared" si="3"/>
        <v>2541515</v>
      </c>
      <c r="R15" s="560">
        <f t="shared" si="2"/>
        <v>0</v>
      </c>
      <c r="T15" s="560"/>
    </row>
    <row r="16" spans="1:22" s="596" customFormat="1" ht="15" customHeight="1" x14ac:dyDescent="0.25">
      <c r="A16" s="210" t="s">
        <v>347</v>
      </c>
      <c r="B16" s="387">
        <v>359531</v>
      </c>
      <c r="C16" s="387">
        <f>SUM(mérleg!N17)</f>
        <v>1971199</v>
      </c>
      <c r="D16" s="593">
        <v>640.6257040422106</v>
      </c>
      <c r="E16" s="594">
        <f>SUM($C$16/12)</f>
        <v>164266.58333333334</v>
      </c>
      <c r="F16" s="388">
        <f t="shared" ref="F16:P16" si="12">SUM($C$16/12)</f>
        <v>164266.58333333334</v>
      </c>
      <c r="G16" s="388">
        <f t="shared" si="12"/>
        <v>164266.58333333334</v>
      </c>
      <c r="H16" s="388">
        <f t="shared" si="12"/>
        <v>164266.58333333334</v>
      </c>
      <c r="I16" s="388">
        <f t="shared" si="12"/>
        <v>164266.58333333334</v>
      </c>
      <c r="J16" s="388">
        <f t="shared" si="12"/>
        <v>164266.58333333334</v>
      </c>
      <c r="K16" s="388">
        <f t="shared" si="12"/>
        <v>164266.58333333334</v>
      </c>
      <c r="L16" s="388">
        <f t="shared" si="12"/>
        <v>164266.58333333334</v>
      </c>
      <c r="M16" s="388">
        <f t="shared" si="12"/>
        <v>164266.58333333334</v>
      </c>
      <c r="N16" s="388">
        <f t="shared" si="12"/>
        <v>164266.58333333334</v>
      </c>
      <c r="O16" s="388">
        <f t="shared" si="12"/>
        <v>164266.58333333334</v>
      </c>
      <c r="P16" s="388">
        <f t="shared" si="12"/>
        <v>164266.58333333334</v>
      </c>
      <c r="Q16" s="595">
        <f>SUM(E16:P16)</f>
        <v>1971198.9999999998</v>
      </c>
      <c r="R16" s="560">
        <f>SUM(C16-Q16)</f>
        <v>2.3283064365386963E-10</v>
      </c>
      <c r="T16" s="560"/>
    </row>
    <row r="17" spans="1:22" ht="15" customHeight="1" x14ac:dyDescent="0.25">
      <c r="A17" s="212" t="s">
        <v>348</v>
      </c>
      <c r="B17" s="38">
        <v>1780487</v>
      </c>
      <c r="C17" s="38">
        <f>SUM(C18:C21)</f>
        <v>1806090</v>
      </c>
      <c r="D17" s="230">
        <f t="shared" ref="D17:P17" si="13">SUM(D18:D21)</f>
        <v>404.81079636298233</v>
      </c>
      <c r="E17" s="597">
        <f t="shared" si="13"/>
        <v>17500</v>
      </c>
      <c r="F17" s="38">
        <f t="shared" si="13"/>
        <v>17500</v>
      </c>
      <c r="G17" s="38">
        <f t="shared" si="13"/>
        <v>17500</v>
      </c>
      <c r="H17" s="38">
        <f t="shared" si="13"/>
        <v>17500</v>
      </c>
      <c r="I17" s="38">
        <f t="shared" si="13"/>
        <v>90505</v>
      </c>
      <c r="J17" s="38">
        <f t="shared" si="13"/>
        <v>257500</v>
      </c>
      <c r="K17" s="38">
        <f t="shared" si="13"/>
        <v>197500</v>
      </c>
      <c r="L17" s="38">
        <f t="shared" si="13"/>
        <v>357500</v>
      </c>
      <c r="M17" s="38">
        <f t="shared" si="13"/>
        <v>37500</v>
      </c>
      <c r="N17" s="38">
        <f t="shared" si="13"/>
        <v>37500</v>
      </c>
      <c r="O17" s="38">
        <f t="shared" si="13"/>
        <v>66789</v>
      </c>
      <c r="P17" s="38">
        <f t="shared" si="13"/>
        <v>691296</v>
      </c>
      <c r="Q17" s="230">
        <f t="shared" si="3"/>
        <v>1806090</v>
      </c>
      <c r="R17" s="560">
        <f t="shared" si="2"/>
        <v>0</v>
      </c>
      <c r="S17" s="596"/>
      <c r="T17" s="560"/>
    </row>
    <row r="18" spans="1:22" s="596" customFormat="1" ht="15" customHeight="1" x14ac:dyDescent="0.25">
      <c r="A18" s="210" t="s">
        <v>349</v>
      </c>
      <c r="B18" s="387">
        <v>400000</v>
      </c>
      <c r="C18" s="387">
        <f>SUM(mérleg!N19)</f>
        <v>150000</v>
      </c>
      <c r="D18" s="593">
        <v>125</v>
      </c>
      <c r="E18" s="850"/>
      <c r="F18" s="387"/>
      <c r="G18" s="387"/>
      <c r="H18" s="387"/>
      <c r="I18" s="387">
        <v>10000</v>
      </c>
      <c r="J18" s="387">
        <v>70000</v>
      </c>
      <c r="K18" s="387">
        <v>70000</v>
      </c>
      <c r="L18" s="387"/>
      <c r="M18" s="387"/>
      <c r="N18" s="387"/>
      <c r="O18" s="387"/>
      <c r="P18" s="387"/>
      <c r="Q18" s="595">
        <f t="shared" si="3"/>
        <v>150000</v>
      </c>
      <c r="R18" s="560">
        <f t="shared" si="2"/>
        <v>0</v>
      </c>
      <c r="T18" s="560"/>
    </row>
    <row r="19" spans="1:22" s="596" customFormat="1" ht="15" customHeight="1" x14ac:dyDescent="0.25">
      <c r="A19" s="210" t="s">
        <v>350</v>
      </c>
      <c r="B19" s="387">
        <v>15300</v>
      </c>
      <c r="C19" s="387">
        <f>SUM(mérleg!N20)</f>
        <v>15300</v>
      </c>
      <c r="D19" s="593">
        <v>100</v>
      </c>
      <c r="E19" s="594"/>
      <c r="F19" s="388"/>
      <c r="G19" s="388"/>
      <c r="H19" s="388"/>
      <c r="I19" s="388"/>
      <c r="J19" s="388"/>
      <c r="K19" s="388"/>
      <c r="L19" s="388"/>
      <c r="M19" s="388"/>
      <c r="N19" s="388"/>
      <c r="O19" s="388"/>
      <c r="P19" s="388">
        <v>15300</v>
      </c>
      <c r="Q19" s="595">
        <f t="shared" si="3"/>
        <v>15300</v>
      </c>
      <c r="R19" s="560">
        <f t="shared" si="2"/>
        <v>0</v>
      </c>
      <c r="T19" s="560"/>
    </row>
    <row r="20" spans="1:22" s="596" customFormat="1" ht="15" customHeight="1" x14ac:dyDescent="0.25">
      <c r="A20" s="210" t="s">
        <v>351</v>
      </c>
      <c r="B20" s="387">
        <v>691565</v>
      </c>
      <c r="C20" s="387">
        <f>SUM(mérleg!N21)</f>
        <v>879754</v>
      </c>
      <c r="D20" s="593">
        <v>117.00895794321575</v>
      </c>
      <c r="E20" s="594">
        <f>7500+10000</f>
        <v>17500</v>
      </c>
      <c r="F20" s="388">
        <f t="shared" ref="F20:H20" si="14">7500+10000</f>
        <v>17500</v>
      </c>
      <c r="G20" s="388">
        <f t="shared" si="14"/>
        <v>17500</v>
      </c>
      <c r="H20" s="388">
        <f t="shared" si="14"/>
        <v>17500</v>
      </c>
      <c r="I20" s="388">
        <f>10000+40005+7500+10000</f>
        <v>67505</v>
      </c>
      <c r="J20" s="388">
        <f>70000+7500+50000</f>
        <v>127500</v>
      </c>
      <c r="K20" s="388">
        <f>70000+7500+50000</f>
        <v>127500</v>
      </c>
      <c r="L20" s="388">
        <f>300000+7500+50000</f>
        <v>357500</v>
      </c>
      <c r="M20" s="388">
        <f>7500+30000</f>
        <v>37500</v>
      </c>
      <c r="N20" s="388">
        <f>7500+30000</f>
        <v>37500</v>
      </c>
      <c r="O20" s="388">
        <f>7500+20000</f>
        <v>27500</v>
      </c>
      <c r="P20" s="388">
        <f>7500+19749</f>
        <v>27249</v>
      </c>
      <c r="Q20" s="595">
        <f t="shared" si="3"/>
        <v>879754</v>
      </c>
      <c r="R20" s="560">
        <f t="shared" si="2"/>
        <v>0</v>
      </c>
      <c r="T20" s="560"/>
    </row>
    <row r="21" spans="1:22" s="596" customFormat="1" ht="15" customHeight="1" x14ac:dyDescent="0.25">
      <c r="A21" s="210" t="s">
        <v>352</v>
      </c>
      <c r="B21" s="387">
        <v>673622</v>
      </c>
      <c r="C21" s="387">
        <f>SUM(mérleg!N22)</f>
        <v>761036</v>
      </c>
      <c r="D21" s="593">
        <v>62.801838419766575</v>
      </c>
      <c r="E21" s="594"/>
      <c r="F21" s="388"/>
      <c r="G21" s="388"/>
      <c r="H21" s="388"/>
      <c r="I21" s="388">
        <v>13000</v>
      </c>
      <c r="J21" s="388">
        <v>60000</v>
      </c>
      <c r="K21" s="388"/>
      <c r="L21" s="388"/>
      <c r="M21" s="388"/>
      <c r="N21" s="388"/>
      <c r="O21" s="388">
        <v>39289</v>
      </c>
      <c r="P21" s="388">
        <v>648747</v>
      </c>
      <c r="Q21" s="595">
        <f t="shared" si="3"/>
        <v>761036</v>
      </c>
      <c r="R21" s="560">
        <f t="shared" si="2"/>
        <v>0</v>
      </c>
      <c r="S21"/>
      <c r="T21" s="560"/>
    </row>
    <row r="22" spans="1:22" ht="15" customHeight="1" thickBot="1" x14ac:dyDescent="0.3">
      <c r="A22" s="214" t="s">
        <v>353</v>
      </c>
      <c r="B22" s="81">
        <v>18224775</v>
      </c>
      <c r="C22" s="81">
        <f t="shared" ref="C22:P22" si="15">SUM(C3+C14)</f>
        <v>23963529.600000001</v>
      </c>
      <c r="D22" s="231">
        <f t="shared" si="15"/>
        <v>2086.8080595334145</v>
      </c>
      <c r="E22" s="598">
        <f t="shared" si="15"/>
        <v>1857530.416666667</v>
      </c>
      <c r="F22" s="81">
        <f t="shared" si="15"/>
        <v>1857530.416666667</v>
      </c>
      <c r="G22" s="81">
        <f t="shared" si="15"/>
        <v>1857530.416666667</v>
      </c>
      <c r="H22" s="81">
        <f t="shared" si="15"/>
        <v>1857530.416666667</v>
      </c>
      <c r="I22" s="81">
        <f t="shared" si="15"/>
        <v>1930535.416666667</v>
      </c>
      <c r="J22" s="81">
        <f t="shared" si="15"/>
        <v>2097530.416666667</v>
      </c>
      <c r="K22" s="81">
        <f t="shared" si="15"/>
        <v>2037530.416666667</v>
      </c>
      <c r="L22" s="81">
        <f t="shared" si="15"/>
        <v>2197530.416666667</v>
      </c>
      <c r="M22" s="81">
        <f t="shared" si="15"/>
        <v>1877530.416666667</v>
      </c>
      <c r="N22" s="81">
        <f t="shared" si="15"/>
        <v>1877530.416666667</v>
      </c>
      <c r="O22" s="81">
        <f t="shared" si="15"/>
        <v>1906819.416666667</v>
      </c>
      <c r="P22" s="81">
        <f t="shared" si="15"/>
        <v>2608401.416666667</v>
      </c>
      <c r="Q22" s="231">
        <f t="shared" si="3"/>
        <v>23963530.000000011</v>
      </c>
      <c r="R22" s="560">
        <f t="shared" si="2"/>
        <v>-0.40000000968575478</v>
      </c>
      <c r="S22" s="596"/>
      <c r="T22" s="560"/>
    </row>
    <row r="23" spans="1:22" ht="15" customHeight="1" thickBot="1" x14ac:dyDescent="0.3">
      <c r="A23" s="207" t="s">
        <v>489</v>
      </c>
      <c r="B23" s="80">
        <v>23918894</v>
      </c>
      <c r="C23" s="80">
        <f>SUM(C48+C49)</f>
        <v>23963529.763999999</v>
      </c>
      <c r="D23" s="228">
        <f t="shared" ref="D23:P23" si="16">SUM(D48+D49)</f>
        <v>821.70290321996572</v>
      </c>
      <c r="E23" s="599">
        <f t="shared" si="16"/>
        <v>6481147.5636666669</v>
      </c>
      <c r="F23" s="80">
        <f t="shared" si="16"/>
        <v>932522.56366666663</v>
      </c>
      <c r="G23" s="80">
        <f t="shared" si="16"/>
        <v>1769151.5636666669</v>
      </c>
      <c r="H23" s="80">
        <f t="shared" si="16"/>
        <v>3319151.5636666664</v>
      </c>
      <c r="I23" s="80">
        <f t="shared" si="16"/>
        <v>932522.56366666663</v>
      </c>
      <c r="J23" s="80">
        <f t="shared" si="16"/>
        <v>992522.56366666663</v>
      </c>
      <c r="K23" s="80">
        <f t="shared" si="16"/>
        <v>1034372.5636666666</v>
      </c>
      <c r="L23" s="80">
        <f t="shared" si="16"/>
        <v>982522.56366666663</v>
      </c>
      <c r="M23" s="80">
        <f t="shared" si="16"/>
        <v>1819151.5636666669</v>
      </c>
      <c r="N23" s="80">
        <f t="shared" si="16"/>
        <v>3298787.5636666664</v>
      </c>
      <c r="O23" s="80">
        <f t="shared" si="16"/>
        <v>932525.56366666663</v>
      </c>
      <c r="P23" s="80">
        <f t="shared" si="16"/>
        <v>1469151.5636666669</v>
      </c>
      <c r="Q23" s="228">
        <f t="shared" si="3"/>
        <v>23963529.763999999</v>
      </c>
      <c r="R23" s="560">
        <f t="shared" si="2"/>
        <v>0</v>
      </c>
      <c r="S23" s="596"/>
      <c r="T23" s="560"/>
    </row>
    <row r="24" spans="1:22" ht="15" customHeight="1" x14ac:dyDescent="0.25">
      <c r="A24" s="457" t="s">
        <v>354</v>
      </c>
      <c r="B24" s="562">
        <v>14896319</v>
      </c>
      <c r="C24" s="563">
        <f t="shared" ref="C24:P24" si="17">SUM(C25+C31+C32+C33)</f>
        <v>17272754.763999999</v>
      </c>
      <c r="D24" s="600">
        <f t="shared" si="17"/>
        <v>465.31593082368983</v>
      </c>
      <c r="E24" s="592">
        <f t="shared" si="17"/>
        <v>863330.897</v>
      </c>
      <c r="F24" s="4">
        <f t="shared" si="17"/>
        <v>863330.897</v>
      </c>
      <c r="G24" s="4">
        <f t="shared" si="17"/>
        <v>1699959.8970000001</v>
      </c>
      <c r="H24" s="4">
        <f t="shared" si="17"/>
        <v>3199959.8969999999</v>
      </c>
      <c r="I24" s="4">
        <f t="shared" si="17"/>
        <v>863330.897</v>
      </c>
      <c r="J24" s="4">
        <f t="shared" si="17"/>
        <v>863330.897</v>
      </c>
      <c r="K24" s="4">
        <f t="shared" si="17"/>
        <v>863330.897</v>
      </c>
      <c r="L24" s="4">
        <f t="shared" si="17"/>
        <v>863330.897</v>
      </c>
      <c r="M24" s="4">
        <f t="shared" si="17"/>
        <v>1699959.8970000001</v>
      </c>
      <c r="N24" s="4">
        <f t="shared" si="17"/>
        <v>3229595.8969999999</v>
      </c>
      <c r="O24" s="4">
        <f t="shared" si="17"/>
        <v>863333.897</v>
      </c>
      <c r="P24" s="4">
        <f t="shared" si="17"/>
        <v>1399959.8970000001</v>
      </c>
      <c r="Q24" s="229">
        <f t="shared" si="3"/>
        <v>17272754.763999999</v>
      </c>
      <c r="R24" s="560">
        <f t="shared" si="2"/>
        <v>0</v>
      </c>
      <c r="T24" s="560"/>
    </row>
    <row r="25" spans="1:22" ht="30" customHeight="1" x14ac:dyDescent="0.25">
      <c r="A25" s="219" t="s">
        <v>355</v>
      </c>
      <c r="B25" s="38">
        <v>3048920</v>
      </c>
      <c r="C25" s="230">
        <f t="shared" ref="C25:P25" si="18">SUM(C26:C30)</f>
        <v>3631058.764</v>
      </c>
      <c r="D25" s="601">
        <f t="shared" si="18"/>
        <v>223.41596561822681</v>
      </c>
      <c r="E25" s="597">
        <f t="shared" si="18"/>
        <v>302588.23033333337</v>
      </c>
      <c r="F25" s="38">
        <f t="shared" si="18"/>
        <v>302588.23033333337</v>
      </c>
      <c r="G25" s="38">
        <f t="shared" si="18"/>
        <v>302588.23033333337</v>
      </c>
      <c r="H25" s="38">
        <f t="shared" si="18"/>
        <v>302588.23033333337</v>
      </c>
      <c r="I25" s="38">
        <f t="shared" si="18"/>
        <v>302588.23033333337</v>
      </c>
      <c r="J25" s="38">
        <f t="shared" si="18"/>
        <v>302588.23033333337</v>
      </c>
      <c r="K25" s="38">
        <f t="shared" si="18"/>
        <v>302588.23033333337</v>
      </c>
      <c r="L25" s="38">
        <f t="shared" si="18"/>
        <v>302588.23033333337</v>
      </c>
      <c r="M25" s="38">
        <f t="shared" si="18"/>
        <v>302588.23033333337</v>
      </c>
      <c r="N25" s="38">
        <f t="shared" si="18"/>
        <v>302588.23033333337</v>
      </c>
      <c r="O25" s="38">
        <f t="shared" si="18"/>
        <v>302588.23033333337</v>
      </c>
      <c r="P25" s="38">
        <f t="shared" si="18"/>
        <v>302588.23033333337</v>
      </c>
      <c r="Q25" s="230">
        <f>SUM(E25:P25)</f>
        <v>3631058.7640000004</v>
      </c>
      <c r="R25" s="560">
        <f t="shared" si="2"/>
        <v>-4.6566128730773926E-10</v>
      </c>
      <c r="T25" s="560"/>
    </row>
    <row r="26" spans="1:22" s="596" customFormat="1" ht="15" customHeight="1" x14ac:dyDescent="0.25">
      <c r="A26" s="218" t="s">
        <v>356</v>
      </c>
      <c r="B26" s="387">
        <v>1666212</v>
      </c>
      <c r="C26" s="572">
        <f>SUM(mérleg!N27)</f>
        <v>2019674.764</v>
      </c>
      <c r="D26" s="602">
        <v>100.00408111332773</v>
      </c>
      <c r="E26" s="850">
        <f>SUM($C$26/12)</f>
        <v>168306.23033333334</v>
      </c>
      <c r="F26" s="387">
        <f t="shared" ref="F26:P26" si="19">SUM($C$26/12)</f>
        <v>168306.23033333334</v>
      </c>
      <c r="G26" s="387">
        <f t="shared" si="19"/>
        <v>168306.23033333334</v>
      </c>
      <c r="H26" s="387">
        <f t="shared" si="19"/>
        <v>168306.23033333334</v>
      </c>
      <c r="I26" s="387">
        <f t="shared" si="19"/>
        <v>168306.23033333334</v>
      </c>
      <c r="J26" s="387">
        <f t="shared" si="19"/>
        <v>168306.23033333334</v>
      </c>
      <c r="K26" s="387">
        <f t="shared" si="19"/>
        <v>168306.23033333334</v>
      </c>
      <c r="L26" s="387">
        <f t="shared" si="19"/>
        <v>168306.23033333334</v>
      </c>
      <c r="M26" s="387">
        <f t="shared" si="19"/>
        <v>168306.23033333334</v>
      </c>
      <c r="N26" s="387">
        <f t="shared" si="19"/>
        <v>168306.23033333334</v>
      </c>
      <c r="O26" s="387">
        <f t="shared" si="19"/>
        <v>168306.23033333334</v>
      </c>
      <c r="P26" s="387">
        <f t="shared" si="19"/>
        <v>168306.23033333334</v>
      </c>
      <c r="Q26" s="595">
        <f t="shared" si="3"/>
        <v>2019674.7640000002</v>
      </c>
      <c r="R26" s="560">
        <f t="shared" si="2"/>
        <v>-2.3283064365386963E-10</v>
      </c>
      <c r="T26" s="560"/>
    </row>
    <row r="27" spans="1:22" s="596" customFormat="1" ht="15" customHeight="1" x14ac:dyDescent="0.25">
      <c r="A27" s="218" t="s">
        <v>357</v>
      </c>
      <c r="B27" s="387">
        <v>0</v>
      </c>
      <c r="C27" s="572">
        <f>SUM(mérleg!N28)</f>
        <v>0</v>
      </c>
      <c r="D27" s="602"/>
      <c r="E27" s="594"/>
      <c r="F27" s="388"/>
      <c r="G27" s="388"/>
      <c r="H27" s="388"/>
      <c r="I27" s="388"/>
      <c r="J27" s="388"/>
      <c r="K27" s="388"/>
      <c r="L27" s="388"/>
      <c r="M27" s="388"/>
      <c r="N27" s="388"/>
      <c r="O27" s="388"/>
      <c r="P27" s="388"/>
      <c r="Q27" s="595">
        <f t="shared" si="3"/>
        <v>0</v>
      </c>
      <c r="R27" s="560">
        <f t="shared" si="2"/>
        <v>0</v>
      </c>
      <c r="T27" s="560"/>
    </row>
    <row r="28" spans="1:22" s="596" customFormat="1" ht="15" customHeight="1" x14ac:dyDescent="0.25">
      <c r="A28" s="218" t="s">
        <v>358</v>
      </c>
      <c r="B28" s="387">
        <v>0</v>
      </c>
      <c r="C28" s="572">
        <f>SUM(mérleg!N29)</f>
        <v>0</v>
      </c>
      <c r="D28" s="602"/>
      <c r="E28" s="594"/>
      <c r="F28" s="388"/>
      <c r="G28" s="388"/>
      <c r="H28" s="388"/>
      <c r="I28" s="388"/>
      <c r="J28" s="388"/>
      <c r="K28" s="388"/>
      <c r="L28" s="388"/>
      <c r="M28" s="388"/>
      <c r="N28" s="388"/>
      <c r="O28" s="388"/>
      <c r="P28" s="388"/>
      <c r="Q28" s="595">
        <f t="shared" si="3"/>
        <v>0</v>
      </c>
      <c r="R28" s="560">
        <f t="shared" si="2"/>
        <v>0</v>
      </c>
      <c r="T28" s="560"/>
    </row>
    <row r="29" spans="1:22" s="596" customFormat="1" ht="15" customHeight="1" x14ac:dyDescent="0.25">
      <c r="A29" s="218" t="s">
        <v>359</v>
      </c>
      <c r="B29" s="387">
        <v>0</v>
      </c>
      <c r="C29" s="572">
        <f>SUM(mérleg!N30)</f>
        <v>0</v>
      </c>
      <c r="D29" s="602"/>
      <c r="E29" s="594"/>
      <c r="F29" s="388"/>
      <c r="G29" s="388"/>
      <c r="H29" s="388"/>
      <c r="I29" s="388"/>
      <c r="J29" s="388"/>
      <c r="K29" s="388"/>
      <c r="L29" s="388"/>
      <c r="M29" s="388"/>
      <c r="N29" s="388"/>
      <c r="O29" s="388"/>
      <c r="P29" s="388"/>
      <c r="Q29" s="595">
        <f t="shared" si="3"/>
        <v>0</v>
      </c>
      <c r="R29" s="560">
        <f t="shared" si="2"/>
        <v>0</v>
      </c>
      <c r="T29" s="560"/>
    </row>
    <row r="30" spans="1:22" s="596" customFormat="1" ht="15" customHeight="1" x14ac:dyDescent="0.25">
      <c r="A30" s="218" t="s">
        <v>360</v>
      </c>
      <c r="B30" s="387">
        <v>1382708</v>
      </c>
      <c r="C30" s="572">
        <f>SUM(mérleg!N31)</f>
        <v>1611384</v>
      </c>
      <c r="D30" s="602">
        <v>123.41188450489908</v>
      </c>
      <c r="E30" s="850">
        <f>SUM($C$30/12)</f>
        <v>134282</v>
      </c>
      <c r="F30" s="387">
        <f t="shared" ref="F30:P30" si="20">SUM($C$30/12)</f>
        <v>134282</v>
      </c>
      <c r="G30" s="387">
        <f t="shared" si="20"/>
        <v>134282</v>
      </c>
      <c r="H30" s="387">
        <f t="shared" si="20"/>
        <v>134282</v>
      </c>
      <c r="I30" s="387">
        <f t="shared" si="20"/>
        <v>134282</v>
      </c>
      <c r="J30" s="387">
        <f t="shared" si="20"/>
        <v>134282</v>
      </c>
      <c r="K30" s="387">
        <f t="shared" si="20"/>
        <v>134282</v>
      </c>
      <c r="L30" s="387">
        <f t="shared" si="20"/>
        <v>134282</v>
      </c>
      <c r="M30" s="387">
        <f t="shared" si="20"/>
        <v>134282</v>
      </c>
      <c r="N30" s="387">
        <f t="shared" si="20"/>
        <v>134282</v>
      </c>
      <c r="O30" s="387">
        <f t="shared" si="20"/>
        <v>134282</v>
      </c>
      <c r="P30" s="387">
        <f t="shared" si="20"/>
        <v>134282</v>
      </c>
      <c r="Q30" s="595">
        <f t="shared" si="3"/>
        <v>1611384</v>
      </c>
      <c r="R30" s="560">
        <f t="shared" si="2"/>
        <v>0</v>
      </c>
      <c r="T30" s="560"/>
      <c r="V30" s="596">
        <f>38009/12</f>
        <v>3167.4166666666665</v>
      </c>
    </row>
    <row r="31" spans="1:22" s="596" customFormat="1" ht="15" customHeight="1" x14ac:dyDescent="0.25">
      <c r="A31" s="218" t="s">
        <v>361</v>
      </c>
      <c r="B31" s="387">
        <v>7591496</v>
      </c>
      <c r="C31" s="572">
        <f>SUM(mérleg!N32)</f>
        <v>8873236</v>
      </c>
      <c r="D31" s="602">
        <v>95.355711179983487</v>
      </c>
      <c r="E31" s="594">
        <v>163371</v>
      </c>
      <c r="F31" s="388">
        <v>163371</v>
      </c>
      <c r="G31" s="388">
        <v>1000000</v>
      </c>
      <c r="H31" s="388">
        <v>2500000</v>
      </c>
      <c r="I31" s="388">
        <v>163371</v>
      </c>
      <c r="J31" s="388">
        <v>163371</v>
      </c>
      <c r="K31" s="388">
        <v>163371</v>
      </c>
      <c r="L31" s="388">
        <v>163371</v>
      </c>
      <c r="M31" s="388">
        <v>1000000</v>
      </c>
      <c r="N31" s="388">
        <v>2529636</v>
      </c>
      <c r="O31" s="388">
        <v>163374</v>
      </c>
      <c r="P31" s="388">
        <v>700000</v>
      </c>
      <c r="Q31" s="595">
        <f>SUM(E31:P31)</f>
        <v>8873236</v>
      </c>
      <c r="R31" s="560">
        <f t="shared" si="2"/>
        <v>0</v>
      </c>
      <c r="T31" s="560"/>
    </row>
    <row r="32" spans="1:22" s="596" customFormat="1" ht="15" customHeight="1" x14ac:dyDescent="0.25">
      <c r="A32" s="218" t="s">
        <v>362</v>
      </c>
      <c r="B32" s="387">
        <v>4050523</v>
      </c>
      <c r="C32" s="572">
        <f>SUM(mérleg!N33)</f>
        <v>4522596</v>
      </c>
      <c r="D32" s="602">
        <v>105.15755619706393</v>
      </c>
      <c r="E32" s="594">
        <f>SUM($C$32/12)</f>
        <v>376883</v>
      </c>
      <c r="F32" s="388">
        <f t="shared" ref="F32:P32" si="21">SUM($C$32/12)</f>
        <v>376883</v>
      </c>
      <c r="G32" s="388">
        <f t="shared" si="21"/>
        <v>376883</v>
      </c>
      <c r="H32" s="388">
        <f t="shared" si="21"/>
        <v>376883</v>
      </c>
      <c r="I32" s="388">
        <f t="shared" si="21"/>
        <v>376883</v>
      </c>
      <c r="J32" s="388">
        <f t="shared" si="21"/>
        <v>376883</v>
      </c>
      <c r="K32" s="388">
        <f t="shared" si="21"/>
        <v>376883</v>
      </c>
      <c r="L32" s="388">
        <f t="shared" si="21"/>
        <v>376883</v>
      </c>
      <c r="M32" s="388">
        <f t="shared" si="21"/>
        <v>376883</v>
      </c>
      <c r="N32" s="388">
        <f t="shared" si="21"/>
        <v>376883</v>
      </c>
      <c r="O32" s="388">
        <f t="shared" si="21"/>
        <v>376883</v>
      </c>
      <c r="P32" s="388">
        <f t="shared" si="21"/>
        <v>376883</v>
      </c>
      <c r="Q32" s="595">
        <f t="shared" si="3"/>
        <v>4522596</v>
      </c>
      <c r="R32" s="560">
        <f t="shared" si="2"/>
        <v>0</v>
      </c>
      <c r="T32" s="560"/>
    </row>
    <row r="33" spans="1:20" ht="15" customHeight="1" x14ac:dyDescent="0.25">
      <c r="A33" s="219" t="s">
        <v>363</v>
      </c>
      <c r="B33" s="565">
        <v>205380</v>
      </c>
      <c r="C33" s="230">
        <f t="shared" ref="C33:P33" si="22">SUM(C34:C35)</f>
        <v>245864</v>
      </c>
      <c r="D33" s="597">
        <f t="shared" si="22"/>
        <v>41.38669782841562</v>
      </c>
      <c r="E33" s="597">
        <f t="shared" si="22"/>
        <v>20488.666666666668</v>
      </c>
      <c r="F33" s="38">
        <f t="shared" si="22"/>
        <v>20488.666666666668</v>
      </c>
      <c r="G33" s="38">
        <f t="shared" si="22"/>
        <v>20488.666666666668</v>
      </c>
      <c r="H33" s="38">
        <f t="shared" si="22"/>
        <v>20488.666666666668</v>
      </c>
      <c r="I33" s="38">
        <f t="shared" si="22"/>
        <v>20488.666666666668</v>
      </c>
      <c r="J33" s="38">
        <f t="shared" si="22"/>
        <v>20488.666666666668</v>
      </c>
      <c r="K33" s="38">
        <f t="shared" si="22"/>
        <v>20488.666666666668</v>
      </c>
      <c r="L33" s="38">
        <f t="shared" si="22"/>
        <v>20488.666666666668</v>
      </c>
      <c r="M33" s="38">
        <f t="shared" si="22"/>
        <v>20488.666666666668</v>
      </c>
      <c r="N33" s="38">
        <f t="shared" si="22"/>
        <v>20488.666666666668</v>
      </c>
      <c r="O33" s="38">
        <f t="shared" si="22"/>
        <v>20488.666666666668</v>
      </c>
      <c r="P33" s="38">
        <f t="shared" si="22"/>
        <v>20488.666666666668</v>
      </c>
      <c r="Q33" s="230">
        <f t="shared" si="3"/>
        <v>245863.99999999997</v>
      </c>
      <c r="R33" s="560">
        <f t="shared" si="2"/>
        <v>2.9103830456733704E-11</v>
      </c>
      <c r="T33" s="560"/>
    </row>
    <row r="34" spans="1:20" s="596" customFormat="1" ht="15" customHeight="1" x14ac:dyDescent="0.25">
      <c r="A34" s="218" t="s">
        <v>364</v>
      </c>
      <c r="B34" s="387">
        <v>0</v>
      </c>
      <c r="C34" s="572">
        <f>SUM(mérleg!N35)</f>
        <v>0</v>
      </c>
      <c r="D34" s="602"/>
      <c r="E34" s="594">
        <f t="shared" ref="E34:P34" si="23">SUM($C34/12)</f>
        <v>0</v>
      </c>
      <c r="F34" s="388">
        <f t="shared" si="23"/>
        <v>0</v>
      </c>
      <c r="G34" s="388">
        <f t="shared" si="23"/>
        <v>0</v>
      </c>
      <c r="H34" s="388">
        <f t="shared" si="23"/>
        <v>0</v>
      </c>
      <c r="I34" s="388">
        <f t="shared" si="23"/>
        <v>0</v>
      </c>
      <c r="J34" s="388">
        <f t="shared" si="23"/>
        <v>0</v>
      </c>
      <c r="K34" s="388">
        <f t="shared" si="23"/>
        <v>0</v>
      </c>
      <c r="L34" s="388">
        <f t="shared" si="23"/>
        <v>0</v>
      </c>
      <c r="M34" s="388">
        <f t="shared" si="23"/>
        <v>0</v>
      </c>
      <c r="N34" s="388">
        <f t="shared" si="23"/>
        <v>0</v>
      </c>
      <c r="O34" s="388">
        <f t="shared" si="23"/>
        <v>0</v>
      </c>
      <c r="P34" s="388">
        <f t="shared" si="23"/>
        <v>0</v>
      </c>
      <c r="Q34" s="595">
        <f t="shared" si="3"/>
        <v>0</v>
      </c>
      <c r="R34" s="560">
        <f t="shared" si="2"/>
        <v>0</v>
      </c>
      <c r="T34" s="560"/>
    </row>
    <row r="35" spans="1:20" s="596" customFormat="1" ht="15" customHeight="1" x14ac:dyDescent="0.25">
      <c r="A35" s="218" t="s">
        <v>365</v>
      </c>
      <c r="B35" s="387">
        <v>205380</v>
      </c>
      <c r="C35" s="572">
        <f>SUM(mérleg!N36)</f>
        <v>245864</v>
      </c>
      <c r="D35" s="602">
        <v>41.38669782841562</v>
      </c>
      <c r="E35" s="850">
        <f>SUM($C$35/12)</f>
        <v>20488.666666666668</v>
      </c>
      <c r="F35" s="387">
        <f t="shared" ref="F35:P35" si="24">SUM($C$35/12)</f>
        <v>20488.666666666668</v>
      </c>
      <c r="G35" s="387">
        <f t="shared" si="24"/>
        <v>20488.666666666668</v>
      </c>
      <c r="H35" s="387">
        <f t="shared" si="24"/>
        <v>20488.666666666668</v>
      </c>
      <c r="I35" s="387">
        <f t="shared" si="24"/>
        <v>20488.666666666668</v>
      </c>
      <c r="J35" s="387">
        <f t="shared" si="24"/>
        <v>20488.666666666668</v>
      </c>
      <c r="K35" s="387">
        <f t="shared" si="24"/>
        <v>20488.666666666668</v>
      </c>
      <c r="L35" s="387">
        <f t="shared" si="24"/>
        <v>20488.666666666668</v>
      </c>
      <c r="M35" s="387">
        <f t="shared" si="24"/>
        <v>20488.666666666668</v>
      </c>
      <c r="N35" s="387">
        <f t="shared" si="24"/>
        <v>20488.666666666668</v>
      </c>
      <c r="O35" s="387">
        <f t="shared" si="24"/>
        <v>20488.666666666668</v>
      </c>
      <c r="P35" s="387">
        <f t="shared" si="24"/>
        <v>20488.666666666668</v>
      </c>
      <c r="Q35" s="595">
        <f t="shared" si="3"/>
        <v>245863.99999999997</v>
      </c>
      <c r="R35" s="560">
        <f t="shared" si="2"/>
        <v>2.9103830456733704E-11</v>
      </c>
      <c r="T35" s="560"/>
    </row>
    <row r="36" spans="1:20" ht="15" customHeight="1" x14ac:dyDescent="0.25">
      <c r="A36" s="219" t="s">
        <v>366</v>
      </c>
      <c r="B36" s="38">
        <v>2148775</v>
      </c>
      <c r="C36" s="230">
        <f t="shared" ref="C36:P36" si="25">SUM(C37+C42+C43+C44+C45)</f>
        <v>1142150</v>
      </c>
      <c r="D36" s="601">
        <f t="shared" si="25"/>
        <v>277.05772999939052</v>
      </c>
      <c r="E36" s="597">
        <f>SUM(E37+E42+E43+E44+E45)</f>
        <v>69191.666666666672</v>
      </c>
      <c r="F36" s="38">
        <f t="shared" si="25"/>
        <v>69191.666666666672</v>
      </c>
      <c r="G36" s="38">
        <f t="shared" si="25"/>
        <v>69191.666666666672</v>
      </c>
      <c r="H36" s="38">
        <f t="shared" si="25"/>
        <v>119191.66666666667</v>
      </c>
      <c r="I36" s="38">
        <f t="shared" si="25"/>
        <v>69191.666666666672</v>
      </c>
      <c r="J36" s="38">
        <f t="shared" si="25"/>
        <v>129191.66666666667</v>
      </c>
      <c r="K36" s="38">
        <f t="shared" si="25"/>
        <v>171041.66666666666</v>
      </c>
      <c r="L36" s="38">
        <f t="shared" si="25"/>
        <v>119191.66666666667</v>
      </c>
      <c r="M36" s="38">
        <f t="shared" si="25"/>
        <v>119191.66666666667</v>
      </c>
      <c r="N36" s="38">
        <f t="shared" si="25"/>
        <v>69191.666666666672</v>
      </c>
      <c r="O36" s="38">
        <f t="shared" si="25"/>
        <v>69191.666666666672</v>
      </c>
      <c r="P36" s="38">
        <f t="shared" si="25"/>
        <v>69191.666666666672</v>
      </c>
      <c r="Q36" s="230">
        <f t="shared" si="3"/>
        <v>1142150</v>
      </c>
      <c r="R36" s="560">
        <f t="shared" si="2"/>
        <v>0</v>
      </c>
      <c r="T36" s="560"/>
    </row>
    <row r="37" spans="1:20" ht="15" customHeight="1" x14ac:dyDescent="0.25">
      <c r="A37" s="219" t="s">
        <v>367</v>
      </c>
      <c r="B37" s="38">
        <v>0</v>
      </c>
      <c r="C37" s="230">
        <f t="shared" ref="C37:P37" si="26">SUM(C38:C41)</f>
        <v>0</v>
      </c>
      <c r="D37" s="601">
        <f t="shared" si="26"/>
        <v>0</v>
      </c>
      <c r="E37" s="597">
        <f t="shared" si="26"/>
        <v>0</v>
      </c>
      <c r="F37" s="38">
        <f t="shared" si="26"/>
        <v>0</v>
      </c>
      <c r="G37" s="38">
        <f t="shared" si="26"/>
        <v>0</v>
      </c>
      <c r="H37" s="38">
        <f t="shared" si="26"/>
        <v>0</v>
      </c>
      <c r="I37" s="38">
        <f t="shared" si="26"/>
        <v>0</v>
      </c>
      <c r="J37" s="38">
        <f t="shared" si="26"/>
        <v>0</v>
      </c>
      <c r="K37" s="38">
        <f t="shared" si="26"/>
        <v>0</v>
      </c>
      <c r="L37" s="38">
        <f t="shared" si="26"/>
        <v>0</v>
      </c>
      <c r="M37" s="38">
        <f t="shared" si="26"/>
        <v>0</v>
      </c>
      <c r="N37" s="38">
        <f t="shared" si="26"/>
        <v>0</v>
      </c>
      <c r="O37" s="38">
        <f t="shared" si="26"/>
        <v>0</v>
      </c>
      <c r="P37" s="38">
        <f t="shared" si="26"/>
        <v>0</v>
      </c>
      <c r="Q37" s="230">
        <f t="shared" si="3"/>
        <v>0</v>
      </c>
      <c r="R37" s="560">
        <f t="shared" si="2"/>
        <v>0</v>
      </c>
      <c r="T37" s="560"/>
    </row>
    <row r="38" spans="1:20" s="596" customFormat="1" ht="15" customHeight="1" x14ac:dyDescent="0.25">
      <c r="A38" s="218" t="s">
        <v>368</v>
      </c>
      <c r="B38" s="387">
        <v>0</v>
      </c>
      <c r="C38" s="572">
        <f>SUM(mérleg!N39)</f>
        <v>0</v>
      </c>
      <c r="D38" s="602"/>
      <c r="E38" s="594"/>
      <c r="F38" s="388"/>
      <c r="G38" s="388"/>
      <c r="H38" s="388"/>
      <c r="I38" s="388"/>
      <c r="J38" s="388"/>
      <c r="K38" s="388"/>
      <c r="L38" s="388"/>
      <c r="M38" s="388"/>
      <c r="N38" s="388"/>
      <c r="O38" s="388"/>
      <c r="P38" s="388"/>
      <c r="Q38" s="595"/>
      <c r="R38" s="560">
        <f t="shared" si="2"/>
        <v>0</v>
      </c>
      <c r="S38"/>
      <c r="T38" s="560"/>
    </row>
    <row r="39" spans="1:20" s="596" customFormat="1" ht="15" customHeight="1" x14ac:dyDescent="0.25">
      <c r="A39" s="218" t="s">
        <v>369</v>
      </c>
      <c r="B39" s="387">
        <v>0</v>
      </c>
      <c r="C39" s="572">
        <f>SUM(mérleg!N40)</f>
        <v>0</v>
      </c>
      <c r="D39" s="602"/>
      <c r="E39" s="594"/>
      <c r="F39" s="388"/>
      <c r="G39" s="388"/>
      <c r="H39" s="388"/>
      <c r="I39" s="388"/>
      <c r="J39" s="388"/>
      <c r="K39" s="388"/>
      <c r="L39" s="388"/>
      <c r="M39" s="388"/>
      <c r="N39" s="388"/>
      <c r="O39" s="388"/>
      <c r="P39" s="388"/>
      <c r="Q39" s="595"/>
      <c r="R39" s="560">
        <f t="shared" si="2"/>
        <v>0</v>
      </c>
      <c r="T39" s="560"/>
    </row>
    <row r="40" spans="1:20" s="596" customFormat="1" ht="15" customHeight="1" x14ac:dyDescent="0.25">
      <c r="A40" s="218" t="s">
        <v>370</v>
      </c>
      <c r="B40" s="387">
        <v>0</v>
      </c>
      <c r="C40" s="572">
        <f>SUM(mérleg!N41)</f>
        <v>0</v>
      </c>
      <c r="D40" s="602"/>
      <c r="E40" s="594"/>
      <c r="F40" s="388"/>
      <c r="G40" s="388"/>
      <c r="H40" s="388"/>
      <c r="I40" s="388"/>
      <c r="J40" s="388"/>
      <c r="K40" s="388"/>
      <c r="L40" s="388"/>
      <c r="M40" s="388"/>
      <c r="N40" s="388"/>
      <c r="O40" s="388"/>
      <c r="P40" s="388"/>
      <c r="Q40" s="595"/>
      <c r="R40" s="560">
        <f t="shared" si="2"/>
        <v>0</v>
      </c>
      <c r="S40"/>
      <c r="T40" s="560"/>
    </row>
    <row r="41" spans="1:20" s="596" customFormat="1" ht="15" customHeight="1" x14ac:dyDescent="0.25">
      <c r="A41" s="218" t="s">
        <v>371</v>
      </c>
      <c r="B41" s="387">
        <v>0</v>
      </c>
      <c r="C41" s="572">
        <f>SUM(mérleg!N42)</f>
        <v>0</v>
      </c>
      <c r="D41" s="602"/>
      <c r="E41" s="850"/>
      <c r="F41" s="387"/>
      <c r="G41" s="387"/>
      <c r="H41" s="387"/>
      <c r="I41" s="387"/>
      <c r="J41" s="387"/>
      <c r="K41" s="387"/>
      <c r="L41" s="387"/>
      <c r="M41" s="387"/>
      <c r="N41" s="387"/>
      <c r="O41" s="387"/>
      <c r="P41" s="387"/>
      <c r="Q41" s="595">
        <f t="shared" si="3"/>
        <v>0</v>
      </c>
      <c r="R41" s="560">
        <f t="shared" si="2"/>
        <v>0</v>
      </c>
      <c r="S41"/>
      <c r="T41" s="560"/>
    </row>
    <row r="42" spans="1:20" s="596" customFormat="1" ht="15" customHeight="1" x14ac:dyDescent="0.25">
      <c r="A42" s="218" t="s">
        <v>372</v>
      </c>
      <c r="B42" s="387">
        <v>2058225</v>
      </c>
      <c r="C42" s="572">
        <f>SUM(mérleg!N43)</f>
        <v>791850</v>
      </c>
      <c r="D42" s="602">
        <v>121.89483657034582</v>
      </c>
      <c r="E42" s="594">
        <v>40000</v>
      </c>
      <c r="F42" s="388">
        <v>40000</v>
      </c>
      <c r="G42" s="388">
        <v>40000</v>
      </c>
      <c r="H42" s="388">
        <v>90000</v>
      </c>
      <c r="I42" s="388">
        <v>40000</v>
      </c>
      <c r="J42" s="388">
        <v>100000</v>
      </c>
      <c r="K42" s="388">
        <v>141850</v>
      </c>
      <c r="L42" s="388">
        <v>90000</v>
      </c>
      <c r="M42" s="388">
        <v>90000</v>
      </c>
      <c r="N42" s="388">
        <v>40000</v>
      </c>
      <c r="O42" s="388">
        <v>40000</v>
      </c>
      <c r="P42" s="388">
        <v>40000</v>
      </c>
      <c r="Q42" s="595">
        <f t="shared" si="3"/>
        <v>791850</v>
      </c>
      <c r="R42" s="560">
        <f t="shared" si="2"/>
        <v>0</v>
      </c>
      <c r="S42"/>
      <c r="T42" s="560"/>
    </row>
    <row r="43" spans="1:20" s="596" customFormat="1" ht="15" customHeight="1" x14ac:dyDescent="0.25">
      <c r="A43" s="218" t="s">
        <v>373</v>
      </c>
      <c r="B43" s="387">
        <v>0</v>
      </c>
      <c r="C43" s="572">
        <f>SUM(mérleg!N44)</f>
        <v>0</v>
      </c>
      <c r="D43" s="602"/>
      <c r="E43" s="594"/>
      <c r="F43" s="388"/>
      <c r="G43" s="388"/>
      <c r="H43" s="388"/>
      <c r="I43" s="388"/>
      <c r="J43" s="388"/>
      <c r="K43" s="388"/>
      <c r="L43" s="388"/>
      <c r="M43" s="388"/>
      <c r="N43" s="388"/>
      <c r="O43" s="388"/>
      <c r="P43" s="388"/>
      <c r="Q43" s="595">
        <f t="shared" si="3"/>
        <v>0</v>
      </c>
      <c r="R43" s="560">
        <f t="shared" si="2"/>
        <v>0</v>
      </c>
      <c r="S43"/>
      <c r="T43" s="560"/>
    </row>
    <row r="44" spans="1:20" s="596" customFormat="1" ht="15" customHeight="1" x14ac:dyDescent="0.25">
      <c r="A44" s="218" t="s">
        <v>374</v>
      </c>
      <c r="B44" s="387">
        <v>0</v>
      </c>
      <c r="C44" s="572">
        <f>SUM(mérleg!N45)</f>
        <v>0</v>
      </c>
      <c r="D44" s="602"/>
      <c r="E44" s="594"/>
      <c r="F44" s="388"/>
      <c r="G44" s="388"/>
      <c r="H44" s="388"/>
      <c r="I44" s="388"/>
      <c r="J44" s="388"/>
      <c r="K44" s="388"/>
      <c r="L44" s="388"/>
      <c r="M44" s="388"/>
      <c r="N44" s="388"/>
      <c r="O44" s="388"/>
      <c r="P44" s="388"/>
      <c r="Q44" s="595">
        <f t="shared" si="3"/>
        <v>0</v>
      </c>
      <c r="R44" s="560">
        <f t="shared" si="2"/>
        <v>0</v>
      </c>
      <c r="S44"/>
      <c r="T44" s="560"/>
    </row>
    <row r="45" spans="1:20" ht="15" customHeight="1" x14ac:dyDescent="0.25">
      <c r="A45" s="219" t="s">
        <v>375</v>
      </c>
      <c r="B45" s="38">
        <v>90550</v>
      </c>
      <c r="C45" s="230">
        <f t="shared" ref="C45:P45" si="27">SUM(C46:C47)</f>
        <v>350300</v>
      </c>
      <c r="D45" s="601">
        <f t="shared" si="27"/>
        <v>155.16289342904471</v>
      </c>
      <c r="E45" s="597">
        <f t="shared" si="27"/>
        <v>29191.666666666668</v>
      </c>
      <c r="F45" s="38">
        <f t="shared" si="27"/>
        <v>29191.666666666668</v>
      </c>
      <c r="G45" s="38">
        <f t="shared" si="27"/>
        <v>29191.666666666668</v>
      </c>
      <c r="H45" s="38">
        <f t="shared" si="27"/>
        <v>29191.666666666668</v>
      </c>
      <c r="I45" s="38">
        <f t="shared" si="27"/>
        <v>29191.666666666668</v>
      </c>
      <c r="J45" s="38">
        <f t="shared" si="27"/>
        <v>29191.666666666668</v>
      </c>
      <c r="K45" s="38">
        <f t="shared" si="27"/>
        <v>29191.666666666668</v>
      </c>
      <c r="L45" s="38">
        <f t="shared" si="27"/>
        <v>29191.666666666668</v>
      </c>
      <c r="M45" s="38">
        <f t="shared" si="27"/>
        <v>29191.666666666668</v>
      </c>
      <c r="N45" s="38">
        <f t="shared" si="27"/>
        <v>29191.666666666668</v>
      </c>
      <c r="O45" s="38">
        <f t="shared" si="27"/>
        <v>29191.666666666668</v>
      </c>
      <c r="P45" s="38">
        <f t="shared" si="27"/>
        <v>29191.666666666668</v>
      </c>
      <c r="Q45" s="230">
        <f t="shared" si="3"/>
        <v>350300.00000000006</v>
      </c>
      <c r="R45" s="560">
        <f t="shared" si="2"/>
        <v>-5.8207660913467407E-11</v>
      </c>
      <c r="T45" s="560"/>
    </row>
    <row r="46" spans="1:20" s="596" customFormat="1" ht="15" customHeight="1" x14ac:dyDescent="0.25">
      <c r="A46" s="218" t="s">
        <v>376</v>
      </c>
      <c r="B46" s="387">
        <v>90550</v>
      </c>
      <c r="C46" s="572">
        <f>SUM(mérleg!N47)</f>
        <v>350300</v>
      </c>
      <c r="D46" s="602">
        <v>155.16289342904471</v>
      </c>
      <c r="E46" s="594">
        <f>SUM($C$46/12)</f>
        <v>29191.666666666668</v>
      </c>
      <c r="F46" s="388">
        <f t="shared" ref="F46:P46" si="28">SUM($C$46/12)</f>
        <v>29191.666666666668</v>
      </c>
      <c r="G46" s="388">
        <f t="shared" si="28"/>
        <v>29191.666666666668</v>
      </c>
      <c r="H46" s="388">
        <f t="shared" si="28"/>
        <v>29191.666666666668</v>
      </c>
      <c r="I46" s="388">
        <f t="shared" si="28"/>
        <v>29191.666666666668</v>
      </c>
      <c r="J46" s="388">
        <f t="shared" si="28"/>
        <v>29191.666666666668</v>
      </c>
      <c r="K46" s="388">
        <f t="shared" si="28"/>
        <v>29191.666666666668</v>
      </c>
      <c r="L46" s="388">
        <f t="shared" si="28"/>
        <v>29191.666666666668</v>
      </c>
      <c r="M46" s="388">
        <f t="shared" si="28"/>
        <v>29191.666666666668</v>
      </c>
      <c r="N46" s="388">
        <f t="shared" si="28"/>
        <v>29191.666666666668</v>
      </c>
      <c r="O46" s="388">
        <f t="shared" si="28"/>
        <v>29191.666666666668</v>
      </c>
      <c r="P46" s="388">
        <f t="shared" si="28"/>
        <v>29191.666666666668</v>
      </c>
      <c r="Q46" s="595">
        <f t="shared" si="3"/>
        <v>350300.00000000006</v>
      </c>
      <c r="R46" s="560">
        <f t="shared" si="2"/>
        <v>-5.8207660913467407E-11</v>
      </c>
      <c r="S46"/>
      <c r="T46" s="560"/>
    </row>
    <row r="47" spans="1:20" s="596" customFormat="1" ht="15" customHeight="1" x14ac:dyDescent="0.25">
      <c r="A47" s="218" t="s">
        <v>377</v>
      </c>
      <c r="B47" s="387">
        <v>0</v>
      </c>
      <c r="C47" s="572">
        <f>SUM(mérleg!N48)</f>
        <v>0</v>
      </c>
      <c r="D47" s="602"/>
      <c r="E47" s="594"/>
      <c r="F47" s="388"/>
      <c r="G47" s="388"/>
      <c r="H47" s="388"/>
      <c r="I47" s="388"/>
      <c r="J47" s="388"/>
      <c r="K47" s="388"/>
      <c r="L47" s="388"/>
      <c r="M47" s="388"/>
      <c r="N47" s="388"/>
      <c r="O47" s="388"/>
      <c r="P47" s="388"/>
      <c r="Q47" s="595">
        <f t="shared" si="3"/>
        <v>0</v>
      </c>
      <c r="R47" s="560">
        <f t="shared" si="2"/>
        <v>0</v>
      </c>
      <c r="S47"/>
      <c r="T47" s="560"/>
    </row>
    <row r="48" spans="1:20" ht="15" customHeight="1" x14ac:dyDescent="0.25">
      <c r="A48" s="219" t="s">
        <v>378</v>
      </c>
      <c r="B48" s="38">
        <v>17045094</v>
      </c>
      <c r="C48" s="230">
        <f t="shared" ref="C48:P48" si="29">SUM(C24+C36)</f>
        <v>18414904.763999999</v>
      </c>
      <c r="D48" s="601">
        <f t="shared" si="29"/>
        <v>742.3736608230804</v>
      </c>
      <c r="E48" s="597">
        <f>SUM(E24+E36)</f>
        <v>932522.56366666663</v>
      </c>
      <c r="F48" s="38">
        <f t="shared" si="29"/>
        <v>932522.56366666663</v>
      </c>
      <c r="G48" s="38">
        <f t="shared" si="29"/>
        <v>1769151.5636666669</v>
      </c>
      <c r="H48" s="38">
        <f t="shared" si="29"/>
        <v>3319151.5636666664</v>
      </c>
      <c r="I48" s="38">
        <f t="shared" si="29"/>
        <v>932522.56366666663</v>
      </c>
      <c r="J48" s="38">
        <f t="shared" si="29"/>
        <v>992522.56366666663</v>
      </c>
      <c r="K48" s="38">
        <f t="shared" si="29"/>
        <v>1034372.5636666666</v>
      </c>
      <c r="L48" s="38">
        <f t="shared" si="29"/>
        <v>982522.56366666663</v>
      </c>
      <c r="M48" s="38">
        <f t="shared" si="29"/>
        <v>1819151.5636666669</v>
      </c>
      <c r="N48" s="38">
        <f t="shared" si="29"/>
        <v>3298787.5636666664</v>
      </c>
      <c r="O48" s="38">
        <f t="shared" si="29"/>
        <v>932525.56366666663</v>
      </c>
      <c r="P48" s="38">
        <f t="shared" si="29"/>
        <v>1469151.5636666669</v>
      </c>
      <c r="Q48" s="230">
        <f t="shared" si="3"/>
        <v>18414904.763999999</v>
      </c>
      <c r="R48" s="560">
        <f t="shared" si="2"/>
        <v>0</v>
      </c>
      <c r="T48" s="560"/>
    </row>
    <row r="49" spans="1:20" ht="15" customHeight="1" x14ac:dyDescent="0.25">
      <c r="A49" s="219" t="s">
        <v>1131</v>
      </c>
      <c r="B49" s="38">
        <v>6873800</v>
      </c>
      <c r="C49" s="230">
        <f>SUM(C50+C53)</f>
        <v>5548625</v>
      </c>
      <c r="D49" s="601">
        <f t="shared" ref="D49:P49" si="30">SUM(D50+D53)</f>
        <v>79.329242396885263</v>
      </c>
      <c r="E49" s="597">
        <f t="shared" si="30"/>
        <v>5548625</v>
      </c>
      <c r="F49" s="38">
        <f t="shared" si="30"/>
        <v>0</v>
      </c>
      <c r="G49" s="38">
        <f t="shared" si="30"/>
        <v>0</v>
      </c>
      <c r="H49" s="38">
        <f t="shared" si="30"/>
        <v>0</v>
      </c>
      <c r="I49" s="38">
        <f t="shared" si="30"/>
        <v>0</v>
      </c>
      <c r="J49" s="38">
        <f t="shared" si="30"/>
        <v>0</v>
      </c>
      <c r="K49" s="38">
        <f t="shared" si="30"/>
        <v>0</v>
      </c>
      <c r="L49" s="38">
        <f t="shared" si="30"/>
        <v>0</v>
      </c>
      <c r="M49" s="38">
        <f t="shared" si="30"/>
        <v>0</v>
      </c>
      <c r="N49" s="38">
        <f t="shared" si="30"/>
        <v>0</v>
      </c>
      <c r="O49" s="38">
        <f t="shared" si="30"/>
        <v>0</v>
      </c>
      <c r="P49" s="38">
        <f t="shared" si="30"/>
        <v>0</v>
      </c>
      <c r="Q49" s="230">
        <f t="shared" si="3"/>
        <v>5548625</v>
      </c>
      <c r="R49" s="560">
        <f t="shared" si="2"/>
        <v>0</v>
      </c>
      <c r="T49" s="560"/>
    </row>
    <row r="50" spans="1:20" ht="15" customHeight="1" x14ac:dyDescent="0.25">
      <c r="A50" s="219" t="s">
        <v>1132</v>
      </c>
      <c r="B50" s="38">
        <v>6863096</v>
      </c>
      <c r="C50" s="230">
        <f>SUM(C51:C52)</f>
        <v>1088232</v>
      </c>
      <c r="D50" s="230">
        <f t="shared" ref="D50:P50" si="31">SUM(D51:D52)</f>
        <v>79.329242396885263</v>
      </c>
      <c r="E50" s="597">
        <f t="shared" si="31"/>
        <v>1088232</v>
      </c>
      <c r="F50" s="38">
        <f t="shared" si="31"/>
        <v>0</v>
      </c>
      <c r="G50" s="38">
        <f t="shared" si="31"/>
        <v>0</v>
      </c>
      <c r="H50" s="38">
        <f t="shared" si="31"/>
        <v>0</v>
      </c>
      <c r="I50" s="38">
        <f t="shared" si="31"/>
        <v>0</v>
      </c>
      <c r="J50" s="38">
        <f t="shared" si="31"/>
        <v>0</v>
      </c>
      <c r="K50" s="38">
        <f t="shared" si="31"/>
        <v>0</v>
      </c>
      <c r="L50" s="38">
        <f t="shared" si="31"/>
        <v>0</v>
      </c>
      <c r="M50" s="38">
        <f t="shared" si="31"/>
        <v>0</v>
      </c>
      <c r="N50" s="38">
        <f t="shared" si="31"/>
        <v>0</v>
      </c>
      <c r="O50" s="38">
        <f t="shared" si="31"/>
        <v>0</v>
      </c>
      <c r="P50" s="230">
        <f t="shared" si="31"/>
        <v>0</v>
      </c>
      <c r="Q50" s="230">
        <f t="shared" si="3"/>
        <v>1088232</v>
      </c>
      <c r="R50" s="560">
        <f t="shared" si="2"/>
        <v>0</v>
      </c>
      <c r="T50" s="560"/>
    </row>
    <row r="51" spans="1:20" ht="15" customHeight="1" x14ac:dyDescent="0.25">
      <c r="A51" s="859" t="s">
        <v>1136</v>
      </c>
      <c r="B51" s="38"/>
      <c r="C51" s="572">
        <f>SUM(mérleg!N62)</f>
        <v>0</v>
      </c>
      <c r="D51" s="601"/>
      <c r="E51" s="594"/>
      <c r="F51" s="388"/>
      <c r="G51" s="388"/>
      <c r="H51" s="388"/>
      <c r="I51" s="388"/>
      <c r="J51" s="388"/>
      <c r="K51" s="388"/>
      <c r="L51" s="388"/>
      <c r="M51" s="388"/>
      <c r="N51" s="388"/>
      <c r="O51" s="388"/>
      <c r="P51" s="388"/>
      <c r="Q51" s="572">
        <f t="shared" si="3"/>
        <v>0</v>
      </c>
      <c r="R51" s="560">
        <f t="shared" si="2"/>
        <v>0</v>
      </c>
      <c r="T51" s="560"/>
    </row>
    <row r="52" spans="1:20" s="596" customFormat="1" ht="15" customHeight="1" x14ac:dyDescent="0.25">
      <c r="A52" s="218" t="s">
        <v>1133</v>
      </c>
      <c r="B52" s="387">
        <v>1179681</v>
      </c>
      <c r="C52" s="572">
        <f>SUM(mérleg!N63)</f>
        <v>1088232</v>
      </c>
      <c r="D52" s="602">
        <v>79.329242396885263</v>
      </c>
      <c r="E52" s="594">
        <v>1088232</v>
      </c>
      <c r="F52" s="388"/>
      <c r="G52" s="388"/>
      <c r="H52" s="388"/>
      <c r="I52" s="388"/>
      <c r="J52" s="388"/>
      <c r="K52" s="388"/>
      <c r="L52" s="388"/>
      <c r="M52" s="388"/>
      <c r="N52" s="388"/>
      <c r="O52" s="388"/>
      <c r="P52" s="388"/>
      <c r="Q52" s="595">
        <f t="shared" si="3"/>
        <v>1088232</v>
      </c>
      <c r="R52" s="560">
        <f t="shared" si="2"/>
        <v>0</v>
      </c>
      <c r="S52"/>
      <c r="T52" s="560"/>
    </row>
    <row r="53" spans="1:20" ht="15" customHeight="1" x14ac:dyDescent="0.25">
      <c r="A53" s="219" t="s">
        <v>1134</v>
      </c>
      <c r="B53" s="38">
        <v>10704</v>
      </c>
      <c r="C53" s="230">
        <f>SUM(C54:C55)</f>
        <v>4460393</v>
      </c>
      <c r="D53" s="230">
        <f t="shared" ref="D53:P53" si="32">SUM(D54:D55)</f>
        <v>0</v>
      </c>
      <c r="E53" s="597">
        <f t="shared" si="32"/>
        <v>4460393</v>
      </c>
      <c r="F53" s="38">
        <f t="shared" si="32"/>
        <v>0</v>
      </c>
      <c r="G53" s="38">
        <f t="shared" si="32"/>
        <v>0</v>
      </c>
      <c r="H53" s="38">
        <f t="shared" si="32"/>
        <v>0</v>
      </c>
      <c r="I53" s="38">
        <f t="shared" si="32"/>
        <v>0</v>
      </c>
      <c r="J53" s="38">
        <f t="shared" si="32"/>
        <v>0</v>
      </c>
      <c r="K53" s="38">
        <f t="shared" si="32"/>
        <v>0</v>
      </c>
      <c r="L53" s="38">
        <f t="shared" si="32"/>
        <v>0</v>
      </c>
      <c r="M53" s="38">
        <f t="shared" si="32"/>
        <v>0</v>
      </c>
      <c r="N53" s="38">
        <f t="shared" si="32"/>
        <v>0</v>
      </c>
      <c r="O53" s="38">
        <f t="shared" si="32"/>
        <v>0</v>
      </c>
      <c r="P53" s="230">
        <f t="shared" si="32"/>
        <v>0</v>
      </c>
      <c r="Q53" s="230">
        <f t="shared" si="3"/>
        <v>4460393</v>
      </c>
      <c r="R53" s="560">
        <f t="shared" si="2"/>
        <v>0</v>
      </c>
      <c r="T53" s="560"/>
    </row>
    <row r="54" spans="1:20" ht="15" customHeight="1" x14ac:dyDescent="0.25">
      <c r="A54" s="859" t="s">
        <v>1137</v>
      </c>
      <c r="B54" s="81"/>
      <c r="C54" s="436">
        <f>SUM(mérleg!N66)</f>
        <v>0</v>
      </c>
      <c r="D54" s="893"/>
      <c r="E54" s="850"/>
      <c r="F54" s="387"/>
      <c r="G54" s="387"/>
      <c r="H54" s="387"/>
      <c r="I54" s="387"/>
      <c r="J54" s="387"/>
      <c r="K54" s="387"/>
      <c r="L54" s="387"/>
      <c r="M54" s="387"/>
      <c r="N54" s="387"/>
      <c r="O54" s="387"/>
      <c r="P54" s="387"/>
      <c r="Q54" s="572">
        <f t="shared" si="3"/>
        <v>0</v>
      </c>
      <c r="R54" s="560">
        <f t="shared" si="2"/>
        <v>0</v>
      </c>
      <c r="T54" s="560"/>
    </row>
    <row r="55" spans="1:20" s="596" customFormat="1" ht="15" customHeight="1" thickBot="1" x14ac:dyDescent="0.3">
      <c r="A55" s="222" t="s">
        <v>1135</v>
      </c>
      <c r="B55" s="389">
        <v>0</v>
      </c>
      <c r="C55" s="603">
        <f>SUM(mérleg!N67)</f>
        <v>4460393</v>
      </c>
      <c r="D55" s="604"/>
      <c r="E55" s="605">
        <v>4460393</v>
      </c>
      <c r="F55" s="606"/>
      <c r="G55" s="606"/>
      <c r="H55" s="606"/>
      <c r="I55" s="606"/>
      <c r="J55" s="606"/>
      <c r="K55" s="606"/>
      <c r="L55" s="606"/>
      <c r="M55" s="606"/>
      <c r="N55" s="606"/>
      <c r="O55" s="606"/>
      <c r="P55" s="606"/>
      <c r="Q55" s="894">
        <f t="shared" si="3"/>
        <v>4460393</v>
      </c>
      <c r="R55" s="560">
        <f t="shared" si="2"/>
        <v>0</v>
      </c>
      <c r="S55"/>
      <c r="T55" s="560"/>
    </row>
    <row r="56" spans="1:20" s="609" customFormat="1" ht="15" customHeight="1" thickBot="1" x14ac:dyDescent="0.3">
      <c r="A56" s="570" t="s">
        <v>828</v>
      </c>
      <c r="B56" s="571"/>
      <c r="C56" s="571"/>
      <c r="D56" s="571"/>
      <c r="E56" s="607"/>
      <c r="F56" s="851">
        <f>SUM(E57)</f>
        <v>4623617.1469999999</v>
      </c>
      <c r="G56" s="851">
        <f>SUM(F57)</f>
        <v>3698609.2939999998</v>
      </c>
      <c r="H56" s="851">
        <f t="shared" ref="H56:Q56" si="33">SUM(G57)</f>
        <v>3610230.4409999996</v>
      </c>
      <c r="I56" s="851">
        <f t="shared" si="33"/>
        <v>5071851.5879999995</v>
      </c>
      <c r="J56" s="851">
        <f t="shared" si="33"/>
        <v>4073838.7349999994</v>
      </c>
      <c r="K56" s="851">
        <f t="shared" si="33"/>
        <v>2968830.8819999993</v>
      </c>
      <c r="L56" s="851">
        <f t="shared" si="33"/>
        <v>1965673.0289999989</v>
      </c>
      <c r="M56" s="851">
        <f t="shared" si="33"/>
        <v>750665.17599999858</v>
      </c>
      <c r="N56" s="851">
        <f t="shared" si="33"/>
        <v>692286.32299999846</v>
      </c>
      <c r="O56" s="851">
        <f t="shared" si="33"/>
        <v>2113543.4699999979</v>
      </c>
      <c r="P56" s="851">
        <f t="shared" si="33"/>
        <v>1139249.6169999975</v>
      </c>
      <c r="Q56" s="608">
        <f t="shared" si="33"/>
        <v>-0.23600000259466469</v>
      </c>
      <c r="R56" s="560">
        <f t="shared" si="2"/>
        <v>0.23600000259466469</v>
      </c>
      <c r="S56"/>
      <c r="T56" s="560"/>
    </row>
    <row r="57" spans="1:20" s="609" customFormat="1" x14ac:dyDescent="0.25">
      <c r="B57" s="9"/>
      <c r="C57" s="17">
        <f>SUM(C2-C23)</f>
        <v>-0.16399999707937241</v>
      </c>
      <c r="D57" s="17">
        <f t="shared" ref="D57" si="34">SUM(D2-D23)</f>
        <v>1265.1051563134488</v>
      </c>
      <c r="E57" s="17">
        <f>SUM(E23-E2)</f>
        <v>4623617.1469999999</v>
      </c>
      <c r="F57" s="17">
        <f>SUM(F23-F2)+F56</f>
        <v>3698609.2939999998</v>
      </c>
      <c r="G57" s="17">
        <f t="shared" ref="G57:P57" si="35">SUM(G23-G2)+G56</f>
        <v>3610230.4409999996</v>
      </c>
      <c r="H57" s="17">
        <f t="shared" si="35"/>
        <v>5071851.5879999995</v>
      </c>
      <c r="I57" s="17">
        <f t="shared" si="35"/>
        <v>4073838.7349999994</v>
      </c>
      <c r="J57" s="17">
        <f t="shared" si="35"/>
        <v>2968830.8819999993</v>
      </c>
      <c r="K57" s="17">
        <f t="shared" si="35"/>
        <v>1965673.0289999989</v>
      </c>
      <c r="L57" s="17">
        <f t="shared" si="35"/>
        <v>750665.17599999858</v>
      </c>
      <c r="M57" s="17">
        <f t="shared" si="35"/>
        <v>692286.32299999846</v>
      </c>
      <c r="N57" s="17">
        <f t="shared" si="35"/>
        <v>2113543.4699999979</v>
      </c>
      <c r="O57" s="17">
        <f t="shared" si="35"/>
        <v>1139249.6169999975</v>
      </c>
      <c r="P57" s="17">
        <f t="shared" si="35"/>
        <v>-0.23600000259466469</v>
      </c>
      <c r="Q57" s="17">
        <f>SUM(Q23-Q2)</f>
        <v>-0.23600001260638237</v>
      </c>
      <c r="R57" s="17">
        <f t="shared" ref="R57" si="36">SUM(R23-R2)</f>
        <v>0.40000000968575478</v>
      </c>
      <c r="S57"/>
      <c r="T57" s="560"/>
    </row>
    <row r="58" spans="1:20" s="609" customFormat="1" x14ac:dyDescent="0.25">
      <c r="B58" s="9"/>
      <c r="C58" s="9"/>
      <c r="D58" s="9"/>
      <c r="S58"/>
      <c r="T58" s="560"/>
    </row>
    <row r="59" spans="1:20" x14ac:dyDescent="0.25">
      <c r="E59" s="560"/>
      <c r="F59" s="560"/>
      <c r="G59" s="560"/>
      <c r="H59" s="560"/>
      <c r="I59" s="560"/>
      <c r="J59" s="560"/>
      <c r="K59" s="560"/>
      <c r="L59" s="560"/>
      <c r="M59" s="560"/>
      <c r="N59" s="560"/>
      <c r="O59" s="560"/>
      <c r="P59" s="560"/>
      <c r="T59" s="560"/>
    </row>
    <row r="60" spans="1:20" x14ac:dyDescent="0.25">
      <c r="T60" s="560"/>
    </row>
    <row r="61" spans="1:20" x14ac:dyDescent="0.25">
      <c r="T61" s="560"/>
    </row>
    <row r="62" spans="1:20" x14ac:dyDescent="0.25">
      <c r="T62" s="560"/>
    </row>
    <row r="63" spans="1:20" x14ac:dyDescent="0.25">
      <c r="B63" s="23"/>
      <c r="C63" s="23"/>
      <c r="D63" s="23"/>
      <c r="T63" s="560"/>
    </row>
    <row r="64" spans="1:20" x14ac:dyDescent="0.25">
      <c r="T64" s="560"/>
    </row>
    <row r="65" spans="2:20" x14ac:dyDescent="0.25">
      <c r="T65" s="560"/>
    </row>
    <row r="66" spans="2:20" x14ac:dyDescent="0.25">
      <c r="T66" s="560"/>
    </row>
    <row r="67" spans="2:20" ht="15" customHeight="1" x14ac:dyDescent="0.25"/>
    <row r="68" spans="2:20" x14ac:dyDescent="0.25">
      <c r="B68" s="23"/>
      <c r="C68" s="23"/>
      <c r="D68" s="23"/>
    </row>
    <row r="69" spans="2:20" x14ac:dyDescent="0.25">
      <c r="B69" s="23"/>
      <c r="C69" s="23"/>
      <c r="D69" s="23"/>
    </row>
    <row r="70" spans="2:20" ht="15" customHeight="1" x14ac:dyDescent="0.25"/>
    <row r="79" spans="2:20" x14ac:dyDescent="0.25">
      <c r="B79" s="23"/>
      <c r="C79" s="23"/>
      <c r="D79" s="23"/>
    </row>
    <row r="82" spans="2:4" x14ac:dyDescent="0.25">
      <c r="B82" s="21"/>
      <c r="C82" s="21"/>
      <c r="D82" s="21"/>
    </row>
    <row r="83" spans="2:4" x14ac:dyDescent="0.25">
      <c r="B83" s="21"/>
      <c r="C83" s="21"/>
      <c r="D83" s="21"/>
    </row>
    <row r="84" spans="2:4" x14ac:dyDescent="0.25">
      <c r="B84" s="21"/>
      <c r="C84" s="21"/>
      <c r="D84" s="21"/>
    </row>
    <row r="85" spans="2:4" x14ac:dyDescent="0.25">
      <c r="B85" s="21"/>
      <c r="C85" s="21"/>
      <c r="D85" s="21"/>
    </row>
    <row r="86" spans="2:4" x14ac:dyDescent="0.25">
      <c r="B86" s="21"/>
      <c r="C86" s="21"/>
      <c r="D86" s="21"/>
    </row>
    <row r="87" spans="2:4" x14ac:dyDescent="0.25">
      <c r="B87" s="21"/>
      <c r="C87" s="21"/>
      <c r="D87" s="21"/>
    </row>
    <row r="88" spans="2:4" x14ac:dyDescent="0.25">
      <c r="B88" s="21"/>
      <c r="C88" s="21"/>
      <c r="D88" s="21"/>
    </row>
    <row r="89" spans="2:4" x14ac:dyDescent="0.25">
      <c r="B89" s="21"/>
      <c r="C89" s="21"/>
      <c r="D89" s="21"/>
    </row>
    <row r="90" spans="2:4" x14ac:dyDescent="0.25">
      <c r="B90" s="21"/>
      <c r="C90" s="21"/>
      <c r="D90" s="21"/>
    </row>
    <row r="91" spans="2:4" x14ac:dyDescent="0.25">
      <c r="B91" s="21"/>
      <c r="C91" s="21"/>
      <c r="D91" s="21"/>
    </row>
    <row r="92" spans="2:4" x14ac:dyDescent="0.25">
      <c r="B92" s="21"/>
      <c r="C92" s="21"/>
      <c r="D92" s="21"/>
    </row>
    <row r="93" spans="2:4" x14ac:dyDescent="0.25">
      <c r="B93" s="21"/>
      <c r="C93" s="21"/>
      <c r="D93" s="21"/>
    </row>
    <row r="94" spans="2:4" x14ac:dyDescent="0.25">
      <c r="B94" s="21"/>
      <c r="C94" s="21"/>
      <c r="D94" s="21"/>
    </row>
    <row r="95" spans="2:4" x14ac:dyDescent="0.25">
      <c r="B95" s="21"/>
      <c r="C95" s="21"/>
      <c r="D95" s="21"/>
    </row>
    <row r="96" spans="2:4" x14ac:dyDescent="0.25">
      <c r="B96" s="21"/>
      <c r="C96" s="21"/>
      <c r="D96" s="21"/>
    </row>
    <row r="97" spans="2:4" x14ac:dyDescent="0.25">
      <c r="B97" s="21"/>
      <c r="C97" s="21"/>
      <c r="D97" s="21"/>
    </row>
    <row r="98" spans="2:4" x14ac:dyDescent="0.25">
      <c r="B98" s="21"/>
      <c r="C98" s="21"/>
      <c r="D98" s="21"/>
    </row>
    <row r="99" spans="2:4" x14ac:dyDescent="0.25">
      <c r="B99" s="21"/>
      <c r="C99" s="21"/>
      <c r="D99" s="21"/>
    </row>
    <row r="100" spans="2:4" x14ac:dyDescent="0.25">
      <c r="B100" s="21"/>
      <c r="C100" s="21"/>
      <c r="D100" s="21"/>
    </row>
    <row r="101" spans="2:4" x14ac:dyDescent="0.25">
      <c r="B101" s="21"/>
      <c r="C101" s="21"/>
      <c r="D101" s="21"/>
    </row>
    <row r="102" spans="2:4" x14ac:dyDescent="0.25">
      <c r="B102" s="21"/>
      <c r="C102" s="21"/>
      <c r="D102" s="21"/>
    </row>
    <row r="103" spans="2:4" x14ac:dyDescent="0.25">
      <c r="B103" s="21"/>
      <c r="C103" s="21"/>
      <c r="D103" s="21"/>
    </row>
    <row r="104" spans="2:4" x14ac:dyDescent="0.25">
      <c r="B104" s="21"/>
      <c r="C104" s="21"/>
      <c r="D104" s="21"/>
    </row>
    <row r="105" spans="2:4" x14ac:dyDescent="0.25">
      <c r="B105" s="21"/>
      <c r="C105" s="21"/>
      <c r="D105" s="21"/>
    </row>
    <row r="106" spans="2:4" x14ac:dyDescent="0.25">
      <c r="B106" s="21"/>
      <c r="C106" s="21"/>
      <c r="D106" s="21"/>
    </row>
    <row r="107" spans="2:4" x14ac:dyDescent="0.25">
      <c r="B107" s="21"/>
      <c r="C107" s="21"/>
      <c r="D107" s="21"/>
    </row>
    <row r="108" spans="2:4" x14ac:dyDescent="0.25">
      <c r="B108" s="21"/>
      <c r="C108" s="21"/>
      <c r="D108" s="21"/>
    </row>
    <row r="109" spans="2:4" x14ac:dyDescent="0.25">
      <c r="B109" s="21"/>
      <c r="C109" s="21"/>
      <c r="D109" s="21"/>
    </row>
    <row r="110" spans="2:4" x14ac:dyDescent="0.25">
      <c r="B110" s="21"/>
      <c r="C110" s="21"/>
      <c r="D110" s="21"/>
    </row>
    <row r="111" spans="2:4" x14ac:dyDescent="0.25">
      <c r="B111" s="21"/>
      <c r="C111" s="21"/>
      <c r="D111" s="21"/>
    </row>
    <row r="112" spans="2:4" x14ac:dyDescent="0.25">
      <c r="B112" s="21"/>
      <c r="C112" s="21"/>
      <c r="D112" s="21"/>
    </row>
    <row r="113" spans="2:4" x14ac:dyDescent="0.25">
      <c r="B113" s="21"/>
      <c r="C113" s="21"/>
      <c r="D113" s="21"/>
    </row>
    <row r="114" spans="2:4" x14ac:dyDescent="0.25">
      <c r="B114" s="21"/>
      <c r="C114" s="21"/>
      <c r="D114" s="21"/>
    </row>
    <row r="115" spans="2:4" x14ac:dyDescent="0.25">
      <c r="B115" s="21"/>
      <c r="C115" s="21"/>
      <c r="D115" s="21"/>
    </row>
    <row r="116" spans="2:4" x14ac:dyDescent="0.25">
      <c r="B116" s="21"/>
      <c r="C116" s="21"/>
      <c r="D116" s="21"/>
    </row>
    <row r="117" spans="2:4" x14ac:dyDescent="0.25">
      <c r="B117" s="21"/>
      <c r="C117" s="21"/>
      <c r="D117" s="21"/>
    </row>
    <row r="118" spans="2:4" x14ac:dyDescent="0.25">
      <c r="B118" s="21"/>
      <c r="C118" s="21"/>
      <c r="D118" s="21"/>
    </row>
    <row r="119" spans="2:4" x14ac:dyDescent="0.25">
      <c r="B119" s="21"/>
      <c r="C119" s="21"/>
      <c r="D119" s="21"/>
    </row>
    <row r="120" spans="2:4" x14ac:dyDescent="0.25">
      <c r="B120" s="21"/>
      <c r="C120" s="21"/>
      <c r="D120" s="21"/>
    </row>
    <row r="121" spans="2:4" x14ac:dyDescent="0.25">
      <c r="B121" s="21"/>
      <c r="C121" s="21"/>
      <c r="D121" s="21"/>
    </row>
    <row r="122" spans="2:4" x14ac:dyDescent="0.25">
      <c r="B122" s="21"/>
      <c r="C122" s="21"/>
      <c r="D122" s="21"/>
    </row>
    <row r="123" spans="2:4" x14ac:dyDescent="0.25">
      <c r="B123" s="21"/>
      <c r="C123" s="21"/>
      <c r="D123" s="21"/>
    </row>
    <row r="124" spans="2:4" x14ac:dyDescent="0.25">
      <c r="B124" s="21"/>
      <c r="C124" s="21"/>
      <c r="D124" s="21"/>
    </row>
    <row r="125" spans="2:4" x14ac:dyDescent="0.25">
      <c r="B125" s="21"/>
      <c r="C125" s="21"/>
      <c r="D125" s="21"/>
    </row>
    <row r="126" spans="2:4" x14ac:dyDescent="0.25">
      <c r="B126" s="21"/>
      <c r="C126" s="21"/>
      <c r="D126" s="21"/>
    </row>
    <row r="127" spans="2:4" x14ac:dyDescent="0.25">
      <c r="B127" s="21"/>
      <c r="C127" s="21"/>
      <c r="D127" s="21"/>
    </row>
    <row r="128" spans="2:4" x14ac:dyDescent="0.25">
      <c r="B128" s="21"/>
      <c r="C128" s="21"/>
      <c r="D128" s="21"/>
    </row>
    <row r="129" spans="2:4" x14ac:dyDescent="0.25">
      <c r="B129" s="21"/>
      <c r="C129" s="21"/>
      <c r="D129" s="21"/>
    </row>
    <row r="130" spans="2:4" x14ac:dyDescent="0.25">
      <c r="B130" s="21"/>
      <c r="C130" s="21"/>
      <c r="D130" s="21"/>
    </row>
    <row r="131" spans="2:4" x14ac:dyDescent="0.25">
      <c r="B131" s="21"/>
      <c r="C131" s="21"/>
      <c r="D131" s="21"/>
    </row>
    <row r="132" spans="2:4" x14ac:dyDescent="0.25">
      <c r="B132" s="21"/>
      <c r="C132" s="21"/>
      <c r="D132" s="21"/>
    </row>
    <row r="133" spans="2:4" x14ac:dyDescent="0.25">
      <c r="B133" s="21"/>
      <c r="C133" s="21"/>
      <c r="D133" s="21"/>
    </row>
    <row r="134" spans="2:4" x14ac:dyDescent="0.25">
      <c r="B134" s="21"/>
      <c r="C134" s="21"/>
      <c r="D134" s="21"/>
    </row>
    <row r="135" spans="2:4" x14ac:dyDescent="0.25">
      <c r="B135" s="21"/>
      <c r="C135" s="21"/>
      <c r="D135" s="21"/>
    </row>
    <row r="136" spans="2:4" x14ac:dyDescent="0.25">
      <c r="B136" s="21"/>
      <c r="C136" s="21"/>
      <c r="D136" s="21"/>
    </row>
    <row r="137" spans="2:4" x14ac:dyDescent="0.25">
      <c r="B137" s="21"/>
      <c r="C137" s="21"/>
      <c r="D137" s="21"/>
    </row>
    <row r="138" spans="2:4" x14ac:dyDescent="0.25">
      <c r="B138" s="21"/>
      <c r="C138" s="21"/>
      <c r="D138" s="21"/>
    </row>
    <row r="139" spans="2:4" x14ac:dyDescent="0.25">
      <c r="B139" s="21"/>
      <c r="C139" s="21"/>
      <c r="D139" s="21"/>
    </row>
    <row r="140" spans="2:4" x14ac:dyDescent="0.25">
      <c r="B140" s="21"/>
      <c r="C140" s="21"/>
      <c r="D140" s="21"/>
    </row>
    <row r="141" spans="2:4" x14ac:dyDescent="0.25">
      <c r="B141" s="21"/>
      <c r="C141" s="21"/>
      <c r="D141" s="21"/>
    </row>
    <row r="142" spans="2:4" x14ac:dyDescent="0.25">
      <c r="B142" s="21"/>
      <c r="C142" s="21"/>
      <c r="D142" s="21"/>
    </row>
    <row r="143" spans="2:4" x14ac:dyDescent="0.25">
      <c r="B143" s="21"/>
      <c r="C143" s="21"/>
      <c r="D143" s="21"/>
    </row>
    <row r="144" spans="2:4" x14ac:dyDescent="0.25">
      <c r="B144" s="21"/>
      <c r="C144" s="21"/>
      <c r="D144" s="21"/>
    </row>
    <row r="145" spans="2:4" x14ac:dyDescent="0.25">
      <c r="B145" s="21"/>
      <c r="C145" s="21"/>
      <c r="D145" s="21"/>
    </row>
    <row r="146" spans="2:4" x14ac:dyDescent="0.25">
      <c r="B146" s="21"/>
      <c r="C146" s="21"/>
      <c r="D146" s="21"/>
    </row>
    <row r="147" spans="2:4" x14ac:dyDescent="0.25">
      <c r="B147" s="21"/>
      <c r="C147" s="21"/>
      <c r="D147" s="21"/>
    </row>
    <row r="148" spans="2:4" x14ac:dyDescent="0.25">
      <c r="B148" s="21"/>
      <c r="C148" s="21"/>
      <c r="D148" s="21"/>
    </row>
    <row r="149" spans="2:4" x14ac:dyDescent="0.25">
      <c r="B149" s="21"/>
      <c r="C149" s="21"/>
      <c r="D149" s="21"/>
    </row>
    <row r="150" spans="2:4" x14ac:dyDescent="0.25">
      <c r="B150" s="21"/>
      <c r="C150" s="21"/>
      <c r="D150" s="21"/>
    </row>
    <row r="151" spans="2:4" x14ac:dyDescent="0.25">
      <c r="B151" s="21"/>
      <c r="C151" s="21"/>
      <c r="D151" s="21"/>
    </row>
    <row r="152" spans="2:4" x14ac:dyDescent="0.25">
      <c r="B152" s="21"/>
      <c r="C152" s="21"/>
      <c r="D152" s="21"/>
    </row>
    <row r="153" spans="2:4" x14ac:dyDescent="0.25">
      <c r="B153" s="21"/>
      <c r="C153" s="21"/>
      <c r="D153" s="21"/>
    </row>
    <row r="154" spans="2:4" x14ac:dyDescent="0.25">
      <c r="B154" s="21"/>
      <c r="C154" s="21"/>
      <c r="D154" s="21"/>
    </row>
    <row r="155" spans="2:4" x14ac:dyDescent="0.25">
      <c r="B155" s="21"/>
      <c r="C155" s="21"/>
      <c r="D155" s="21"/>
    </row>
    <row r="156" spans="2:4" x14ac:dyDescent="0.25">
      <c r="B156" s="21"/>
      <c r="C156" s="21"/>
      <c r="D156" s="21"/>
    </row>
    <row r="157" spans="2:4" x14ac:dyDescent="0.25">
      <c r="B157" s="21"/>
      <c r="C157" s="21"/>
      <c r="D157" s="21"/>
    </row>
    <row r="158" spans="2:4" x14ac:dyDescent="0.25">
      <c r="B158" s="21"/>
      <c r="C158" s="21"/>
      <c r="D158" s="21"/>
    </row>
    <row r="159" spans="2:4" x14ac:dyDescent="0.25">
      <c r="B159" s="21"/>
      <c r="C159" s="21"/>
      <c r="D159" s="21"/>
    </row>
    <row r="160" spans="2:4" x14ac:dyDescent="0.25">
      <c r="B160" s="21"/>
      <c r="C160" s="21"/>
      <c r="D160" s="21"/>
    </row>
    <row r="161" spans="2:4" x14ac:dyDescent="0.25">
      <c r="B161" s="21"/>
      <c r="C161" s="21"/>
      <c r="D161" s="21"/>
    </row>
    <row r="162" spans="2:4" x14ac:dyDescent="0.25">
      <c r="B162" s="21"/>
      <c r="C162" s="21"/>
      <c r="D162" s="21"/>
    </row>
    <row r="163" spans="2:4" x14ac:dyDescent="0.25">
      <c r="B163" s="21"/>
      <c r="C163" s="21"/>
      <c r="D163" s="21"/>
    </row>
    <row r="164" spans="2:4" x14ac:dyDescent="0.25">
      <c r="B164" s="21"/>
      <c r="C164" s="21"/>
      <c r="D164" s="21"/>
    </row>
    <row r="165" spans="2:4" x14ac:dyDescent="0.25">
      <c r="B165" s="21"/>
      <c r="C165" s="21"/>
      <c r="D165" s="21"/>
    </row>
    <row r="166" spans="2:4" x14ac:dyDescent="0.25">
      <c r="B166" s="21"/>
      <c r="C166" s="21"/>
      <c r="D166" s="21"/>
    </row>
    <row r="167" spans="2:4" x14ac:dyDescent="0.25">
      <c r="B167" s="21"/>
      <c r="C167" s="21"/>
      <c r="D167" s="21"/>
    </row>
    <row r="168" spans="2:4" x14ac:dyDescent="0.25">
      <c r="B168" s="21"/>
      <c r="C168" s="21"/>
      <c r="D168" s="21"/>
    </row>
    <row r="169" spans="2:4" x14ac:dyDescent="0.25">
      <c r="B169" s="21"/>
      <c r="C169" s="21"/>
      <c r="D169" s="21"/>
    </row>
    <row r="170" spans="2:4" x14ac:dyDescent="0.25">
      <c r="B170" s="21"/>
      <c r="C170" s="21"/>
      <c r="D170" s="21"/>
    </row>
    <row r="171" spans="2:4" x14ac:dyDescent="0.25">
      <c r="B171" s="21"/>
      <c r="C171" s="21"/>
      <c r="D171" s="21"/>
    </row>
    <row r="172" spans="2:4" x14ac:dyDescent="0.25">
      <c r="B172" s="21"/>
      <c r="C172" s="21"/>
      <c r="D172" s="21"/>
    </row>
    <row r="173" spans="2:4" x14ac:dyDescent="0.25">
      <c r="B173" s="21"/>
      <c r="C173" s="21"/>
      <c r="D173" s="21"/>
    </row>
    <row r="174" spans="2:4" x14ac:dyDescent="0.25">
      <c r="B174" s="21"/>
      <c r="C174" s="21"/>
      <c r="D174" s="21"/>
    </row>
    <row r="175" spans="2:4" x14ac:dyDescent="0.25">
      <c r="B175" s="21"/>
      <c r="C175" s="21"/>
      <c r="D175" s="21"/>
    </row>
    <row r="176" spans="2:4" x14ac:dyDescent="0.25">
      <c r="B176" s="21"/>
      <c r="C176" s="21"/>
      <c r="D176" s="21"/>
    </row>
    <row r="177" spans="2:4" x14ac:dyDescent="0.25">
      <c r="B177" s="21"/>
      <c r="C177" s="21"/>
      <c r="D177" s="21"/>
    </row>
    <row r="178" spans="2:4" x14ac:dyDescent="0.25">
      <c r="B178" s="21"/>
      <c r="C178" s="21"/>
      <c r="D178" s="21"/>
    </row>
    <row r="179" spans="2:4" x14ac:dyDescent="0.25">
      <c r="B179" s="21"/>
      <c r="C179" s="21"/>
      <c r="D179" s="21"/>
    </row>
    <row r="180" spans="2:4" x14ac:dyDescent="0.25">
      <c r="B180" s="21"/>
      <c r="C180" s="21"/>
      <c r="D180" s="21"/>
    </row>
    <row r="181" spans="2:4" x14ac:dyDescent="0.25">
      <c r="B181" s="21"/>
      <c r="C181" s="21"/>
      <c r="D181" s="21"/>
    </row>
    <row r="182" spans="2:4" x14ac:dyDescent="0.25">
      <c r="B182" s="21"/>
      <c r="C182" s="21"/>
      <c r="D182" s="21"/>
    </row>
    <row r="183" spans="2:4" x14ac:dyDescent="0.25">
      <c r="B183" s="21"/>
      <c r="C183" s="21"/>
      <c r="D183" s="21"/>
    </row>
    <row r="184" spans="2:4" x14ac:dyDescent="0.25">
      <c r="B184" s="21"/>
      <c r="C184" s="21"/>
      <c r="D184" s="21"/>
    </row>
    <row r="185" spans="2:4" x14ac:dyDescent="0.25">
      <c r="B185" s="21"/>
      <c r="C185" s="21"/>
      <c r="D185" s="21"/>
    </row>
    <row r="186" spans="2:4" x14ac:dyDescent="0.25">
      <c r="B186" s="21"/>
      <c r="C186" s="21"/>
      <c r="D186" s="21"/>
    </row>
    <row r="187" spans="2:4" x14ac:dyDescent="0.25">
      <c r="B187" s="21"/>
      <c r="C187" s="21"/>
      <c r="D187" s="21"/>
    </row>
    <row r="188" spans="2:4" x14ac:dyDescent="0.25">
      <c r="B188" s="21"/>
      <c r="C188" s="21"/>
      <c r="D188" s="21"/>
    </row>
    <row r="189" spans="2:4" x14ac:dyDescent="0.25">
      <c r="B189" s="21"/>
      <c r="C189" s="21"/>
      <c r="D189" s="21"/>
    </row>
    <row r="190" spans="2:4" x14ac:dyDescent="0.25">
      <c r="B190" s="21"/>
      <c r="C190" s="21"/>
      <c r="D190" s="21"/>
    </row>
    <row r="191" spans="2:4" x14ac:dyDescent="0.25">
      <c r="B191" s="21"/>
      <c r="C191" s="21"/>
      <c r="D191" s="21"/>
    </row>
    <row r="192" spans="2:4" x14ac:dyDescent="0.25">
      <c r="B192" s="21"/>
      <c r="C192" s="21"/>
      <c r="D192" s="21"/>
    </row>
    <row r="193" spans="2:4" x14ac:dyDescent="0.25">
      <c r="B193" s="21"/>
      <c r="C193" s="21"/>
      <c r="D193" s="21"/>
    </row>
    <row r="194" spans="2:4" x14ac:dyDescent="0.25">
      <c r="B194" s="21"/>
      <c r="C194" s="21"/>
      <c r="D194" s="21"/>
    </row>
    <row r="195" spans="2:4" x14ac:dyDescent="0.25">
      <c r="B195" s="21"/>
      <c r="C195" s="21"/>
      <c r="D195" s="21"/>
    </row>
    <row r="196" spans="2:4" x14ac:dyDescent="0.25">
      <c r="B196" s="21"/>
      <c r="C196" s="21"/>
      <c r="D196" s="21"/>
    </row>
    <row r="197" spans="2:4" x14ac:dyDescent="0.25">
      <c r="B197" s="21"/>
      <c r="C197" s="21"/>
      <c r="D197" s="21"/>
    </row>
    <row r="198" spans="2:4" x14ac:dyDescent="0.25">
      <c r="B198" s="21"/>
      <c r="C198" s="21"/>
      <c r="D198" s="21"/>
    </row>
    <row r="199" spans="2:4" x14ac:dyDescent="0.25">
      <c r="B199" s="21"/>
      <c r="C199" s="21"/>
      <c r="D199" s="21"/>
    </row>
    <row r="200" spans="2:4" x14ac:dyDescent="0.25">
      <c r="B200" s="21"/>
      <c r="C200" s="21"/>
      <c r="D200" s="21"/>
    </row>
    <row r="201" spans="2:4" x14ac:dyDescent="0.25">
      <c r="B201" s="21"/>
      <c r="C201" s="21"/>
      <c r="D201" s="21"/>
    </row>
    <row r="202" spans="2:4" x14ac:dyDescent="0.25">
      <c r="B202" s="21"/>
      <c r="C202" s="21"/>
      <c r="D202" s="21"/>
    </row>
    <row r="203" spans="2:4" x14ac:dyDescent="0.25">
      <c r="B203" s="21"/>
      <c r="C203" s="21"/>
      <c r="D203" s="21"/>
    </row>
    <row r="204" spans="2:4" x14ac:dyDescent="0.25">
      <c r="B204" s="21"/>
      <c r="C204" s="21"/>
      <c r="D204" s="21"/>
    </row>
    <row r="205" spans="2:4" x14ac:dyDescent="0.25">
      <c r="B205" s="21"/>
      <c r="C205" s="21"/>
      <c r="D205" s="21"/>
    </row>
    <row r="206" spans="2:4" x14ac:dyDescent="0.25">
      <c r="B206" s="21"/>
      <c r="C206" s="21"/>
      <c r="D206" s="21"/>
    </row>
    <row r="207" spans="2:4" x14ac:dyDescent="0.25">
      <c r="B207" s="21"/>
      <c r="C207" s="21"/>
      <c r="D207" s="21"/>
    </row>
    <row r="208" spans="2:4" x14ac:dyDescent="0.25">
      <c r="B208" s="21"/>
      <c r="C208" s="21"/>
      <c r="D208" s="21"/>
    </row>
    <row r="209" spans="2:4" x14ac:dyDescent="0.25">
      <c r="B209" s="21"/>
      <c r="C209" s="21"/>
      <c r="D209" s="21"/>
    </row>
    <row r="210" spans="2:4" x14ac:dyDescent="0.25">
      <c r="B210" s="21"/>
      <c r="C210" s="21"/>
      <c r="D210" s="21"/>
    </row>
    <row r="211" spans="2:4" x14ac:dyDescent="0.25">
      <c r="B211" s="21"/>
      <c r="C211" s="21"/>
      <c r="D211" s="21"/>
    </row>
    <row r="212" spans="2:4" x14ac:dyDescent="0.25">
      <c r="B212" s="21"/>
      <c r="C212" s="21"/>
      <c r="D212" s="21"/>
    </row>
    <row r="213" spans="2:4" x14ac:dyDescent="0.25">
      <c r="B213" s="21"/>
      <c r="C213" s="21"/>
      <c r="D213" s="21"/>
    </row>
    <row r="214" spans="2:4" x14ac:dyDescent="0.25">
      <c r="B214" s="21"/>
      <c r="C214" s="21"/>
      <c r="D214" s="21"/>
    </row>
    <row r="215" spans="2:4" x14ac:dyDescent="0.25">
      <c r="B215" s="21"/>
      <c r="C215" s="21"/>
      <c r="D215" s="21"/>
    </row>
    <row r="216" spans="2:4" x14ac:dyDescent="0.25">
      <c r="B216" s="21"/>
      <c r="C216" s="21"/>
      <c r="D216" s="21"/>
    </row>
    <row r="217" spans="2:4" x14ac:dyDescent="0.25">
      <c r="B217" s="21"/>
      <c r="C217" s="21"/>
      <c r="D217" s="21"/>
    </row>
    <row r="218" spans="2:4" x14ac:dyDescent="0.25">
      <c r="B218" s="21"/>
      <c r="C218" s="21"/>
      <c r="D218" s="21"/>
    </row>
    <row r="219" spans="2:4" x14ac:dyDescent="0.25">
      <c r="B219" s="21"/>
      <c r="C219" s="21"/>
      <c r="D219" s="21"/>
    </row>
    <row r="220" spans="2:4" x14ac:dyDescent="0.25">
      <c r="B220" s="21"/>
      <c r="C220" s="21"/>
      <c r="D220" s="21"/>
    </row>
    <row r="221" spans="2:4" x14ac:dyDescent="0.25">
      <c r="B221" s="21"/>
      <c r="C221" s="21"/>
      <c r="D221" s="21"/>
    </row>
    <row r="222" spans="2:4" x14ac:dyDescent="0.25">
      <c r="B222" s="21"/>
      <c r="C222" s="21"/>
      <c r="D222" s="21"/>
    </row>
    <row r="223" spans="2:4" x14ac:dyDescent="0.25">
      <c r="B223" s="21"/>
      <c r="C223" s="21"/>
      <c r="D223" s="21"/>
    </row>
    <row r="224" spans="2:4" x14ac:dyDescent="0.25">
      <c r="B224" s="21"/>
      <c r="C224" s="21"/>
      <c r="D224" s="21"/>
    </row>
    <row r="225" spans="2:4" x14ac:dyDescent="0.25">
      <c r="B225" s="21"/>
      <c r="C225" s="21"/>
      <c r="D225" s="21"/>
    </row>
    <row r="226" spans="2:4" x14ac:dyDescent="0.25">
      <c r="B226" s="21"/>
      <c r="C226" s="21"/>
      <c r="D226" s="21"/>
    </row>
    <row r="227" spans="2:4" x14ac:dyDescent="0.25">
      <c r="B227" s="21"/>
      <c r="C227" s="21"/>
      <c r="D227" s="21"/>
    </row>
    <row r="228" spans="2:4" x14ac:dyDescent="0.25">
      <c r="B228" s="21"/>
      <c r="C228" s="21"/>
      <c r="D228" s="21"/>
    </row>
    <row r="229" spans="2:4" x14ac:dyDescent="0.25">
      <c r="B229" s="21"/>
      <c r="C229" s="21"/>
      <c r="D229" s="21"/>
    </row>
    <row r="230" spans="2:4" x14ac:dyDescent="0.25">
      <c r="B230" s="21"/>
      <c r="C230" s="21"/>
      <c r="D230" s="21"/>
    </row>
    <row r="231" spans="2:4" x14ac:dyDescent="0.25">
      <c r="B231" s="21"/>
      <c r="C231" s="21"/>
      <c r="D231" s="21"/>
    </row>
    <row r="232" spans="2:4" x14ac:dyDescent="0.25">
      <c r="B232" s="21"/>
      <c r="C232" s="21"/>
      <c r="D232" s="21"/>
    </row>
    <row r="233" spans="2:4" x14ac:dyDescent="0.25">
      <c r="B233" s="21"/>
      <c r="C233" s="21"/>
      <c r="D233" s="21"/>
    </row>
    <row r="234" spans="2:4" x14ac:dyDescent="0.25">
      <c r="B234" s="21"/>
      <c r="C234" s="21"/>
      <c r="D234" s="21"/>
    </row>
    <row r="235" spans="2:4" x14ac:dyDescent="0.25">
      <c r="B235" s="21"/>
      <c r="C235" s="21"/>
      <c r="D235" s="21"/>
    </row>
    <row r="236" spans="2:4" x14ac:dyDescent="0.25">
      <c r="B236" s="21"/>
      <c r="C236" s="21"/>
      <c r="D236" s="21"/>
    </row>
    <row r="237" spans="2:4" x14ac:dyDescent="0.25">
      <c r="B237" s="21"/>
      <c r="C237" s="21"/>
      <c r="D237" s="21"/>
    </row>
    <row r="238" spans="2:4" x14ac:dyDescent="0.25">
      <c r="B238" s="21"/>
      <c r="C238" s="21"/>
      <c r="D238" s="21"/>
    </row>
    <row r="239" spans="2:4" x14ac:dyDescent="0.25">
      <c r="B239" s="21"/>
      <c r="C239" s="21"/>
      <c r="D239" s="21"/>
    </row>
    <row r="240" spans="2:4" x14ac:dyDescent="0.25">
      <c r="B240" s="21"/>
      <c r="C240" s="21"/>
      <c r="D240" s="21"/>
    </row>
    <row r="241" spans="2:4" x14ac:dyDescent="0.25">
      <c r="B241" s="21"/>
      <c r="C241" s="21"/>
      <c r="D241" s="21"/>
    </row>
    <row r="242" spans="2:4" x14ac:dyDescent="0.25">
      <c r="B242" s="21"/>
      <c r="C242" s="21"/>
      <c r="D242" s="21"/>
    </row>
    <row r="243" spans="2:4" x14ac:dyDescent="0.25">
      <c r="B243" s="21"/>
      <c r="C243" s="21"/>
      <c r="D243" s="21"/>
    </row>
    <row r="244" spans="2:4" x14ac:dyDescent="0.25">
      <c r="B244" s="21"/>
      <c r="C244" s="21"/>
      <c r="D244" s="21"/>
    </row>
    <row r="245" spans="2:4" x14ac:dyDescent="0.25">
      <c r="B245" s="21"/>
      <c r="C245" s="21"/>
      <c r="D245" s="21"/>
    </row>
    <row r="246" spans="2:4" x14ac:dyDescent="0.25">
      <c r="B246" s="21"/>
      <c r="C246" s="21"/>
      <c r="D246" s="21"/>
    </row>
    <row r="247" spans="2:4" x14ac:dyDescent="0.25">
      <c r="B247" s="21"/>
      <c r="C247" s="21"/>
      <c r="D247" s="21"/>
    </row>
    <row r="248" spans="2:4" x14ac:dyDescent="0.25">
      <c r="B248" s="21"/>
      <c r="C248" s="21"/>
      <c r="D248" s="21"/>
    </row>
    <row r="249" spans="2:4" x14ac:dyDescent="0.25">
      <c r="B249" s="21"/>
      <c r="C249" s="21"/>
      <c r="D249" s="21"/>
    </row>
    <row r="250" spans="2:4" x14ac:dyDescent="0.25">
      <c r="B250" s="21"/>
      <c r="C250" s="21"/>
      <c r="D250" s="21"/>
    </row>
    <row r="251" spans="2:4" x14ac:dyDescent="0.25">
      <c r="B251" s="21"/>
      <c r="C251" s="21"/>
      <c r="D251" s="21"/>
    </row>
    <row r="252" spans="2:4" x14ac:dyDescent="0.25">
      <c r="B252" s="21"/>
      <c r="C252" s="21"/>
      <c r="D252" s="21"/>
    </row>
    <row r="253" spans="2:4" x14ac:dyDescent="0.25">
      <c r="B253" s="21"/>
      <c r="C253" s="21"/>
      <c r="D253" s="21"/>
    </row>
    <row r="254" spans="2:4" x14ac:dyDescent="0.25">
      <c r="B254" s="21"/>
      <c r="C254" s="21"/>
      <c r="D254" s="21"/>
    </row>
    <row r="255" spans="2:4" x14ac:dyDescent="0.25">
      <c r="B255" s="21"/>
      <c r="C255" s="21"/>
      <c r="D255" s="21"/>
    </row>
    <row r="256" spans="2:4" x14ac:dyDescent="0.25">
      <c r="B256" s="21"/>
      <c r="C256" s="21"/>
      <c r="D256" s="21"/>
    </row>
    <row r="257" spans="2:4" x14ac:dyDescent="0.25">
      <c r="B257" s="21"/>
      <c r="C257" s="21"/>
      <c r="D257" s="21"/>
    </row>
    <row r="258" spans="2:4" x14ac:dyDescent="0.25">
      <c r="B258" s="21"/>
      <c r="C258" s="21"/>
      <c r="D258" s="21"/>
    </row>
    <row r="259" spans="2:4" x14ac:dyDescent="0.25">
      <c r="B259" s="21"/>
      <c r="C259" s="21"/>
      <c r="D259" s="21"/>
    </row>
    <row r="260" spans="2:4" x14ac:dyDescent="0.25">
      <c r="B260" s="21"/>
      <c r="C260" s="21"/>
      <c r="D260" s="21"/>
    </row>
    <row r="261" spans="2:4" x14ac:dyDescent="0.25">
      <c r="B261" s="21"/>
      <c r="C261" s="21"/>
      <c r="D261" s="21"/>
    </row>
    <row r="262" spans="2:4" x14ac:dyDescent="0.25">
      <c r="B262" s="21"/>
      <c r="C262" s="21"/>
      <c r="D262" s="21"/>
    </row>
    <row r="263" spans="2:4" x14ac:dyDescent="0.25">
      <c r="B263" s="21"/>
      <c r="C263" s="21"/>
      <c r="D263" s="21"/>
    </row>
    <row r="264" spans="2:4" x14ac:dyDescent="0.25">
      <c r="B264" s="21"/>
      <c r="C264" s="21"/>
      <c r="D264" s="21"/>
    </row>
    <row r="265" spans="2:4" x14ac:dyDescent="0.25">
      <c r="B265" s="21"/>
      <c r="C265" s="21"/>
      <c r="D265" s="21"/>
    </row>
    <row r="266" spans="2:4" x14ac:dyDescent="0.25">
      <c r="B266" s="21"/>
      <c r="C266" s="21"/>
      <c r="D266" s="21"/>
    </row>
    <row r="267" spans="2:4" x14ac:dyDescent="0.25">
      <c r="B267" s="21"/>
      <c r="C267" s="21"/>
      <c r="D267" s="21"/>
    </row>
    <row r="268" spans="2:4" x14ac:dyDescent="0.25">
      <c r="B268" s="21"/>
      <c r="C268" s="21"/>
      <c r="D268" s="21"/>
    </row>
    <row r="269" spans="2:4" x14ac:dyDescent="0.25">
      <c r="B269" s="21"/>
      <c r="C269" s="21"/>
      <c r="D269" s="21"/>
    </row>
    <row r="270" spans="2:4" x14ac:dyDescent="0.25">
      <c r="B270" s="21"/>
      <c r="C270" s="21"/>
      <c r="D270" s="21"/>
    </row>
    <row r="271" spans="2:4" x14ac:dyDescent="0.25">
      <c r="B271" s="21"/>
      <c r="C271" s="21"/>
      <c r="D271" s="21"/>
    </row>
    <row r="272" spans="2:4" x14ac:dyDescent="0.25">
      <c r="B272" s="21"/>
      <c r="C272" s="21"/>
      <c r="D272" s="21"/>
    </row>
    <row r="273" spans="2:4" x14ac:dyDescent="0.25">
      <c r="B273" s="21"/>
      <c r="C273" s="21"/>
      <c r="D273" s="21"/>
    </row>
    <row r="274" spans="2:4" x14ac:dyDescent="0.25">
      <c r="B274" s="21"/>
      <c r="C274" s="21"/>
      <c r="D274" s="21"/>
    </row>
    <row r="275" spans="2:4" x14ac:dyDescent="0.25">
      <c r="B275" s="21"/>
      <c r="C275" s="21"/>
      <c r="D275" s="21"/>
    </row>
    <row r="276" spans="2:4" x14ac:dyDescent="0.25">
      <c r="B276" s="21"/>
      <c r="C276" s="21"/>
      <c r="D276" s="21"/>
    </row>
    <row r="277" spans="2:4" x14ac:dyDescent="0.25">
      <c r="B277" s="21"/>
      <c r="C277" s="21"/>
      <c r="D277" s="21"/>
    </row>
    <row r="278" spans="2:4" x14ac:dyDescent="0.25">
      <c r="B278" s="21"/>
      <c r="C278" s="21"/>
      <c r="D278" s="21"/>
    </row>
    <row r="279" spans="2:4" x14ac:dyDescent="0.25">
      <c r="B279" s="21"/>
      <c r="C279" s="21"/>
      <c r="D279" s="21"/>
    </row>
    <row r="280" spans="2:4" x14ac:dyDescent="0.25">
      <c r="B280" s="21"/>
      <c r="C280" s="21"/>
      <c r="D280" s="21"/>
    </row>
    <row r="281" spans="2:4" x14ac:dyDescent="0.25">
      <c r="B281" s="21"/>
      <c r="C281" s="21"/>
      <c r="D281" s="21"/>
    </row>
    <row r="282" spans="2:4" x14ac:dyDescent="0.25">
      <c r="B282" s="21"/>
      <c r="C282" s="21"/>
      <c r="D282" s="21"/>
    </row>
    <row r="283" spans="2:4" x14ac:dyDescent="0.25">
      <c r="B283" s="21"/>
      <c r="C283" s="21"/>
      <c r="D283" s="21"/>
    </row>
    <row r="284" spans="2:4" x14ac:dyDescent="0.25">
      <c r="B284" s="21"/>
      <c r="C284" s="21"/>
      <c r="D284" s="21"/>
    </row>
    <row r="285" spans="2:4" x14ac:dyDescent="0.25">
      <c r="B285" s="21"/>
      <c r="C285" s="21"/>
      <c r="D285" s="21"/>
    </row>
    <row r="286" spans="2:4" x14ac:dyDescent="0.25">
      <c r="B286" s="21"/>
      <c r="C286" s="21"/>
      <c r="D286" s="21"/>
    </row>
    <row r="287" spans="2:4" x14ac:dyDescent="0.25">
      <c r="B287" s="21"/>
      <c r="C287" s="21"/>
      <c r="D287" s="21"/>
    </row>
    <row r="288" spans="2:4" x14ac:dyDescent="0.25">
      <c r="B288" s="21"/>
      <c r="C288" s="21"/>
      <c r="D288" s="21"/>
    </row>
    <row r="289" spans="2:4" x14ac:dyDescent="0.25">
      <c r="B289" s="21"/>
      <c r="C289" s="21"/>
      <c r="D289" s="21"/>
    </row>
    <row r="290" spans="2:4" x14ac:dyDescent="0.25">
      <c r="B290" s="21"/>
      <c r="C290" s="21"/>
      <c r="D290" s="21"/>
    </row>
    <row r="291" spans="2:4" x14ac:dyDescent="0.25">
      <c r="B291" s="21"/>
      <c r="C291" s="21"/>
      <c r="D291" s="21"/>
    </row>
    <row r="292" spans="2:4" x14ac:dyDescent="0.25">
      <c r="B292" s="21"/>
      <c r="C292" s="21"/>
      <c r="D292" s="21"/>
    </row>
    <row r="293" spans="2:4" x14ac:dyDescent="0.25">
      <c r="B293" s="21"/>
      <c r="C293" s="21"/>
      <c r="D293" s="21"/>
    </row>
    <row r="294" spans="2:4" x14ac:dyDescent="0.25">
      <c r="B294" s="21"/>
      <c r="C294" s="21"/>
      <c r="D294" s="21"/>
    </row>
    <row r="295" spans="2:4" x14ac:dyDescent="0.25">
      <c r="B295" s="21"/>
      <c r="C295" s="21"/>
      <c r="D295" s="21"/>
    </row>
    <row r="296" spans="2:4" x14ac:dyDescent="0.25">
      <c r="B296" s="21"/>
      <c r="C296" s="21"/>
      <c r="D296" s="21"/>
    </row>
    <row r="297" spans="2:4" x14ac:dyDescent="0.25">
      <c r="B297" s="21"/>
      <c r="C297" s="21"/>
      <c r="D297" s="21"/>
    </row>
    <row r="298" spans="2:4" x14ac:dyDescent="0.25">
      <c r="B298" s="21"/>
      <c r="C298" s="21"/>
      <c r="D298" s="21"/>
    </row>
    <row r="299" spans="2:4" x14ac:dyDescent="0.25">
      <c r="B299" s="21"/>
      <c r="C299" s="21"/>
      <c r="D299" s="21"/>
    </row>
    <row r="300" spans="2:4" x14ac:dyDescent="0.25">
      <c r="B300" s="21"/>
      <c r="C300" s="21"/>
      <c r="D300" s="21"/>
    </row>
    <row r="301" spans="2:4" x14ac:dyDescent="0.25">
      <c r="B301" s="21"/>
      <c r="C301" s="21"/>
      <c r="D301" s="21"/>
    </row>
    <row r="302" spans="2:4" x14ac:dyDescent="0.25">
      <c r="B302" s="21"/>
      <c r="C302" s="21"/>
      <c r="D302" s="21"/>
    </row>
    <row r="303" spans="2:4" x14ac:dyDescent="0.25">
      <c r="B303" s="21"/>
      <c r="C303" s="21"/>
      <c r="D303" s="21"/>
    </row>
    <row r="304" spans="2:4" x14ac:dyDescent="0.25">
      <c r="B304" s="21"/>
      <c r="C304" s="21"/>
      <c r="D304" s="21"/>
    </row>
    <row r="305" spans="2:4" x14ac:dyDescent="0.25">
      <c r="B305" s="21"/>
      <c r="C305" s="21"/>
      <c r="D305" s="21"/>
    </row>
    <row r="306" spans="2:4" x14ac:dyDescent="0.25">
      <c r="B306" s="21"/>
      <c r="C306" s="21"/>
      <c r="D306" s="21"/>
    </row>
    <row r="307" spans="2:4" x14ac:dyDescent="0.25">
      <c r="B307" s="21"/>
      <c r="C307" s="21"/>
      <c r="D307" s="21"/>
    </row>
    <row r="308" spans="2:4" x14ac:dyDescent="0.25">
      <c r="B308" s="21"/>
      <c r="C308" s="21"/>
      <c r="D308" s="21"/>
    </row>
    <row r="309" spans="2:4" x14ac:dyDescent="0.25">
      <c r="B309" s="21"/>
      <c r="C309" s="21"/>
      <c r="D309" s="21"/>
    </row>
    <row r="310" spans="2:4" x14ac:dyDescent="0.25">
      <c r="B310" s="21"/>
      <c r="C310" s="21"/>
      <c r="D310" s="21"/>
    </row>
    <row r="311" spans="2:4" x14ac:dyDescent="0.25">
      <c r="B311" s="21"/>
      <c r="C311" s="21"/>
      <c r="D311" s="21"/>
    </row>
    <row r="312" spans="2:4" x14ac:dyDescent="0.25">
      <c r="B312" s="21"/>
      <c r="C312" s="21"/>
      <c r="D312" s="21"/>
    </row>
    <row r="313" spans="2:4" x14ac:dyDescent="0.25">
      <c r="B313" s="21"/>
      <c r="C313" s="21"/>
      <c r="D313" s="21"/>
    </row>
    <row r="314" spans="2:4" x14ac:dyDescent="0.25">
      <c r="B314" s="21"/>
      <c r="C314" s="21"/>
      <c r="D314" s="21"/>
    </row>
    <row r="315" spans="2:4" x14ac:dyDescent="0.25">
      <c r="B315" s="21"/>
      <c r="C315" s="21"/>
      <c r="D315" s="21"/>
    </row>
    <row r="316" spans="2:4" x14ac:dyDescent="0.25">
      <c r="B316" s="21"/>
      <c r="C316" s="21"/>
      <c r="D316" s="21"/>
    </row>
    <row r="317" spans="2:4" x14ac:dyDescent="0.25">
      <c r="B317" s="21"/>
      <c r="C317" s="21"/>
      <c r="D317" s="21"/>
    </row>
    <row r="318" spans="2:4" x14ac:dyDescent="0.25">
      <c r="B318" s="21"/>
      <c r="C318" s="21"/>
      <c r="D318" s="21"/>
    </row>
    <row r="319" spans="2:4" x14ac:dyDescent="0.25">
      <c r="B319" s="21"/>
      <c r="C319" s="21"/>
      <c r="D319" s="21"/>
    </row>
    <row r="320" spans="2:4" x14ac:dyDescent="0.25">
      <c r="B320" s="21"/>
      <c r="C320" s="21"/>
      <c r="D320" s="21"/>
    </row>
    <row r="321" spans="2:4" x14ac:dyDescent="0.25">
      <c r="B321" s="21"/>
      <c r="C321" s="21"/>
      <c r="D321" s="21"/>
    </row>
    <row r="322" spans="2:4" x14ac:dyDescent="0.25">
      <c r="B322" s="21"/>
      <c r="C322" s="21"/>
      <c r="D322" s="21"/>
    </row>
    <row r="323" spans="2:4" x14ac:dyDescent="0.25">
      <c r="B323" s="21"/>
      <c r="C323" s="21"/>
      <c r="D323" s="21"/>
    </row>
    <row r="324" spans="2:4" x14ac:dyDescent="0.25">
      <c r="B324" s="21"/>
      <c r="C324" s="21"/>
      <c r="D324" s="21"/>
    </row>
    <row r="325" spans="2:4" x14ac:dyDescent="0.25">
      <c r="B325" s="21"/>
      <c r="C325" s="21"/>
      <c r="D325" s="21"/>
    </row>
    <row r="326" spans="2:4" x14ac:dyDescent="0.25">
      <c r="B326" s="21"/>
      <c r="C326" s="21"/>
      <c r="D326" s="21"/>
    </row>
    <row r="327" spans="2:4" x14ac:dyDescent="0.25">
      <c r="B327" s="21"/>
      <c r="C327" s="21"/>
      <c r="D327" s="21"/>
    </row>
    <row r="328" spans="2:4" x14ac:dyDescent="0.25">
      <c r="B328" s="21"/>
      <c r="C328" s="21"/>
      <c r="D328" s="21"/>
    </row>
    <row r="329" spans="2:4" x14ac:dyDescent="0.25">
      <c r="B329" s="21"/>
      <c r="C329" s="21"/>
      <c r="D329" s="21"/>
    </row>
    <row r="330" spans="2:4" x14ac:dyDescent="0.25">
      <c r="B330" s="21"/>
      <c r="C330" s="21"/>
      <c r="D330" s="21"/>
    </row>
    <row r="331" spans="2:4" x14ac:dyDescent="0.25">
      <c r="B331" s="21"/>
      <c r="C331" s="21"/>
      <c r="D331" s="21"/>
    </row>
    <row r="332" spans="2:4" x14ac:dyDescent="0.25">
      <c r="B332" s="21"/>
      <c r="C332" s="21"/>
      <c r="D332" s="21"/>
    </row>
    <row r="333" spans="2:4" x14ac:dyDescent="0.25">
      <c r="B333" s="21"/>
      <c r="C333" s="21"/>
      <c r="D333" s="21"/>
    </row>
    <row r="334" spans="2:4" x14ac:dyDescent="0.25">
      <c r="B334" s="21"/>
      <c r="C334" s="21"/>
      <c r="D334" s="21"/>
    </row>
    <row r="335" spans="2:4" x14ac:dyDescent="0.25">
      <c r="B335" s="21"/>
      <c r="C335" s="21"/>
      <c r="D335" s="21"/>
    </row>
    <row r="336" spans="2:4" x14ac:dyDescent="0.25">
      <c r="B336" s="21"/>
      <c r="C336" s="21"/>
      <c r="D336" s="21"/>
    </row>
    <row r="337" spans="2:4" x14ac:dyDescent="0.25">
      <c r="B337" s="21"/>
      <c r="C337" s="21"/>
      <c r="D337" s="21"/>
    </row>
    <row r="338" spans="2:4" x14ac:dyDescent="0.25">
      <c r="B338" s="21"/>
      <c r="C338" s="21"/>
      <c r="D338" s="21"/>
    </row>
    <row r="339" spans="2:4" x14ac:dyDescent="0.25">
      <c r="B339" s="21"/>
      <c r="C339" s="21"/>
      <c r="D339" s="21"/>
    </row>
    <row r="340" spans="2:4" x14ac:dyDescent="0.25">
      <c r="B340" s="21"/>
      <c r="C340" s="21"/>
      <c r="D340" s="21"/>
    </row>
    <row r="341" spans="2:4" x14ac:dyDescent="0.25">
      <c r="B341" s="21"/>
      <c r="C341" s="21"/>
      <c r="D341" s="21"/>
    </row>
    <row r="342" spans="2:4" x14ac:dyDescent="0.25">
      <c r="B342" s="21"/>
      <c r="C342" s="21"/>
      <c r="D342" s="21"/>
    </row>
    <row r="343" spans="2:4" x14ac:dyDescent="0.25">
      <c r="B343" s="21"/>
      <c r="C343" s="21"/>
      <c r="D343" s="21"/>
    </row>
    <row r="344" spans="2:4" x14ac:dyDescent="0.25">
      <c r="B344" s="21"/>
      <c r="C344" s="21"/>
      <c r="D344" s="21"/>
    </row>
    <row r="345" spans="2:4" x14ac:dyDescent="0.25">
      <c r="B345" s="21"/>
      <c r="C345" s="21"/>
      <c r="D345" s="21"/>
    </row>
    <row r="346" spans="2:4" x14ac:dyDescent="0.25">
      <c r="B346" s="21"/>
      <c r="C346" s="21"/>
      <c r="D346" s="21"/>
    </row>
    <row r="347" spans="2:4" x14ac:dyDescent="0.25">
      <c r="B347" s="21"/>
      <c r="C347" s="21"/>
      <c r="D347" s="21"/>
    </row>
    <row r="348" spans="2:4" x14ac:dyDescent="0.25">
      <c r="B348" s="21"/>
      <c r="C348" s="21"/>
      <c r="D348" s="21"/>
    </row>
    <row r="349" spans="2:4" x14ac:dyDescent="0.25">
      <c r="B349" s="21"/>
      <c r="C349" s="21"/>
      <c r="D349" s="21"/>
    </row>
    <row r="350" spans="2:4" x14ac:dyDescent="0.25">
      <c r="B350" s="21"/>
      <c r="C350" s="21"/>
      <c r="D350" s="21"/>
    </row>
    <row r="351" spans="2:4" x14ac:dyDescent="0.25">
      <c r="B351" s="21"/>
      <c r="C351" s="21"/>
      <c r="D351" s="21"/>
    </row>
    <row r="352" spans="2:4" x14ac:dyDescent="0.25">
      <c r="B352" s="21"/>
      <c r="C352" s="21"/>
      <c r="D352" s="21"/>
    </row>
    <row r="353" spans="2:4" x14ac:dyDescent="0.25">
      <c r="B353" s="21"/>
      <c r="C353" s="21"/>
      <c r="D353" s="21"/>
    </row>
    <row r="354" spans="2:4" x14ac:dyDescent="0.25">
      <c r="B354" s="21"/>
      <c r="C354" s="21"/>
      <c r="D354" s="21"/>
    </row>
    <row r="355" spans="2:4" x14ac:dyDescent="0.25">
      <c r="B355" s="21"/>
      <c r="C355" s="21"/>
      <c r="D355" s="21"/>
    </row>
    <row r="356" spans="2:4" x14ac:dyDescent="0.25">
      <c r="B356" s="21"/>
      <c r="C356" s="21"/>
      <c r="D356" s="21"/>
    </row>
    <row r="357" spans="2:4" x14ac:dyDescent="0.25">
      <c r="B357" s="21"/>
      <c r="C357" s="21"/>
      <c r="D357" s="21"/>
    </row>
    <row r="358" spans="2:4" x14ac:dyDescent="0.25">
      <c r="B358" s="21"/>
      <c r="C358" s="21"/>
      <c r="D358" s="21"/>
    </row>
    <row r="359" spans="2:4" x14ac:dyDescent="0.25">
      <c r="B359" s="21"/>
      <c r="C359" s="21"/>
      <c r="D359" s="21"/>
    </row>
    <row r="360" spans="2:4" x14ac:dyDescent="0.25">
      <c r="B360" s="21"/>
      <c r="C360" s="21"/>
      <c r="D360" s="21"/>
    </row>
    <row r="361" spans="2:4" x14ac:dyDescent="0.25">
      <c r="B361" s="21"/>
      <c r="C361" s="21"/>
      <c r="D361" s="21"/>
    </row>
    <row r="362" spans="2:4" x14ac:dyDescent="0.25">
      <c r="B362" s="21"/>
      <c r="C362" s="21"/>
      <c r="D362" s="21"/>
    </row>
    <row r="363" spans="2:4" x14ac:dyDescent="0.25">
      <c r="B363" s="21"/>
      <c r="C363" s="21"/>
      <c r="D363" s="21"/>
    </row>
    <row r="364" spans="2:4" x14ac:dyDescent="0.25">
      <c r="B364" s="21"/>
      <c r="C364" s="21"/>
      <c r="D364" s="21"/>
    </row>
    <row r="365" spans="2:4" x14ac:dyDescent="0.25">
      <c r="B365" s="21"/>
      <c r="C365" s="21"/>
      <c r="D365" s="21"/>
    </row>
    <row r="366" spans="2:4" x14ac:dyDescent="0.25">
      <c r="B366" s="21"/>
      <c r="C366" s="21"/>
      <c r="D366" s="21"/>
    </row>
    <row r="367" spans="2:4" x14ac:dyDescent="0.25">
      <c r="B367" s="21"/>
      <c r="C367" s="21"/>
      <c r="D367" s="21"/>
    </row>
    <row r="368" spans="2:4" x14ac:dyDescent="0.25">
      <c r="B368" s="21"/>
      <c r="C368" s="21"/>
      <c r="D368" s="21"/>
    </row>
    <row r="369" spans="2:4" x14ac:dyDescent="0.25">
      <c r="B369" s="21"/>
      <c r="C369" s="21"/>
      <c r="D369" s="21"/>
    </row>
    <row r="370" spans="2:4" x14ac:dyDescent="0.25">
      <c r="B370" s="21"/>
      <c r="C370" s="21"/>
      <c r="D370" s="21"/>
    </row>
    <row r="371" spans="2:4" x14ac:dyDescent="0.25">
      <c r="B371" s="21"/>
      <c r="C371" s="21"/>
      <c r="D371" s="21"/>
    </row>
    <row r="372" spans="2:4" x14ac:dyDescent="0.25">
      <c r="B372" s="21"/>
      <c r="C372" s="21"/>
      <c r="D372" s="21"/>
    </row>
    <row r="373" spans="2:4" x14ac:dyDescent="0.25">
      <c r="B373" s="21"/>
      <c r="C373" s="21"/>
      <c r="D373" s="21"/>
    </row>
    <row r="374" spans="2:4" x14ac:dyDescent="0.25">
      <c r="B374" s="21"/>
      <c r="C374" s="21"/>
      <c r="D374" s="21"/>
    </row>
    <row r="375" spans="2:4" x14ac:dyDescent="0.25">
      <c r="B375" s="21"/>
      <c r="C375" s="21"/>
      <c r="D375" s="21"/>
    </row>
    <row r="376" spans="2:4" x14ac:dyDescent="0.25">
      <c r="B376" s="21"/>
      <c r="C376" s="21"/>
      <c r="D376" s="21"/>
    </row>
    <row r="377" spans="2:4" x14ac:dyDescent="0.25">
      <c r="B377" s="21"/>
      <c r="C377" s="21"/>
      <c r="D377" s="21"/>
    </row>
    <row r="378" spans="2:4" x14ac:dyDescent="0.25">
      <c r="B378" s="21"/>
      <c r="C378" s="21"/>
      <c r="D378" s="21"/>
    </row>
    <row r="379" spans="2:4" x14ac:dyDescent="0.25">
      <c r="B379" s="21"/>
      <c r="C379" s="21"/>
      <c r="D379" s="21"/>
    </row>
    <row r="380" spans="2:4" x14ac:dyDescent="0.25">
      <c r="B380" s="21"/>
      <c r="C380" s="21"/>
      <c r="D380" s="21"/>
    </row>
    <row r="381" spans="2:4" x14ac:dyDescent="0.25">
      <c r="B381" s="21"/>
      <c r="C381" s="21"/>
      <c r="D381" s="21"/>
    </row>
    <row r="382" spans="2:4" x14ac:dyDescent="0.25">
      <c r="B382" s="21"/>
      <c r="C382" s="21"/>
      <c r="D382" s="21"/>
    </row>
    <row r="383" spans="2:4" x14ac:dyDescent="0.25">
      <c r="B383" s="21"/>
      <c r="C383" s="21"/>
      <c r="D383" s="21"/>
    </row>
    <row r="384" spans="2:4" x14ac:dyDescent="0.25">
      <c r="B384" s="21"/>
      <c r="C384" s="21"/>
      <c r="D384" s="21"/>
    </row>
    <row r="385" spans="2:4" x14ac:dyDescent="0.25">
      <c r="B385" s="21"/>
      <c r="C385" s="21"/>
      <c r="D385" s="21"/>
    </row>
    <row r="386" spans="2:4" x14ac:dyDescent="0.25">
      <c r="B386" s="21"/>
      <c r="C386" s="21"/>
      <c r="D386" s="21"/>
    </row>
    <row r="387" spans="2:4" x14ac:dyDescent="0.25">
      <c r="B387" s="21"/>
      <c r="C387" s="21"/>
      <c r="D387" s="21"/>
    </row>
    <row r="388" spans="2:4" x14ac:dyDescent="0.25">
      <c r="B388" s="21"/>
      <c r="C388" s="21"/>
      <c r="D388" s="21"/>
    </row>
    <row r="389" spans="2:4" x14ac:dyDescent="0.25">
      <c r="B389" s="21"/>
      <c r="C389" s="21"/>
      <c r="D389" s="21"/>
    </row>
    <row r="390" spans="2:4" x14ac:dyDescent="0.25">
      <c r="B390" s="21"/>
      <c r="C390" s="21"/>
      <c r="D390" s="21"/>
    </row>
    <row r="391" spans="2:4" x14ac:dyDescent="0.25">
      <c r="B391" s="21"/>
      <c r="C391" s="21"/>
      <c r="D391" s="21"/>
    </row>
    <row r="392" spans="2:4" x14ac:dyDescent="0.25">
      <c r="B392" s="21"/>
      <c r="C392" s="21"/>
      <c r="D392" s="21"/>
    </row>
    <row r="393" spans="2:4" x14ac:dyDescent="0.25">
      <c r="B393" s="21"/>
      <c r="C393" s="21"/>
      <c r="D393" s="21"/>
    </row>
    <row r="394" spans="2:4" x14ac:dyDescent="0.25">
      <c r="B394" s="21"/>
      <c r="C394" s="21"/>
      <c r="D394" s="21"/>
    </row>
    <row r="395" spans="2:4" x14ac:dyDescent="0.25">
      <c r="B395" s="21"/>
      <c r="C395" s="21"/>
      <c r="D395" s="21"/>
    </row>
    <row r="396" spans="2:4" x14ac:dyDescent="0.25">
      <c r="B396" s="21"/>
      <c r="C396" s="21"/>
      <c r="D396" s="21"/>
    </row>
    <row r="397" spans="2:4" x14ac:dyDescent="0.25">
      <c r="B397" s="21"/>
      <c r="C397" s="21"/>
      <c r="D397" s="21"/>
    </row>
    <row r="398" spans="2:4" x14ac:dyDescent="0.25">
      <c r="B398" s="21"/>
      <c r="C398" s="21"/>
      <c r="D398" s="21"/>
    </row>
    <row r="399" spans="2:4" x14ac:dyDescent="0.25">
      <c r="B399" s="21"/>
      <c r="C399" s="21"/>
      <c r="D399" s="21"/>
    </row>
    <row r="400" spans="2:4" x14ac:dyDescent="0.25">
      <c r="B400" s="21"/>
      <c r="C400" s="21"/>
      <c r="D400" s="21"/>
    </row>
    <row r="401" spans="2:4" x14ac:dyDescent="0.25">
      <c r="B401" s="21"/>
      <c r="C401" s="21"/>
      <c r="D401" s="21"/>
    </row>
    <row r="402" spans="2:4" x14ac:dyDescent="0.25">
      <c r="B402" s="21"/>
      <c r="C402" s="21"/>
      <c r="D402" s="21"/>
    </row>
    <row r="403" spans="2:4" x14ac:dyDescent="0.25">
      <c r="B403" s="21"/>
      <c r="C403" s="21"/>
      <c r="D403" s="21"/>
    </row>
    <row r="404" spans="2:4" x14ac:dyDescent="0.25">
      <c r="B404" s="21"/>
      <c r="C404" s="21"/>
      <c r="D404" s="21"/>
    </row>
    <row r="405" spans="2:4" x14ac:dyDescent="0.25">
      <c r="B405" s="21"/>
      <c r="C405" s="21"/>
      <c r="D405" s="21"/>
    </row>
    <row r="406" spans="2:4" x14ac:dyDescent="0.25">
      <c r="B406" s="21"/>
      <c r="C406" s="21"/>
      <c r="D406" s="21"/>
    </row>
    <row r="407" spans="2:4" x14ac:dyDescent="0.25">
      <c r="B407" s="21"/>
      <c r="C407" s="21"/>
      <c r="D407" s="21"/>
    </row>
    <row r="408" spans="2:4" x14ac:dyDescent="0.25">
      <c r="B408" s="21"/>
      <c r="C408" s="21"/>
      <c r="D408" s="21"/>
    </row>
    <row r="409" spans="2:4" x14ac:dyDescent="0.25">
      <c r="B409" s="21"/>
      <c r="C409" s="21"/>
      <c r="D409" s="21"/>
    </row>
    <row r="410" spans="2:4" x14ac:dyDescent="0.25">
      <c r="B410" s="21"/>
      <c r="C410" s="21"/>
      <c r="D410" s="21"/>
    </row>
    <row r="411" spans="2:4" x14ac:dyDescent="0.25">
      <c r="B411" s="21"/>
      <c r="C411" s="21"/>
      <c r="D411" s="21"/>
    </row>
    <row r="412" spans="2:4" x14ac:dyDescent="0.25">
      <c r="B412" s="21"/>
      <c r="C412" s="21"/>
      <c r="D412" s="21"/>
    </row>
    <row r="413" spans="2:4" x14ac:dyDescent="0.25">
      <c r="B413" s="21"/>
      <c r="C413" s="21"/>
      <c r="D413" s="21"/>
    </row>
    <row r="414" spans="2:4" x14ac:dyDescent="0.25">
      <c r="B414" s="21"/>
      <c r="C414" s="21"/>
      <c r="D414" s="21"/>
    </row>
    <row r="415" spans="2:4" x14ac:dyDescent="0.25">
      <c r="B415" s="21"/>
      <c r="C415" s="21"/>
      <c r="D415" s="21"/>
    </row>
    <row r="416" spans="2:4" x14ac:dyDescent="0.25">
      <c r="B416" s="21"/>
      <c r="C416" s="21"/>
      <c r="D416" s="21"/>
    </row>
    <row r="417" spans="2:4" x14ac:dyDescent="0.25">
      <c r="B417" s="21"/>
      <c r="C417" s="21"/>
      <c r="D417" s="21"/>
    </row>
    <row r="418" spans="2:4" x14ac:dyDescent="0.25">
      <c r="B418" s="21"/>
      <c r="C418" s="21"/>
      <c r="D418" s="21"/>
    </row>
    <row r="419" spans="2:4" x14ac:dyDescent="0.25">
      <c r="B419" s="21"/>
      <c r="C419" s="21"/>
      <c r="D419" s="21"/>
    </row>
    <row r="420" spans="2:4" x14ac:dyDescent="0.25">
      <c r="B420" s="21"/>
      <c r="C420" s="21"/>
      <c r="D420" s="21"/>
    </row>
    <row r="421" spans="2:4" x14ac:dyDescent="0.25">
      <c r="B421" s="21"/>
      <c r="C421" s="21"/>
      <c r="D421" s="21"/>
    </row>
    <row r="422" spans="2:4" x14ac:dyDescent="0.25">
      <c r="B422" s="21"/>
      <c r="C422" s="21"/>
      <c r="D422" s="21"/>
    </row>
    <row r="423" spans="2:4" x14ac:dyDescent="0.25">
      <c r="B423" s="21"/>
      <c r="C423" s="21"/>
      <c r="D423" s="21"/>
    </row>
    <row r="424" spans="2:4" x14ac:dyDescent="0.25">
      <c r="B424" s="21"/>
      <c r="C424" s="21"/>
      <c r="D424" s="21"/>
    </row>
    <row r="425" spans="2:4" x14ac:dyDescent="0.25">
      <c r="B425" s="21"/>
      <c r="C425" s="21"/>
      <c r="D425" s="21"/>
    </row>
    <row r="426" spans="2:4" x14ac:dyDescent="0.25">
      <c r="B426" s="21"/>
      <c r="C426" s="21"/>
      <c r="D426" s="21"/>
    </row>
    <row r="427" spans="2:4" x14ac:dyDescent="0.25">
      <c r="B427" s="21"/>
      <c r="C427" s="21"/>
      <c r="D427" s="21"/>
    </row>
    <row r="428" spans="2:4" x14ac:dyDescent="0.25">
      <c r="B428" s="21"/>
      <c r="C428" s="21"/>
      <c r="D428" s="21"/>
    </row>
    <row r="429" spans="2:4" x14ac:dyDescent="0.25">
      <c r="B429" s="21"/>
      <c r="C429" s="21"/>
      <c r="D429" s="21"/>
    </row>
    <row r="430" spans="2:4" x14ac:dyDescent="0.25">
      <c r="B430" s="21"/>
      <c r="C430" s="21"/>
      <c r="D430" s="21"/>
    </row>
    <row r="431" spans="2:4" x14ac:dyDescent="0.25">
      <c r="B431" s="21"/>
      <c r="C431" s="21"/>
      <c r="D431" s="21"/>
    </row>
    <row r="432" spans="2:4" x14ac:dyDescent="0.25">
      <c r="B432" s="21"/>
      <c r="C432" s="21"/>
      <c r="D432" s="21"/>
    </row>
    <row r="433" spans="2:4" x14ac:dyDescent="0.25">
      <c r="B433" s="21"/>
      <c r="C433" s="21"/>
      <c r="D433" s="21"/>
    </row>
    <row r="434" spans="2:4" x14ac:dyDescent="0.25">
      <c r="B434" s="21"/>
      <c r="C434" s="21"/>
      <c r="D434" s="21"/>
    </row>
    <row r="435" spans="2:4" x14ac:dyDescent="0.25">
      <c r="B435" s="21"/>
      <c r="C435" s="21"/>
      <c r="D435" s="21"/>
    </row>
    <row r="436" spans="2:4" x14ac:dyDescent="0.25">
      <c r="B436" s="21"/>
      <c r="C436" s="21"/>
      <c r="D436" s="21"/>
    </row>
    <row r="437" spans="2:4" x14ac:dyDescent="0.25">
      <c r="B437" s="21"/>
      <c r="C437" s="21"/>
      <c r="D437" s="21"/>
    </row>
    <row r="438" spans="2:4" x14ac:dyDescent="0.25">
      <c r="B438" s="21"/>
      <c r="C438" s="21"/>
      <c r="D438" s="21"/>
    </row>
    <row r="439" spans="2:4" x14ac:dyDescent="0.25">
      <c r="B439" s="21"/>
      <c r="C439" s="21"/>
      <c r="D439" s="21"/>
    </row>
    <row r="440" spans="2:4" x14ac:dyDescent="0.25">
      <c r="B440" s="21"/>
      <c r="C440" s="21"/>
      <c r="D440" s="21"/>
    </row>
    <row r="441" spans="2:4" x14ac:dyDescent="0.25">
      <c r="B441" s="21"/>
      <c r="C441" s="21"/>
      <c r="D441" s="21"/>
    </row>
    <row r="442" spans="2:4" x14ac:dyDescent="0.25">
      <c r="B442" s="21"/>
      <c r="C442" s="21"/>
      <c r="D442" s="21"/>
    </row>
    <row r="443" spans="2:4" x14ac:dyDescent="0.25">
      <c r="B443" s="21"/>
      <c r="C443" s="21"/>
      <c r="D443" s="21"/>
    </row>
    <row r="444" spans="2:4" x14ac:dyDescent="0.25">
      <c r="B444" s="21"/>
      <c r="C444" s="21"/>
      <c r="D444" s="21"/>
    </row>
    <row r="445" spans="2:4" x14ac:dyDescent="0.25">
      <c r="B445" s="21"/>
      <c r="C445" s="21"/>
      <c r="D445" s="21"/>
    </row>
    <row r="446" spans="2:4" x14ac:dyDescent="0.25">
      <c r="B446" s="21"/>
      <c r="C446" s="21"/>
      <c r="D446" s="21"/>
    </row>
    <row r="447" spans="2:4" x14ac:dyDescent="0.25">
      <c r="B447" s="21"/>
      <c r="C447" s="21"/>
      <c r="D447" s="21"/>
    </row>
    <row r="448" spans="2:4" x14ac:dyDescent="0.25">
      <c r="B448" s="21"/>
      <c r="C448" s="21"/>
      <c r="D448" s="21"/>
    </row>
    <row r="449" spans="2:4" x14ac:dyDescent="0.25">
      <c r="B449" s="21"/>
      <c r="C449" s="21"/>
      <c r="D449" s="21"/>
    </row>
    <row r="450" spans="2:4" x14ac:dyDescent="0.25">
      <c r="B450" s="21"/>
      <c r="C450" s="21"/>
      <c r="D450" s="21"/>
    </row>
    <row r="451" spans="2:4" x14ac:dyDescent="0.25">
      <c r="B451" s="21"/>
      <c r="C451" s="21"/>
      <c r="D451" s="21"/>
    </row>
    <row r="452" spans="2:4" x14ac:dyDescent="0.25">
      <c r="B452" s="21"/>
      <c r="C452" s="21"/>
      <c r="D452" s="21"/>
    </row>
    <row r="453" spans="2:4" x14ac:dyDescent="0.25">
      <c r="B453" s="21"/>
      <c r="C453" s="21"/>
      <c r="D453" s="21"/>
    </row>
    <row r="454" spans="2:4" x14ac:dyDescent="0.25">
      <c r="B454" s="21"/>
      <c r="C454" s="21"/>
      <c r="D454" s="21"/>
    </row>
    <row r="455" spans="2:4" x14ac:dyDescent="0.25">
      <c r="B455" s="21"/>
      <c r="C455" s="21"/>
      <c r="D455" s="21"/>
    </row>
    <row r="456" spans="2:4" x14ac:dyDescent="0.25">
      <c r="B456" s="21"/>
      <c r="C456" s="21"/>
      <c r="D456" s="21"/>
    </row>
    <row r="457" spans="2:4" x14ac:dyDescent="0.25">
      <c r="B457" s="21"/>
      <c r="C457" s="21"/>
      <c r="D457" s="21"/>
    </row>
    <row r="458" spans="2:4" x14ac:dyDescent="0.25">
      <c r="B458" s="21"/>
      <c r="C458" s="21"/>
      <c r="D458" s="21"/>
    </row>
    <row r="459" spans="2:4" x14ac:dyDescent="0.25">
      <c r="B459" s="21"/>
      <c r="C459" s="21"/>
      <c r="D459" s="21"/>
    </row>
    <row r="460" spans="2:4" x14ac:dyDescent="0.25">
      <c r="B460" s="21"/>
      <c r="C460" s="21"/>
      <c r="D460" s="21"/>
    </row>
    <row r="461" spans="2:4" x14ac:dyDescent="0.25">
      <c r="B461" s="21"/>
      <c r="C461" s="21"/>
      <c r="D461" s="21"/>
    </row>
    <row r="462" spans="2:4" x14ac:dyDescent="0.25">
      <c r="B462" s="21"/>
      <c r="C462" s="21"/>
      <c r="D462" s="21"/>
    </row>
    <row r="463" spans="2:4" x14ac:dyDescent="0.25">
      <c r="B463" s="21"/>
      <c r="C463" s="21"/>
      <c r="D463" s="21"/>
    </row>
    <row r="464" spans="2:4" x14ac:dyDescent="0.25">
      <c r="B464" s="21"/>
      <c r="C464" s="21"/>
      <c r="D464" s="21"/>
    </row>
    <row r="465" spans="2:4" x14ac:dyDescent="0.25">
      <c r="B465" s="21"/>
      <c r="C465" s="21"/>
      <c r="D465" s="21"/>
    </row>
    <row r="466" spans="2:4" x14ac:dyDescent="0.25">
      <c r="B466" s="21"/>
      <c r="C466" s="21"/>
      <c r="D466" s="21"/>
    </row>
    <row r="467" spans="2:4" x14ac:dyDescent="0.25">
      <c r="B467" s="21"/>
      <c r="C467" s="21"/>
      <c r="D467" s="21"/>
    </row>
    <row r="468" spans="2:4" x14ac:dyDescent="0.25">
      <c r="B468" s="21"/>
      <c r="C468" s="21"/>
      <c r="D468" s="21"/>
    </row>
    <row r="469" spans="2:4" x14ac:dyDescent="0.25">
      <c r="B469" s="21"/>
      <c r="C469" s="21"/>
      <c r="D469" s="21"/>
    </row>
    <row r="470" spans="2:4" x14ac:dyDescent="0.25">
      <c r="B470" s="21"/>
      <c r="C470" s="21"/>
      <c r="D470" s="21"/>
    </row>
    <row r="471" spans="2:4" x14ac:dyDescent="0.25">
      <c r="B471" s="21"/>
      <c r="C471" s="21"/>
      <c r="D471" s="21"/>
    </row>
    <row r="472" spans="2:4" x14ac:dyDescent="0.25">
      <c r="B472" s="21"/>
      <c r="C472" s="21"/>
      <c r="D472" s="21"/>
    </row>
    <row r="473" spans="2:4" x14ac:dyDescent="0.25">
      <c r="B473" s="21"/>
      <c r="C473" s="21"/>
      <c r="D473" s="21"/>
    </row>
    <row r="474" spans="2:4" x14ac:dyDescent="0.25">
      <c r="B474" s="21"/>
      <c r="C474" s="21"/>
      <c r="D474" s="21"/>
    </row>
    <row r="475" spans="2:4" x14ac:dyDescent="0.25">
      <c r="B475" s="21"/>
      <c r="C475" s="21"/>
      <c r="D475" s="21"/>
    </row>
    <row r="476" spans="2:4" x14ac:dyDescent="0.25">
      <c r="B476" s="21"/>
      <c r="C476" s="21"/>
      <c r="D476" s="21"/>
    </row>
    <row r="477" spans="2:4" x14ac:dyDescent="0.25">
      <c r="B477" s="21"/>
      <c r="C477" s="21"/>
      <c r="D477" s="21"/>
    </row>
    <row r="478" spans="2:4" x14ac:dyDescent="0.25">
      <c r="B478" s="21"/>
      <c r="C478" s="21"/>
      <c r="D478" s="21"/>
    </row>
    <row r="479" spans="2:4" x14ac:dyDescent="0.25">
      <c r="B479" s="21"/>
      <c r="C479" s="21"/>
      <c r="D479" s="21"/>
    </row>
    <row r="480" spans="2:4" x14ac:dyDescent="0.25">
      <c r="B480" s="21"/>
      <c r="C480" s="21"/>
      <c r="D480" s="21"/>
    </row>
    <row r="481" spans="2:4" x14ac:dyDescent="0.25">
      <c r="B481" s="21"/>
      <c r="C481" s="21"/>
      <c r="D481" s="21"/>
    </row>
    <row r="482" spans="2:4" x14ac:dyDescent="0.25">
      <c r="B482" s="21"/>
      <c r="C482" s="21"/>
      <c r="D482" s="21"/>
    </row>
    <row r="483" spans="2:4" x14ac:dyDescent="0.25">
      <c r="B483" s="21"/>
      <c r="C483" s="21"/>
      <c r="D483" s="21"/>
    </row>
    <row r="484" spans="2:4" x14ac:dyDescent="0.25">
      <c r="B484" s="21"/>
      <c r="C484" s="21"/>
      <c r="D484" s="21"/>
    </row>
    <row r="485" spans="2:4" x14ac:dyDescent="0.25">
      <c r="B485" s="21"/>
      <c r="C485" s="21"/>
      <c r="D485" s="21"/>
    </row>
    <row r="486" spans="2:4" x14ac:dyDescent="0.25">
      <c r="B486" s="21"/>
      <c r="C486" s="21"/>
      <c r="D486" s="21"/>
    </row>
    <row r="487" spans="2:4" x14ac:dyDescent="0.25">
      <c r="B487" s="21"/>
      <c r="C487" s="21"/>
      <c r="D487" s="21"/>
    </row>
    <row r="488" spans="2:4" x14ac:dyDescent="0.25">
      <c r="B488" s="21"/>
      <c r="C488" s="21"/>
      <c r="D488" s="21"/>
    </row>
    <row r="489" spans="2:4" x14ac:dyDescent="0.25">
      <c r="B489" s="21"/>
      <c r="C489" s="21"/>
      <c r="D489" s="21"/>
    </row>
    <row r="490" spans="2:4" x14ac:dyDescent="0.25">
      <c r="B490" s="21"/>
      <c r="C490" s="21"/>
      <c r="D490" s="21"/>
    </row>
    <row r="491" spans="2:4" x14ac:dyDescent="0.25">
      <c r="B491" s="21"/>
      <c r="C491" s="21"/>
      <c r="D491" s="21"/>
    </row>
    <row r="492" spans="2:4" x14ac:dyDescent="0.25">
      <c r="B492" s="21"/>
      <c r="C492" s="21"/>
      <c r="D492" s="21"/>
    </row>
    <row r="493" spans="2:4" x14ac:dyDescent="0.25">
      <c r="B493" s="21"/>
      <c r="C493" s="21"/>
      <c r="D493" s="21"/>
    </row>
    <row r="494" spans="2:4" x14ac:dyDescent="0.25">
      <c r="B494" s="21"/>
      <c r="C494" s="21"/>
      <c r="D494" s="21"/>
    </row>
    <row r="495" spans="2:4" x14ac:dyDescent="0.25">
      <c r="B495" s="21"/>
      <c r="C495" s="21"/>
      <c r="D495" s="21"/>
    </row>
    <row r="496" spans="2:4" x14ac:dyDescent="0.25">
      <c r="B496" s="21"/>
      <c r="C496" s="21"/>
      <c r="D496" s="21"/>
    </row>
    <row r="497" spans="2:4" x14ac:dyDescent="0.25">
      <c r="B497" s="21"/>
      <c r="C497" s="21"/>
      <c r="D497" s="21"/>
    </row>
    <row r="498" spans="2:4" x14ac:dyDescent="0.25">
      <c r="B498" s="21"/>
      <c r="C498" s="21"/>
      <c r="D498" s="21"/>
    </row>
    <row r="499" spans="2:4" x14ac:dyDescent="0.25">
      <c r="B499" s="21"/>
      <c r="C499" s="21"/>
      <c r="D499" s="21"/>
    </row>
    <row r="500" spans="2:4" x14ac:dyDescent="0.25">
      <c r="B500" s="21"/>
      <c r="C500" s="21"/>
      <c r="D500" s="21"/>
    </row>
    <row r="501" spans="2:4" x14ac:dyDescent="0.25">
      <c r="B501" s="21"/>
      <c r="C501" s="21"/>
      <c r="D501" s="21"/>
    </row>
    <row r="502" spans="2:4" x14ac:dyDescent="0.25">
      <c r="B502" s="21"/>
      <c r="C502" s="21"/>
      <c r="D502" s="21"/>
    </row>
    <row r="503" spans="2:4" x14ac:dyDescent="0.25">
      <c r="B503" s="21"/>
      <c r="C503" s="21"/>
      <c r="D503" s="21"/>
    </row>
    <row r="504" spans="2:4" x14ac:dyDescent="0.25">
      <c r="B504" s="21"/>
      <c r="C504" s="21"/>
      <c r="D504" s="21"/>
    </row>
    <row r="505" spans="2:4" x14ac:dyDescent="0.25">
      <c r="B505" s="21"/>
      <c r="C505" s="21"/>
      <c r="D505" s="21"/>
    </row>
    <row r="506" spans="2:4" x14ac:dyDescent="0.25">
      <c r="B506" s="21"/>
      <c r="C506" s="21"/>
      <c r="D506" s="21"/>
    </row>
    <row r="507" spans="2:4" x14ac:dyDescent="0.25">
      <c r="B507" s="21"/>
      <c r="C507" s="21"/>
      <c r="D507" s="21"/>
    </row>
    <row r="508" spans="2:4" x14ac:dyDescent="0.25">
      <c r="B508" s="21"/>
      <c r="C508" s="21"/>
      <c r="D508" s="21"/>
    </row>
    <row r="509" spans="2:4" x14ac:dyDescent="0.25">
      <c r="B509" s="21"/>
      <c r="C509" s="21"/>
      <c r="D509" s="21"/>
    </row>
    <row r="510" spans="2:4" x14ac:dyDescent="0.25">
      <c r="B510" s="21"/>
      <c r="C510" s="21"/>
      <c r="D510" s="21"/>
    </row>
    <row r="511" spans="2:4" x14ac:dyDescent="0.25">
      <c r="B511" s="21"/>
      <c r="C511" s="21"/>
      <c r="D511" s="21"/>
    </row>
    <row r="512" spans="2:4" x14ac:dyDescent="0.25">
      <c r="B512" s="21"/>
      <c r="C512" s="21"/>
      <c r="D512" s="21"/>
    </row>
    <row r="513" spans="2:4" x14ac:dyDescent="0.25">
      <c r="B513" s="21"/>
      <c r="C513" s="21"/>
      <c r="D513" s="21"/>
    </row>
    <row r="514" spans="2:4" x14ac:dyDescent="0.25">
      <c r="B514" s="21"/>
      <c r="C514" s="21"/>
      <c r="D514" s="21"/>
    </row>
    <row r="515" spans="2:4" x14ac:dyDescent="0.25">
      <c r="B515" s="21"/>
      <c r="C515" s="21"/>
      <c r="D515" s="21"/>
    </row>
    <row r="516" spans="2:4" x14ac:dyDescent="0.25">
      <c r="B516" s="21"/>
      <c r="C516" s="21"/>
      <c r="D516" s="21"/>
    </row>
    <row r="517" spans="2:4" x14ac:dyDescent="0.25">
      <c r="B517" s="21"/>
      <c r="C517" s="21"/>
      <c r="D517" s="21"/>
    </row>
    <row r="518" spans="2:4" x14ac:dyDescent="0.25">
      <c r="B518" s="21"/>
      <c r="C518" s="21"/>
      <c r="D518" s="21"/>
    </row>
    <row r="519" spans="2:4" x14ac:dyDescent="0.25">
      <c r="B519" s="21"/>
      <c r="C519" s="21"/>
      <c r="D519" s="21"/>
    </row>
    <row r="520" spans="2:4" x14ac:dyDescent="0.25">
      <c r="B520" s="21"/>
      <c r="C520" s="21"/>
      <c r="D520" s="21"/>
    </row>
    <row r="521" spans="2:4" x14ac:dyDescent="0.25">
      <c r="B521" s="21"/>
      <c r="C521" s="21"/>
      <c r="D521" s="21"/>
    </row>
    <row r="522" spans="2:4" x14ac:dyDescent="0.25">
      <c r="B522" s="21"/>
      <c r="C522" s="21"/>
      <c r="D522" s="21"/>
    </row>
    <row r="523" spans="2:4" x14ac:dyDescent="0.25">
      <c r="B523" s="21"/>
      <c r="C523" s="21"/>
      <c r="D523" s="21"/>
    </row>
    <row r="524" spans="2:4" x14ac:dyDescent="0.25">
      <c r="B524" s="21"/>
      <c r="C524" s="21"/>
      <c r="D524" s="21"/>
    </row>
    <row r="525" spans="2:4" x14ac:dyDescent="0.25">
      <c r="B525" s="21"/>
      <c r="C525" s="21"/>
      <c r="D525" s="21"/>
    </row>
    <row r="526" spans="2:4" x14ac:dyDescent="0.25">
      <c r="B526" s="21"/>
      <c r="C526" s="21"/>
      <c r="D526" s="21"/>
    </row>
    <row r="527" spans="2:4" x14ac:dyDescent="0.25">
      <c r="B527" s="21"/>
      <c r="C527" s="21"/>
      <c r="D527" s="21"/>
    </row>
    <row r="528" spans="2:4" x14ac:dyDescent="0.25">
      <c r="B528" s="21"/>
      <c r="C528" s="21"/>
      <c r="D528" s="21"/>
    </row>
    <row r="529" spans="2:4" x14ac:dyDescent="0.25">
      <c r="B529" s="21"/>
      <c r="C529" s="21"/>
      <c r="D529" s="21"/>
    </row>
    <row r="530" spans="2:4" x14ac:dyDescent="0.25">
      <c r="B530" s="21"/>
      <c r="C530" s="21"/>
      <c r="D530" s="21"/>
    </row>
    <row r="531" spans="2:4" x14ac:dyDescent="0.25">
      <c r="B531" s="21"/>
      <c r="C531" s="21"/>
      <c r="D531" s="21"/>
    </row>
    <row r="532" spans="2:4" x14ac:dyDescent="0.25">
      <c r="B532" s="21"/>
      <c r="C532" s="21"/>
      <c r="D532" s="21"/>
    </row>
    <row r="533" spans="2:4" x14ac:dyDescent="0.25">
      <c r="B533" s="21"/>
      <c r="C533" s="21"/>
      <c r="D533" s="21"/>
    </row>
    <row r="534" spans="2:4" x14ac:dyDescent="0.25">
      <c r="B534" s="21"/>
      <c r="C534" s="21"/>
      <c r="D534" s="21"/>
    </row>
    <row r="535" spans="2:4" x14ac:dyDescent="0.25">
      <c r="B535" s="21"/>
      <c r="C535" s="21"/>
      <c r="D535" s="21"/>
    </row>
    <row r="536" spans="2:4" x14ac:dyDescent="0.25">
      <c r="B536" s="21"/>
      <c r="C536" s="21"/>
      <c r="D536" s="21"/>
    </row>
    <row r="537" spans="2:4" x14ac:dyDescent="0.25">
      <c r="B537" s="21"/>
      <c r="C537" s="21"/>
      <c r="D537" s="21"/>
    </row>
    <row r="538" spans="2:4" x14ac:dyDescent="0.25">
      <c r="B538" s="21"/>
      <c r="C538" s="21"/>
      <c r="D538" s="21"/>
    </row>
    <row r="539" spans="2:4" x14ac:dyDescent="0.25">
      <c r="B539" s="21"/>
      <c r="C539" s="21"/>
      <c r="D539" s="21"/>
    </row>
    <row r="540" spans="2:4" x14ac:dyDescent="0.25">
      <c r="B540" s="21"/>
      <c r="C540" s="21"/>
      <c r="D540" s="21"/>
    </row>
    <row r="541" spans="2:4" x14ac:dyDescent="0.25">
      <c r="B541" s="21"/>
      <c r="C541" s="21"/>
      <c r="D541" s="21"/>
    </row>
    <row r="542" spans="2:4" x14ac:dyDescent="0.25">
      <c r="B542" s="21"/>
      <c r="C542" s="21"/>
      <c r="D542" s="21"/>
    </row>
    <row r="543" spans="2:4" x14ac:dyDescent="0.25">
      <c r="B543" s="21"/>
      <c r="C543" s="21"/>
      <c r="D543" s="21"/>
    </row>
    <row r="544" spans="2:4" x14ac:dyDescent="0.25">
      <c r="B544" s="21"/>
      <c r="C544" s="21"/>
      <c r="D544" s="21"/>
    </row>
    <row r="545" spans="2:4" x14ac:dyDescent="0.25">
      <c r="B545" s="21"/>
      <c r="C545" s="21"/>
      <c r="D545" s="21"/>
    </row>
    <row r="546" spans="2:4" x14ac:dyDescent="0.25">
      <c r="B546" s="21"/>
      <c r="C546" s="21"/>
      <c r="D546" s="21"/>
    </row>
    <row r="547" spans="2:4" x14ac:dyDescent="0.25">
      <c r="B547" s="21"/>
      <c r="C547" s="21"/>
      <c r="D547" s="21"/>
    </row>
    <row r="548" spans="2:4" x14ac:dyDescent="0.25">
      <c r="B548" s="21"/>
      <c r="C548" s="21"/>
      <c r="D548" s="21"/>
    </row>
    <row r="549" spans="2:4" x14ac:dyDescent="0.25">
      <c r="B549" s="21"/>
      <c r="C549" s="21"/>
      <c r="D549" s="21"/>
    </row>
    <row r="550" spans="2:4" x14ac:dyDescent="0.25">
      <c r="B550" s="21"/>
      <c r="C550" s="21"/>
      <c r="D550" s="21"/>
    </row>
    <row r="551" spans="2:4" x14ac:dyDescent="0.25">
      <c r="B551" s="21"/>
      <c r="C551" s="21"/>
      <c r="D551" s="21"/>
    </row>
    <row r="552" spans="2:4" x14ac:dyDescent="0.25">
      <c r="B552" s="21"/>
      <c r="C552" s="21"/>
      <c r="D552" s="21"/>
    </row>
    <row r="553" spans="2:4" x14ac:dyDescent="0.25">
      <c r="B553" s="21"/>
      <c r="C553" s="21"/>
      <c r="D553" s="21"/>
    </row>
    <row r="554" spans="2:4" x14ac:dyDescent="0.25">
      <c r="B554" s="21"/>
      <c r="C554" s="21"/>
      <c r="D554" s="21"/>
    </row>
    <row r="555" spans="2:4" x14ac:dyDescent="0.25">
      <c r="B555" s="21"/>
      <c r="C555" s="21"/>
      <c r="D555" s="21"/>
    </row>
    <row r="556" spans="2:4" x14ac:dyDescent="0.25">
      <c r="B556" s="21"/>
      <c r="C556" s="21"/>
      <c r="D556" s="21"/>
    </row>
    <row r="557" spans="2:4" x14ac:dyDescent="0.25">
      <c r="B557" s="21"/>
      <c r="C557" s="21"/>
      <c r="D557" s="21"/>
    </row>
    <row r="558" spans="2:4" x14ac:dyDescent="0.25">
      <c r="B558" s="21"/>
      <c r="C558" s="21"/>
      <c r="D558" s="21"/>
    </row>
    <row r="559" spans="2:4" x14ac:dyDescent="0.25">
      <c r="B559" s="21"/>
      <c r="C559" s="21"/>
      <c r="D559" s="21"/>
    </row>
    <row r="560" spans="2:4" x14ac:dyDescent="0.25">
      <c r="B560" s="21"/>
      <c r="C560" s="21"/>
      <c r="D560" s="21"/>
    </row>
    <row r="561" spans="2:4" x14ac:dyDescent="0.25">
      <c r="B561" s="21"/>
      <c r="C561" s="21"/>
      <c r="D561" s="21"/>
    </row>
    <row r="562" spans="2:4" x14ac:dyDescent="0.25">
      <c r="B562" s="21"/>
      <c r="C562" s="21"/>
      <c r="D562" s="21"/>
    </row>
    <row r="563" spans="2:4" x14ac:dyDescent="0.25">
      <c r="B563" s="21"/>
      <c r="C563" s="21"/>
      <c r="D563" s="21"/>
    </row>
    <row r="564" spans="2:4" x14ac:dyDescent="0.25">
      <c r="B564" s="21"/>
      <c r="C564" s="21"/>
      <c r="D564" s="21"/>
    </row>
    <row r="565" spans="2:4" x14ac:dyDescent="0.25">
      <c r="B565" s="21"/>
      <c r="C565" s="21"/>
      <c r="D565" s="21"/>
    </row>
    <row r="566" spans="2:4" x14ac:dyDescent="0.25">
      <c r="B566" s="21"/>
      <c r="C566" s="21"/>
      <c r="D566" s="21"/>
    </row>
    <row r="567" spans="2:4" x14ac:dyDescent="0.25">
      <c r="B567" s="21"/>
      <c r="C567" s="21"/>
      <c r="D567" s="21"/>
    </row>
    <row r="568" spans="2:4" x14ac:dyDescent="0.25">
      <c r="B568" s="21"/>
      <c r="C568" s="21"/>
      <c r="D568" s="21"/>
    </row>
    <row r="569" spans="2:4" x14ac:dyDescent="0.25">
      <c r="B569" s="21"/>
      <c r="C569" s="21"/>
      <c r="D569" s="21"/>
    </row>
    <row r="570" spans="2:4" x14ac:dyDescent="0.25">
      <c r="B570" s="21"/>
      <c r="C570" s="21"/>
      <c r="D570" s="21"/>
    </row>
    <row r="571" spans="2:4" x14ac:dyDescent="0.25">
      <c r="B571" s="21"/>
      <c r="C571" s="21"/>
      <c r="D571" s="21"/>
    </row>
    <row r="572" spans="2:4" x14ac:dyDescent="0.25">
      <c r="B572" s="21"/>
      <c r="C572" s="21"/>
      <c r="D572" s="21"/>
    </row>
    <row r="573" spans="2:4" x14ac:dyDescent="0.25">
      <c r="B573" s="21"/>
      <c r="C573" s="21"/>
      <c r="D573" s="21"/>
    </row>
    <row r="574" spans="2:4" x14ac:dyDescent="0.25">
      <c r="B574" s="21"/>
      <c r="C574" s="21"/>
      <c r="D574" s="21"/>
    </row>
    <row r="575" spans="2:4" x14ac:dyDescent="0.25">
      <c r="B575" s="21"/>
      <c r="C575" s="21"/>
      <c r="D575" s="21"/>
    </row>
    <row r="576" spans="2:4" x14ac:dyDescent="0.25">
      <c r="B576" s="21"/>
      <c r="C576" s="21"/>
      <c r="D576" s="21"/>
    </row>
    <row r="577" spans="2:4" x14ac:dyDescent="0.25">
      <c r="B577" s="21"/>
      <c r="C577" s="21"/>
      <c r="D577" s="21"/>
    </row>
    <row r="578" spans="2:4" x14ac:dyDescent="0.25">
      <c r="B578" s="21"/>
      <c r="C578" s="21"/>
      <c r="D578" s="21"/>
    </row>
    <row r="579" spans="2:4" x14ac:dyDescent="0.25">
      <c r="B579" s="21"/>
      <c r="C579" s="21"/>
      <c r="D579" s="21"/>
    </row>
    <row r="580" spans="2:4" x14ac:dyDescent="0.25">
      <c r="B580" s="21"/>
      <c r="C580" s="21"/>
      <c r="D580" s="21"/>
    </row>
    <row r="581" spans="2:4" x14ac:dyDescent="0.25">
      <c r="B581" s="21"/>
      <c r="C581" s="21"/>
      <c r="D581" s="21"/>
    </row>
    <row r="582" spans="2:4" x14ac:dyDescent="0.25">
      <c r="B582" s="21"/>
      <c r="C582" s="21"/>
      <c r="D582" s="21"/>
    </row>
    <row r="583" spans="2:4" x14ac:dyDescent="0.25">
      <c r="B583" s="21"/>
      <c r="C583" s="21"/>
      <c r="D583" s="21"/>
    </row>
    <row r="584" spans="2:4" x14ac:dyDescent="0.25">
      <c r="B584" s="21"/>
      <c r="C584" s="21"/>
      <c r="D584" s="21"/>
    </row>
    <row r="585" spans="2:4" x14ac:dyDescent="0.25">
      <c r="B585" s="21"/>
      <c r="C585" s="21"/>
      <c r="D585" s="21"/>
    </row>
    <row r="586" spans="2:4" x14ac:dyDescent="0.25">
      <c r="B586" s="21"/>
      <c r="C586" s="21"/>
      <c r="D586" s="21"/>
    </row>
    <row r="587" spans="2:4" x14ac:dyDescent="0.25">
      <c r="B587" s="21"/>
      <c r="C587" s="21"/>
      <c r="D587" s="21"/>
    </row>
    <row r="588" spans="2:4" x14ac:dyDescent="0.25">
      <c r="B588" s="21"/>
      <c r="C588" s="21"/>
      <c r="D588" s="21"/>
    </row>
    <row r="589" spans="2:4" x14ac:dyDescent="0.25">
      <c r="B589" s="21"/>
      <c r="C589" s="21"/>
      <c r="D589" s="21"/>
    </row>
    <row r="590" spans="2:4" x14ac:dyDescent="0.25">
      <c r="B590" s="21"/>
      <c r="C590" s="21"/>
      <c r="D590" s="21"/>
    </row>
    <row r="591" spans="2:4" x14ac:dyDescent="0.25">
      <c r="B591" s="21"/>
      <c r="C591" s="21"/>
      <c r="D591" s="21"/>
    </row>
    <row r="592" spans="2:4" x14ac:dyDescent="0.25">
      <c r="B592" s="21"/>
      <c r="C592" s="21"/>
      <c r="D592" s="21"/>
    </row>
    <row r="593" spans="2:4" x14ac:dyDescent="0.25">
      <c r="B593" s="21"/>
      <c r="C593" s="21"/>
      <c r="D593" s="21"/>
    </row>
    <row r="594" spans="2:4" x14ac:dyDescent="0.25">
      <c r="B594" s="21"/>
      <c r="C594" s="21"/>
      <c r="D594" s="21"/>
    </row>
    <row r="595" spans="2:4" x14ac:dyDescent="0.25">
      <c r="B595" s="21"/>
      <c r="C595" s="21"/>
      <c r="D595" s="21"/>
    </row>
    <row r="596" spans="2:4" x14ac:dyDescent="0.25">
      <c r="B596" s="21"/>
      <c r="C596" s="21"/>
      <c r="D596" s="21"/>
    </row>
    <row r="597" spans="2:4" x14ac:dyDescent="0.25">
      <c r="B597" s="21"/>
      <c r="C597" s="21"/>
      <c r="D597" s="21"/>
    </row>
    <row r="598" spans="2:4" x14ac:dyDescent="0.25">
      <c r="B598" s="21"/>
      <c r="C598" s="21"/>
      <c r="D598" s="21"/>
    </row>
    <row r="599" spans="2:4" x14ac:dyDescent="0.25">
      <c r="B599" s="21"/>
      <c r="C599" s="21"/>
      <c r="D599" s="21"/>
    </row>
    <row r="600" spans="2:4" x14ac:dyDescent="0.25">
      <c r="B600" s="21"/>
      <c r="C600" s="21"/>
      <c r="D600" s="21"/>
    </row>
    <row r="601" spans="2:4" x14ac:dyDescent="0.25">
      <c r="B601" s="21"/>
      <c r="C601" s="21"/>
      <c r="D601" s="21"/>
    </row>
    <row r="602" spans="2:4" x14ac:dyDescent="0.25">
      <c r="B602" s="21"/>
      <c r="C602" s="21"/>
      <c r="D602" s="21"/>
    </row>
    <row r="603" spans="2:4" x14ac:dyDescent="0.25">
      <c r="B603" s="21"/>
      <c r="C603" s="21"/>
      <c r="D603" s="21"/>
    </row>
    <row r="604" spans="2:4" x14ac:dyDescent="0.25">
      <c r="B604" s="21"/>
      <c r="C604" s="21"/>
      <c r="D604" s="21"/>
    </row>
    <row r="605" spans="2:4" x14ac:dyDescent="0.25">
      <c r="B605" s="21"/>
      <c r="C605" s="21"/>
      <c r="D605" s="21"/>
    </row>
    <row r="606" spans="2:4" x14ac:dyDescent="0.25">
      <c r="B606" s="21"/>
      <c r="C606" s="21"/>
      <c r="D606" s="21"/>
    </row>
    <row r="607" spans="2:4" x14ac:dyDescent="0.25">
      <c r="B607" s="21"/>
      <c r="C607" s="21"/>
      <c r="D607" s="21"/>
    </row>
    <row r="608" spans="2:4" x14ac:dyDescent="0.25">
      <c r="B608" s="21"/>
      <c r="C608" s="21"/>
      <c r="D608" s="21"/>
    </row>
    <row r="609" spans="2:4" x14ac:dyDescent="0.25">
      <c r="B609" s="21"/>
      <c r="C609" s="21"/>
      <c r="D609" s="21"/>
    </row>
    <row r="610" spans="2:4" x14ac:dyDescent="0.25">
      <c r="B610" s="21"/>
      <c r="C610" s="21"/>
      <c r="D610" s="21"/>
    </row>
    <row r="611" spans="2:4" x14ac:dyDescent="0.25">
      <c r="B611" s="21"/>
      <c r="C611" s="21"/>
      <c r="D611" s="21"/>
    </row>
    <row r="612" spans="2:4" x14ac:dyDescent="0.25">
      <c r="B612" s="21"/>
      <c r="C612" s="21"/>
      <c r="D612" s="21"/>
    </row>
    <row r="613" spans="2:4" x14ac:dyDescent="0.25">
      <c r="B613" s="21"/>
      <c r="C613" s="21"/>
      <c r="D613" s="21"/>
    </row>
    <row r="614" spans="2:4" x14ac:dyDescent="0.25">
      <c r="B614" s="21"/>
      <c r="C614" s="21"/>
      <c r="D614" s="21"/>
    </row>
    <row r="615" spans="2:4" x14ac:dyDescent="0.25">
      <c r="B615" s="21"/>
      <c r="C615" s="21"/>
      <c r="D615" s="21"/>
    </row>
    <row r="616" spans="2:4" x14ac:dyDescent="0.25">
      <c r="B616" s="21"/>
      <c r="C616" s="21"/>
      <c r="D616" s="21"/>
    </row>
    <row r="617" spans="2:4" x14ac:dyDescent="0.25">
      <c r="B617" s="21"/>
      <c r="C617" s="21"/>
      <c r="D617" s="21"/>
    </row>
    <row r="618" spans="2:4" x14ac:dyDescent="0.25">
      <c r="B618" s="21"/>
      <c r="C618" s="21"/>
      <c r="D618" s="21"/>
    </row>
    <row r="619" spans="2:4" x14ac:dyDescent="0.25">
      <c r="B619" s="21"/>
      <c r="C619" s="21"/>
      <c r="D619" s="21"/>
    </row>
    <row r="620" spans="2:4" x14ac:dyDescent="0.25">
      <c r="B620" s="21"/>
      <c r="C620" s="21"/>
      <c r="D620" s="21"/>
    </row>
    <row r="621" spans="2:4" x14ac:dyDescent="0.25">
      <c r="B621" s="21"/>
      <c r="C621" s="21"/>
      <c r="D621" s="21"/>
    </row>
    <row r="622" spans="2:4" x14ac:dyDescent="0.25">
      <c r="B622" s="21"/>
      <c r="C622" s="21"/>
      <c r="D622" s="21"/>
    </row>
    <row r="623" spans="2:4" x14ac:dyDescent="0.25">
      <c r="B623" s="21"/>
      <c r="C623" s="21"/>
      <c r="D623" s="21"/>
    </row>
    <row r="624" spans="2:4" x14ac:dyDescent="0.25">
      <c r="B624" s="21"/>
      <c r="C624" s="21"/>
      <c r="D624" s="21"/>
    </row>
    <row r="625" spans="2:4" x14ac:dyDescent="0.25">
      <c r="B625" s="21"/>
      <c r="C625" s="21"/>
      <c r="D625" s="21"/>
    </row>
    <row r="626" spans="2:4" x14ac:dyDescent="0.25">
      <c r="B626" s="21"/>
      <c r="C626" s="21"/>
      <c r="D626" s="21"/>
    </row>
    <row r="627" spans="2:4" x14ac:dyDescent="0.25">
      <c r="B627" s="21"/>
      <c r="C627" s="21"/>
      <c r="D627" s="21"/>
    </row>
    <row r="628" spans="2:4" x14ac:dyDescent="0.25">
      <c r="B628" s="21"/>
      <c r="C628" s="21"/>
      <c r="D628" s="21"/>
    </row>
    <row r="629" spans="2:4" x14ac:dyDescent="0.25">
      <c r="B629" s="21"/>
      <c r="C629" s="21"/>
      <c r="D629" s="21"/>
    </row>
    <row r="630" spans="2:4" x14ac:dyDescent="0.25">
      <c r="B630" s="21"/>
      <c r="C630" s="21"/>
      <c r="D630" s="21"/>
    </row>
    <row r="631" spans="2:4" x14ac:dyDescent="0.25">
      <c r="B631" s="21"/>
      <c r="C631" s="21"/>
      <c r="D631" s="21"/>
    </row>
    <row r="632" spans="2:4" x14ac:dyDescent="0.25">
      <c r="B632" s="21"/>
      <c r="C632" s="21"/>
      <c r="D632" s="21"/>
    </row>
    <row r="633" spans="2:4" x14ac:dyDescent="0.25">
      <c r="B633" s="21"/>
      <c r="C633" s="21"/>
      <c r="D633" s="21"/>
    </row>
    <row r="634" spans="2:4" x14ac:dyDescent="0.25">
      <c r="B634" s="21"/>
      <c r="C634" s="21"/>
      <c r="D634" s="21"/>
    </row>
    <row r="635" spans="2:4" x14ac:dyDescent="0.25">
      <c r="B635" s="21"/>
      <c r="C635" s="21"/>
      <c r="D635" s="21"/>
    </row>
    <row r="636" spans="2:4" x14ac:dyDescent="0.25">
      <c r="B636" s="21"/>
      <c r="C636" s="21"/>
      <c r="D636" s="21"/>
    </row>
    <row r="637" spans="2:4" x14ac:dyDescent="0.25">
      <c r="B637" s="21"/>
      <c r="C637" s="21"/>
      <c r="D637" s="21"/>
    </row>
    <row r="638" spans="2:4" x14ac:dyDescent="0.25">
      <c r="B638" s="21"/>
      <c r="C638" s="21"/>
      <c r="D638" s="21"/>
    </row>
    <row r="639" spans="2:4" x14ac:dyDescent="0.25">
      <c r="B639" s="21"/>
      <c r="C639" s="21"/>
      <c r="D639" s="21"/>
    </row>
    <row r="640" spans="2: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B704" s="21"/>
      <c r="C704" s="21"/>
      <c r="D704" s="21"/>
    </row>
    <row r="705" spans="2:4" x14ac:dyDescent="0.25">
      <c r="B705" s="21"/>
      <c r="C705" s="21"/>
      <c r="D705" s="21"/>
    </row>
    <row r="706" spans="2:4" x14ac:dyDescent="0.25">
      <c r="B706" s="21"/>
      <c r="C706" s="21"/>
      <c r="D706" s="21"/>
    </row>
    <row r="707" spans="2:4" x14ac:dyDescent="0.25">
      <c r="B707" s="21"/>
      <c r="C707" s="21"/>
      <c r="D707" s="21"/>
    </row>
    <row r="708" spans="2:4" x14ac:dyDescent="0.25">
      <c r="B708" s="21"/>
      <c r="C708" s="21"/>
      <c r="D708" s="21"/>
    </row>
    <row r="709" spans="2:4" x14ac:dyDescent="0.25">
      <c r="B709" s="21"/>
      <c r="C709" s="21"/>
      <c r="D709" s="21"/>
    </row>
    <row r="710" spans="2:4" x14ac:dyDescent="0.25">
      <c r="B710" s="21"/>
      <c r="C710" s="21"/>
      <c r="D710" s="21"/>
    </row>
    <row r="711" spans="2:4" x14ac:dyDescent="0.25">
      <c r="B711" s="21"/>
      <c r="C711" s="21"/>
      <c r="D711" s="21"/>
    </row>
    <row r="712" spans="2:4" x14ac:dyDescent="0.25">
      <c r="B712" s="21"/>
      <c r="C712" s="21"/>
      <c r="D712" s="21"/>
    </row>
    <row r="713" spans="2:4" x14ac:dyDescent="0.25">
      <c r="B713" s="21"/>
      <c r="C713" s="21"/>
      <c r="D713" s="21"/>
    </row>
    <row r="714" spans="2:4" x14ac:dyDescent="0.25">
      <c r="B714" s="21"/>
      <c r="C714" s="21"/>
      <c r="D714" s="21"/>
    </row>
    <row r="715" spans="2:4" x14ac:dyDescent="0.25">
      <c r="B715" s="21"/>
      <c r="C715" s="21"/>
      <c r="D715" s="21"/>
    </row>
    <row r="716" spans="2:4" x14ac:dyDescent="0.25">
      <c r="B716" s="21"/>
      <c r="C716" s="21"/>
      <c r="D716" s="21"/>
    </row>
    <row r="717" spans="2:4" x14ac:dyDescent="0.25">
      <c r="B717" s="21"/>
      <c r="C717" s="21"/>
      <c r="D717" s="21"/>
    </row>
    <row r="718" spans="2:4" x14ac:dyDescent="0.25">
      <c r="B718" s="21"/>
      <c r="C718" s="21"/>
      <c r="D718" s="21"/>
    </row>
    <row r="719" spans="2:4" x14ac:dyDescent="0.25">
      <c r="B719" s="21"/>
      <c r="C719" s="21"/>
      <c r="D719" s="21"/>
    </row>
    <row r="720" spans="2:4" x14ac:dyDescent="0.25">
      <c r="B720" s="21"/>
      <c r="C720" s="21"/>
      <c r="D720" s="21"/>
    </row>
    <row r="721" spans="2:4" x14ac:dyDescent="0.25">
      <c r="B721" s="21"/>
      <c r="C721" s="21"/>
      <c r="D721" s="21"/>
    </row>
    <row r="722" spans="2:4" x14ac:dyDescent="0.25">
      <c r="B722" s="21"/>
      <c r="C722" s="21"/>
      <c r="D722" s="21"/>
    </row>
    <row r="723" spans="2:4" x14ac:dyDescent="0.25">
      <c r="B723" s="21"/>
      <c r="C723" s="21"/>
      <c r="D723" s="21"/>
    </row>
    <row r="724" spans="2:4" x14ac:dyDescent="0.25">
      <c r="B724" s="21"/>
      <c r="C724" s="21"/>
      <c r="D724" s="21"/>
    </row>
    <row r="725" spans="2:4" x14ac:dyDescent="0.25">
      <c r="B725" s="21"/>
      <c r="C725" s="21"/>
      <c r="D725" s="21"/>
    </row>
    <row r="726" spans="2:4" x14ac:dyDescent="0.25">
      <c r="B726" s="21"/>
      <c r="C726" s="21"/>
      <c r="D726" s="21"/>
    </row>
    <row r="727" spans="2:4" x14ac:dyDescent="0.25">
      <c r="B727" s="21"/>
      <c r="C727" s="21"/>
      <c r="D727" s="21"/>
    </row>
    <row r="728" spans="2:4" x14ac:dyDescent="0.25">
      <c r="B728" s="21"/>
      <c r="C728" s="21"/>
      <c r="D728" s="21"/>
    </row>
    <row r="729" spans="2:4" x14ac:dyDescent="0.25">
      <c r="B729" s="21"/>
      <c r="C729" s="21"/>
      <c r="D729" s="21"/>
    </row>
    <row r="730" spans="2:4" x14ac:dyDescent="0.25">
      <c r="B730" s="21"/>
      <c r="C730" s="21"/>
      <c r="D730" s="21"/>
    </row>
    <row r="731" spans="2:4" x14ac:dyDescent="0.25">
      <c r="B731" s="21"/>
      <c r="C731" s="21"/>
      <c r="D731" s="21"/>
    </row>
    <row r="732" spans="2:4" x14ac:dyDescent="0.25">
      <c r="B732" s="21"/>
      <c r="C732" s="21"/>
      <c r="D732" s="21"/>
    </row>
    <row r="733" spans="2:4" x14ac:dyDescent="0.25">
      <c r="B733" s="21"/>
      <c r="C733" s="21"/>
      <c r="D733" s="21"/>
    </row>
    <row r="734" spans="2:4" x14ac:dyDescent="0.25">
      <c r="B734" s="21"/>
      <c r="C734" s="21"/>
      <c r="D734" s="21"/>
    </row>
    <row r="735" spans="2:4" x14ac:dyDescent="0.25">
      <c r="B735" s="21"/>
      <c r="C735" s="21"/>
      <c r="D735" s="21"/>
    </row>
    <row r="736" spans="2:4" x14ac:dyDescent="0.25">
      <c r="B736" s="21"/>
      <c r="C736" s="21"/>
      <c r="D736" s="21"/>
    </row>
    <row r="737" spans="2:4" x14ac:dyDescent="0.25">
      <c r="B737" s="21"/>
      <c r="C737" s="21"/>
      <c r="D737" s="21"/>
    </row>
    <row r="738" spans="2:4" x14ac:dyDescent="0.25">
      <c r="B738" s="21"/>
      <c r="C738" s="21"/>
      <c r="D738" s="21"/>
    </row>
    <row r="739" spans="2:4" x14ac:dyDescent="0.25">
      <c r="B739" s="21"/>
      <c r="C739" s="21"/>
      <c r="D739" s="21"/>
    </row>
    <row r="740" spans="2:4" x14ac:dyDescent="0.25">
      <c r="B740" s="21"/>
      <c r="C740" s="21"/>
      <c r="D740" s="21"/>
    </row>
    <row r="741" spans="2:4" x14ac:dyDescent="0.25">
      <c r="B741" s="21"/>
      <c r="C741" s="21"/>
      <c r="D741" s="21"/>
    </row>
    <row r="742" spans="2:4" x14ac:dyDescent="0.25">
      <c r="B742" s="21"/>
      <c r="C742" s="21"/>
      <c r="D742" s="21"/>
    </row>
    <row r="743" spans="2:4" x14ac:dyDescent="0.25">
      <c r="B743" s="21"/>
      <c r="C743" s="21"/>
      <c r="D743" s="21"/>
    </row>
    <row r="744" spans="2:4" x14ac:dyDescent="0.25">
      <c r="B744" s="21"/>
      <c r="C744" s="21"/>
      <c r="D744" s="21"/>
    </row>
    <row r="745" spans="2:4" x14ac:dyDescent="0.25">
      <c r="B745" s="21"/>
      <c r="C745" s="21"/>
      <c r="D745" s="21"/>
    </row>
    <row r="746" spans="2:4" x14ac:dyDescent="0.25">
      <c r="B746" s="21"/>
      <c r="C746" s="21"/>
      <c r="D746" s="21"/>
    </row>
    <row r="747" spans="2:4" x14ac:dyDescent="0.25">
      <c r="B747" s="21"/>
      <c r="C747" s="21"/>
      <c r="D747" s="21"/>
    </row>
    <row r="748" spans="2:4" x14ac:dyDescent="0.25">
      <c r="B748" s="21"/>
      <c r="C748" s="21"/>
      <c r="D748" s="21"/>
    </row>
    <row r="749" spans="2:4" x14ac:dyDescent="0.25">
      <c r="B749" s="21"/>
      <c r="C749" s="21"/>
      <c r="D749" s="21"/>
    </row>
    <row r="750" spans="2:4" x14ac:dyDescent="0.25">
      <c r="B750" s="21"/>
      <c r="C750" s="21"/>
      <c r="D750" s="21"/>
    </row>
    <row r="751" spans="2:4" x14ac:dyDescent="0.25">
      <c r="B751" s="21"/>
      <c r="C751" s="21"/>
      <c r="D751" s="21"/>
    </row>
    <row r="752" spans="2:4" x14ac:dyDescent="0.25">
      <c r="B752" s="21"/>
      <c r="C752" s="21"/>
      <c r="D752" s="21"/>
    </row>
    <row r="753" spans="2:4" x14ac:dyDescent="0.25">
      <c r="B753" s="21"/>
      <c r="C753" s="21"/>
      <c r="D753" s="21"/>
    </row>
    <row r="754" spans="2:4" x14ac:dyDescent="0.25">
      <c r="B754" s="21"/>
      <c r="C754" s="21"/>
      <c r="D754" s="21"/>
    </row>
    <row r="755" spans="2:4" x14ac:dyDescent="0.25">
      <c r="B755" s="21"/>
      <c r="C755" s="21"/>
      <c r="D755" s="21"/>
    </row>
    <row r="756" spans="2:4" x14ac:dyDescent="0.25">
      <c r="B756" s="21"/>
      <c r="C756" s="21"/>
      <c r="D756" s="21"/>
    </row>
    <row r="757" spans="2:4" x14ac:dyDescent="0.25">
      <c r="B757" s="21"/>
      <c r="C757" s="21"/>
      <c r="D757" s="21"/>
    </row>
    <row r="758" spans="2:4" x14ac:dyDescent="0.25">
      <c r="B758" s="21"/>
      <c r="C758" s="21"/>
      <c r="D758" s="21"/>
    </row>
    <row r="759" spans="2:4" x14ac:dyDescent="0.25">
      <c r="B759" s="21"/>
      <c r="C759" s="21"/>
      <c r="D759" s="21"/>
    </row>
    <row r="760" spans="2:4" x14ac:dyDescent="0.25">
      <c r="B760" s="21"/>
      <c r="C760" s="21"/>
      <c r="D760" s="21"/>
    </row>
    <row r="761" spans="2:4" x14ac:dyDescent="0.25">
      <c r="B761" s="21"/>
      <c r="C761" s="21"/>
      <c r="D761" s="21"/>
    </row>
    <row r="762" spans="2:4" x14ac:dyDescent="0.25">
      <c r="B762" s="21"/>
      <c r="C762" s="21"/>
      <c r="D762" s="21"/>
    </row>
    <row r="763" spans="2:4" x14ac:dyDescent="0.25">
      <c r="B763" s="21"/>
      <c r="C763" s="21"/>
      <c r="D763" s="21"/>
    </row>
    <row r="764" spans="2:4" x14ac:dyDescent="0.25">
      <c r="B764" s="21"/>
      <c r="C764" s="21"/>
      <c r="D764" s="21"/>
    </row>
    <row r="765" spans="2:4" x14ac:dyDescent="0.25">
      <c r="B765" s="21"/>
      <c r="C765" s="21"/>
      <c r="D765" s="21"/>
    </row>
    <row r="766" spans="2:4" x14ac:dyDescent="0.25">
      <c r="B766" s="21"/>
      <c r="C766" s="21"/>
      <c r="D766" s="21"/>
    </row>
    <row r="767" spans="2:4" x14ac:dyDescent="0.25">
      <c r="B767" s="21"/>
      <c r="C767" s="21"/>
      <c r="D767" s="21"/>
    </row>
    <row r="768" spans="2:4" x14ac:dyDescent="0.25">
      <c r="B768" s="21"/>
      <c r="C768" s="21"/>
      <c r="D768" s="21"/>
    </row>
    <row r="769" spans="2:4" x14ac:dyDescent="0.25">
      <c r="B769" s="21"/>
      <c r="C769" s="21"/>
      <c r="D769" s="21"/>
    </row>
    <row r="770" spans="2:4" x14ac:dyDescent="0.25">
      <c r="B770" s="21"/>
      <c r="C770" s="21"/>
      <c r="D770" s="21"/>
    </row>
    <row r="771" spans="2:4" x14ac:dyDescent="0.25">
      <c r="B771" s="21"/>
      <c r="C771" s="21"/>
      <c r="D771" s="21"/>
    </row>
    <row r="772" spans="2:4" x14ac:dyDescent="0.25">
      <c r="B772" s="21"/>
      <c r="C772" s="21"/>
      <c r="D772" s="21"/>
    </row>
    <row r="773" spans="2:4" x14ac:dyDescent="0.25">
      <c r="B773" s="21"/>
      <c r="C773" s="21"/>
      <c r="D773" s="21"/>
    </row>
    <row r="774" spans="2:4" x14ac:dyDescent="0.25">
      <c r="B774" s="21"/>
      <c r="C774" s="21"/>
      <c r="D774" s="21"/>
    </row>
    <row r="775" spans="2:4" x14ac:dyDescent="0.25">
      <c r="B775" s="21"/>
      <c r="C775" s="21"/>
      <c r="D775" s="21"/>
    </row>
    <row r="776" spans="2:4" x14ac:dyDescent="0.25">
      <c r="B776" s="21"/>
      <c r="C776" s="21"/>
      <c r="D776" s="21"/>
    </row>
    <row r="777" spans="2:4" x14ac:dyDescent="0.25">
      <c r="B777" s="21"/>
      <c r="C777" s="21"/>
      <c r="D777" s="21"/>
    </row>
    <row r="778" spans="2:4" x14ac:dyDescent="0.25">
      <c r="B778" s="21"/>
      <c r="C778" s="21"/>
      <c r="D778" s="21"/>
    </row>
    <row r="779" spans="2:4" x14ac:dyDescent="0.25">
      <c r="B779" s="21"/>
      <c r="C779" s="21"/>
      <c r="D779" s="21"/>
    </row>
    <row r="780" spans="2:4" x14ac:dyDescent="0.25">
      <c r="B780" s="21"/>
      <c r="C780" s="21"/>
      <c r="D780" s="21"/>
    </row>
    <row r="781" spans="2:4" x14ac:dyDescent="0.25">
      <c r="B781" s="21"/>
      <c r="C781" s="21"/>
      <c r="D781" s="21"/>
    </row>
    <row r="782" spans="2:4" x14ac:dyDescent="0.25">
      <c r="B782" s="21"/>
      <c r="C782" s="21"/>
      <c r="D782" s="21"/>
    </row>
    <row r="783" spans="2:4" x14ac:dyDescent="0.25">
      <c r="B783" s="21"/>
      <c r="C783" s="21"/>
      <c r="D783" s="21"/>
    </row>
    <row r="784" spans="2:4" x14ac:dyDescent="0.25">
      <c r="B784" s="21"/>
      <c r="C784" s="21"/>
      <c r="D784" s="21"/>
    </row>
    <row r="785" spans="2:4" x14ac:dyDescent="0.25">
      <c r="B785" s="21"/>
      <c r="C785" s="21"/>
      <c r="D785" s="21"/>
    </row>
    <row r="786" spans="2:4" x14ac:dyDescent="0.25">
      <c r="B786" s="21"/>
      <c r="C786" s="21"/>
      <c r="D786" s="21"/>
    </row>
    <row r="787" spans="2:4" x14ac:dyDescent="0.25">
      <c r="B787" s="21"/>
      <c r="C787" s="21"/>
      <c r="D787" s="21"/>
    </row>
    <row r="788" spans="2:4" x14ac:dyDescent="0.25">
      <c r="B788" s="21"/>
      <c r="C788" s="21"/>
      <c r="D788" s="21"/>
    </row>
    <row r="789" spans="2:4" x14ac:dyDescent="0.25">
      <c r="B789" s="21"/>
      <c r="C789" s="21"/>
      <c r="D789" s="21"/>
    </row>
    <row r="790" spans="2:4" x14ac:dyDescent="0.25">
      <c r="B790" s="21"/>
      <c r="C790" s="21"/>
      <c r="D790" s="21"/>
    </row>
    <row r="791" spans="2:4" x14ac:dyDescent="0.25">
      <c r="B791" s="21"/>
      <c r="C791" s="21"/>
      <c r="D791" s="21"/>
    </row>
    <row r="792" spans="2:4" x14ac:dyDescent="0.25">
      <c r="B792" s="21"/>
      <c r="C792" s="21"/>
      <c r="D792" s="21"/>
    </row>
    <row r="793" spans="2:4" x14ac:dyDescent="0.25">
      <c r="B793" s="21"/>
      <c r="C793" s="21"/>
      <c r="D793" s="21"/>
    </row>
    <row r="794" spans="2:4" x14ac:dyDescent="0.25">
      <c r="B794" s="21"/>
      <c r="C794" s="21"/>
      <c r="D794" s="21"/>
    </row>
    <row r="795" spans="2:4" x14ac:dyDescent="0.25">
      <c r="B795" s="21"/>
      <c r="C795" s="21"/>
      <c r="D795" s="21"/>
    </row>
    <row r="796" spans="2:4" x14ac:dyDescent="0.25">
      <c r="B796" s="21"/>
      <c r="C796" s="21"/>
      <c r="D796" s="21"/>
    </row>
    <row r="797" spans="2:4" x14ac:dyDescent="0.25">
      <c r="B797" s="21"/>
      <c r="C797" s="21"/>
      <c r="D797" s="21"/>
    </row>
    <row r="798" spans="2:4" x14ac:dyDescent="0.25">
      <c r="B798" s="21"/>
      <c r="C798" s="21"/>
      <c r="D798" s="21"/>
    </row>
    <row r="799" spans="2:4" x14ac:dyDescent="0.25">
      <c r="B799" s="21"/>
      <c r="C799" s="21"/>
      <c r="D799" s="21"/>
    </row>
    <row r="800" spans="2:4" x14ac:dyDescent="0.25">
      <c r="B800" s="21"/>
      <c r="C800" s="21"/>
      <c r="D800" s="21"/>
    </row>
    <row r="801" spans="2:4" x14ac:dyDescent="0.25">
      <c r="B801" s="21"/>
      <c r="C801" s="21"/>
      <c r="D801" s="21"/>
    </row>
    <row r="802" spans="2:4" x14ac:dyDescent="0.25">
      <c r="B802" s="21"/>
      <c r="C802" s="21"/>
      <c r="D802" s="21"/>
    </row>
    <row r="803" spans="2:4" x14ac:dyDescent="0.25">
      <c r="B803" s="21"/>
      <c r="C803" s="21"/>
      <c r="D803" s="21"/>
    </row>
    <row r="804" spans="2:4" x14ac:dyDescent="0.25">
      <c r="B804" s="21"/>
      <c r="C804" s="21"/>
      <c r="D804" s="21"/>
    </row>
    <row r="805" spans="2:4" x14ac:dyDescent="0.25">
      <c r="B805" s="21"/>
      <c r="C805" s="21"/>
      <c r="D805" s="21"/>
    </row>
    <row r="806" spans="2:4" x14ac:dyDescent="0.25">
      <c r="B806" s="21"/>
      <c r="C806" s="21"/>
      <c r="D806" s="21"/>
    </row>
    <row r="807" spans="2:4" x14ac:dyDescent="0.25">
      <c r="B807" s="21"/>
      <c r="C807" s="21"/>
      <c r="D807" s="21"/>
    </row>
    <row r="808" spans="2:4" x14ac:dyDescent="0.25">
      <c r="B808" s="21"/>
      <c r="C808" s="21"/>
      <c r="D808" s="21"/>
    </row>
    <row r="809" spans="2:4" x14ac:dyDescent="0.25">
      <c r="B809" s="21"/>
      <c r="C809" s="21"/>
      <c r="D809" s="21"/>
    </row>
    <row r="810" spans="2:4" x14ac:dyDescent="0.25">
      <c r="B810" s="21"/>
      <c r="C810" s="21"/>
      <c r="D810" s="21"/>
    </row>
    <row r="811" spans="2:4" x14ac:dyDescent="0.25">
      <c r="B811" s="21"/>
      <c r="C811" s="21"/>
      <c r="D811" s="21"/>
    </row>
    <row r="812" spans="2:4" x14ac:dyDescent="0.25">
      <c r="B812" s="21"/>
      <c r="C812" s="21"/>
      <c r="D812" s="21"/>
    </row>
    <row r="813" spans="2:4" x14ac:dyDescent="0.25">
      <c r="B813" s="21"/>
      <c r="C813" s="21"/>
      <c r="D813" s="21"/>
    </row>
    <row r="814" spans="2:4" x14ac:dyDescent="0.25">
      <c r="B814" s="21"/>
      <c r="C814" s="21"/>
      <c r="D814" s="21"/>
    </row>
    <row r="815" spans="2:4" x14ac:dyDescent="0.25">
      <c r="B815" s="21"/>
      <c r="C815" s="21"/>
      <c r="D815" s="21"/>
    </row>
    <row r="816" spans="2:4" x14ac:dyDescent="0.25">
      <c r="B816" s="21"/>
      <c r="C816" s="21"/>
      <c r="D816" s="21"/>
    </row>
    <row r="817" spans="2:4" x14ac:dyDescent="0.25">
      <c r="B817" s="21"/>
      <c r="C817" s="21"/>
      <c r="D817" s="21"/>
    </row>
    <row r="818" spans="2:4" x14ac:dyDescent="0.25">
      <c r="B818" s="21"/>
      <c r="C818" s="21"/>
      <c r="D818" s="21"/>
    </row>
    <row r="819" spans="2:4" x14ac:dyDescent="0.25">
      <c r="B819" s="21"/>
      <c r="C819" s="21"/>
      <c r="D819" s="21"/>
    </row>
    <row r="820" spans="2:4" x14ac:dyDescent="0.25">
      <c r="B820" s="21"/>
      <c r="C820" s="21"/>
      <c r="D820" s="21"/>
    </row>
    <row r="821" spans="2:4" x14ac:dyDescent="0.25">
      <c r="B821" s="21"/>
      <c r="C821" s="21"/>
      <c r="D821" s="21"/>
    </row>
    <row r="822" spans="2:4" x14ac:dyDescent="0.25">
      <c r="B822" s="21"/>
      <c r="C822" s="21"/>
      <c r="D822" s="21"/>
    </row>
    <row r="823" spans="2:4" x14ac:dyDescent="0.25">
      <c r="B823" s="21"/>
      <c r="C823" s="21"/>
      <c r="D823" s="21"/>
    </row>
    <row r="824" spans="2:4" x14ac:dyDescent="0.25">
      <c r="B824" s="21"/>
      <c r="C824" s="21"/>
      <c r="D824" s="21"/>
    </row>
    <row r="825" spans="2:4" x14ac:dyDescent="0.25">
      <c r="B825" s="21"/>
      <c r="C825" s="21"/>
      <c r="D825" s="21"/>
    </row>
    <row r="826" spans="2:4" x14ac:dyDescent="0.25">
      <c r="B826" s="21"/>
      <c r="C826" s="21"/>
      <c r="D826" s="21"/>
    </row>
    <row r="827" spans="2:4" x14ac:dyDescent="0.25">
      <c r="B827" s="21"/>
      <c r="C827" s="21"/>
      <c r="D827" s="21"/>
    </row>
    <row r="828" spans="2:4" x14ac:dyDescent="0.25">
      <c r="B828" s="21"/>
      <c r="C828" s="21"/>
      <c r="D828" s="21"/>
    </row>
    <row r="829" spans="2:4" x14ac:dyDescent="0.25">
      <c r="B829" s="21"/>
      <c r="C829" s="21"/>
      <c r="D829" s="21"/>
    </row>
    <row r="830" spans="2:4" x14ac:dyDescent="0.25">
      <c r="B830" s="21"/>
      <c r="C830" s="21"/>
      <c r="D830" s="21"/>
    </row>
    <row r="831" spans="2:4" x14ac:dyDescent="0.25">
      <c r="B831" s="21"/>
      <c r="C831" s="21"/>
      <c r="D831" s="21"/>
    </row>
    <row r="832" spans="2:4" x14ac:dyDescent="0.25">
      <c r="B832" s="21"/>
      <c r="C832" s="21"/>
      <c r="D832" s="21"/>
    </row>
    <row r="833" spans="2:4" x14ac:dyDescent="0.25">
      <c r="B833" s="21"/>
      <c r="C833" s="21"/>
      <c r="D833" s="21"/>
    </row>
    <row r="834" spans="2:4" x14ac:dyDescent="0.25">
      <c r="B834" s="21"/>
      <c r="C834" s="21"/>
      <c r="D834" s="21"/>
    </row>
    <row r="835" spans="2:4" x14ac:dyDescent="0.25">
      <c r="B835" s="21"/>
      <c r="C835" s="21"/>
      <c r="D835" s="21"/>
    </row>
    <row r="836" spans="2:4" x14ac:dyDescent="0.25">
      <c r="B836" s="21"/>
      <c r="C836" s="21"/>
      <c r="D836" s="21"/>
    </row>
    <row r="837" spans="2:4" x14ac:dyDescent="0.25">
      <c r="B837" s="21"/>
      <c r="C837" s="21"/>
      <c r="D837" s="21"/>
    </row>
    <row r="838" spans="2:4" x14ac:dyDescent="0.25">
      <c r="B838" s="21"/>
      <c r="C838" s="21"/>
      <c r="D838" s="21"/>
    </row>
    <row r="839" spans="2:4" x14ac:dyDescent="0.25">
      <c r="B839" s="21"/>
      <c r="C839" s="21"/>
      <c r="D839" s="21"/>
    </row>
    <row r="840" spans="2:4" x14ac:dyDescent="0.25">
      <c r="B840" s="21"/>
      <c r="C840" s="21"/>
      <c r="D840" s="21"/>
    </row>
    <row r="841" spans="2:4" x14ac:dyDescent="0.25">
      <c r="B841" s="21"/>
      <c r="C841" s="21"/>
      <c r="D841" s="21"/>
    </row>
    <row r="842" spans="2:4" x14ac:dyDescent="0.25">
      <c r="B842" s="21"/>
      <c r="C842" s="21"/>
      <c r="D842" s="21"/>
    </row>
    <row r="843" spans="2:4" x14ac:dyDescent="0.25">
      <c r="B843" s="21"/>
      <c r="C843" s="21"/>
      <c r="D843" s="21"/>
    </row>
    <row r="844" spans="2:4" x14ac:dyDescent="0.25">
      <c r="B844" s="21"/>
      <c r="C844" s="21"/>
      <c r="D844" s="21"/>
    </row>
    <row r="845" spans="2:4" x14ac:dyDescent="0.25">
      <c r="B845" s="21"/>
      <c r="C845" s="21"/>
      <c r="D845" s="21"/>
    </row>
    <row r="846" spans="2:4" x14ac:dyDescent="0.25">
      <c r="B846" s="21"/>
      <c r="C846" s="21"/>
      <c r="D846" s="21"/>
    </row>
    <row r="847" spans="2:4" x14ac:dyDescent="0.25">
      <c r="B847" s="21"/>
      <c r="C847" s="21"/>
      <c r="D847" s="21"/>
    </row>
    <row r="848" spans="2:4" x14ac:dyDescent="0.25">
      <c r="B848" s="21"/>
      <c r="C848" s="21"/>
      <c r="D848" s="21"/>
    </row>
    <row r="849" spans="2:4" x14ac:dyDescent="0.25">
      <c r="B849" s="21"/>
      <c r="C849" s="21"/>
      <c r="D849" s="21"/>
    </row>
    <row r="850" spans="2:4" x14ac:dyDescent="0.25">
      <c r="B850" s="21"/>
      <c r="C850" s="21"/>
      <c r="D850" s="21"/>
    </row>
    <row r="851" spans="2:4" x14ac:dyDescent="0.25">
      <c r="B851" s="21"/>
      <c r="C851" s="21"/>
      <c r="D851" s="21"/>
    </row>
    <row r="852" spans="2:4" x14ac:dyDescent="0.25">
      <c r="B852" s="21"/>
      <c r="C852" s="21"/>
      <c r="D852" s="21"/>
    </row>
    <row r="853" spans="2:4" x14ac:dyDescent="0.25">
      <c r="B853" s="21"/>
      <c r="C853" s="21"/>
      <c r="D853" s="21"/>
    </row>
    <row r="854" spans="2:4" x14ac:dyDescent="0.25">
      <c r="B854" s="21"/>
      <c r="C854" s="21"/>
      <c r="D854" s="21"/>
    </row>
    <row r="855" spans="2:4" x14ac:dyDescent="0.25">
      <c r="B855" s="21"/>
      <c r="C855" s="21"/>
      <c r="D855" s="21"/>
    </row>
    <row r="856" spans="2:4" x14ac:dyDescent="0.25">
      <c r="B856" s="21"/>
      <c r="C856" s="21"/>
      <c r="D856" s="21"/>
    </row>
    <row r="857" spans="2:4" x14ac:dyDescent="0.25">
      <c r="B857" s="21"/>
      <c r="C857" s="21"/>
      <c r="D857" s="21"/>
    </row>
    <row r="858" spans="2:4" x14ac:dyDescent="0.25">
      <c r="B858" s="21"/>
      <c r="C858" s="21"/>
      <c r="D858" s="21"/>
    </row>
    <row r="859" spans="2:4" x14ac:dyDescent="0.25">
      <c r="B859" s="21"/>
      <c r="C859" s="21"/>
      <c r="D859" s="21"/>
    </row>
    <row r="860" spans="2:4" x14ac:dyDescent="0.25">
      <c r="B860" s="21"/>
      <c r="C860" s="21"/>
      <c r="D860" s="21"/>
    </row>
    <row r="861" spans="2:4" x14ac:dyDescent="0.25">
      <c r="B861" s="21"/>
      <c r="C861" s="21"/>
      <c r="D861" s="21"/>
    </row>
    <row r="862" spans="2:4" x14ac:dyDescent="0.25">
      <c r="B862" s="21"/>
      <c r="C862" s="21"/>
      <c r="D862" s="21"/>
    </row>
    <row r="863" spans="2:4" x14ac:dyDescent="0.25">
      <c r="B863" s="21"/>
      <c r="C863" s="21"/>
      <c r="D863" s="21"/>
    </row>
    <row r="864" spans="2:4" x14ac:dyDescent="0.25">
      <c r="B864" s="21"/>
      <c r="C864" s="21"/>
      <c r="D864" s="21"/>
    </row>
    <row r="865" spans="2:4" x14ac:dyDescent="0.25">
      <c r="B865" s="21"/>
      <c r="C865" s="21"/>
      <c r="D865" s="21"/>
    </row>
    <row r="866" spans="2:4" x14ac:dyDescent="0.25">
      <c r="B866" s="21"/>
      <c r="C866" s="21"/>
      <c r="D866" s="21"/>
    </row>
    <row r="867" spans="2:4" x14ac:dyDescent="0.25">
      <c r="B867" s="21"/>
      <c r="C867" s="21"/>
      <c r="D867" s="21"/>
    </row>
    <row r="868" spans="2:4" x14ac:dyDescent="0.25">
      <c r="B868" s="21"/>
      <c r="C868" s="21"/>
      <c r="D868" s="21"/>
    </row>
    <row r="869" spans="2:4" x14ac:dyDescent="0.25">
      <c r="B869" s="21"/>
      <c r="C869" s="21"/>
      <c r="D869" s="21"/>
    </row>
    <row r="870" spans="2:4" x14ac:dyDescent="0.25">
      <c r="B870" s="21"/>
      <c r="C870" s="21"/>
      <c r="D870" s="21"/>
    </row>
    <row r="871" spans="2:4" x14ac:dyDescent="0.25">
      <c r="B871" s="21"/>
      <c r="C871" s="21"/>
      <c r="D871" s="21"/>
    </row>
    <row r="872" spans="2:4" x14ac:dyDescent="0.25">
      <c r="B872" s="21"/>
      <c r="C872" s="21"/>
      <c r="D872" s="21"/>
    </row>
    <row r="873" spans="2:4" x14ac:dyDescent="0.25">
      <c r="B873" s="21"/>
      <c r="C873" s="21"/>
      <c r="D873" s="21"/>
    </row>
    <row r="874" spans="2:4" x14ac:dyDescent="0.25">
      <c r="B874" s="21"/>
      <c r="C874" s="21"/>
      <c r="D874" s="21"/>
    </row>
    <row r="875" spans="2:4" x14ac:dyDescent="0.25">
      <c r="B875" s="21"/>
      <c r="C875" s="21"/>
      <c r="D875" s="21"/>
    </row>
    <row r="876" spans="2:4" x14ac:dyDescent="0.25">
      <c r="B876" s="21"/>
      <c r="C876" s="21"/>
      <c r="D876" s="21"/>
    </row>
    <row r="877" spans="2:4" x14ac:dyDescent="0.25">
      <c r="B877" s="21"/>
      <c r="C877" s="21"/>
      <c r="D877" s="21"/>
    </row>
    <row r="878" spans="2:4" x14ac:dyDescent="0.25">
      <c r="B878" s="21"/>
      <c r="C878" s="21"/>
      <c r="D878" s="21"/>
    </row>
    <row r="879" spans="2:4" x14ac:dyDescent="0.25">
      <c r="B879" s="21"/>
      <c r="C879" s="21"/>
      <c r="D879" s="21"/>
    </row>
    <row r="880" spans="2:4" x14ac:dyDescent="0.25">
      <c r="B880" s="21"/>
      <c r="C880" s="21"/>
      <c r="D880" s="21"/>
    </row>
    <row r="881" spans="2:4" x14ac:dyDescent="0.25">
      <c r="B881" s="21"/>
      <c r="C881" s="21"/>
      <c r="D881" s="21"/>
    </row>
    <row r="882" spans="2:4" x14ac:dyDescent="0.25">
      <c r="B882" s="21"/>
      <c r="C882" s="21"/>
      <c r="D882" s="21"/>
    </row>
    <row r="883" spans="2:4" x14ac:dyDescent="0.25">
      <c r="B883" s="21"/>
      <c r="C883" s="21"/>
      <c r="D883" s="21"/>
    </row>
    <row r="884" spans="2:4" x14ac:dyDescent="0.25">
      <c r="B884" s="21"/>
      <c r="C884" s="21"/>
      <c r="D884" s="21"/>
    </row>
    <row r="885" spans="2:4" x14ac:dyDescent="0.25">
      <c r="B885" s="21"/>
      <c r="C885" s="21"/>
      <c r="D885" s="21"/>
    </row>
    <row r="886" spans="2:4" x14ac:dyDescent="0.25">
      <c r="B886" s="21"/>
      <c r="C886" s="21"/>
      <c r="D886" s="21"/>
    </row>
    <row r="887" spans="2:4" x14ac:dyDescent="0.25">
      <c r="B887" s="21"/>
      <c r="C887" s="21"/>
      <c r="D887" s="21"/>
    </row>
    <row r="888" spans="2:4" x14ac:dyDescent="0.25">
      <c r="B888" s="21"/>
      <c r="C888" s="21"/>
      <c r="D888" s="21"/>
    </row>
    <row r="889" spans="2:4" x14ac:dyDescent="0.25">
      <c r="B889" s="21"/>
      <c r="C889" s="21"/>
      <c r="D889" s="21"/>
    </row>
    <row r="890" spans="2:4" x14ac:dyDescent="0.25">
      <c r="B890" s="21"/>
      <c r="C890" s="21"/>
      <c r="D890" s="21"/>
    </row>
    <row r="891" spans="2:4" x14ac:dyDescent="0.25">
      <c r="B891" s="21"/>
      <c r="C891" s="21"/>
      <c r="D891" s="21"/>
    </row>
    <row r="892" spans="2:4" x14ac:dyDescent="0.25">
      <c r="B892" s="21"/>
      <c r="C892" s="21"/>
      <c r="D892" s="21"/>
    </row>
    <row r="893" spans="2:4" x14ac:dyDescent="0.25">
      <c r="B893" s="21"/>
      <c r="C893" s="21"/>
      <c r="D893" s="21"/>
    </row>
    <row r="894" spans="2:4" x14ac:dyDescent="0.25">
      <c r="B894" s="21"/>
      <c r="C894" s="21"/>
      <c r="D894" s="21"/>
    </row>
    <row r="895" spans="2:4" x14ac:dyDescent="0.25">
      <c r="B895" s="21"/>
      <c r="C895" s="21"/>
      <c r="D895" s="21"/>
    </row>
    <row r="896" spans="2:4" x14ac:dyDescent="0.25">
      <c r="B896" s="21"/>
      <c r="C896" s="21"/>
      <c r="D896" s="21"/>
    </row>
    <row r="897" spans="2:4" x14ac:dyDescent="0.25">
      <c r="B897" s="21"/>
      <c r="C897" s="21"/>
      <c r="D897" s="21"/>
    </row>
    <row r="898" spans="2:4" x14ac:dyDescent="0.25">
      <c r="B898" s="21"/>
      <c r="C898" s="21"/>
      <c r="D898" s="21"/>
    </row>
    <row r="899" spans="2:4" x14ac:dyDescent="0.25">
      <c r="B899" s="21"/>
      <c r="C899" s="21"/>
      <c r="D899" s="21"/>
    </row>
    <row r="900" spans="2:4" x14ac:dyDescent="0.25">
      <c r="B900" s="21"/>
      <c r="C900" s="21"/>
      <c r="D900" s="21"/>
    </row>
    <row r="901" spans="2:4" x14ac:dyDescent="0.25">
      <c r="B901" s="21"/>
      <c r="C901" s="21"/>
      <c r="D901" s="21"/>
    </row>
    <row r="902" spans="2:4" x14ac:dyDescent="0.25">
      <c r="B902" s="21"/>
      <c r="C902" s="21"/>
      <c r="D902" s="21"/>
    </row>
    <row r="903" spans="2:4" x14ac:dyDescent="0.25">
      <c r="B903" s="21"/>
      <c r="C903" s="21"/>
      <c r="D903" s="21"/>
    </row>
    <row r="904" spans="2:4" x14ac:dyDescent="0.25">
      <c r="B904" s="21"/>
      <c r="C904" s="21"/>
      <c r="D904" s="21"/>
    </row>
    <row r="905" spans="2:4" x14ac:dyDescent="0.25">
      <c r="B905" s="21"/>
      <c r="C905" s="21"/>
      <c r="D905" s="21"/>
    </row>
    <row r="906" spans="2:4" x14ac:dyDescent="0.25">
      <c r="B906" s="21"/>
      <c r="C906" s="21"/>
      <c r="D906" s="21"/>
    </row>
    <row r="907" spans="2:4" x14ac:dyDescent="0.25">
      <c r="B907" s="21"/>
      <c r="C907" s="21"/>
      <c r="D907" s="21"/>
    </row>
    <row r="908" spans="2:4" x14ac:dyDescent="0.25">
      <c r="B908" s="21"/>
      <c r="C908" s="21"/>
      <c r="D908" s="21"/>
    </row>
    <row r="909" spans="2:4" x14ac:dyDescent="0.25">
      <c r="B909" s="21"/>
      <c r="C909" s="21"/>
      <c r="D909" s="21"/>
    </row>
    <row r="910" spans="2:4" x14ac:dyDescent="0.25">
      <c r="B910" s="21"/>
      <c r="C910" s="21"/>
      <c r="D910" s="21"/>
    </row>
    <row r="911" spans="2:4" x14ac:dyDescent="0.25">
      <c r="B911" s="21"/>
      <c r="C911" s="21"/>
      <c r="D911" s="21"/>
    </row>
    <row r="912" spans="2:4" x14ac:dyDescent="0.25">
      <c r="B912" s="21"/>
      <c r="C912" s="21"/>
      <c r="D912" s="21"/>
    </row>
    <row r="913" spans="2:4" x14ac:dyDescent="0.25">
      <c r="B913" s="21"/>
      <c r="C913" s="21"/>
      <c r="D913" s="21"/>
    </row>
    <row r="914" spans="2:4" x14ac:dyDescent="0.25">
      <c r="B914" s="21"/>
      <c r="C914" s="21"/>
      <c r="D914" s="21"/>
    </row>
    <row r="915" spans="2:4" x14ac:dyDescent="0.25">
      <c r="B915" s="21"/>
      <c r="C915" s="21"/>
      <c r="D915" s="21"/>
    </row>
    <row r="916" spans="2:4" x14ac:dyDescent="0.25">
      <c r="B916" s="21"/>
      <c r="C916" s="21"/>
      <c r="D916" s="21"/>
    </row>
    <row r="917" spans="2:4" x14ac:dyDescent="0.25">
      <c r="B917" s="21"/>
      <c r="C917" s="21"/>
      <c r="D917" s="21"/>
    </row>
    <row r="918" spans="2:4" x14ac:dyDescent="0.25">
      <c r="B918" s="21"/>
      <c r="C918" s="21"/>
      <c r="D918" s="21"/>
    </row>
    <row r="919" spans="2:4" x14ac:dyDescent="0.25">
      <c r="B919" s="21"/>
      <c r="C919" s="21"/>
      <c r="D919" s="21"/>
    </row>
    <row r="920" spans="2:4" x14ac:dyDescent="0.25">
      <c r="B920" s="21"/>
      <c r="C920" s="21"/>
      <c r="D920" s="21"/>
    </row>
    <row r="921" spans="2:4" x14ac:dyDescent="0.25">
      <c r="B921" s="21"/>
      <c r="C921" s="21"/>
      <c r="D921" s="21"/>
    </row>
    <row r="922" spans="2:4" x14ac:dyDescent="0.25">
      <c r="B922" s="21"/>
      <c r="C922" s="21"/>
      <c r="D922" s="21"/>
    </row>
    <row r="923" spans="2:4" x14ac:dyDescent="0.25">
      <c r="B923" s="21"/>
      <c r="C923" s="21"/>
      <c r="D923" s="21"/>
    </row>
    <row r="924" spans="2:4" x14ac:dyDescent="0.25">
      <c r="B924" s="21"/>
      <c r="C924" s="21"/>
      <c r="D924" s="21"/>
    </row>
    <row r="925" spans="2:4" x14ac:dyDescent="0.25">
      <c r="B925" s="21"/>
      <c r="C925" s="21"/>
      <c r="D925" s="21"/>
    </row>
    <row r="926" spans="2:4" x14ac:dyDescent="0.25">
      <c r="B926" s="21"/>
      <c r="C926" s="21"/>
      <c r="D926" s="21"/>
    </row>
    <row r="927" spans="2:4" x14ac:dyDescent="0.25">
      <c r="B927" s="21"/>
      <c r="C927" s="21"/>
      <c r="D927" s="21"/>
    </row>
    <row r="928" spans="2:4" x14ac:dyDescent="0.25">
      <c r="B928" s="21"/>
      <c r="C928" s="21"/>
      <c r="D928" s="21"/>
    </row>
    <row r="929" spans="2:4" x14ac:dyDescent="0.25">
      <c r="B929" s="21"/>
      <c r="C929" s="21"/>
      <c r="D929" s="21"/>
    </row>
    <row r="930" spans="2:4" x14ac:dyDescent="0.25">
      <c r="B930" s="21"/>
      <c r="C930" s="21"/>
      <c r="D930" s="21"/>
    </row>
    <row r="931" spans="2:4" x14ac:dyDescent="0.25">
      <c r="B931" s="21"/>
      <c r="C931" s="21"/>
      <c r="D931" s="21"/>
    </row>
    <row r="932" spans="2:4" x14ac:dyDescent="0.25">
      <c r="B932" s="21"/>
      <c r="C932" s="21"/>
      <c r="D932" s="21"/>
    </row>
    <row r="933" spans="2:4" x14ac:dyDescent="0.25">
      <c r="B933" s="21"/>
      <c r="C933" s="21"/>
      <c r="D933" s="21"/>
    </row>
    <row r="934" spans="2:4" x14ac:dyDescent="0.25">
      <c r="B934" s="21"/>
      <c r="C934" s="21"/>
      <c r="D934" s="21"/>
    </row>
    <row r="935" spans="2:4" x14ac:dyDescent="0.25">
      <c r="B935" s="21"/>
      <c r="C935" s="21"/>
      <c r="D935" s="21"/>
    </row>
    <row r="936" spans="2:4" x14ac:dyDescent="0.25">
      <c r="B936" s="21"/>
      <c r="C936" s="21"/>
      <c r="D936" s="21"/>
    </row>
    <row r="937" spans="2:4" x14ac:dyDescent="0.25">
      <c r="B937" s="21"/>
      <c r="C937" s="21"/>
      <c r="D937" s="21"/>
    </row>
    <row r="938" spans="2:4" x14ac:dyDescent="0.25">
      <c r="B938" s="21"/>
      <c r="C938" s="21"/>
      <c r="D938" s="21"/>
    </row>
    <row r="939" spans="2:4" x14ac:dyDescent="0.25">
      <c r="B939" s="21"/>
      <c r="C939" s="21"/>
      <c r="D939" s="21"/>
    </row>
    <row r="940" spans="2:4" x14ac:dyDescent="0.25">
      <c r="B940" s="21"/>
      <c r="C940" s="21"/>
      <c r="D940" s="21"/>
    </row>
    <row r="941" spans="2:4" x14ac:dyDescent="0.25">
      <c r="B941" s="21"/>
      <c r="C941" s="21"/>
      <c r="D941" s="21"/>
    </row>
    <row r="942" spans="2:4" x14ac:dyDescent="0.25">
      <c r="B942" s="21"/>
      <c r="C942" s="21"/>
      <c r="D942" s="21"/>
    </row>
    <row r="943" spans="2:4" x14ac:dyDescent="0.25">
      <c r="B943" s="21"/>
      <c r="C943" s="21"/>
      <c r="D943" s="21"/>
    </row>
    <row r="944" spans="2:4" x14ac:dyDescent="0.25">
      <c r="B944" s="21"/>
      <c r="C944" s="21"/>
      <c r="D944" s="21"/>
    </row>
    <row r="945" spans="2:4" x14ac:dyDescent="0.25">
      <c r="B945" s="21"/>
      <c r="C945" s="21"/>
      <c r="D945" s="21"/>
    </row>
    <row r="946" spans="2:4" x14ac:dyDescent="0.25">
      <c r="B946" s="21"/>
      <c r="C946" s="21"/>
      <c r="D946" s="21"/>
    </row>
    <row r="947" spans="2:4" x14ac:dyDescent="0.25">
      <c r="B947" s="21"/>
      <c r="C947" s="21"/>
      <c r="D947" s="21"/>
    </row>
    <row r="948" spans="2:4" x14ac:dyDescent="0.25">
      <c r="B948" s="21"/>
      <c r="C948" s="21"/>
      <c r="D948" s="21"/>
    </row>
    <row r="949" spans="2:4" x14ac:dyDescent="0.25">
      <c r="B949" s="21"/>
      <c r="C949" s="21"/>
      <c r="D949" s="21"/>
    </row>
    <row r="950" spans="2:4" x14ac:dyDescent="0.25">
      <c r="B950" s="21"/>
      <c r="C950" s="21"/>
      <c r="D950" s="21"/>
    </row>
    <row r="951" spans="2:4" x14ac:dyDescent="0.25">
      <c r="B951" s="21"/>
      <c r="C951" s="21"/>
      <c r="D951" s="21"/>
    </row>
    <row r="952" spans="2:4" x14ac:dyDescent="0.25">
      <c r="B952" s="21"/>
      <c r="C952" s="21"/>
      <c r="D952" s="21"/>
    </row>
    <row r="953" spans="2:4" x14ac:dyDescent="0.25">
      <c r="B953" s="21"/>
      <c r="C953" s="21"/>
      <c r="D953" s="21"/>
    </row>
    <row r="954" spans="2:4" x14ac:dyDescent="0.25">
      <c r="B954" s="21"/>
      <c r="C954" s="21"/>
      <c r="D954" s="21"/>
    </row>
    <row r="955" spans="2:4" x14ac:dyDescent="0.25">
      <c r="B955" s="21"/>
      <c r="C955" s="21"/>
      <c r="D955" s="21"/>
    </row>
    <row r="956" spans="2:4" x14ac:dyDescent="0.25">
      <c r="B956" s="21"/>
      <c r="C956" s="21"/>
      <c r="D956" s="21"/>
    </row>
    <row r="957" spans="2:4" x14ac:dyDescent="0.25">
      <c r="B957" s="21"/>
      <c r="C957" s="21"/>
      <c r="D957" s="21"/>
    </row>
    <row r="958" spans="2:4" x14ac:dyDescent="0.25">
      <c r="B958" s="21"/>
      <c r="C958" s="21"/>
      <c r="D958" s="21"/>
    </row>
    <row r="959" spans="2:4" x14ac:dyDescent="0.25">
      <c r="B959" s="21"/>
      <c r="C959" s="21"/>
      <c r="D959" s="21"/>
    </row>
    <row r="960" spans="2:4" x14ac:dyDescent="0.25">
      <c r="B960" s="21"/>
      <c r="C960" s="21"/>
      <c r="D960" s="21"/>
    </row>
    <row r="961" spans="2:4" x14ac:dyDescent="0.25">
      <c r="B961" s="21"/>
      <c r="C961" s="21"/>
      <c r="D961" s="21"/>
    </row>
    <row r="962" spans="2:4" x14ac:dyDescent="0.25">
      <c r="B962" s="21"/>
      <c r="C962" s="21"/>
      <c r="D962" s="21"/>
    </row>
    <row r="963" spans="2:4" x14ac:dyDescent="0.25">
      <c r="B963" s="21"/>
      <c r="C963" s="21"/>
      <c r="D963" s="21"/>
    </row>
    <row r="964" spans="2:4" x14ac:dyDescent="0.25">
      <c r="B964" s="21"/>
      <c r="C964" s="21"/>
      <c r="D964" s="21"/>
    </row>
    <row r="965" spans="2:4" x14ac:dyDescent="0.25">
      <c r="B965" s="21"/>
      <c r="C965" s="21"/>
      <c r="D965" s="21"/>
    </row>
    <row r="966" spans="2:4" x14ac:dyDescent="0.25">
      <c r="B966" s="21"/>
      <c r="C966" s="21"/>
      <c r="D966" s="21"/>
    </row>
    <row r="967" spans="2:4" x14ac:dyDescent="0.25">
      <c r="B967" s="21"/>
      <c r="C967" s="21"/>
      <c r="D967" s="21"/>
    </row>
    <row r="968" spans="2:4" x14ac:dyDescent="0.25">
      <c r="B968" s="21"/>
      <c r="C968" s="21"/>
      <c r="D968" s="21"/>
    </row>
    <row r="969" spans="2:4" x14ac:dyDescent="0.25">
      <c r="B969" s="21"/>
      <c r="C969" s="21"/>
      <c r="D969" s="21"/>
    </row>
    <row r="970" spans="2:4" x14ac:dyDescent="0.25">
      <c r="B970" s="21"/>
      <c r="C970" s="21"/>
      <c r="D970" s="21"/>
    </row>
    <row r="971" spans="2:4" x14ac:dyDescent="0.25">
      <c r="B971" s="21"/>
      <c r="C971" s="21"/>
      <c r="D971" s="21"/>
    </row>
    <row r="972" spans="2:4" x14ac:dyDescent="0.25">
      <c r="B972" s="21"/>
      <c r="C972" s="21"/>
      <c r="D972" s="21"/>
    </row>
    <row r="973" spans="2:4" x14ac:dyDescent="0.25">
      <c r="B973" s="21"/>
      <c r="C973" s="21"/>
      <c r="D973" s="21"/>
    </row>
    <row r="974" spans="2:4" x14ac:dyDescent="0.25">
      <c r="B974" s="21"/>
      <c r="C974" s="21"/>
      <c r="D974" s="21"/>
    </row>
    <row r="975" spans="2:4" x14ac:dyDescent="0.25">
      <c r="B975" s="21"/>
      <c r="C975" s="21"/>
      <c r="D975" s="21"/>
    </row>
    <row r="976" spans="2:4" x14ac:dyDescent="0.25">
      <c r="B976" s="21"/>
      <c r="C976" s="21"/>
      <c r="D976" s="21"/>
    </row>
    <row r="977" spans="2:4" x14ac:dyDescent="0.25">
      <c r="B977" s="21"/>
      <c r="C977" s="21"/>
      <c r="D977" s="21"/>
    </row>
    <row r="978" spans="2:4" x14ac:dyDescent="0.25">
      <c r="B978" s="21"/>
      <c r="C978" s="21"/>
      <c r="D978" s="21"/>
    </row>
    <row r="979" spans="2:4" x14ac:dyDescent="0.25">
      <c r="B979" s="21"/>
      <c r="C979" s="21"/>
      <c r="D979" s="21"/>
    </row>
    <row r="980" spans="2:4" x14ac:dyDescent="0.25">
      <c r="B980" s="21"/>
      <c r="C980" s="21"/>
      <c r="D980" s="21"/>
    </row>
    <row r="981" spans="2:4" x14ac:dyDescent="0.25">
      <c r="B981" s="21"/>
      <c r="C981" s="21"/>
      <c r="D981" s="21"/>
    </row>
    <row r="982" spans="2:4" x14ac:dyDescent="0.25">
      <c r="B982" s="21"/>
      <c r="C982" s="21"/>
      <c r="D982" s="21"/>
    </row>
    <row r="983" spans="2:4" x14ac:dyDescent="0.25">
      <c r="B983" s="21"/>
      <c r="C983" s="21"/>
      <c r="D983" s="21"/>
    </row>
    <row r="984" spans="2:4" x14ac:dyDescent="0.25">
      <c r="B984" s="21"/>
      <c r="C984" s="21"/>
      <c r="D984" s="21"/>
    </row>
    <row r="985" spans="2:4" x14ac:dyDescent="0.25">
      <c r="B985" s="21"/>
      <c r="C985" s="21"/>
      <c r="D985" s="21"/>
    </row>
    <row r="986" spans="2:4" x14ac:dyDescent="0.25">
      <c r="B986" s="21"/>
      <c r="C986" s="21"/>
      <c r="D986" s="21"/>
    </row>
    <row r="987" spans="2:4" x14ac:dyDescent="0.25">
      <c r="B987" s="21"/>
      <c r="C987" s="21"/>
      <c r="D987" s="21"/>
    </row>
    <row r="988" spans="2:4" x14ac:dyDescent="0.25">
      <c r="B988" s="21"/>
      <c r="C988" s="21"/>
      <c r="D988" s="21"/>
    </row>
    <row r="989" spans="2:4" x14ac:dyDescent="0.25">
      <c r="B989" s="21"/>
      <c r="C989" s="21"/>
      <c r="D989" s="21"/>
    </row>
    <row r="990" spans="2:4" x14ac:dyDescent="0.25">
      <c r="B990" s="21"/>
      <c r="C990" s="21"/>
      <c r="D990" s="21"/>
    </row>
    <row r="991" spans="2:4" x14ac:dyDescent="0.25">
      <c r="B991" s="21"/>
      <c r="C991" s="21"/>
      <c r="D991" s="21"/>
    </row>
    <row r="992" spans="2:4" x14ac:dyDescent="0.25">
      <c r="B992" s="21"/>
      <c r="C992" s="21"/>
      <c r="D992" s="21"/>
    </row>
    <row r="993" spans="2:4" x14ac:dyDescent="0.25">
      <c r="B993" s="21"/>
      <c r="C993" s="21"/>
      <c r="D993" s="21"/>
    </row>
    <row r="994" spans="2:4" x14ac:dyDescent="0.25">
      <c r="B994" s="21"/>
      <c r="C994" s="21"/>
      <c r="D994" s="21"/>
    </row>
    <row r="995" spans="2:4" x14ac:dyDescent="0.25">
      <c r="B995" s="21"/>
      <c r="C995" s="21"/>
      <c r="D995" s="21"/>
    </row>
    <row r="996" spans="2:4" x14ac:dyDescent="0.25">
      <c r="B996" s="21"/>
      <c r="C996" s="21"/>
      <c r="D996" s="21"/>
    </row>
    <row r="997" spans="2:4" x14ac:dyDescent="0.25">
      <c r="B997" s="21"/>
      <c r="C997" s="21"/>
      <c r="D997" s="21"/>
    </row>
    <row r="998" spans="2:4" x14ac:dyDescent="0.25">
      <c r="B998" s="21"/>
      <c r="C998" s="21"/>
      <c r="D998" s="21"/>
    </row>
    <row r="999" spans="2:4" x14ac:dyDescent="0.25">
      <c r="B999" s="21"/>
      <c r="C999" s="21"/>
      <c r="D999" s="21"/>
    </row>
    <row r="1000" spans="2:4" x14ac:dyDescent="0.25">
      <c r="B1000" s="21"/>
      <c r="C1000" s="21"/>
      <c r="D1000" s="21"/>
    </row>
    <row r="1001" spans="2:4" x14ac:dyDescent="0.25">
      <c r="B1001" s="21"/>
      <c r="C1001" s="21"/>
      <c r="D1001" s="21"/>
    </row>
    <row r="1002" spans="2:4" x14ac:dyDescent="0.25">
      <c r="B1002" s="21"/>
      <c r="C1002" s="21"/>
      <c r="D1002" s="21"/>
    </row>
    <row r="1003" spans="2:4" x14ac:dyDescent="0.25">
      <c r="B1003" s="21"/>
      <c r="C1003" s="21"/>
      <c r="D1003" s="21"/>
    </row>
    <row r="1004" spans="2:4" x14ac:dyDescent="0.25">
      <c r="B1004" s="21"/>
      <c r="C1004" s="21"/>
      <c r="D1004" s="21"/>
    </row>
    <row r="1005" spans="2:4" x14ac:dyDescent="0.25">
      <c r="B1005" s="21"/>
      <c r="C1005" s="21"/>
      <c r="D1005" s="21"/>
    </row>
    <row r="1006" spans="2:4" x14ac:dyDescent="0.25">
      <c r="B1006" s="21"/>
      <c r="C1006" s="21"/>
      <c r="D1006" s="21"/>
    </row>
    <row r="1007" spans="2:4" x14ac:dyDescent="0.25">
      <c r="B1007" s="21"/>
      <c r="C1007" s="21"/>
      <c r="D1007" s="21"/>
    </row>
    <row r="1008" spans="2:4" x14ac:dyDescent="0.25">
      <c r="B1008" s="21"/>
      <c r="C1008" s="21"/>
      <c r="D1008" s="21"/>
    </row>
    <row r="1009" spans="2:4" x14ac:dyDescent="0.25">
      <c r="B1009" s="21"/>
      <c r="C1009" s="21"/>
      <c r="D1009" s="21"/>
    </row>
    <row r="1010" spans="2:4" x14ac:dyDescent="0.25">
      <c r="B1010" s="21"/>
      <c r="C1010" s="21"/>
      <c r="D1010" s="21"/>
    </row>
    <row r="1011" spans="2:4" x14ac:dyDescent="0.25">
      <c r="B1011" s="21"/>
      <c r="C1011" s="21"/>
      <c r="D1011" s="21"/>
    </row>
    <row r="1012" spans="2:4" x14ac:dyDescent="0.25">
      <c r="B1012" s="21"/>
      <c r="C1012" s="21"/>
      <c r="D1012" s="21"/>
    </row>
    <row r="1013" spans="2:4" x14ac:dyDescent="0.25">
      <c r="B1013" s="21"/>
      <c r="C1013" s="21"/>
      <c r="D1013" s="21"/>
    </row>
    <row r="1014" spans="2:4" x14ac:dyDescent="0.25">
      <c r="B1014" s="21"/>
      <c r="C1014" s="21"/>
      <c r="D1014" s="21"/>
    </row>
    <row r="1015" spans="2:4" x14ac:dyDescent="0.25">
      <c r="B1015" s="21"/>
      <c r="C1015" s="21"/>
      <c r="D1015" s="21"/>
    </row>
    <row r="1016" spans="2:4" x14ac:dyDescent="0.25">
      <c r="B1016" s="21"/>
      <c r="C1016" s="21"/>
      <c r="D1016" s="21"/>
    </row>
    <row r="1017" spans="2:4" x14ac:dyDescent="0.25">
      <c r="B1017" s="21"/>
      <c r="C1017" s="21"/>
      <c r="D1017" s="21"/>
    </row>
    <row r="1018" spans="2:4" x14ac:dyDescent="0.25">
      <c r="B1018" s="21"/>
      <c r="C1018" s="21"/>
      <c r="D1018" s="21"/>
    </row>
    <row r="1019" spans="2:4" x14ac:dyDescent="0.25">
      <c r="B1019" s="21"/>
      <c r="C1019" s="21"/>
      <c r="D1019" s="21"/>
    </row>
    <row r="1020" spans="2:4" x14ac:dyDescent="0.25">
      <c r="B1020" s="21"/>
      <c r="C1020" s="21"/>
      <c r="D1020" s="21"/>
    </row>
    <row r="1021" spans="2:4" x14ac:dyDescent="0.25">
      <c r="B1021" s="21"/>
      <c r="C1021" s="21"/>
      <c r="D1021" s="21"/>
    </row>
    <row r="1022" spans="2:4" x14ac:dyDescent="0.25">
      <c r="B1022" s="21"/>
      <c r="C1022" s="21"/>
      <c r="D1022" s="21"/>
    </row>
    <row r="1023" spans="2:4" x14ac:dyDescent="0.25">
      <c r="B1023" s="21"/>
      <c r="C1023" s="21"/>
      <c r="D1023" s="21"/>
    </row>
    <row r="1024" spans="2:4" x14ac:dyDescent="0.25">
      <c r="B1024" s="21"/>
      <c r="C1024" s="21"/>
      <c r="D1024" s="21"/>
    </row>
    <row r="1025" spans="2:4" x14ac:dyDescent="0.25">
      <c r="B1025" s="21"/>
      <c r="C1025" s="21"/>
      <c r="D1025" s="21"/>
    </row>
    <row r="1026" spans="2:4" x14ac:dyDescent="0.25">
      <c r="B1026" s="21"/>
      <c r="C1026" s="21"/>
      <c r="D1026" s="21"/>
    </row>
    <row r="1027" spans="2:4" x14ac:dyDescent="0.25">
      <c r="B1027" s="21"/>
      <c r="C1027" s="21"/>
      <c r="D1027" s="21"/>
    </row>
    <row r="1028" spans="2:4" x14ac:dyDescent="0.25">
      <c r="B1028" s="21"/>
      <c r="C1028" s="21"/>
      <c r="D1028" s="21"/>
    </row>
    <row r="1029" spans="2:4" x14ac:dyDescent="0.25">
      <c r="B1029" s="21"/>
      <c r="C1029" s="21"/>
      <c r="D1029" s="21"/>
    </row>
    <row r="1030" spans="2:4" x14ac:dyDescent="0.25">
      <c r="B1030" s="21"/>
      <c r="C1030" s="21"/>
      <c r="D1030" s="21"/>
    </row>
    <row r="1031" spans="2:4" x14ac:dyDescent="0.25">
      <c r="B1031" s="21"/>
      <c r="C1031" s="21"/>
      <c r="D1031" s="21"/>
    </row>
    <row r="1032" spans="2:4" x14ac:dyDescent="0.25">
      <c r="B1032" s="21"/>
      <c r="C1032" s="21"/>
      <c r="D1032" s="21"/>
    </row>
    <row r="1033" spans="2:4" x14ac:dyDescent="0.25">
      <c r="B1033" s="21"/>
      <c r="C1033" s="21"/>
      <c r="D1033" s="21"/>
    </row>
    <row r="1034" spans="2:4" x14ac:dyDescent="0.25">
      <c r="B1034" s="21"/>
      <c r="C1034" s="21"/>
      <c r="D1034" s="21"/>
    </row>
    <row r="1035" spans="2:4" x14ac:dyDescent="0.25">
      <c r="B1035" s="21"/>
      <c r="C1035" s="21"/>
      <c r="D1035" s="21"/>
    </row>
    <row r="1036" spans="2:4" x14ac:dyDescent="0.25">
      <c r="B1036" s="21"/>
      <c r="C1036" s="21"/>
      <c r="D1036" s="21"/>
    </row>
    <row r="1037" spans="2:4" x14ac:dyDescent="0.25">
      <c r="B1037" s="21"/>
      <c r="C1037" s="21"/>
      <c r="D1037" s="21"/>
    </row>
    <row r="1038" spans="2:4" x14ac:dyDescent="0.25">
      <c r="B1038" s="21"/>
      <c r="C1038" s="21"/>
      <c r="D1038" s="21"/>
    </row>
    <row r="1039" spans="2:4" x14ac:dyDescent="0.25">
      <c r="B1039" s="21"/>
      <c r="C1039" s="21"/>
      <c r="D1039" s="21"/>
    </row>
    <row r="1040" spans="2:4" x14ac:dyDescent="0.25">
      <c r="B1040" s="21"/>
      <c r="C1040" s="21"/>
      <c r="D1040" s="21"/>
    </row>
    <row r="1041" spans="2:4" x14ac:dyDescent="0.25">
      <c r="B1041" s="21"/>
      <c r="C1041" s="21"/>
      <c r="D1041" s="21"/>
    </row>
    <row r="1042" spans="2:4" x14ac:dyDescent="0.25">
      <c r="B1042" s="21"/>
      <c r="C1042" s="21"/>
      <c r="D1042" s="21"/>
    </row>
    <row r="1043" spans="2:4" x14ac:dyDescent="0.25">
      <c r="B1043" s="21"/>
      <c r="C1043" s="21"/>
      <c r="D1043" s="21"/>
    </row>
    <row r="1044" spans="2:4" x14ac:dyDescent="0.25">
      <c r="B1044" s="21"/>
      <c r="C1044" s="21"/>
      <c r="D1044" s="21"/>
    </row>
    <row r="1045" spans="2:4" x14ac:dyDescent="0.25">
      <c r="B1045" s="21"/>
      <c r="C1045" s="21"/>
      <c r="D1045" s="21"/>
    </row>
    <row r="1046" spans="2:4" x14ac:dyDescent="0.25">
      <c r="B1046" s="21"/>
      <c r="C1046" s="21"/>
      <c r="D1046" s="21"/>
    </row>
    <row r="1047" spans="2:4" x14ac:dyDescent="0.25">
      <c r="B1047" s="21"/>
      <c r="C1047" s="21"/>
      <c r="D1047" s="21"/>
    </row>
    <row r="1048" spans="2:4" x14ac:dyDescent="0.25">
      <c r="B1048" s="21"/>
      <c r="C1048" s="21"/>
      <c r="D1048" s="21"/>
    </row>
    <row r="1049" spans="2:4" x14ac:dyDescent="0.25">
      <c r="B1049" s="21"/>
      <c r="C1049" s="21"/>
      <c r="D1049" s="21"/>
    </row>
    <row r="1050" spans="2:4" x14ac:dyDescent="0.25">
      <c r="B1050" s="21"/>
      <c r="C1050" s="21"/>
      <c r="D1050" s="21"/>
    </row>
    <row r="1051" spans="2:4" x14ac:dyDescent="0.25">
      <c r="B1051" s="21"/>
      <c r="C1051" s="21"/>
      <c r="D1051" s="21"/>
    </row>
    <row r="1052" spans="2:4" x14ac:dyDescent="0.25">
      <c r="B1052" s="21"/>
      <c r="C1052" s="21"/>
      <c r="D1052" s="21"/>
    </row>
    <row r="1053" spans="2:4" x14ac:dyDescent="0.25">
      <c r="B1053" s="21"/>
      <c r="C1053" s="21"/>
      <c r="D1053" s="21"/>
    </row>
    <row r="1054" spans="2:4" x14ac:dyDescent="0.25">
      <c r="B1054" s="21"/>
      <c r="C1054" s="21"/>
      <c r="D1054" s="21"/>
    </row>
    <row r="1055" spans="2:4" x14ac:dyDescent="0.25">
      <c r="B1055" s="21"/>
      <c r="C1055" s="21"/>
      <c r="D1055" s="21"/>
    </row>
    <row r="1056" spans="2:4" x14ac:dyDescent="0.25">
      <c r="B1056" s="21"/>
      <c r="C1056" s="21"/>
      <c r="D1056" s="21"/>
    </row>
    <row r="1057" spans="2:4" x14ac:dyDescent="0.25">
      <c r="B1057" s="21"/>
      <c r="C1057" s="21"/>
      <c r="D1057" s="21"/>
    </row>
    <row r="1058" spans="2:4" x14ac:dyDescent="0.25">
      <c r="B1058" s="21"/>
      <c r="C1058" s="21"/>
      <c r="D1058" s="21"/>
    </row>
    <row r="1059" spans="2:4" x14ac:dyDescent="0.25">
      <c r="B1059" s="21"/>
      <c r="C1059" s="21"/>
      <c r="D1059" s="21"/>
    </row>
    <row r="1060" spans="2:4" x14ac:dyDescent="0.25">
      <c r="B1060" s="21"/>
      <c r="C1060" s="21"/>
      <c r="D1060" s="21"/>
    </row>
    <row r="1061" spans="2:4" x14ac:dyDescent="0.25">
      <c r="B1061" s="21"/>
      <c r="C1061" s="21"/>
      <c r="D1061" s="21"/>
    </row>
    <row r="1062" spans="2:4" x14ac:dyDescent="0.25">
      <c r="B1062" s="21"/>
      <c r="C1062" s="21"/>
      <c r="D1062" s="21"/>
    </row>
    <row r="1063" spans="2:4" x14ac:dyDescent="0.25">
      <c r="B1063" s="21"/>
      <c r="C1063" s="21"/>
      <c r="D1063" s="21"/>
    </row>
    <row r="1064" spans="2:4" x14ac:dyDescent="0.25">
      <c r="B1064" s="21"/>
      <c r="C1064" s="21"/>
      <c r="D1064" s="21"/>
    </row>
    <row r="1065" spans="2:4" x14ac:dyDescent="0.25">
      <c r="B1065" s="21"/>
      <c r="C1065" s="21"/>
      <c r="D1065" s="21"/>
    </row>
    <row r="1066" spans="2:4" x14ac:dyDescent="0.25">
      <c r="B1066" s="21"/>
      <c r="C1066" s="21"/>
      <c r="D1066" s="21"/>
    </row>
    <row r="1067" spans="2:4" x14ac:dyDescent="0.25">
      <c r="B1067" s="21"/>
      <c r="C1067" s="21"/>
      <c r="D1067" s="21"/>
    </row>
    <row r="1068" spans="2:4" x14ac:dyDescent="0.25">
      <c r="B1068" s="21"/>
      <c r="C1068" s="21"/>
      <c r="D1068" s="21"/>
    </row>
    <row r="1069" spans="2:4" x14ac:dyDescent="0.25">
      <c r="B1069" s="21"/>
      <c r="C1069" s="21"/>
      <c r="D1069" s="21"/>
    </row>
    <row r="1070" spans="2:4" x14ac:dyDescent="0.25">
      <c r="B1070" s="21"/>
      <c r="C1070" s="21"/>
      <c r="D1070" s="21"/>
    </row>
    <row r="1071" spans="2:4" x14ac:dyDescent="0.25">
      <c r="B1071" s="21"/>
      <c r="C1071" s="21"/>
      <c r="D1071" s="21"/>
    </row>
    <row r="1072" spans="2:4" x14ac:dyDescent="0.25">
      <c r="B1072" s="21"/>
      <c r="C1072" s="21"/>
      <c r="D1072" s="21"/>
    </row>
    <row r="1073" spans="2:4" x14ac:dyDescent="0.25">
      <c r="B1073" s="21"/>
      <c r="C1073" s="21"/>
      <c r="D1073" s="21"/>
    </row>
    <row r="1074" spans="2:4" x14ac:dyDescent="0.25">
      <c r="B1074" s="21"/>
      <c r="C1074" s="21"/>
      <c r="D1074" s="21"/>
    </row>
    <row r="1075" spans="2:4" x14ac:dyDescent="0.25">
      <c r="B1075" s="21"/>
      <c r="C1075" s="21"/>
      <c r="D1075" s="21"/>
    </row>
    <row r="1076" spans="2:4" x14ac:dyDescent="0.25">
      <c r="B1076" s="21"/>
      <c r="C1076" s="21"/>
      <c r="D1076" s="21"/>
    </row>
    <row r="1077" spans="2:4" x14ac:dyDescent="0.25">
      <c r="B1077" s="21"/>
      <c r="C1077" s="21"/>
      <c r="D1077" s="21"/>
    </row>
    <row r="1078" spans="2:4" x14ac:dyDescent="0.25">
      <c r="B1078" s="21"/>
      <c r="C1078" s="21"/>
      <c r="D1078" s="21"/>
    </row>
    <row r="1079" spans="2:4" x14ac:dyDescent="0.25">
      <c r="B1079" s="21"/>
      <c r="C1079" s="21"/>
      <c r="D1079" s="21"/>
    </row>
    <row r="1080" spans="2:4" x14ac:dyDescent="0.25">
      <c r="B1080" s="21"/>
      <c r="C1080" s="21"/>
      <c r="D1080" s="21"/>
    </row>
    <row r="1081" spans="2:4" x14ac:dyDescent="0.25">
      <c r="B1081" s="21"/>
      <c r="C1081" s="21"/>
      <c r="D1081" s="21"/>
    </row>
    <row r="1082" spans="2:4" x14ac:dyDescent="0.25">
      <c r="B1082" s="21"/>
      <c r="C1082" s="21"/>
      <c r="D1082" s="21"/>
    </row>
    <row r="1083" spans="2:4" x14ac:dyDescent="0.25">
      <c r="B1083" s="21"/>
      <c r="C1083" s="21"/>
      <c r="D1083" s="21"/>
    </row>
    <row r="1084" spans="2:4" x14ac:dyDescent="0.25">
      <c r="B1084" s="21"/>
      <c r="C1084" s="21"/>
      <c r="D1084" s="21"/>
    </row>
    <row r="1085" spans="2:4" x14ac:dyDescent="0.25">
      <c r="B1085" s="21"/>
      <c r="C1085" s="21"/>
      <c r="D1085" s="21"/>
    </row>
    <row r="1086" spans="2:4" x14ac:dyDescent="0.25">
      <c r="B1086" s="21"/>
      <c r="C1086" s="21"/>
      <c r="D1086" s="21"/>
    </row>
    <row r="1087" spans="2:4" x14ac:dyDescent="0.25">
      <c r="B1087" s="21"/>
      <c r="C1087" s="21"/>
      <c r="D1087" s="21"/>
    </row>
    <row r="1088" spans="2:4" x14ac:dyDescent="0.25">
      <c r="B1088" s="21"/>
      <c r="C1088" s="21"/>
      <c r="D1088" s="21"/>
    </row>
    <row r="1089" spans="2:4" x14ac:dyDescent="0.25">
      <c r="B1089" s="21"/>
      <c r="C1089" s="21"/>
      <c r="D1089" s="21"/>
    </row>
    <row r="1090" spans="2:4" x14ac:dyDescent="0.25">
      <c r="B1090" s="21"/>
      <c r="C1090" s="21"/>
      <c r="D1090" s="21"/>
    </row>
    <row r="1091" spans="2:4" x14ac:dyDescent="0.25">
      <c r="B1091" s="21"/>
      <c r="C1091" s="21"/>
      <c r="D1091" s="21"/>
    </row>
    <row r="1092" spans="2:4" x14ac:dyDescent="0.25">
      <c r="B1092" s="21"/>
      <c r="C1092" s="21"/>
      <c r="D1092" s="21"/>
    </row>
    <row r="1093" spans="2:4" x14ac:dyDescent="0.25">
      <c r="B1093" s="21"/>
      <c r="C1093" s="21"/>
      <c r="D1093" s="21"/>
    </row>
    <row r="1094" spans="2:4" x14ac:dyDescent="0.25">
      <c r="B1094" s="21"/>
      <c r="C1094" s="21"/>
      <c r="D1094" s="21"/>
    </row>
    <row r="1095" spans="2:4" x14ac:dyDescent="0.25">
      <c r="B1095" s="21"/>
      <c r="C1095" s="21"/>
      <c r="D1095" s="21"/>
    </row>
    <row r="1096" spans="2:4" x14ac:dyDescent="0.25">
      <c r="B1096" s="21"/>
      <c r="C1096" s="21"/>
      <c r="D1096" s="21"/>
    </row>
    <row r="1097" spans="2:4" x14ac:dyDescent="0.25">
      <c r="B1097" s="21"/>
      <c r="C1097" s="21"/>
      <c r="D1097" s="21"/>
    </row>
    <row r="1098" spans="2:4" x14ac:dyDescent="0.25">
      <c r="B1098" s="21"/>
      <c r="C1098" s="21"/>
      <c r="D1098" s="21"/>
    </row>
    <row r="1099" spans="2:4" x14ac:dyDescent="0.25">
      <c r="B1099" s="21"/>
      <c r="C1099" s="21"/>
      <c r="D1099" s="21"/>
    </row>
    <row r="1100" spans="2:4" x14ac:dyDescent="0.25">
      <c r="B1100" s="21"/>
      <c r="C1100" s="21"/>
      <c r="D1100" s="21"/>
    </row>
    <row r="1101" spans="2:4" x14ac:dyDescent="0.25">
      <c r="B1101" s="21"/>
      <c r="C1101" s="21"/>
      <c r="D1101" s="21"/>
    </row>
    <row r="1102" spans="2:4" x14ac:dyDescent="0.25">
      <c r="B1102" s="21"/>
      <c r="C1102" s="21"/>
      <c r="D1102" s="21"/>
    </row>
    <row r="1103" spans="2:4" x14ac:dyDescent="0.25">
      <c r="B1103" s="21"/>
      <c r="C1103" s="21"/>
      <c r="D1103" s="21"/>
    </row>
    <row r="1104" spans="2:4" x14ac:dyDescent="0.25">
      <c r="B1104" s="21"/>
      <c r="C1104" s="21"/>
      <c r="D1104" s="21"/>
    </row>
    <row r="1105" spans="2:4" x14ac:dyDescent="0.25">
      <c r="B1105" s="21"/>
      <c r="C1105" s="21"/>
      <c r="D1105" s="21"/>
    </row>
    <row r="1106" spans="2:4" x14ac:dyDescent="0.25">
      <c r="B1106" s="21"/>
      <c r="C1106" s="21"/>
      <c r="D1106" s="21"/>
    </row>
    <row r="1107" spans="2:4" x14ac:dyDescent="0.25">
      <c r="B1107" s="21"/>
      <c r="C1107" s="21"/>
      <c r="D1107" s="21"/>
    </row>
    <row r="1108" spans="2:4" x14ac:dyDescent="0.25">
      <c r="B1108" s="21"/>
      <c r="C1108" s="21"/>
      <c r="D1108" s="21"/>
    </row>
    <row r="1109" spans="2:4" x14ac:dyDescent="0.25">
      <c r="B1109" s="21"/>
      <c r="C1109" s="21"/>
      <c r="D1109" s="21"/>
    </row>
    <row r="1110" spans="2:4" x14ac:dyDescent="0.25">
      <c r="B1110" s="21"/>
      <c r="C1110" s="21"/>
      <c r="D1110" s="21"/>
    </row>
    <row r="1111" spans="2:4" x14ac:dyDescent="0.25">
      <c r="B1111" s="21"/>
      <c r="C1111" s="21"/>
      <c r="D1111" s="21"/>
    </row>
    <row r="1112" spans="2:4" x14ac:dyDescent="0.25">
      <c r="B1112" s="21"/>
      <c r="C1112" s="21"/>
      <c r="D1112" s="21"/>
    </row>
    <row r="1113" spans="2:4" x14ac:dyDescent="0.25">
      <c r="B1113" s="21"/>
      <c r="C1113" s="21"/>
      <c r="D1113" s="21"/>
    </row>
    <row r="1114" spans="2:4" x14ac:dyDescent="0.25">
      <c r="B1114" s="21"/>
      <c r="C1114" s="21"/>
      <c r="D1114" s="21"/>
    </row>
    <row r="1115" spans="2:4" x14ac:dyDescent="0.25">
      <c r="B1115" s="21"/>
      <c r="C1115" s="21"/>
      <c r="D1115" s="21"/>
    </row>
    <row r="1116" spans="2:4" x14ac:dyDescent="0.25">
      <c r="B1116" s="21"/>
      <c r="C1116" s="21"/>
      <c r="D1116" s="21"/>
    </row>
    <row r="1117" spans="2:4" x14ac:dyDescent="0.25">
      <c r="B1117" s="21"/>
      <c r="C1117" s="21"/>
      <c r="D1117" s="21"/>
    </row>
    <row r="1118" spans="2:4" x14ac:dyDescent="0.25">
      <c r="B1118" s="21"/>
      <c r="C1118" s="21"/>
      <c r="D1118" s="21"/>
    </row>
    <row r="1119" spans="2:4" x14ac:dyDescent="0.25">
      <c r="B1119" s="21"/>
      <c r="C1119" s="21"/>
      <c r="D1119" s="21"/>
    </row>
    <row r="1120" spans="2:4" x14ac:dyDescent="0.25">
      <c r="B1120" s="21"/>
      <c r="C1120" s="21"/>
      <c r="D1120" s="21"/>
    </row>
    <row r="1121" spans="2:4" x14ac:dyDescent="0.25">
      <c r="B1121" s="21"/>
      <c r="C1121" s="21"/>
      <c r="D1121" s="21"/>
    </row>
    <row r="1122" spans="2:4" x14ac:dyDescent="0.25">
      <c r="B1122" s="21"/>
      <c r="C1122" s="21"/>
      <c r="D1122" s="21"/>
    </row>
    <row r="1123" spans="2:4" x14ac:dyDescent="0.25">
      <c r="B1123" s="21"/>
      <c r="C1123" s="21"/>
      <c r="D1123" s="21"/>
    </row>
    <row r="1124" spans="2:4" x14ac:dyDescent="0.25">
      <c r="B1124" s="21"/>
      <c r="C1124" s="21"/>
      <c r="D1124" s="21"/>
    </row>
    <row r="1125" spans="2:4" x14ac:dyDescent="0.25">
      <c r="B1125" s="21"/>
      <c r="C1125" s="21"/>
      <c r="D1125" s="21"/>
    </row>
    <row r="1126" spans="2:4" x14ac:dyDescent="0.25">
      <c r="B1126" s="21"/>
      <c r="C1126" s="21"/>
      <c r="D1126" s="21"/>
    </row>
    <row r="1127" spans="2:4" x14ac:dyDescent="0.25">
      <c r="B1127" s="21"/>
      <c r="C1127" s="21"/>
      <c r="D1127" s="21"/>
    </row>
    <row r="1128" spans="2:4" x14ac:dyDescent="0.25">
      <c r="B1128" s="21"/>
      <c r="C1128" s="21"/>
      <c r="D1128" s="21"/>
    </row>
    <row r="1129" spans="2:4" x14ac:dyDescent="0.25">
      <c r="B1129" s="21"/>
      <c r="C1129" s="21"/>
      <c r="D1129" s="21"/>
    </row>
    <row r="1130" spans="2:4" x14ac:dyDescent="0.25">
      <c r="B1130" s="21"/>
      <c r="C1130" s="21"/>
      <c r="D1130" s="21"/>
    </row>
    <row r="1131" spans="2:4" x14ac:dyDescent="0.25">
      <c r="B1131" s="21"/>
      <c r="C1131" s="21"/>
      <c r="D1131" s="21"/>
    </row>
    <row r="1132" spans="2:4" x14ac:dyDescent="0.25">
      <c r="B1132" s="21"/>
      <c r="C1132" s="21"/>
      <c r="D1132" s="21"/>
    </row>
    <row r="1133" spans="2:4" x14ac:dyDescent="0.25">
      <c r="B1133" s="21"/>
      <c r="C1133" s="21"/>
      <c r="D1133" s="21"/>
    </row>
    <row r="1134" spans="2:4" x14ac:dyDescent="0.25">
      <c r="B1134" s="21"/>
      <c r="C1134" s="21"/>
      <c r="D1134" s="21"/>
    </row>
    <row r="1135" spans="2:4" x14ac:dyDescent="0.25">
      <c r="B1135" s="21"/>
      <c r="C1135" s="21"/>
      <c r="D1135" s="21"/>
    </row>
    <row r="1136" spans="2:4" x14ac:dyDescent="0.25">
      <c r="B1136" s="21"/>
      <c r="C1136" s="21"/>
      <c r="D1136" s="21"/>
    </row>
    <row r="1137" spans="2:4" x14ac:dyDescent="0.25">
      <c r="B1137" s="21"/>
      <c r="C1137" s="21"/>
      <c r="D1137" s="21"/>
    </row>
    <row r="1138" spans="2:4" x14ac:dyDescent="0.25">
      <c r="B1138" s="21"/>
      <c r="C1138" s="21"/>
      <c r="D1138" s="21"/>
    </row>
    <row r="1139" spans="2:4" x14ac:dyDescent="0.25">
      <c r="B1139" s="21"/>
      <c r="C1139" s="21"/>
      <c r="D1139" s="21"/>
    </row>
    <row r="1140" spans="2:4" x14ac:dyDescent="0.25">
      <c r="B1140" s="21"/>
      <c r="C1140" s="21"/>
      <c r="D1140" s="21"/>
    </row>
    <row r="1141" spans="2:4" x14ac:dyDescent="0.25">
      <c r="B1141" s="21"/>
      <c r="C1141" s="21"/>
      <c r="D1141" s="21"/>
    </row>
    <row r="1142" spans="2:4" x14ac:dyDescent="0.25">
      <c r="B1142" s="21"/>
      <c r="C1142" s="21"/>
      <c r="D1142" s="21"/>
    </row>
    <row r="1143" spans="2:4" x14ac:dyDescent="0.25">
      <c r="B1143" s="21"/>
      <c r="C1143" s="21"/>
      <c r="D1143" s="21"/>
    </row>
    <row r="1144" spans="2:4" x14ac:dyDescent="0.25">
      <c r="B1144" s="21"/>
      <c r="C1144" s="21"/>
      <c r="D1144" s="21"/>
    </row>
    <row r="1145" spans="2:4" x14ac:dyDescent="0.25">
      <c r="B1145" s="21"/>
      <c r="C1145" s="21"/>
      <c r="D1145" s="21"/>
    </row>
    <row r="1146" spans="2:4" x14ac:dyDescent="0.25">
      <c r="B1146" s="21"/>
      <c r="C1146" s="21"/>
      <c r="D1146" s="21"/>
    </row>
    <row r="1147" spans="2:4" x14ac:dyDescent="0.25">
      <c r="B1147" s="21"/>
      <c r="C1147" s="21"/>
      <c r="D1147" s="21"/>
    </row>
    <row r="1148" spans="2:4" x14ac:dyDescent="0.25">
      <c r="B1148" s="21"/>
      <c r="C1148" s="21"/>
      <c r="D1148" s="21"/>
    </row>
    <row r="1149" spans="2:4" x14ac:dyDescent="0.25">
      <c r="B1149" s="21"/>
      <c r="C1149" s="21"/>
      <c r="D1149" s="21"/>
    </row>
    <row r="1150" spans="2:4" x14ac:dyDescent="0.25">
      <c r="B1150" s="21"/>
      <c r="C1150" s="21"/>
      <c r="D1150" s="21"/>
    </row>
    <row r="1151" spans="2:4" x14ac:dyDescent="0.25">
      <c r="B1151" s="21"/>
      <c r="C1151" s="21"/>
      <c r="D1151" s="21"/>
    </row>
    <row r="1152" spans="2:4" x14ac:dyDescent="0.25">
      <c r="B1152" s="21"/>
      <c r="C1152" s="21"/>
      <c r="D1152" s="21"/>
    </row>
    <row r="1153" spans="2:4" x14ac:dyDescent="0.25">
      <c r="B1153" s="21"/>
      <c r="C1153" s="21"/>
      <c r="D1153" s="21"/>
    </row>
    <row r="1154" spans="2:4" x14ac:dyDescent="0.25">
      <c r="B1154" s="21"/>
      <c r="C1154" s="21"/>
      <c r="D1154" s="21"/>
    </row>
    <row r="1155" spans="2:4" x14ac:dyDescent="0.25">
      <c r="B1155" s="21"/>
      <c r="C1155" s="21"/>
      <c r="D1155" s="21"/>
    </row>
    <row r="1156" spans="2:4" x14ac:dyDescent="0.25">
      <c r="B1156" s="21"/>
      <c r="C1156" s="21"/>
      <c r="D1156" s="21"/>
    </row>
    <row r="1157" spans="2:4" x14ac:dyDescent="0.25">
      <c r="B1157" s="21"/>
      <c r="C1157" s="21"/>
      <c r="D1157" s="21"/>
    </row>
    <row r="1158" spans="2:4" x14ac:dyDescent="0.25">
      <c r="B1158" s="21"/>
      <c r="C1158" s="21"/>
      <c r="D1158" s="21"/>
    </row>
    <row r="1159" spans="2:4" x14ac:dyDescent="0.25">
      <c r="B1159" s="21"/>
      <c r="C1159" s="21"/>
      <c r="D1159" s="21"/>
    </row>
    <row r="1160" spans="2:4" x14ac:dyDescent="0.25">
      <c r="B1160" s="21"/>
      <c r="C1160" s="21"/>
      <c r="D1160" s="21"/>
    </row>
    <row r="1161" spans="2:4" x14ac:dyDescent="0.25">
      <c r="B1161" s="21"/>
      <c r="C1161" s="21"/>
      <c r="D1161" s="21"/>
    </row>
    <row r="1162" spans="2:4" x14ac:dyDescent="0.25">
      <c r="B1162" s="21"/>
      <c r="C1162" s="21"/>
      <c r="D1162" s="21"/>
    </row>
    <row r="1163" spans="2:4" x14ac:dyDescent="0.25">
      <c r="B1163" s="21"/>
      <c r="C1163" s="21"/>
      <c r="D1163" s="21"/>
    </row>
    <row r="1164" spans="2:4" x14ac:dyDescent="0.25">
      <c r="B1164" s="21"/>
      <c r="C1164" s="21"/>
      <c r="D1164" s="21"/>
    </row>
    <row r="1165" spans="2:4" x14ac:dyDescent="0.25">
      <c r="B1165" s="21"/>
      <c r="C1165" s="21"/>
      <c r="D1165" s="21"/>
    </row>
    <row r="1166" spans="2:4" x14ac:dyDescent="0.25">
      <c r="B1166" s="21"/>
      <c r="C1166" s="21"/>
      <c r="D1166" s="21"/>
    </row>
    <row r="1167" spans="2:4" x14ac:dyDescent="0.25">
      <c r="B1167" s="21"/>
      <c r="C1167" s="21"/>
      <c r="D1167" s="21"/>
    </row>
    <row r="1168" spans="2:4" x14ac:dyDescent="0.25">
      <c r="B1168" s="21"/>
      <c r="C1168" s="21"/>
      <c r="D1168" s="21"/>
    </row>
    <row r="1169" spans="2:4" x14ac:dyDescent="0.25">
      <c r="B1169" s="21"/>
      <c r="C1169" s="21"/>
      <c r="D1169" s="21"/>
    </row>
    <row r="1170" spans="2:4" x14ac:dyDescent="0.25">
      <c r="B1170" s="21"/>
      <c r="C1170" s="21"/>
      <c r="D1170" s="21"/>
    </row>
    <row r="1171" spans="2:4" x14ac:dyDescent="0.25">
      <c r="B1171" s="21"/>
      <c r="C1171" s="21"/>
      <c r="D1171" s="21"/>
    </row>
    <row r="1172" spans="2:4" x14ac:dyDescent="0.25">
      <c r="B1172" s="21"/>
      <c r="C1172" s="21"/>
      <c r="D1172" s="21"/>
    </row>
    <row r="1173" spans="2:4" x14ac:dyDescent="0.25">
      <c r="B1173" s="21"/>
      <c r="C1173" s="21"/>
      <c r="D1173" s="21"/>
    </row>
    <row r="1174" spans="2:4" x14ac:dyDescent="0.25">
      <c r="B1174" s="21"/>
      <c r="C1174" s="21"/>
      <c r="D1174" s="21"/>
    </row>
    <row r="1175" spans="2:4" x14ac:dyDescent="0.25">
      <c r="B1175" s="21"/>
      <c r="C1175" s="21"/>
      <c r="D1175" s="21"/>
    </row>
    <row r="1176" spans="2:4" x14ac:dyDescent="0.25">
      <c r="B1176" s="21"/>
      <c r="C1176" s="21"/>
      <c r="D1176" s="21"/>
    </row>
    <row r="1177" spans="2:4" x14ac:dyDescent="0.25">
      <c r="B1177" s="21"/>
      <c r="C1177" s="21"/>
      <c r="D1177" s="21"/>
    </row>
    <row r="1178" spans="2:4" x14ac:dyDescent="0.25">
      <c r="B1178" s="21"/>
      <c r="C1178" s="21"/>
      <c r="D1178" s="21"/>
    </row>
    <row r="1179" spans="2:4" x14ac:dyDescent="0.25">
      <c r="B1179" s="21"/>
      <c r="C1179" s="21"/>
      <c r="D1179" s="21"/>
    </row>
    <row r="1180" spans="2:4" x14ac:dyDescent="0.25">
      <c r="B1180" s="21"/>
      <c r="C1180" s="21"/>
      <c r="D1180" s="21"/>
    </row>
    <row r="1181" spans="2:4" x14ac:dyDescent="0.25">
      <c r="B1181" s="21"/>
      <c r="C1181" s="21"/>
      <c r="D1181" s="21"/>
    </row>
    <row r="1182" spans="2:4" x14ac:dyDescent="0.25">
      <c r="B1182" s="21"/>
      <c r="C1182" s="21"/>
      <c r="D1182" s="21"/>
    </row>
    <row r="1183" spans="2:4" x14ac:dyDescent="0.25">
      <c r="B1183" s="21"/>
      <c r="C1183" s="21"/>
      <c r="D1183" s="21"/>
    </row>
    <row r="1184" spans="2:4" x14ac:dyDescent="0.25">
      <c r="B1184" s="21"/>
      <c r="C1184" s="21"/>
      <c r="D1184" s="21"/>
    </row>
    <row r="1185" spans="2:4" x14ac:dyDescent="0.25">
      <c r="B1185" s="21"/>
      <c r="C1185" s="21"/>
      <c r="D1185" s="21"/>
    </row>
    <row r="1186" spans="2:4" x14ac:dyDescent="0.25">
      <c r="B1186" s="21"/>
      <c r="C1186" s="21"/>
      <c r="D1186" s="21"/>
    </row>
    <row r="1187" spans="2:4" x14ac:dyDescent="0.25">
      <c r="B1187" s="21"/>
      <c r="C1187" s="21"/>
      <c r="D1187" s="21"/>
    </row>
    <row r="1188" spans="2:4" x14ac:dyDescent="0.25">
      <c r="B1188" s="21"/>
      <c r="C1188" s="21"/>
      <c r="D1188" s="21"/>
    </row>
    <row r="1189" spans="2:4" x14ac:dyDescent="0.25">
      <c r="B1189" s="21"/>
      <c r="C1189" s="21"/>
      <c r="D1189" s="21"/>
    </row>
    <row r="1190" spans="2:4" x14ac:dyDescent="0.25">
      <c r="B1190" s="21"/>
      <c r="C1190" s="21"/>
      <c r="D1190" s="21"/>
    </row>
    <row r="1191" spans="2:4" x14ac:dyDescent="0.25">
      <c r="B1191" s="21"/>
      <c r="C1191" s="21"/>
      <c r="D1191" s="21"/>
    </row>
    <row r="1192" spans="2:4" x14ac:dyDescent="0.25">
      <c r="B1192" s="21"/>
      <c r="C1192" s="21"/>
      <c r="D1192" s="21"/>
    </row>
    <row r="1193" spans="2:4" x14ac:dyDescent="0.25">
      <c r="B1193" s="21"/>
      <c r="C1193" s="21"/>
      <c r="D1193" s="21"/>
    </row>
    <row r="1194" spans="2:4" x14ac:dyDescent="0.25">
      <c r="B1194" s="21"/>
      <c r="C1194" s="21"/>
      <c r="D1194" s="21"/>
    </row>
    <row r="1195" spans="2:4" x14ac:dyDescent="0.25">
      <c r="B1195" s="21"/>
      <c r="C1195" s="21"/>
      <c r="D1195" s="21"/>
    </row>
    <row r="1196" spans="2:4" x14ac:dyDescent="0.25">
      <c r="B1196" s="21"/>
      <c r="C1196" s="21"/>
      <c r="D1196" s="21"/>
    </row>
    <row r="1197" spans="2:4" x14ac:dyDescent="0.25">
      <c r="B1197" s="21"/>
      <c r="C1197" s="21"/>
      <c r="D1197" s="21"/>
    </row>
    <row r="1198" spans="2:4" x14ac:dyDescent="0.25">
      <c r="B1198" s="21"/>
      <c r="C1198" s="21"/>
      <c r="D1198" s="21"/>
    </row>
    <row r="1199" spans="2:4" x14ac:dyDescent="0.25">
      <c r="B1199" s="21"/>
      <c r="C1199" s="21"/>
      <c r="D1199" s="21"/>
    </row>
    <row r="1200" spans="2:4" x14ac:dyDescent="0.25">
      <c r="B1200" s="21"/>
      <c r="C1200" s="21"/>
      <c r="D1200" s="21"/>
    </row>
    <row r="1201" spans="2:4" x14ac:dyDescent="0.25">
      <c r="B1201" s="21"/>
      <c r="C1201" s="21"/>
      <c r="D1201" s="21"/>
    </row>
    <row r="1202" spans="2:4" x14ac:dyDescent="0.25">
      <c r="B1202" s="21"/>
      <c r="C1202" s="21"/>
      <c r="D1202" s="21"/>
    </row>
    <row r="1203" spans="2:4" x14ac:dyDescent="0.25">
      <c r="B1203" s="21"/>
      <c r="C1203" s="21"/>
      <c r="D1203" s="21"/>
    </row>
    <row r="1204" spans="2:4" x14ac:dyDescent="0.25">
      <c r="B1204" s="21"/>
      <c r="C1204" s="21"/>
      <c r="D1204" s="21"/>
    </row>
    <row r="1205" spans="2:4" x14ac:dyDescent="0.25">
      <c r="B1205" s="21"/>
      <c r="C1205" s="21"/>
      <c r="D1205" s="21"/>
    </row>
    <row r="1206" spans="2:4" x14ac:dyDescent="0.25">
      <c r="B1206" s="21"/>
      <c r="C1206" s="21"/>
      <c r="D1206" s="21"/>
    </row>
    <row r="1207" spans="2:4" x14ac:dyDescent="0.25">
      <c r="B1207" s="21"/>
      <c r="C1207" s="21"/>
      <c r="D1207" s="21"/>
    </row>
    <row r="1208" spans="2:4" x14ac:dyDescent="0.25">
      <c r="B1208" s="21"/>
      <c r="C1208" s="21"/>
      <c r="D1208" s="21"/>
    </row>
    <row r="1209" spans="2:4" x14ac:dyDescent="0.25">
      <c r="B1209" s="21"/>
      <c r="C1209" s="21"/>
      <c r="D1209" s="21"/>
    </row>
    <row r="1210" spans="2:4" x14ac:dyDescent="0.25">
      <c r="B1210" s="21"/>
      <c r="C1210" s="21"/>
      <c r="D1210" s="21"/>
    </row>
    <row r="1211" spans="2:4" x14ac:dyDescent="0.25">
      <c r="B1211" s="21"/>
      <c r="C1211" s="21"/>
      <c r="D1211" s="21"/>
    </row>
    <row r="1212" spans="2:4" x14ac:dyDescent="0.25">
      <c r="B1212" s="21"/>
      <c r="C1212" s="21"/>
      <c r="D1212" s="21"/>
    </row>
    <row r="1213" spans="2:4" x14ac:dyDescent="0.25">
      <c r="B1213" s="21"/>
      <c r="C1213" s="21"/>
      <c r="D1213" s="21"/>
    </row>
    <row r="1214" spans="2:4" x14ac:dyDescent="0.25">
      <c r="B1214" s="21"/>
      <c r="C1214" s="21"/>
      <c r="D1214" s="21"/>
    </row>
    <row r="1215" spans="2:4" x14ac:dyDescent="0.25">
      <c r="B1215" s="21"/>
      <c r="C1215" s="21"/>
      <c r="D1215" s="21"/>
    </row>
    <row r="1216" spans="2:4" x14ac:dyDescent="0.25">
      <c r="B1216" s="21"/>
      <c r="C1216" s="21"/>
      <c r="D1216" s="21"/>
    </row>
    <row r="1217" spans="2:4" x14ac:dyDescent="0.25">
      <c r="B1217" s="21"/>
      <c r="C1217" s="21"/>
      <c r="D1217" s="21"/>
    </row>
    <row r="1218" spans="2:4" x14ac:dyDescent="0.25">
      <c r="B1218" s="21"/>
      <c r="C1218" s="21"/>
      <c r="D1218" s="21"/>
    </row>
    <row r="1219" spans="2:4" x14ac:dyDescent="0.25">
      <c r="B1219" s="21"/>
      <c r="C1219" s="21"/>
      <c r="D1219" s="21"/>
    </row>
    <row r="1220" spans="2:4" x14ac:dyDescent="0.25">
      <c r="B1220" s="21"/>
      <c r="C1220" s="21"/>
      <c r="D1220" s="21"/>
    </row>
    <row r="1221" spans="2:4" x14ac:dyDescent="0.25">
      <c r="B1221" s="21"/>
      <c r="C1221" s="21"/>
      <c r="D1221" s="21"/>
    </row>
    <row r="1222" spans="2:4" x14ac:dyDescent="0.25">
      <c r="B1222" s="21"/>
      <c r="C1222" s="21"/>
      <c r="D1222" s="21"/>
    </row>
    <row r="1223" spans="2:4" x14ac:dyDescent="0.25">
      <c r="B1223" s="21"/>
      <c r="C1223" s="21"/>
      <c r="D1223" s="21"/>
    </row>
    <row r="1224" spans="2:4" x14ac:dyDescent="0.25">
      <c r="B1224" s="21"/>
      <c r="C1224" s="21"/>
      <c r="D1224" s="21"/>
    </row>
    <row r="1225" spans="2:4" x14ac:dyDescent="0.25">
      <c r="B1225" s="21"/>
      <c r="C1225" s="21"/>
      <c r="D1225" s="21"/>
    </row>
    <row r="1226" spans="2:4" x14ac:dyDescent="0.25">
      <c r="B1226" s="21"/>
      <c r="C1226" s="21"/>
      <c r="D1226" s="21"/>
    </row>
    <row r="1227" spans="2:4" x14ac:dyDescent="0.25">
      <c r="B1227" s="21"/>
      <c r="C1227" s="21"/>
      <c r="D1227" s="21"/>
    </row>
    <row r="1228" spans="2:4" x14ac:dyDescent="0.25">
      <c r="B1228" s="21"/>
      <c r="C1228" s="21"/>
      <c r="D1228" s="21"/>
    </row>
    <row r="1229" spans="2:4" x14ac:dyDescent="0.25">
      <c r="B1229" s="21"/>
      <c r="C1229" s="21"/>
      <c r="D1229" s="21"/>
    </row>
    <row r="1230" spans="2:4" x14ac:dyDescent="0.25">
      <c r="B1230" s="21"/>
      <c r="C1230" s="21"/>
      <c r="D1230" s="21"/>
    </row>
    <row r="1231" spans="2:4" x14ac:dyDescent="0.25">
      <c r="B1231" s="21"/>
      <c r="C1231" s="21"/>
      <c r="D1231" s="21"/>
    </row>
    <row r="1232" spans="2:4" x14ac:dyDescent="0.25">
      <c r="B1232" s="21"/>
      <c r="C1232" s="21"/>
      <c r="D1232" s="21"/>
    </row>
    <row r="1233" spans="2:4" x14ac:dyDescent="0.25">
      <c r="B1233" s="21"/>
      <c r="C1233" s="21"/>
      <c r="D1233" s="21"/>
    </row>
    <row r="1234" spans="2:4" x14ac:dyDescent="0.25">
      <c r="B1234" s="21"/>
      <c r="C1234" s="21"/>
      <c r="D1234" s="21"/>
    </row>
    <row r="1235" spans="2:4" x14ac:dyDescent="0.25">
      <c r="B1235" s="21"/>
      <c r="C1235" s="21"/>
      <c r="D1235" s="21"/>
    </row>
    <row r="1236" spans="2:4" x14ac:dyDescent="0.25">
      <c r="B1236" s="21"/>
      <c r="C1236" s="21"/>
      <c r="D1236" s="21"/>
    </row>
    <row r="1237" spans="2:4" x14ac:dyDescent="0.25">
      <c r="B1237" s="21"/>
      <c r="C1237" s="21"/>
      <c r="D1237" s="21"/>
    </row>
    <row r="1238" spans="2:4" x14ac:dyDescent="0.25">
      <c r="B1238" s="21"/>
      <c r="C1238" s="21"/>
      <c r="D1238" s="21"/>
    </row>
    <row r="1239" spans="2:4" x14ac:dyDescent="0.25">
      <c r="B1239" s="21"/>
      <c r="C1239" s="21"/>
      <c r="D1239" s="21"/>
    </row>
    <row r="1240" spans="2:4" x14ac:dyDescent="0.25">
      <c r="B1240" s="21"/>
      <c r="C1240" s="21"/>
      <c r="D1240" s="21"/>
    </row>
    <row r="1241" spans="2:4" x14ac:dyDescent="0.25">
      <c r="B1241" s="21"/>
      <c r="C1241" s="21"/>
      <c r="D1241" s="21"/>
    </row>
    <row r="1242" spans="2:4" x14ac:dyDescent="0.25">
      <c r="B1242" s="21"/>
      <c r="C1242" s="21"/>
      <c r="D1242" s="21"/>
    </row>
    <row r="1243" spans="2:4" x14ac:dyDescent="0.25">
      <c r="B1243" s="21"/>
      <c r="C1243" s="21"/>
      <c r="D1243" s="21"/>
    </row>
    <row r="1244" spans="2:4" x14ac:dyDescent="0.25">
      <c r="B1244" s="21"/>
      <c r="C1244" s="21"/>
      <c r="D1244" s="21"/>
    </row>
    <row r="1245" spans="2:4" x14ac:dyDescent="0.25">
      <c r="B1245" s="21"/>
      <c r="C1245" s="21"/>
      <c r="D1245" s="21"/>
    </row>
    <row r="1246" spans="2:4" x14ac:dyDescent="0.25">
      <c r="B1246" s="21"/>
      <c r="C1246" s="21"/>
      <c r="D1246" s="21"/>
    </row>
    <row r="1247" spans="2:4" x14ac:dyDescent="0.25">
      <c r="B1247" s="21"/>
      <c r="C1247" s="21"/>
      <c r="D1247" s="21"/>
    </row>
    <row r="1248" spans="2:4" x14ac:dyDescent="0.25">
      <c r="B1248" s="21"/>
      <c r="C1248" s="21"/>
      <c r="D1248" s="21"/>
    </row>
    <row r="1249" spans="2:4" x14ac:dyDescent="0.25">
      <c r="B1249" s="21"/>
      <c r="C1249" s="21"/>
      <c r="D1249" s="21"/>
    </row>
    <row r="1250" spans="2:4" x14ac:dyDescent="0.25">
      <c r="B1250" s="21"/>
      <c r="C1250" s="21"/>
      <c r="D1250" s="21"/>
    </row>
    <row r="1251" spans="2:4" x14ac:dyDescent="0.25">
      <c r="B1251" s="21"/>
      <c r="C1251" s="21"/>
      <c r="D1251" s="21"/>
    </row>
    <row r="1252" spans="2:4" x14ac:dyDescent="0.25">
      <c r="B1252" s="21"/>
      <c r="C1252" s="21"/>
      <c r="D1252" s="21"/>
    </row>
    <row r="1253" spans="2:4" x14ac:dyDescent="0.25">
      <c r="B1253" s="21"/>
      <c r="C1253" s="21"/>
      <c r="D1253" s="21"/>
    </row>
    <row r="1254" spans="2:4" x14ac:dyDescent="0.25">
      <c r="B1254" s="21"/>
      <c r="C1254" s="21"/>
      <c r="D1254" s="21"/>
    </row>
    <row r="1255" spans="2:4" x14ac:dyDescent="0.25">
      <c r="B1255" s="21"/>
      <c r="C1255" s="21"/>
      <c r="D1255" s="21"/>
    </row>
    <row r="1256" spans="2:4" x14ac:dyDescent="0.25">
      <c r="B1256" s="21"/>
      <c r="C1256" s="21"/>
      <c r="D1256" s="21"/>
    </row>
    <row r="1257" spans="2:4" x14ac:dyDescent="0.25">
      <c r="B1257" s="21"/>
      <c r="C1257" s="21"/>
      <c r="D1257" s="21"/>
    </row>
    <row r="1258" spans="2:4" x14ac:dyDescent="0.25">
      <c r="B1258" s="21"/>
      <c r="C1258" s="21"/>
      <c r="D1258" s="21"/>
    </row>
    <row r="1259" spans="2:4" x14ac:dyDescent="0.25">
      <c r="B1259" s="21"/>
      <c r="C1259" s="21"/>
      <c r="D1259" s="21"/>
    </row>
    <row r="1260" spans="2:4" x14ac:dyDescent="0.25">
      <c r="B1260" s="21"/>
      <c r="C1260" s="21"/>
      <c r="D1260" s="21"/>
    </row>
    <row r="1261" spans="2:4" x14ac:dyDescent="0.25">
      <c r="B1261" s="21"/>
      <c r="C1261" s="21"/>
      <c r="D1261" s="21"/>
    </row>
    <row r="1262" spans="2:4" x14ac:dyDescent="0.25">
      <c r="B1262" s="21"/>
      <c r="C1262" s="21"/>
      <c r="D1262" s="21"/>
    </row>
    <row r="1263" spans="2:4" x14ac:dyDescent="0.25">
      <c r="B1263" s="21"/>
      <c r="C1263" s="21"/>
      <c r="D1263" s="21"/>
    </row>
    <row r="1264" spans="2:4" x14ac:dyDescent="0.25">
      <c r="B1264" s="21"/>
      <c r="C1264" s="21"/>
      <c r="D1264" s="21"/>
    </row>
    <row r="1265" spans="2:4" x14ac:dyDescent="0.25">
      <c r="B1265" s="21"/>
      <c r="C1265" s="21"/>
      <c r="D1265" s="21"/>
    </row>
    <row r="1266" spans="2:4" x14ac:dyDescent="0.25">
      <c r="B1266" s="21"/>
      <c r="C1266" s="21"/>
      <c r="D1266" s="21"/>
    </row>
    <row r="1267" spans="2:4" x14ac:dyDescent="0.25">
      <c r="B1267" s="21"/>
      <c r="C1267" s="21"/>
      <c r="D1267" s="21"/>
    </row>
    <row r="1268" spans="2:4" x14ac:dyDescent="0.25">
      <c r="B1268" s="21"/>
      <c r="C1268" s="21"/>
      <c r="D1268" s="21"/>
    </row>
    <row r="1269" spans="2:4" x14ac:dyDescent="0.25">
      <c r="B1269" s="21"/>
      <c r="C1269" s="21"/>
      <c r="D1269" s="21"/>
    </row>
    <row r="1270" spans="2:4" x14ac:dyDescent="0.25">
      <c r="B1270" s="21"/>
      <c r="C1270" s="21"/>
      <c r="D1270" s="21"/>
    </row>
    <row r="1271" spans="2:4" x14ac:dyDescent="0.25">
      <c r="B1271" s="21"/>
      <c r="C1271" s="21"/>
      <c r="D1271" s="21"/>
    </row>
    <row r="1272" spans="2:4" x14ac:dyDescent="0.25">
      <c r="B1272" s="21"/>
      <c r="C1272" s="21"/>
      <c r="D1272" s="21"/>
    </row>
    <row r="1273" spans="2:4" x14ac:dyDescent="0.25">
      <c r="B1273" s="21"/>
      <c r="C1273" s="21"/>
      <c r="D1273" s="21"/>
    </row>
    <row r="1274" spans="2:4" x14ac:dyDescent="0.25">
      <c r="B1274" s="21"/>
      <c r="C1274" s="21"/>
      <c r="D1274" s="21"/>
    </row>
    <row r="1275" spans="2:4" x14ac:dyDescent="0.25">
      <c r="B1275" s="21"/>
      <c r="C1275" s="21"/>
      <c r="D1275" s="21"/>
    </row>
    <row r="1276" spans="2:4" x14ac:dyDescent="0.25">
      <c r="B1276" s="21"/>
      <c r="C1276" s="21"/>
      <c r="D1276" s="21"/>
    </row>
    <row r="1277" spans="2:4" x14ac:dyDescent="0.25">
      <c r="B1277" s="21"/>
      <c r="C1277" s="21"/>
      <c r="D1277" s="21"/>
    </row>
    <row r="1278" spans="2:4" x14ac:dyDescent="0.25">
      <c r="B1278" s="21"/>
      <c r="C1278" s="21"/>
      <c r="D1278" s="21"/>
    </row>
    <row r="1279" spans="2:4" x14ac:dyDescent="0.25">
      <c r="B1279" s="21"/>
      <c r="C1279" s="21"/>
      <c r="D1279" s="21"/>
    </row>
    <row r="1280" spans="2:4" x14ac:dyDescent="0.25">
      <c r="B1280" s="21"/>
      <c r="C1280" s="21"/>
      <c r="D1280" s="21"/>
    </row>
    <row r="1281" spans="2:4" x14ac:dyDescent="0.25">
      <c r="B1281" s="21"/>
      <c r="C1281" s="21"/>
      <c r="D1281" s="21"/>
    </row>
    <row r="1282" spans="2:4" x14ac:dyDescent="0.25">
      <c r="B1282" s="21"/>
      <c r="C1282" s="21"/>
      <c r="D1282" s="21"/>
    </row>
    <row r="1283" spans="2:4" x14ac:dyDescent="0.25">
      <c r="B1283" s="21"/>
      <c r="C1283" s="21"/>
      <c r="D1283" s="21"/>
    </row>
    <row r="1284" spans="2:4" x14ac:dyDescent="0.25">
      <c r="B1284" s="21"/>
      <c r="C1284" s="21"/>
      <c r="D1284" s="21"/>
    </row>
    <row r="1285" spans="2:4" x14ac:dyDescent="0.25">
      <c r="B1285" s="21"/>
      <c r="C1285" s="21"/>
      <c r="D1285" s="21"/>
    </row>
    <row r="1286" spans="2:4" x14ac:dyDescent="0.25">
      <c r="B1286" s="21"/>
      <c r="C1286" s="21"/>
      <c r="D1286" s="21"/>
    </row>
    <row r="1287" spans="2:4" x14ac:dyDescent="0.25">
      <c r="B1287" s="21"/>
      <c r="C1287" s="21"/>
      <c r="D1287" s="21"/>
    </row>
    <row r="1288" spans="2:4" x14ac:dyDescent="0.25">
      <c r="B1288" s="21"/>
      <c r="C1288" s="21"/>
      <c r="D1288" s="21"/>
    </row>
    <row r="1289" spans="2:4" x14ac:dyDescent="0.25">
      <c r="B1289" s="21"/>
      <c r="C1289" s="21"/>
      <c r="D1289" s="21"/>
    </row>
    <row r="1290" spans="2:4" x14ac:dyDescent="0.25">
      <c r="B1290" s="21"/>
      <c r="C1290" s="21"/>
      <c r="D1290" s="21"/>
    </row>
    <row r="1291" spans="2:4" x14ac:dyDescent="0.25">
      <c r="B1291" s="21"/>
      <c r="C1291" s="21"/>
      <c r="D1291" s="21"/>
    </row>
    <row r="1292" spans="2:4" x14ac:dyDescent="0.25">
      <c r="B1292" s="21"/>
      <c r="C1292" s="21"/>
      <c r="D1292" s="21"/>
    </row>
    <row r="1293" spans="2:4" x14ac:dyDescent="0.25">
      <c r="B1293" s="21"/>
      <c r="C1293" s="21"/>
      <c r="D1293" s="21"/>
    </row>
    <row r="1294" spans="2:4" x14ac:dyDescent="0.25">
      <c r="B1294" s="21"/>
      <c r="C1294" s="21"/>
      <c r="D1294" s="21"/>
    </row>
    <row r="1295" spans="2:4" x14ac:dyDescent="0.25">
      <c r="B1295" s="21"/>
      <c r="C1295" s="21"/>
      <c r="D1295" s="21"/>
    </row>
    <row r="1296" spans="2:4" x14ac:dyDescent="0.25">
      <c r="B1296" s="21"/>
      <c r="C1296" s="21"/>
      <c r="D1296" s="21"/>
    </row>
    <row r="1297" spans="2:4" x14ac:dyDescent="0.25">
      <c r="B1297" s="21"/>
      <c r="C1297" s="21"/>
      <c r="D1297" s="21"/>
    </row>
    <row r="1298" spans="2:4" x14ac:dyDescent="0.25">
      <c r="B1298" s="21"/>
      <c r="C1298" s="21"/>
      <c r="D1298" s="21"/>
    </row>
    <row r="1299" spans="2:4" x14ac:dyDescent="0.25">
      <c r="B1299" s="21"/>
      <c r="C1299" s="21"/>
      <c r="D1299" s="21"/>
    </row>
    <row r="1300" spans="2:4" x14ac:dyDescent="0.25">
      <c r="B1300" s="21"/>
      <c r="C1300" s="21"/>
      <c r="D1300" s="21"/>
    </row>
    <row r="1301" spans="2:4" x14ac:dyDescent="0.25">
      <c r="B1301" s="21"/>
      <c r="C1301" s="21"/>
      <c r="D1301" s="21"/>
    </row>
    <row r="1302" spans="2:4" x14ac:dyDescent="0.25">
      <c r="B1302" s="21"/>
      <c r="C1302" s="21"/>
      <c r="D1302" s="21"/>
    </row>
    <row r="1303" spans="2:4" x14ac:dyDescent="0.25">
      <c r="B1303" s="21"/>
      <c r="C1303" s="21"/>
      <c r="D1303" s="21"/>
    </row>
    <row r="1304" spans="2:4" x14ac:dyDescent="0.25">
      <c r="B1304" s="21"/>
      <c r="C1304" s="21"/>
      <c r="D1304" s="21"/>
    </row>
    <row r="1305" spans="2:4" x14ac:dyDescent="0.25">
      <c r="B1305" s="21"/>
      <c r="C1305" s="21"/>
      <c r="D1305" s="21"/>
    </row>
    <row r="1306" spans="2:4" x14ac:dyDescent="0.25">
      <c r="B1306" s="21"/>
      <c r="C1306" s="21"/>
      <c r="D1306" s="21"/>
    </row>
    <row r="1307" spans="2:4" x14ac:dyDescent="0.25">
      <c r="B1307" s="21"/>
      <c r="C1307" s="21"/>
      <c r="D1307" s="21"/>
    </row>
    <row r="1308" spans="2:4" x14ac:dyDescent="0.25">
      <c r="B1308" s="21"/>
      <c r="C1308" s="21"/>
      <c r="D1308" s="21"/>
    </row>
    <row r="1309" spans="2:4" x14ac:dyDescent="0.25">
      <c r="B1309" s="21"/>
      <c r="C1309" s="21"/>
      <c r="D1309" s="21"/>
    </row>
    <row r="1310" spans="2:4" x14ac:dyDescent="0.25">
      <c r="B1310" s="21"/>
      <c r="C1310" s="21"/>
      <c r="D1310" s="21"/>
    </row>
    <row r="1311" spans="2:4" x14ac:dyDescent="0.25">
      <c r="B1311" s="21"/>
      <c r="C1311" s="21"/>
      <c r="D1311" s="21"/>
    </row>
    <row r="1312" spans="2:4" x14ac:dyDescent="0.25">
      <c r="B1312" s="21"/>
      <c r="C1312" s="21"/>
      <c r="D1312" s="21"/>
    </row>
    <row r="1313" spans="2:4" x14ac:dyDescent="0.25">
      <c r="B1313" s="21"/>
      <c r="C1313" s="21"/>
      <c r="D1313" s="21"/>
    </row>
    <row r="1314" spans="2:4" x14ac:dyDescent="0.25">
      <c r="B1314" s="21"/>
      <c r="C1314" s="21"/>
      <c r="D1314" s="21"/>
    </row>
    <row r="1315" spans="2:4" x14ac:dyDescent="0.25">
      <c r="B1315" s="21"/>
      <c r="C1315" s="21"/>
      <c r="D1315" s="21"/>
    </row>
    <row r="1316" spans="2:4" x14ac:dyDescent="0.25">
      <c r="B1316" s="21"/>
      <c r="C1316" s="21"/>
      <c r="D1316" s="21"/>
    </row>
    <row r="1317" spans="2:4" x14ac:dyDescent="0.25">
      <c r="B1317" s="21"/>
      <c r="C1317" s="21"/>
      <c r="D1317" s="21"/>
    </row>
    <row r="1318" spans="2:4" x14ac:dyDescent="0.25">
      <c r="B1318" s="21"/>
      <c r="C1318" s="21"/>
      <c r="D1318" s="21"/>
    </row>
    <row r="1319" spans="2:4" x14ac:dyDescent="0.25">
      <c r="B1319" s="21"/>
      <c r="C1319" s="21"/>
      <c r="D1319" s="21"/>
    </row>
    <row r="1320" spans="2:4" x14ac:dyDescent="0.25">
      <c r="B1320" s="21"/>
      <c r="C1320" s="21"/>
      <c r="D1320" s="21"/>
    </row>
    <row r="1321" spans="2:4" x14ac:dyDescent="0.25">
      <c r="B1321" s="21"/>
      <c r="C1321" s="21"/>
      <c r="D1321" s="21"/>
    </row>
    <row r="1322" spans="2:4" x14ac:dyDescent="0.25">
      <c r="B1322" s="21"/>
      <c r="C1322" s="21"/>
      <c r="D1322" s="21"/>
    </row>
    <row r="1323" spans="2:4" x14ac:dyDescent="0.25">
      <c r="B1323" s="21"/>
      <c r="C1323" s="21"/>
      <c r="D1323" s="21"/>
    </row>
    <row r="1324" spans="2:4" x14ac:dyDescent="0.25">
      <c r="B1324" s="21"/>
      <c r="C1324" s="21"/>
      <c r="D1324" s="21"/>
    </row>
    <row r="1325" spans="2:4" x14ac:dyDescent="0.25">
      <c r="B1325" s="21"/>
      <c r="C1325" s="21"/>
      <c r="D1325" s="21"/>
    </row>
    <row r="1326" spans="2:4" x14ac:dyDescent="0.25">
      <c r="B1326" s="21"/>
      <c r="C1326" s="21"/>
      <c r="D1326" s="21"/>
    </row>
    <row r="1327" spans="2:4" x14ac:dyDescent="0.25">
      <c r="B1327" s="21"/>
      <c r="C1327" s="21"/>
      <c r="D1327" s="21"/>
    </row>
    <row r="1328" spans="2:4" x14ac:dyDescent="0.25">
      <c r="B1328" s="21"/>
      <c r="C1328" s="21"/>
      <c r="D1328" s="21"/>
    </row>
    <row r="1329" spans="2:4" x14ac:dyDescent="0.25">
      <c r="B1329" s="21"/>
      <c r="C1329" s="21"/>
      <c r="D1329" s="21"/>
    </row>
    <row r="1330" spans="2:4" x14ac:dyDescent="0.25">
      <c r="B1330" s="21"/>
      <c r="C1330" s="21"/>
      <c r="D1330" s="21"/>
    </row>
    <row r="1331" spans="2:4" x14ac:dyDescent="0.25">
      <c r="B1331" s="21"/>
      <c r="C1331" s="21"/>
      <c r="D1331" s="21"/>
    </row>
    <row r="1332" spans="2:4" x14ac:dyDescent="0.25">
      <c r="B1332" s="21"/>
      <c r="C1332" s="21"/>
      <c r="D1332" s="21"/>
    </row>
    <row r="1333" spans="2:4" x14ac:dyDescent="0.25">
      <c r="B1333" s="21"/>
      <c r="C1333" s="21"/>
      <c r="D1333" s="21"/>
    </row>
    <row r="1334" spans="2:4" x14ac:dyDescent="0.25">
      <c r="B1334" s="21"/>
      <c r="C1334" s="21"/>
      <c r="D1334" s="21"/>
    </row>
    <row r="1335" spans="2:4" x14ac:dyDescent="0.25">
      <c r="B1335" s="21"/>
      <c r="C1335" s="21"/>
      <c r="D1335" s="21"/>
    </row>
    <row r="1336" spans="2:4" x14ac:dyDescent="0.25">
      <c r="B1336" s="21"/>
      <c r="C1336" s="21"/>
      <c r="D1336" s="21"/>
    </row>
    <row r="1337" spans="2:4" x14ac:dyDescent="0.25">
      <c r="B1337" s="21"/>
      <c r="C1337" s="21"/>
      <c r="D1337" s="21"/>
    </row>
    <row r="1338" spans="2:4" x14ac:dyDescent="0.25">
      <c r="B1338" s="21"/>
      <c r="C1338" s="21"/>
      <c r="D1338" s="21"/>
    </row>
    <row r="1339" spans="2:4" x14ac:dyDescent="0.25">
      <c r="B1339" s="21"/>
      <c r="C1339" s="21"/>
      <c r="D1339" s="21"/>
    </row>
    <row r="1340" spans="2:4" x14ac:dyDescent="0.25">
      <c r="B1340" s="21"/>
      <c r="C1340" s="21"/>
      <c r="D1340" s="21"/>
    </row>
    <row r="1341" spans="2:4" x14ac:dyDescent="0.25">
      <c r="B1341" s="21"/>
      <c r="C1341" s="21"/>
      <c r="D1341" s="21"/>
    </row>
    <row r="1342" spans="2:4" x14ac:dyDescent="0.25">
      <c r="B1342" s="21"/>
      <c r="C1342" s="21"/>
      <c r="D1342" s="21"/>
    </row>
    <row r="1343" spans="2:4" x14ac:dyDescent="0.25">
      <c r="B1343" s="21"/>
      <c r="C1343" s="21"/>
      <c r="D1343" s="21"/>
    </row>
    <row r="1344" spans="2:4" x14ac:dyDescent="0.25">
      <c r="B1344" s="21"/>
      <c r="C1344" s="21"/>
      <c r="D1344" s="21"/>
    </row>
    <row r="1345" spans="2:4" x14ac:dyDescent="0.25">
      <c r="B1345" s="21"/>
      <c r="C1345" s="21"/>
      <c r="D1345" s="21"/>
    </row>
    <row r="1346" spans="2:4" x14ac:dyDescent="0.25">
      <c r="B1346" s="21"/>
      <c r="C1346" s="21"/>
      <c r="D1346" s="21"/>
    </row>
    <row r="1347" spans="2:4" x14ac:dyDescent="0.25">
      <c r="B1347" s="21"/>
      <c r="C1347" s="21"/>
      <c r="D1347" s="21"/>
    </row>
    <row r="1348" spans="2:4" x14ac:dyDescent="0.25">
      <c r="B1348" s="21"/>
      <c r="C1348" s="21"/>
      <c r="D1348" s="21"/>
    </row>
    <row r="1349" spans="2:4" x14ac:dyDescent="0.25">
      <c r="B1349" s="21"/>
      <c r="C1349" s="21"/>
      <c r="D1349" s="21"/>
    </row>
    <row r="1350" spans="2:4" x14ac:dyDescent="0.25">
      <c r="B1350" s="21"/>
      <c r="C1350" s="21"/>
      <c r="D1350" s="21"/>
    </row>
    <row r="1351" spans="2:4" x14ac:dyDescent="0.25">
      <c r="B1351" s="21"/>
      <c r="C1351" s="21"/>
      <c r="D1351" s="21"/>
    </row>
    <row r="1352" spans="2:4" x14ac:dyDescent="0.25">
      <c r="B1352" s="21"/>
      <c r="C1352" s="21"/>
      <c r="D1352" s="21"/>
    </row>
    <row r="1353" spans="2:4" x14ac:dyDescent="0.25">
      <c r="B1353" s="21"/>
      <c r="C1353" s="21"/>
      <c r="D1353" s="21"/>
    </row>
    <row r="1354" spans="2:4" x14ac:dyDescent="0.25">
      <c r="B1354" s="21"/>
      <c r="C1354" s="21"/>
      <c r="D1354" s="21"/>
    </row>
    <row r="1355" spans="2:4" x14ac:dyDescent="0.25">
      <c r="B1355" s="21"/>
      <c r="C1355" s="21"/>
      <c r="D1355" s="21"/>
    </row>
    <row r="1356" spans="2:4" x14ac:dyDescent="0.25">
      <c r="B1356" s="21"/>
      <c r="C1356" s="21"/>
      <c r="D1356" s="21"/>
    </row>
    <row r="1357" spans="2:4" x14ac:dyDescent="0.25">
      <c r="B1357" s="21"/>
      <c r="C1357" s="21"/>
      <c r="D1357" s="21"/>
    </row>
    <row r="1358" spans="2:4" x14ac:dyDescent="0.25">
      <c r="B1358" s="21"/>
      <c r="C1358" s="21"/>
      <c r="D1358" s="21"/>
    </row>
    <row r="1359" spans="2:4" x14ac:dyDescent="0.25">
      <c r="B1359" s="21"/>
      <c r="C1359" s="21"/>
      <c r="D1359" s="21"/>
    </row>
    <row r="1360" spans="2:4" x14ac:dyDescent="0.25">
      <c r="B1360" s="21"/>
      <c r="C1360" s="21"/>
      <c r="D1360" s="21"/>
    </row>
    <row r="1361" spans="2:4" x14ac:dyDescent="0.25">
      <c r="B1361" s="21"/>
      <c r="C1361" s="21"/>
      <c r="D1361" s="21"/>
    </row>
    <row r="1362" spans="2:4" x14ac:dyDescent="0.25">
      <c r="B1362" s="21"/>
      <c r="C1362" s="21"/>
      <c r="D1362" s="21"/>
    </row>
    <row r="1363" spans="2:4" x14ac:dyDescent="0.25">
      <c r="B1363" s="21"/>
      <c r="C1363" s="21"/>
      <c r="D1363" s="21"/>
    </row>
    <row r="1364" spans="2:4" x14ac:dyDescent="0.25">
      <c r="B1364" s="21"/>
      <c r="C1364" s="21"/>
      <c r="D1364" s="21"/>
    </row>
    <row r="1365" spans="2:4" x14ac:dyDescent="0.25">
      <c r="B1365" s="21"/>
      <c r="C1365" s="21"/>
      <c r="D1365" s="21"/>
    </row>
    <row r="1366" spans="2:4" x14ac:dyDescent="0.25">
      <c r="B1366" s="21"/>
      <c r="C1366" s="21"/>
      <c r="D1366" s="21"/>
    </row>
    <row r="1367" spans="2:4" x14ac:dyDescent="0.25">
      <c r="B1367" s="21"/>
      <c r="C1367" s="21"/>
      <c r="D1367" s="21"/>
    </row>
    <row r="1368" spans="2:4" x14ac:dyDescent="0.25">
      <c r="B1368" s="21"/>
      <c r="C1368" s="21"/>
      <c r="D1368" s="21"/>
    </row>
    <row r="1369" spans="2:4" x14ac:dyDescent="0.25">
      <c r="B1369" s="21"/>
      <c r="C1369" s="21"/>
      <c r="D1369" s="21"/>
    </row>
    <row r="1370" spans="2:4" x14ac:dyDescent="0.25">
      <c r="B1370" s="21"/>
      <c r="C1370" s="21"/>
      <c r="D1370" s="21"/>
    </row>
    <row r="1371" spans="2:4" x14ac:dyDescent="0.25">
      <c r="B1371" s="21"/>
      <c r="C1371" s="21"/>
      <c r="D1371" s="21"/>
    </row>
    <row r="1372" spans="2:4" x14ac:dyDescent="0.25">
      <c r="B1372" s="21"/>
      <c r="C1372" s="21"/>
      <c r="D1372" s="21"/>
    </row>
    <row r="1373" spans="2:4" x14ac:dyDescent="0.25">
      <c r="B1373" s="21"/>
      <c r="C1373" s="21"/>
      <c r="D1373" s="21"/>
    </row>
    <row r="1374" spans="2:4" x14ac:dyDescent="0.25">
      <c r="B1374" s="21"/>
      <c r="C1374" s="21"/>
      <c r="D1374" s="21"/>
    </row>
    <row r="1375" spans="2:4" x14ac:dyDescent="0.25">
      <c r="B1375" s="21"/>
      <c r="C1375" s="21"/>
      <c r="D1375" s="21"/>
    </row>
    <row r="1376" spans="2:4" x14ac:dyDescent="0.25">
      <c r="B1376" s="21"/>
      <c r="C1376" s="21"/>
      <c r="D1376" s="21"/>
    </row>
    <row r="1377" spans="2:4" x14ac:dyDescent="0.25">
      <c r="B1377" s="21"/>
      <c r="C1377" s="21"/>
      <c r="D1377" s="21"/>
    </row>
    <row r="1378" spans="2:4" x14ac:dyDescent="0.25">
      <c r="B1378" s="21"/>
      <c r="C1378" s="21"/>
      <c r="D1378" s="21"/>
    </row>
    <row r="1379" spans="2:4" x14ac:dyDescent="0.25">
      <c r="B1379" s="21"/>
      <c r="C1379" s="21"/>
      <c r="D1379" s="21"/>
    </row>
    <row r="1380" spans="2:4" x14ac:dyDescent="0.25">
      <c r="B1380" s="21"/>
      <c r="C1380" s="21"/>
      <c r="D1380" s="21"/>
    </row>
    <row r="1381" spans="2:4" x14ac:dyDescent="0.25">
      <c r="B1381" s="21"/>
      <c r="C1381" s="21"/>
      <c r="D1381" s="21"/>
    </row>
    <row r="1382" spans="2:4" x14ac:dyDescent="0.25">
      <c r="B1382" s="21"/>
      <c r="C1382" s="21"/>
      <c r="D1382" s="21"/>
    </row>
    <row r="1383" spans="2:4" x14ac:dyDescent="0.25">
      <c r="B1383" s="21"/>
      <c r="C1383" s="21"/>
      <c r="D1383" s="21"/>
    </row>
    <row r="1384" spans="2:4" x14ac:dyDescent="0.25">
      <c r="B1384" s="21"/>
      <c r="C1384" s="21"/>
      <c r="D1384" s="21"/>
    </row>
    <row r="1385" spans="2:4" x14ac:dyDescent="0.25">
      <c r="B1385" s="21"/>
      <c r="C1385" s="21"/>
      <c r="D1385" s="21"/>
    </row>
    <row r="1386" spans="2:4" x14ac:dyDescent="0.25">
      <c r="B1386" s="21"/>
      <c r="C1386" s="21"/>
      <c r="D1386" s="21"/>
    </row>
    <row r="1387" spans="2:4" x14ac:dyDescent="0.25">
      <c r="B1387" s="21"/>
      <c r="C1387" s="21"/>
      <c r="D1387" s="21"/>
    </row>
    <row r="1388" spans="2:4" x14ac:dyDescent="0.25">
      <c r="B1388" s="21"/>
      <c r="C1388" s="21"/>
      <c r="D1388" s="21"/>
    </row>
    <row r="1389" spans="2:4" x14ac:dyDescent="0.25">
      <c r="B1389" s="21"/>
      <c r="C1389" s="21"/>
      <c r="D1389" s="21"/>
    </row>
    <row r="1390" spans="2:4" x14ac:dyDescent="0.25">
      <c r="B1390" s="21"/>
      <c r="C1390" s="21"/>
      <c r="D1390" s="21"/>
    </row>
    <row r="1391" spans="2:4" x14ac:dyDescent="0.25">
      <c r="B1391" s="21"/>
      <c r="C1391" s="21"/>
      <c r="D1391" s="21"/>
    </row>
    <row r="1392" spans="2:4" x14ac:dyDescent="0.25">
      <c r="B1392" s="21"/>
      <c r="C1392" s="21"/>
      <c r="D1392" s="21"/>
    </row>
    <row r="1393" spans="2:4" x14ac:dyDescent="0.25">
      <c r="B1393" s="21"/>
      <c r="C1393" s="21"/>
      <c r="D1393" s="21"/>
    </row>
    <row r="1394" spans="2:4" x14ac:dyDescent="0.25">
      <c r="B1394" s="21"/>
      <c r="C1394" s="21"/>
      <c r="D1394" s="21"/>
    </row>
    <row r="1395" spans="2:4" x14ac:dyDescent="0.25">
      <c r="B1395" s="21"/>
      <c r="C1395" s="21"/>
      <c r="D1395" s="21"/>
    </row>
    <row r="1396" spans="2:4" x14ac:dyDescent="0.25">
      <c r="B1396" s="21"/>
      <c r="C1396" s="21"/>
      <c r="D1396" s="21"/>
    </row>
    <row r="1397" spans="2:4" x14ac:dyDescent="0.25">
      <c r="B1397" s="21"/>
      <c r="C1397" s="21"/>
      <c r="D1397" s="21"/>
    </row>
    <row r="1398" spans="2:4" x14ac:dyDescent="0.25">
      <c r="B1398" s="21"/>
      <c r="C1398" s="21"/>
      <c r="D1398" s="21"/>
    </row>
    <row r="1399" spans="2:4" x14ac:dyDescent="0.25">
      <c r="B1399" s="21"/>
      <c r="C1399" s="21"/>
      <c r="D1399" s="21"/>
    </row>
    <row r="1400" spans="2:4" x14ac:dyDescent="0.25">
      <c r="B1400" s="21"/>
      <c r="C1400" s="21"/>
      <c r="D1400" s="21"/>
    </row>
    <row r="1401" spans="2:4" x14ac:dyDescent="0.25">
      <c r="B1401" s="21"/>
      <c r="C1401" s="21"/>
      <c r="D1401" s="21"/>
    </row>
    <row r="1402" spans="2:4" x14ac:dyDescent="0.25">
      <c r="B1402" s="21"/>
      <c r="C1402" s="21"/>
      <c r="D1402" s="21"/>
    </row>
    <row r="1403" spans="2:4" x14ac:dyDescent="0.25">
      <c r="B1403" s="21"/>
      <c r="C1403" s="21"/>
      <c r="D1403" s="21"/>
    </row>
    <row r="1404" spans="2:4" x14ac:dyDescent="0.25">
      <c r="B1404" s="21"/>
      <c r="C1404" s="21"/>
      <c r="D1404" s="21"/>
    </row>
    <row r="1405" spans="2:4" x14ac:dyDescent="0.25">
      <c r="B1405" s="21"/>
      <c r="C1405" s="21"/>
      <c r="D1405" s="21"/>
    </row>
    <row r="1406" spans="2:4" x14ac:dyDescent="0.25">
      <c r="B1406" s="21"/>
      <c r="C1406" s="21"/>
      <c r="D1406" s="21"/>
    </row>
    <row r="1407" spans="2:4" x14ac:dyDescent="0.25">
      <c r="B1407" s="21"/>
      <c r="C1407" s="21"/>
      <c r="D1407" s="21"/>
    </row>
    <row r="1408" spans="2:4" x14ac:dyDescent="0.25">
      <c r="B1408" s="21"/>
      <c r="C1408" s="21"/>
      <c r="D1408" s="21"/>
    </row>
    <row r="1409" spans="2:4" x14ac:dyDescent="0.25">
      <c r="B1409" s="21"/>
      <c r="C1409" s="21"/>
      <c r="D1409" s="21"/>
    </row>
    <row r="1410" spans="2:4" x14ac:dyDescent="0.25">
      <c r="B1410" s="21"/>
      <c r="C1410" s="21"/>
      <c r="D1410" s="21"/>
    </row>
    <row r="1411" spans="2:4" x14ac:dyDescent="0.25">
      <c r="B1411" s="21"/>
      <c r="C1411" s="21"/>
      <c r="D1411" s="21"/>
    </row>
    <row r="1412" spans="2:4" x14ac:dyDescent="0.25">
      <c r="B1412" s="21"/>
      <c r="C1412" s="21"/>
      <c r="D1412" s="21"/>
    </row>
    <row r="1413" spans="2:4" x14ac:dyDescent="0.25">
      <c r="B1413" s="21"/>
      <c r="C1413" s="21"/>
      <c r="D1413" s="21"/>
    </row>
    <row r="1414" spans="2:4" x14ac:dyDescent="0.25">
      <c r="B1414" s="21"/>
      <c r="C1414" s="21"/>
      <c r="D1414" s="21"/>
    </row>
    <row r="1415" spans="2:4" x14ac:dyDescent="0.25">
      <c r="B1415" s="21"/>
      <c r="C1415" s="21"/>
      <c r="D1415" s="21"/>
    </row>
    <row r="1416" spans="2:4" x14ac:dyDescent="0.25">
      <c r="B1416" s="21"/>
      <c r="C1416" s="21"/>
      <c r="D1416" s="21"/>
    </row>
    <row r="1417" spans="2:4" x14ac:dyDescent="0.25">
      <c r="B1417" s="21"/>
      <c r="C1417" s="21"/>
      <c r="D1417" s="21"/>
    </row>
    <row r="1418" spans="2:4" x14ac:dyDescent="0.25">
      <c r="B1418" s="21"/>
      <c r="C1418" s="21"/>
      <c r="D1418" s="21"/>
    </row>
    <row r="1419" spans="2:4" x14ac:dyDescent="0.25">
      <c r="B1419" s="21"/>
      <c r="C1419" s="21"/>
      <c r="D1419" s="21"/>
    </row>
    <row r="1420" spans="2:4" x14ac:dyDescent="0.25">
      <c r="B1420" s="21"/>
      <c r="C1420" s="21"/>
      <c r="D1420" s="21"/>
    </row>
    <row r="1421" spans="2:4" x14ac:dyDescent="0.25">
      <c r="B1421" s="21"/>
      <c r="C1421" s="21"/>
      <c r="D1421" s="21"/>
    </row>
    <row r="1422" spans="2:4" x14ac:dyDescent="0.25">
      <c r="B1422" s="21"/>
      <c r="C1422" s="21"/>
      <c r="D1422" s="21"/>
    </row>
    <row r="1423" spans="2:4" x14ac:dyDescent="0.25">
      <c r="B1423" s="21"/>
      <c r="C1423" s="21"/>
      <c r="D1423" s="21"/>
    </row>
    <row r="1424" spans="2:4" x14ac:dyDescent="0.25">
      <c r="B1424" s="21"/>
      <c r="C1424" s="21"/>
      <c r="D1424" s="21"/>
    </row>
    <row r="1425" spans="2:4" x14ac:dyDescent="0.25">
      <c r="B1425" s="21"/>
      <c r="C1425" s="21"/>
      <c r="D1425" s="21"/>
    </row>
    <row r="1426" spans="2:4" x14ac:dyDescent="0.25">
      <c r="B1426" s="21"/>
      <c r="C1426" s="21"/>
      <c r="D1426" s="21"/>
    </row>
    <row r="1427" spans="2:4" x14ac:dyDescent="0.25">
      <c r="B1427" s="21"/>
      <c r="C1427" s="21"/>
      <c r="D1427" s="21"/>
    </row>
    <row r="1428" spans="2:4" x14ac:dyDescent="0.25">
      <c r="B1428" s="21"/>
      <c r="C1428" s="21"/>
      <c r="D1428" s="21"/>
    </row>
    <row r="1429" spans="2:4" x14ac:dyDescent="0.25">
      <c r="B1429" s="21"/>
      <c r="C1429" s="21"/>
      <c r="D1429" s="21"/>
    </row>
    <row r="1430" spans="2:4" x14ac:dyDescent="0.25">
      <c r="B1430" s="21"/>
      <c r="C1430" s="21"/>
      <c r="D1430" s="21"/>
    </row>
    <row r="1431" spans="2:4" x14ac:dyDescent="0.25">
      <c r="B1431" s="21"/>
      <c r="C1431" s="21"/>
      <c r="D1431" s="21"/>
    </row>
    <row r="1432" spans="2:4" x14ac:dyDescent="0.25">
      <c r="B1432" s="21"/>
      <c r="C1432" s="21"/>
      <c r="D1432" s="21"/>
    </row>
    <row r="1433" spans="2:4" x14ac:dyDescent="0.25">
      <c r="B1433" s="21"/>
      <c r="C1433" s="21"/>
      <c r="D1433" s="21"/>
    </row>
    <row r="1434" spans="2:4" x14ac:dyDescent="0.25">
      <c r="B1434" s="21"/>
      <c r="C1434" s="21"/>
      <c r="D1434" s="21"/>
    </row>
    <row r="1435" spans="2:4" x14ac:dyDescent="0.25">
      <c r="B1435" s="21"/>
      <c r="C1435" s="21"/>
      <c r="D1435" s="21"/>
    </row>
    <row r="1436" spans="2:4" x14ac:dyDescent="0.25">
      <c r="B1436" s="21"/>
      <c r="C1436" s="21"/>
      <c r="D1436" s="21"/>
    </row>
    <row r="1437" spans="2:4" x14ac:dyDescent="0.25">
      <c r="B1437" s="21"/>
      <c r="C1437" s="21"/>
      <c r="D1437" s="21"/>
    </row>
    <row r="1438" spans="2:4" x14ac:dyDescent="0.25">
      <c r="B1438" s="21"/>
      <c r="C1438" s="21"/>
      <c r="D1438" s="21"/>
    </row>
    <row r="1439" spans="2:4" x14ac:dyDescent="0.25">
      <c r="B1439" s="21"/>
      <c r="C1439" s="21"/>
      <c r="D1439" s="21"/>
    </row>
    <row r="1440" spans="2:4" x14ac:dyDescent="0.25">
      <c r="B1440" s="21"/>
      <c r="C1440" s="21"/>
      <c r="D1440" s="21"/>
    </row>
    <row r="1441" spans="2:4" x14ac:dyDescent="0.25">
      <c r="B1441" s="21"/>
      <c r="C1441" s="21"/>
      <c r="D1441" s="21"/>
    </row>
    <row r="1442" spans="2:4" x14ac:dyDescent="0.25">
      <c r="B1442" s="21"/>
      <c r="C1442" s="21"/>
      <c r="D1442" s="21"/>
    </row>
    <row r="1443" spans="2:4" x14ac:dyDescent="0.25">
      <c r="B1443" s="21"/>
      <c r="C1443" s="21"/>
      <c r="D1443" s="21"/>
    </row>
    <row r="1444" spans="2:4" x14ac:dyDescent="0.25">
      <c r="B1444" s="21"/>
      <c r="C1444" s="21"/>
      <c r="D1444" s="21"/>
    </row>
    <row r="1445" spans="2:4" x14ac:dyDescent="0.25">
      <c r="B1445" s="21"/>
      <c r="C1445" s="21"/>
      <c r="D1445" s="21"/>
    </row>
    <row r="1446" spans="2:4" x14ac:dyDescent="0.25">
      <c r="B1446" s="21"/>
      <c r="C1446" s="21"/>
      <c r="D1446" s="21"/>
    </row>
    <row r="1447" spans="2:4" x14ac:dyDescent="0.25">
      <c r="B1447" s="21"/>
      <c r="C1447" s="21"/>
      <c r="D1447" s="21"/>
    </row>
    <row r="1448" spans="2:4" x14ac:dyDescent="0.25">
      <c r="B1448" s="21"/>
      <c r="C1448" s="21"/>
      <c r="D1448" s="21"/>
    </row>
    <row r="1449" spans="2:4" x14ac:dyDescent="0.25">
      <c r="B1449" s="21"/>
      <c r="C1449" s="21"/>
      <c r="D1449" s="21"/>
    </row>
    <row r="1450" spans="2:4" x14ac:dyDescent="0.25">
      <c r="B1450" s="21"/>
      <c r="C1450" s="21"/>
      <c r="D1450" s="21"/>
    </row>
    <row r="1451" spans="2:4" x14ac:dyDescent="0.25">
      <c r="B1451" s="21"/>
      <c r="C1451" s="21"/>
      <c r="D1451" s="21"/>
    </row>
    <row r="1452" spans="2:4" x14ac:dyDescent="0.25">
      <c r="B1452" s="21"/>
      <c r="C1452" s="21"/>
      <c r="D1452" s="21"/>
    </row>
    <row r="1453" spans="2:4" x14ac:dyDescent="0.25">
      <c r="B1453" s="21"/>
      <c r="C1453" s="21"/>
      <c r="D1453" s="21"/>
    </row>
    <row r="1454" spans="2:4" x14ac:dyDescent="0.25">
      <c r="B1454" s="21"/>
      <c r="C1454" s="21"/>
      <c r="D1454" s="21"/>
    </row>
    <row r="1455" spans="2:4" x14ac:dyDescent="0.25">
      <c r="B1455" s="21"/>
      <c r="C1455" s="21"/>
      <c r="D1455" s="21"/>
    </row>
    <row r="1456" spans="2:4" x14ac:dyDescent="0.25">
      <c r="B1456" s="21"/>
      <c r="C1456" s="21"/>
      <c r="D1456" s="21"/>
    </row>
    <row r="1457" spans="2:4" x14ac:dyDescent="0.25">
      <c r="B1457" s="21"/>
      <c r="C1457" s="21"/>
      <c r="D1457" s="21"/>
    </row>
    <row r="1458" spans="2:4" x14ac:dyDescent="0.25">
      <c r="B1458" s="21"/>
      <c r="C1458" s="21"/>
      <c r="D1458" s="21"/>
    </row>
    <row r="1459" spans="2:4" x14ac:dyDescent="0.25">
      <c r="B1459" s="21"/>
      <c r="C1459" s="21"/>
      <c r="D1459" s="21"/>
    </row>
    <row r="1460" spans="2:4" x14ac:dyDescent="0.25">
      <c r="B1460" s="21"/>
      <c r="C1460" s="21"/>
      <c r="D1460" s="21"/>
    </row>
    <row r="1461" spans="2:4" x14ac:dyDescent="0.25">
      <c r="B1461" s="21"/>
      <c r="C1461" s="21"/>
      <c r="D1461" s="21"/>
    </row>
    <row r="1462" spans="2:4" x14ac:dyDescent="0.25">
      <c r="B1462" s="21"/>
      <c r="C1462" s="21"/>
      <c r="D1462" s="21"/>
    </row>
    <row r="1463" spans="2:4" x14ac:dyDescent="0.25">
      <c r="B1463" s="21"/>
      <c r="C1463" s="21"/>
      <c r="D1463" s="21"/>
    </row>
    <row r="1464" spans="2:4" x14ac:dyDescent="0.25">
      <c r="B1464" s="21"/>
      <c r="C1464" s="21"/>
      <c r="D1464" s="21"/>
    </row>
    <row r="1465" spans="2:4" x14ac:dyDescent="0.25">
      <c r="B1465" s="21"/>
      <c r="C1465" s="21"/>
      <c r="D1465" s="21"/>
    </row>
    <row r="1466" spans="2:4" x14ac:dyDescent="0.25">
      <c r="B1466" s="21"/>
      <c r="C1466" s="21"/>
      <c r="D1466" s="21"/>
    </row>
    <row r="1467" spans="2:4" x14ac:dyDescent="0.25">
      <c r="B1467" s="21"/>
      <c r="C1467" s="21"/>
      <c r="D1467" s="21"/>
    </row>
    <row r="1468" spans="2:4" x14ac:dyDescent="0.25">
      <c r="B1468" s="21"/>
      <c r="C1468" s="21"/>
      <c r="D1468" s="21"/>
    </row>
    <row r="1469" spans="2:4" x14ac:dyDescent="0.25">
      <c r="B1469" s="21"/>
      <c r="C1469" s="21"/>
      <c r="D1469" s="21"/>
    </row>
    <row r="1470" spans="2:4" x14ac:dyDescent="0.25">
      <c r="B1470" s="21"/>
      <c r="C1470" s="21"/>
      <c r="D1470" s="21"/>
    </row>
    <row r="1471" spans="2:4" x14ac:dyDescent="0.25">
      <c r="B1471" s="21"/>
      <c r="C1471" s="21"/>
      <c r="D1471" s="21"/>
    </row>
    <row r="1472" spans="2:4" x14ac:dyDescent="0.25">
      <c r="B1472" s="21"/>
      <c r="C1472" s="21"/>
      <c r="D1472" s="21"/>
    </row>
    <row r="1473" spans="2:4" x14ac:dyDescent="0.25">
      <c r="B1473" s="21"/>
      <c r="C1473" s="21"/>
      <c r="D1473" s="21"/>
    </row>
    <row r="1474" spans="2:4" x14ac:dyDescent="0.25">
      <c r="B1474" s="21"/>
      <c r="C1474" s="21"/>
      <c r="D1474" s="21"/>
    </row>
    <row r="1475" spans="2:4" x14ac:dyDescent="0.25">
      <c r="B1475" s="21"/>
      <c r="C1475" s="21"/>
      <c r="D1475" s="21"/>
    </row>
    <row r="1476" spans="2:4" x14ac:dyDescent="0.25">
      <c r="B1476" s="21"/>
      <c r="C1476" s="21"/>
      <c r="D1476" s="21"/>
    </row>
    <row r="1477" spans="2:4" x14ac:dyDescent="0.25">
      <c r="B1477" s="21"/>
      <c r="C1477" s="21"/>
      <c r="D1477" s="21"/>
    </row>
    <row r="1478" spans="2:4" x14ac:dyDescent="0.25">
      <c r="B1478" s="21"/>
      <c r="C1478" s="21"/>
      <c r="D1478" s="21"/>
    </row>
    <row r="1479" spans="2:4" x14ac:dyDescent="0.25">
      <c r="B1479" s="21"/>
      <c r="C1479" s="21"/>
      <c r="D1479" s="21"/>
    </row>
    <row r="1480" spans="2:4" x14ac:dyDescent="0.25">
      <c r="B1480" s="21"/>
      <c r="C1480" s="21"/>
      <c r="D1480" s="21"/>
    </row>
    <row r="1481" spans="2:4" x14ac:dyDescent="0.25">
      <c r="B1481" s="21"/>
      <c r="C1481" s="21"/>
      <c r="D1481" s="21"/>
    </row>
    <row r="1482" spans="2:4" x14ac:dyDescent="0.25">
      <c r="B1482" s="21"/>
      <c r="C1482" s="21"/>
      <c r="D1482" s="21"/>
    </row>
    <row r="1483" spans="2:4" x14ac:dyDescent="0.25">
      <c r="B1483" s="21"/>
      <c r="C1483" s="21"/>
      <c r="D1483" s="21"/>
    </row>
    <row r="1484" spans="2:4" x14ac:dyDescent="0.25">
      <c r="B1484" s="21"/>
      <c r="C1484" s="21"/>
      <c r="D1484" s="21"/>
    </row>
    <row r="1485" spans="2:4" x14ac:dyDescent="0.25">
      <c r="B1485" s="21"/>
      <c r="C1485" s="21"/>
      <c r="D1485" s="21"/>
    </row>
    <row r="1486" spans="2:4" x14ac:dyDescent="0.25">
      <c r="B1486" s="21"/>
      <c r="C1486" s="21"/>
      <c r="D1486" s="21"/>
    </row>
    <row r="1487" spans="2:4" x14ac:dyDescent="0.25">
      <c r="B1487" s="21"/>
      <c r="C1487" s="21"/>
      <c r="D1487" s="21"/>
    </row>
    <row r="1488" spans="2:4" x14ac:dyDescent="0.25">
      <c r="B1488" s="21"/>
      <c r="C1488" s="21"/>
      <c r="D1488" s="21"/>
    </row>
    <row r="1489" spans="2:4" x14ac:dyDescent="0.25">
      <c r="B1489" s="21"/>
      <c r="C1489" s="21"/>
      <c r="D1489" s="21"/>
    </row>
    <row r="1490" spans="2:4" x14ac:dyDescent="0.25">
      <c r="B1490" s="21"/>
      <c r="C1490" s="21"/>
      <c r="D1490" s="21"/>
    </row>
    <row r="1491" spans="2:4" x14ac:dyDescent="0.25">
      <c r="B1491" s="21"/>
      <c r="C1491" s="21"/>
      <c r="D1491" s="21"/>
    </row>
    <row r="1492" spans="2:4" x14ac:dyDescent="0.25">
      <c r="B1492" s="21"/>
      <c r="C1492" s="21"/>
      <c r="D1492" s="21"/>
    </row>
    <row r="1493" spans="2:4" x14ac:dyDescent="0.25">
      <c r="B1493" s="21"/>
      <c r="C1493" s="21"/>
      <c r="D1493" s="21"/>
    </row>
    <row r="1494" spans="2:4" x14ac:dyDescent="0.25">
      <c r="B1494" s="21"/>
      <c r="C1494" s="21"/>
      <c r="D1494" s="21"/>
    </row>
    <row r="1495" spans="2:4" x14ac:dyDescent="0.25">
      <c r="B1495" s="21"/>
      <c r="C1495" s="21"/>
      <c r="D1495" s="21"/>
    </row>
    <row r="1496" spans="2:4" x14ac:dyDescent="0.25">
      <c r="B1496" s="21"/>
      <c r="C1496" s="21"/>
      <c r="D1496" s="21"/>
    </row>
    <row r="1497" spans="2:4" x14ac:dyDescent="0.25">
      <c r="B1497" s="21"/>
      <c r="C1497" s="21"/>
      <c r="D1497" s="21"/>
    </row>
    <row r="1498" spans="2:4" x14ac:dyDescent="0.25">
      <c r="B1498" s="21"/>
      <c r="C1498" s="21"/>
      <c r="D1498" s="21"/>
    </row>
    <row r="1499" spans="2:4" x14ac:dyDescent="0.25">
      <c r="B1499" s="21"/>
      <c r="C1499" s="21"/>
      <c r="D1499" s="21"/>
    </row>
    <row r="1500" spans="2:4" x14ac:dyDescent="0.25">
      <c r="B1500" s="21"/>
      <c r="C1500" s="21"/>
      <c r="D1500" s="21"/>
    </row>
    <row r="1501" spans="2:4" x14ac:dyDescent="0.25">
      <c r="B1501" s="21"/>
      <c r="C1501" s="21"/>
      <c r="D1501" s="21"/>
    </row>
    <row r="1502" spans="2:4" x14ac:dyDescent="0.25">
      <c r="B1502" s="21"/>
      <c r="C1502" s="21"/>
      <c r="D1502" s="21"/>
    </row>
    <row r="1503" spans="2:4" x14ac:dyDescent="0.25">
      <c r="B1503" s="21"/>
      <c r="C1503" s="21"/>
      <c r="D1503" s="21"/>
    </row>
    <row r="1504" spans="2:4" x14ac:dyDescent="0.25">
      <c r="B1504" s="21"/>
      <c r="C1504" s="21"/>
      <c r="D1504" s="21"/>
    </row>
    <row r="1505" spans="2:4" x14ac:dyDescent="0.25">
      <c r="B1505" s="21"/>
      <c r="C1505" s="21"/>
      <c r="D1505" s="21"/>
    </row>
    <row r="1506" spans="2:4" x14ac:dyDescent="0.25">
      <c r="B1506" s="21"/>
      <c r="C1506" s="21"/>
      <c r="D1506" s="21"/>
    </row>
    <row r="1507" spans="2:4" x14ac:dyDescent="0.25">
      <c r="B1507" s="21"/>
      <c r="C1507" s="21"/>
      <c r="D1507" s="21"/>
    </row>
    <row r="1508" spans="2:4" x14ac:dyDescent="0.25">
      <c r="B1508" s="21"/>
      <c r="C1508" s="21"/>
      <c r="D1508" s="21"/>
    </row>
    <row r="1509" spans="2:4" x14ac:dyDescent="0.25">
      <c r="B1509" s="21"/>
      <c r="C1509" s="21"/>
      <c r="D1509" s="21"/>
    </row>
    <row r="1510" spans="2:4" x14ac:dyDescent="0.25">
      <c r="B1510" s="21"/>
      <c r="C1510" s="21"/>
      <c r="D1510" s="21"/>
    </row>
    <row r="1511" spans="2:4" x14ac:dyDescent="0.25">
      <c r="B1511" s="21"/>
      <c r="C1511" s="21"/>
      <c r="D1511" s="21"/>
    </row>
    <row r="1512" spans="2:4" x14ac:dyDescent="0.25">
      <c r="B1512" s="21"/>
      <c r="C1512" s="21"/>
      <c r="D1512" s="21"/>
    </row>
    <row r="1513" spans="2:4" x14ac:dyDescent="0.25">
      <c r="B1513" s="21"/>
      <c r="C1513" s="21"/>
      <c r="D1513" s="21"/>
    </row>
    <row r="1514" spans="2:4" x14ac:dyDescent="0.25">
      <c r="B1514" s="21"/>
      <c r="C1514" s="21"/>
      <c r="D1514" s="21"/>
    </row>
    <row r="1515" spans="2:4" x14ac:dyDescent="0.25">
      <c r="B1515" s="21"/>
      <c r="C1515" s="21"/>
      <c r="D1515" s="21"/>
    </row>
    <row r="1516" spans="2:4" x14ac:dyDescent="0.25">
      <c r="B1516" s="21"/>
      <c r="C1516" s="21"/>
      <c r="D1516" s="21"/>
    </row>
    <row r="1517" spans="2:4" x14ac:dyDescent="0.25">
      <c r="B1517" s="21"/>
      <c r="C1517" s="21"/>
      <c r="D1517" s="21"/>
    </row>
    <row r="1518" spans="2:4" x14ac:dyDescent="0.25">
      <c r="B1518" s="21"/>
      <c r="C1518" s="21"/>
      <c r="D1518" s="21"/>
    </row>
    <row r="1519" spans="2:4" x14ac:dyDescent="0.25">
      <c r="B1519" s="21"/>
      <c r="C1519" s="21"/>
      <c r="D1519" s="21"/>
    </row>
    <row r="1520" spans="2:4" x14ac:dyDescent="0.25">
      <c r="B1520" s="21"/>
      <c r="C1520" s="21"/>
      <c r="D1520" s="21"/>
    </row>
    <row r="1521" spans="2:4" x14ac:dyDescent="0.25">
      <c r="B1521" s="21"/>
      <c r="C1521" s="21"/>
      <c r="D1521" s="21"/>
    </row>
    <row r="1522" spans="2:4" x14ac:dyDescent="0.25">
      <c r="B1522" s="21"/>
      <c r="C1522" s="21"/>
      <c r="D1522" s="21"/>
    </row>
    <row r="1523" spans="2:4" x14ac:dyDescent="0.25">
      <c r="B1523" s="21"/>
      <c r="C1523" s="21"/>
      <c r="D1523" s="21"/>
    </row>
    <row r="1524" spans="2:4" x14ac:dyDescent="0.25">
      <c r="B1524" s="21"/>
      <c r="C1524" s="21"/>
      <c r="D1524" s="21"/>
    </row>
    <row r="1525" spans="2:4" x14ac:dyDescent="0.25">
      <c r="B1525" s="21"/>
      <c r="C1525" s="21"/>
      <c r="D1525" s="21"/>
    </row>
    <row r="1526" spans="2:4" x14ac:dyDescent="0.25">
      <c r="B1526" s="21"/>
      <c r="C1526" s="21"/>
      <c r="D1526" s="21"/>
    </row>
    <row r="1527" spans="2:4" x14ac:dyDescent="0.25">
      <c r="B1527" s="21"/>
      <c r="C1527" s="21"/>
      <c r="D1527" s="21"/>
    </row>
    <row r="1528" spans="2:4" x14ac:dyDescent="0.25">
      <c r="B1528" s="21"/>
      <c r="C1528" s="21"/>
      <c r="D1528" s="21"/>
    </row>
    <row r="1529" spans="2:4" x14ac:dyDescent="0.25">
      <c r="B1529" s="21"/>
      <c r="C1529" s="21"/>
      <c r="D1529" s="21"/>
    </row>
    <row r="1530" spans="2:4" x14ac:dyDescent="0.25">
      <c r="B1530" s="21"/>
      <c r="C1530" s="21"/>
      <c r="D1530" s="21"/>
    </row>
    <row r="1531" spans="2:4" x14ac:dyDescent="0.25">
      <c r="B1531" s="21"/>
      <c r="C1531" s="21"/>
      <c r="D1531" s="21"/>
    </row>
    <row r="1532" spans="2:4" x14ac:dyDescent="0.25">
      <c r="B1532" s="21"/>
      <c r="C1532" s="21"/>
      <c r="D1532" s="21"/>
    </row>
    <row r="1533" spans="2:4" x14ac:dyDescent="0.25">
      <c r="B1533" s="21"/>
      <c r="C1533" s="21"/>
      <c r="D1533" s="21"/>
    </row>
    <row r="1534" spans="2:4" x14ac:dyDescent="0.25">
      <c r="B1534" s="21"/>
      <c r="C1534" s="21"/>
      <c r="D1534" s="21"/>
    </row>
    <row r="1535" spans="2:4" x14ac:dyDescent="0.25">
      <c r="B1535" s="21"/>
      <c r="C1535" s="21"/>
      <c r="D1535" s="21"/>
    </row>
    <row r="1536" spans="2:4" x14ac:dyDescent="0.25">
      <c r="B1536" s="21"/>
      <c r="C1536" s="21"/>
      <c r="D1536" s="21"/>
    </row>
    <row r="1537" spans="2:4" x14ac:dyDescent="0.25">
      <c r="B1537" s="21"/>
      <c r="C1537" s="21"/>
      <c r="D1537" s="21"/>
    </row>
    <row r="1538" spans="2:4" x14ac:dyDescent="0.25">
      <c r="B1538" s="21"/>
      <c r="C1538" s="21"/>
      <c r="D1538" s="21"/>
    </row>
    <row r="1539" spans="2:4" x14ac:dyDescent="0.25">
      <c r="B1539" s="21"/>
      <c r="C1539" s="21"/>
      <c r="D1539" s="21"/>
    </row>
    <row r="1540" spans="2:4" x14ac:dyDescent="0.25">
      <c r="B1540" s="21"/>
      <c r="C1540" s="21"/>
      <c r="D1540" s="21"/>
    </row>
    <row r="1541" spans="2:4" x14ac:dyDescent="0.25">
      <c r="B1541" s="21"/>
      <c r="C1541" s="21"/>
      <c r="D1541" s="21"/>
    </row>
    <row r="1542" spans="2:4" x14ac:dyDescent="0.25">
      <c r="B1542" s="21"/>
      <c r="C1542" s="21"/>
      <c r="D1542" s="21"/>
    </row>
    <row r="1543" spans="2:4" x14ac:dyDescent="0.25">
      <c r="B1543" s="21"/>
      <c r="C1543" s="21"/>
      <c r="D1543" s="21"/>
    </row>
    <row r="1544" spans="2:4" x14ac:dyDescent="0.25">
      <c r="B1544" s="21"/>
      <c r="C1544" s="21"/>
      <c r="D1544" s="21"/>
    </row>
    <row r="1545" spans="2:4" x14ac:dyDescent="0.25">
      <c r="B1545" s="21"/>
      <c r="C1545" s="21"/>
      <c r="D1545" s="21"/>
    </row>
    <row r="1546" spans="2:4" x14ac:dyDescent="0.25">
      <c r="B1546" s="21"/>
      <c r="C1546" s="21"/>
      <c r="D1546" s="21"/>
    </row>
    <row r="1547" spans="2:4" x14ac:dyDescent="0.25">
      <c r="B1547" s="21"/>
      <c r="C1547" s="21"/>
      <c r="D1547" s="21"/>
    </row>
    <row r="1548" spans="2:4" x14ac:dyDescent="0.25">
      <c r="B1548" s="21"/>
      <c r="C1548" s="21"/>
      <c r="D1548" s="21"/>
    </row>
    <row r="1549" spans="2:4" x14ac:dyDescent="0.25">
      <c r="B1549" s="21"/>
      <c r="C1549" s="21"/>
      <c r="D1549" s="21"/>
    </row>
    <row r="1550" spans="2:4" x14ac:dyDescent="0.25">
      <c r="B1550" s="21"/>
      <c r="C1550" s="21"/>
      <c r="D1550" s="21"/>
    </row>
    <row r="1551" spans="2:4" x14ac:dyDescent="0.25">
      <c r="B1551" s="21"/>
      <c r="C1551" s="21"/>
      <c r="D1551" s="21"/>
    </row>
    <row r="1552" spans="2:4" x14ac:dyDescent="0.25">
      <c r="B1552" s="21"/>
      <c r="C1552" s="21"/>
      <c r="D1552" s="21"/>
    </row>
    <row r="1553" spans="2:4" x14ac:dyDescent="0.25">
      <c r="B1553" s="21"/>
      <c r="C1553" s="21"/>
      <c r="D1553" s="21"/>
    </row>
    <row r="1554" spans="2:4" x14ac:dyDescent="0.25">
      <c r="B1554" s="21"/>
      <c r="C1554" s="21"/>
      <c r="D1554" s="21"/>
    </row>
    <row r="1555" spans="2:4" x14ac:dyDescent="0.25">
      <c r="B1555" s="21"/>
      <c r="C1555" s="21"/>
      <c r="D1555" s="21"/>
    </row>
    <row r="1556" spans="2:4" x14ac:dyDescent="0.25">
      <c r="B1556" s="21"/>
      <c r="C1556" s="21"/>
      <c r="D1556" s="21"/>
    </row>
    <row r="1557" spans="2:4" x14ac:dyDescent="0.25">
      <c r="B1557" s="21"/>
      <c r="C1557" s="21"/>
      <c r="D1557" s="21"/>
    </row>
    <row r="1558" spans="2:4" x14ac:dyDescent="0.25">
      <c r="B1558" s="21"/>
      <c r="C1558" s="21"/>
      <c r="D1558" s="21"/>
    </row>
    <row r="1559" spans="2:4" x14ac:dyDescent="0.25">
      <c r="B1559" s="21"/>
      <c r="C1559" s="21"/>
      <c r="D1559" s="21"/>
    </row>
    <row r="1560" spans="2:4" x14ac:dyDescent="0.25">
      <c r="B1560" s="21"/>
      <c r="C1560" s="21"/>
      <c r="D1560" s="21"/>
    </row>
    <row r="1561" spans="2:4" x14ac:dyDescent="0.25">
      <c r="B1561" s="21"/>
      <c r="C1561" s="21"/>
      <c r="D1561" s="21"/>
    </row>
    <row r="1562" spans="2:4" x14ac:dyDescent="0.25">
      <c r="B1562" s="21"/>
      <c r="C1562" s="21"/>
      <c r="D1562" s="21"/>
    </row>
    <row r="1563" spans="2:4" x14ac:dyDescent="0.25">
      <c r="B1563" s="21"/>
      <c r="C1563" s="21"/>
      <c r="D1563" s="21"/>
    </row>
    <row r="1564" spans="2:4" x14ac:dyDescent="0.25">
      <c r="B1564" s="21"/>
      <c r="C1564" s="21"/>
      <c r="D1564" s="21"/>
    </row>
    <row r="1565" spans="2:4" x14ac:dyDescent="0.25">
      <c r="B1565" s="21"/>
      <c r="C1565" s="21"/>
      <c r="D1565" s="21"/>
    </row>
    <row r="1566" spans="2:4" x14ac:dyDescent="0.25">
      <c r="B1566" s="21"/>
      <c r="C1566" s="21"/>
      <c r="D1566" s="21"/>
    </row>
    <row r="1567" spans="2:4" x14ac:dyDescent="0.25">
      <c r="B1567" s="21"/>
      <c r="C1567" s="21"/>
      <c r="D1567" s="21"/>
    </row>
    <row r="1568" spans="2:4" x14ac:dyDescent="0.25">
      <c r="B1568" s="21"/>
      <c r="C1568" s="21"/>
      <c r="D1568" s="21"/>
    </row>
    <row r="1569" spans="2:4" x14ac:dyDescent="0.25">
      <c r="B1569" s="21"/>
      <c r="C1569" s="21"/>
      <c r="D1569" s="21"/>
    </row>
    <row r="1570" spans="2:4" x14ac:dyDescent="0.25">
      <c r="B1570" s="21"/>
      <c r="C1570" s="21"/>
      <c r="D1570" s="21"/>
    </row>
    <row r="1571" spans="2:4" x14ac:dyDescent="0.25">
      <c r="B1571" s="21"/>
      <c r="C1571" s="21"/>
      <c r="D1571" s="21"/>
    </row>
    <row r="1572" spans="2:4" x14ac:dyDescent="0.25">
      <c r="B1572" s="21"/>
      <c r="C1572" s="21"/>
      <c r="D1572" s="21"/>
    </row>
    <row r="1573" spans="2:4" x14ac:dyDescent="0.25">
      <c r="B1573" s="21"/>
      <c r="C1573" s="21"/>
      <c r="D1573" s="21"/>
    </row>
    <row r="1574" spans="2:4" x14ac:dyDescent="0.25">
      <c r="B1574" s="21"/>
      <c r="C1574" s="21"/>
      <c r="D1574" s="21"/>
    </row>
    <row r="1575" spans="2:4" x14ac:dyDescent="0.25">
      <c r="B1575" s="21"/>
      <c r="C1575" s="21"/>
      <c r="D1575" s="21"/>
    </row>
    <row r="1576" spans="2:4" x14ac:dyDescent="0.25">
      <c r="B1576" s="21"/>
      <c r="C1576" s="21"/>
      <c r="D1576" s="21"/>
    </row>
    <row r="1577" spans="2:4" x14ac:dyDescent="0.25">
      <c r="B1577" s="21"/>
      <c r="C1577" s="21"/>
      <c r="D1577" s="21"/>
    </row>
    <row r="1578" spans="2:4" x14ac:dyDescent="0.25">
      <c r="B1578" s="21"/>
      <c r="C1578" s="21"/>
      <c r="D1578" s="21"/>
    </row>
    <row r="1579" spans="2:4" x14ac:dyDescent="0.25">
      <c r="B1579" s="21"/>
      <c r="C1579" s="21"/>
      <c r="D1579" s="21"/>
    </row>
    <row r="1580" spans="2:4" x14ac:dyDescent="0.25">
      <c r="B1580" s="21"/>
      <c r="C1580" s="21"/>
      <c r="D1580" s="21"/>
    </row>
    <row r="1581" spans="2:4" x14ac:dyDescent="0.25">
      <c r="B1581" s="21"/>
      <c r="C1581" s="21"/>
      <c r="D1581" s="21"/>
    </row>
    <row r="1582" spans="2:4" x14ac:dyDescent="0.25">
      <c r="B1582" s="21"/>
      <c r="C1582" s="21"/>
      <c r="D1582" s="21"/>
    </row>
    <row r="1583" spans="2:4" x14ac:dyDescent="0.25">
      <c r="B1583" s="21"/>
      <c r="C1583" s="21"/>
      <c r="D1583" s="21"/>
    </row>
    <row r="1584" spans="2:4" x14ac:dyDescent="0.25">
      <c r="B1584" s="21"/>
      <c r="C1584" s="21"/>
      <c r="D1584" s="21"/>
    </row>
    <row r="1585" spans="2:4" x14ac:dyDescent="0.25">
      <c r="B1585" s="21"/>
      <c r="C1585" s="21"/>
      <c r="D1585" s="21"/>
    </row>
    <row r="1586" spans="2:4" x14ac:dyDescent="0.25">
      <c r="B1586" s="21"/>
      <c r="C1586" s="21"/>
      <c r="D1586" s="21"/>
    </row>
    <row r="1587" spans="2:4" x14ac:dyDescent="0.25">
      <c r="B1587" s="21"/>
      <c r="C1587" s="21"/>
      <c r="D1587" s="21"/>
    </row>
    <row r="1588" spans="2:4" x14ac:dyDescent="0.25">
      <c r="B1588" s="21"/>
      <c r="C1588" s="21"/>
      <c r="D1588" s="21"/>
    </row>
    <row r="1589" spans="2:4" x14ac:dyDescent="0.25">
      <c r="B1589" s="21"/>
      <c r="C1589" s="21"/>
      <c r="D1589" s="21"/>
    </row>
    <row r="1590" spans="2:4" x14ac:dyDescent="0.25">
      <c r="B1590" s="21"/>
      <c r="C1590" s="21"/>
      <c r="D1590" s="21"/>
    </row>
    <row r="1591" spans="2:4" x14ac:dyDescent="0.25">
      <c r="B1591" s="21"/>
      <c r="C1591" s="21"/>
      <c r="D1591" s="21"/>
    </row>
    <row r="1592" spans="2:4" x14ac:dyDescent="0.25">
      <c r="B1592" s="21"/>
      <c r="C1592" s="21"/>
      <c r="D1592" s="21"/>
    </row>
    <row r="1593" spans="2:4" x14ac:dyDescent="0.25">
      <c r="B1593" s="21"/>
      <c r="C1593" s="21"/>
      <c r="D1593" s="21"/>
    </row>
    <row r="1594" spans="2:4" x14ac:dyDescent="0.25">
      <c r="B1594" s="21"/>
      <c r="C1594" s="21"/>
      <c r="D1594" s="21"/>
    </row>
    <row r="1595" spans="2:4" x14ac:dyDescent="0.25">
      <c r="B1595" s="21"/>
      <c r="C1595" s="21"/>
      <c r="D1595" s="21"/>
    </row>
    <row r="1596" spans="2:4" x14ac:dyDescent="0.25">
      <c r="B1596" s="21"/>
      <c r="C1596" s="21"/>
      <c r="D1596" s="21"/>
    </row>
    <row r="1597" spans="2:4" x14ac:dyDescent="0.25">
      <c r="B1597" s="21"/>
      <c r="C1597" s="21"/>
      <c r="D1597" s="21"/>
    </row>
    <row r="1598" spans="2:4" x14ac:dyDescent="0.25">
      <c r="B1598" s="21"/>
      <c r="C1598" s="21"/>
      <c r="D1598" s="21"/>
    </row>
    <row r="1599" spans="2:4" x14ac:dyDescent="0.25">
      <c r="B1599" s="21"/>
      <c r="C1599" s="21"/>
      <c r="D1599" s="21"/>
    </row>
    <row r="1600" spans="2:4" x14ac:dyDescent="0.25">
      <c r="B1600" s="21"/>
      <c r="C1600" s="21"/>
      <c r="D1600" s="21"/>
    </row>
    <row r="1601" spans="2:4" x14ac:dyDescent="0.25">
      <c r="B1601" s="21"/>
      <c r="C1601" s="21"/>
      <c r="D1601" s="21"/>
    </row>
    <row r="1602" spans="2:4" x14ac:dyDescent="0.25">
      <c r="B1602" s="21"/>
      <c r="C1602" s="21"/>
      <c r="D1602" s="21"/>
    </row>
    <row r="1603" spans="2:4" x14ac:dyDescent="0.25">
      <c r="B1603" s="21"/>
      <c r="C1603" s="21"/>
      <c r="D1603" s="21"/>
    </row>
    <row r="1604" spans="2:4" x14ac:dyDescent="0.25">
      <c r="B1604" s="21"/>
      <c r="C1604" s="21"/>
      <c r="D1604" s="21"/>
    </row>
    <row r="1605" spans="2:4" x14ac:dyDescent="0.25">
      <c r="B1605" s="21"/>
      <c r="C1605" s="21"/>
      <c r="D1605" s="21"/>
    </row>
    <row r="1606" spans="2:4" x14ac:dyDescent="0.25">
      <c r="B1606" s="21"/>
      <c r="C1606" s="21"/>
      <c r="D1606" s="21"/>
    </row>
    <row r="1607" spans="2:4" x14ac:dyDescent="0.25">
      <c r="B1607" s="21"/>
      <c r="C1607" s="21"/>
      <c r="D1607" s="21"/>
    </row>
    <row r="1608" spans="2:4" x14ac:dyDescent="0.25">
      <c r="B1608" s="21"/>
      <c r="C1608" s="21"/>
      <c r="D1608" s="21"/>
    </row>
    <row r="1609" spans="2:4" x14ac:dyDescent="0.25">
      <c r="B1609" s="21"/>
      <c r="C1609" s="21"/>
      <c r="D1609" s="21"/>
    </row>
    <row r="1610" spans="2:4" x14ac:dyDescent="0.25">
      <c r="B1610" s="21"/>
      <c r="C1610" s="21"/>
      <c r="D1610" s="21"/>
    </row>
    <row r="1611" spans="2:4" x14ac:dyDescent="0.25">
      <c r="B1611" s="21"/>
      <c r="C1611" s="21"/>
      <c r="D1611" s="21"/>
    </row>
    <row r="1612" spans="2:4" x14ac:dyDescent="0.25">
      <c r="B1612" s="21"/>
      <c r="C1612" s="21"/>
      <c r="D1612" s="21"/>
    </row>
    <row r="1613" spans="2:4" x14ac:dyDescent="0.25">
      <c r="B1613" s="21"/>
      <c r="C1613" s="21"/>
      <c r="D1613" s="21"/>
    </row>
    <row r="1614" spans="2:4" x14ac:dyDescent="0.25">
      <c r="B1614" s="21"/>
      <c r="C1614" s="21"/>
      <c r="D1614" s="21"/>
    </row>
    <row r="1615" spans="2:4" x14ac:dyDescent="0.25">
      <c r="B1615" s="21"/>
      <c r="C1615" s="21"/>
      <c r="D1615" s="21"/>
    </row>
    <row r="1616" spans="2:4" x14ac:dyDescent="0.25">
      <c r="B1616" s="21"/>
      <c r="C1616" s="21"/>
      <c r="D1616" s="21"/>
    </row>
    <row r="1617" spans="2:4" x14ac:dyDescent="0.25">
      <c r="B1617" s="21"/>
      <c r="C1617" s="21"/>
      <c r="D1617" s="21"/>
    </row>
    <row r="1618" spans="2:4" x14ac:dyDescent="0.25">
      <c r="B1618" s="21"/>
      <c r="C1618" s="21"/>
      <c r="D1618" s="21"/>
    </row>
    <row r="1619" spans="2:4" x14ac:dyDescent="0.25">
      <c r="B1619" s="21"/>
      <c r="C1619" s="21"/>
      <c r="D1619" s="21"/>
    </row>
    <row r="1620" spans="2:4" x14ac:dyDescent="0.25">
      <c r="B1620" s="21"/>
      <c r="C1620" s="21"/>
      <c r="D1620" s="21"/>
    </row>
    <row r="1621" spans="2:4" x14ac:dyDescent="0.25">
      <c r="B1621" s="21"/>
      <c r="C1621" s="21"/>
      <c r="D1621" s="21"/>
    </row>
    <row r="1622" spans="2:4" x14ac:dyDescent="0.25">
      <c r="B1622" s="21"/>
      <c r="C1622" s="21"/>
      <c r="D1622" s="21"/>
    </row>
    <row r="1623" spans="2:4" x14ac:dyDescent="0.25">
      <c r="B1623" s="21"/>
      <c r="C1623" s="21"/>
      <c r="D1623" s="21"/>
    </row>
    <row r="1624" spans="2:4" x14ac:dyDescent="0.25">
      <c r="B1624" s="21"/>
      <c r="C1624" s="21"/>
      <c r="D1624" s="21"/>
    </row>
    <row r="1625" spans="2:4" x14ac:dyDescent="0.25">
      <c r="B1625" s="21"/>
      <c r="C1625" s="21"/>
      <c r="D1625" s="21"/>
    </row>
    <row r="1626" spans="2:4" x14ac:dyDescent="0.25">
      <c r="B1626" s="21"/>
      <c r="C1626" s="21"/>
      <c r="D1626" s="21"/>
    </row>
    <row r="1627" spans="2:4" x14ac:dyDescent="0.25">
      <c r="B1627" s="21"/>
      <c r="C1627" s="21"/>
      <c r="D1627" s="21"/>
    </row>
    <row r="1628" spans="2:4" x14ac:dyDescent="0.25">
      <c r="B1628" s="21"/>
      <c r="C1628" s="21"/>
      <c r="D1628" s="21"/>
    </row>
    <row r="1629" spans="2:4" x14ac:dyDescent="0.25">
      <c r="B1629" s="21"/>
      <c r="C1629" s="21"/>
      <c r="D1629" s="21"/>
    </row>
    <row r="1630" spans="2:4" x14ac:dyDescent="0.25">
      <c r="B1630" s="21"/>
      <c r="C1630" s="21"/>
      <c r="D1630" s="21"/>
    </row>
    <row r="1631" spans="2:4" x14ac:dyDescent="0.25">
      <c r="B1631" s="21"/>
      <c r="C1631" s="21"/>
      <c r="D1631" s="21"/>
    </row>
    <row r="1632" spans="2:4" x14ac:dyDescent="0.25">
      <c r="B1632" s="21"/>
      <c r="C1632" s="21"/>
      <c r="D1632" s="21"/>
    </row>
    <row r="1633" spans="2:4" x14ac:dyDescent="0.25">
      <c r="B1633" s="21"/>
      <c r="C1633" s="21"/>
      <c r="D1633" s="21"/>
    </row>
    <row r="1634" spans="2:4" x14ac:dyDescent="0.25">
      <c r="B1634" s="21"/>
      <c r="C1634" s="21"/>
      <c r="D1634" s="21"/>
    </row>
    <row r="1635" spans="2:4" x14ac:dyDescent="0.25">
      <c r="B1635" s="21"/>
      <c r="C1635" s="21"/>
      <c r="D1635" s="21"/>
    </row>
    <row r="1636" spans="2:4" x14ac:dyDescent="0.25">
      <c r="B1636" s="21"/>
      <c r="C1636" s="21"/>
      <c r="D1636" s="21"/>
    </row>
    <row r="1637" spans="2:4" x14ac:dyDescent="0.25">
      <c r="B1637" s="21"/>
      <c r="C1637" s="21"/>
      <c r="D1637" s="21"/>
    </row>
    <row r="1638" spans="2:4" x14ac:dyDescent="0.25">
      <c r="B1638" s="21"/>
      <c r="C1638" s="21"/>
      <c r="D1638" s="21"/>
    </row>
    <row r="1639" spans="2:4" x14ac:dyDescent="0.25">
      <c r="B1639" s="21"/>
      <c r="C1639" s="21"/>
      <c r="D1639" s="21"/>
    </row>
    <row r="1640" spans="2:4" x14ac:dyDescent="0.25">
      <c r="B1640" s="21"/>
      <c r="C1640" s="21"/>
      <c r="D1640" s="21"/>
    </row>
    <row r="1641" spans="2:4" x14ac:dyDescent="0.25">
      <c r="B1641" s="21"/>
      <c r="C1641" s="21"/>
      <c r="D1641" s="21"/>
    </row>
    <row r="1642" spans="2:4" x14ac:dyDescent="0.25">
      <c r="B1642" s="21"/>
      <c r="C1642" s="21"/>
      <c r="D1642" s="21"/>
    </row>
    <row r="1643" spans="2:4" x14ac:dyDescent="0.25">
      <c r="B1643" s="21"/>
      <c r="C1643" s="21"/>
      <c r="D1643" s="21"/>
    </row>
    <row r="1644" spans="2:4" x14ac:dyDescent="0.25">
      <c r="B1644" s="21"/>
      <c r="C1644" s="21"/>
      <c r="D1644" s="21"/>
    </row>
    <row r="1645" spans="2:4" x14ac:dyDescent="0.25">
      <c r="B1645" s="21"/>
      <c r="C1645" s="21"/>
      <c r="D1645" s="21"/>
    </row>
    <row r="1646" spans="2:4" x14ac:dyDescent="0.25">
      <c r="B1646" s="21"/>
      <c r="C1646" s="21"/>
      <c r="D1646" s="21"/>
    </row>
    <row r="1647" spans="2:4" x14ac:dyDescent="0.25">
      <c r="B1647" s="21"/>
      <c r="C1647" s="21"/>
      <c r="D1647" s="21"/>
    </row>
    <row r="1648" spans="2:4" x14ac:dyDescent="0.25">
      <c r="B1648" s="21"/>
      <c r="C1648" s="21"/>
      <c r="D1648" s="21"/>
    </row>
    <row r="1649" spans="2:4" x14ac:dyDescent="0.25">
      <c r="B1649" s="21"/>
      <c r="C1649" s="21"/>
      <c r="D1649" s="21"/>
    </row>
    <row r="1650" spans="2:4" x14ac:dyDescent="0.25">
      <c r="B1650" s="21"/>
      <c r="C1650" s="21"/>
      <c r="D1650" s="21"/>
    </row>
    <row r="1651" spans="2:4" x14ac:dyDescent="0.25">
      <c r="B1651" s="21"/>
      <c r="C1651" s="21"/>
      <c r="D1651" s="21"/>
    </row>
    <row r="1652" spans="2:4" x14ac:dyDescent="0.25">
      <c r="B1652" s="21"/>
      <c r="C1652" s="21"/>
      <c r="D1652" s="21"/>
    </row>
    <row r="1653" spans="2:4" x14ac:dyDescent="0.25">
      <c r="B1653" s="21"/>
      <c r="C1653" s="21"/>
      <c r="D1653" s="21"/>
    </row>
    <row r="1654" spans="2:4" x14ac:dyDescent="0.25">
      <c r="B1654" s="21"/>
      <c r="C1654" s="21"/>
      <c r="D1654" s="21"/>
    </row>
    <row r="1655" spans="2:4" x14ac:dyDescent="0.25">
      <c r="B1655" s="21"/>
      <c r="C1655" s="21"/>
      <c r="D1655" s="21"/>
    </row>
    <row r="1656" spans="2:4" x14ac:dyDescent="0.25">
      <c r="B1656" s="21"/>
      <c r="C1656" s="21"/>
      <c r="D1656" s="21"/>
    </row>
    <row r="1657" spans="2:4" x14ac:dyDescent="0.25">
      <c r="B1657" s="21"/>
      <c r="C1657" s="21"/>
      <c r="D1657" s="21"/>
    </row>
    <row r="1658" spans="2:4" x14ac:dyDescent="0.25">
      <c r="B1658" s="21"/>
      <c r="C1658" s="21"/>
      <c r="D1658" s="21"/>
    </row>
    <row r="1659" spans="2:4" x14ac:dyDescent="0.25">
      <c r="B1659" s="21"/>
      <c r="C1659" s="21"/>
      <c r="D1659" s="21"/>
    </row>
    <row r="1660" spans="2:4" x14ac:dyDescent="0.25">
      <c r="B1660" s="21"/>
      <c r="C1660" s="21"/>
      <c r="D1660" s="21"/>
    </row>
    <row r="1661" spans="2:4" x14ac:dyDescent="0.25">
      <c r="B1661" s="21"/>
      <c r="C1661" s="21"/>
      <c r="D1661" s="21"/>
    </row>
    <row r="1662" spans="2:4" x14ac:dyDescent="0.25">
      <c r="B1662" s="21"/>
      <c r="C1662" s="21"/>
      <c r="D1662" s="21"/>
    </row>
    <row r="1663" spans="2:4" x14ac:dyDescent="0.25">
      <c r="B1663" s="21"/>
      <c r="C1663" s="21"/>
      <c r="D1663" s="21"/>
    </row>
    <row r="1664" spans="2:4" x14ac:dyDescent="0.25">
      <c r="B1664" s="21"/>
      <c r="C1664" s="21"/>
      <c r="D1664" s="21"/>
    </row>
    <row r="1665" spans="2:4" x14ac:dyDescent="0.25">
      <c r="B1665" s="21"/>
      <c r="C1665" s="21"/>
      <c r="D1665" s="21"/>
    </row>
    <row r="1666" spans="2:4" x14ac:dyDescent="0.25">
      <c r="B1666" s="21"/>
      <c r="C1666" s="21"/>
      <c r="D1666" s="21"/>
    </row>
    <row r="1667" spans="2:4" x14ac:dyDescent="0.25">
      <c r="B1667" s="21"/>
      <c r="C1667" s="21"/>
      <c r="D1667" s="21"/>
    </row>
    <row r="1668" spans="2:4" x14ac:dyDescent="0.25">
      <c r="B1668" s="21"/>
      <c r="C1668" s="21"/>
      <c r="D1668" s="21"/>
    </row>
    <row r="1669" spans="2:4" x14ac:dyDescent="0.25">
      <c r="B1669" s="21"/>
      <c r="C1669" s="21"/>
      <c r="D1669" s="21"/>
    </row>
    <row r="1670" spans="2:4" x14ac:dyDescent="0.25">
      <c r="B1670" s="21"/>
      <c r="C1670" s="21"/>
      <c r="D1670" s="21"/>
    </row>
    <row r="1671" spans="2:4" x14ac:dyDescent="0.25">
      <c r="B1671" s="21"/>
      <c r="C1671" s="21"/>
      <c r="D1671" s="21"/>
    </row>
    <row r="1672" spans="2:4" x14ac:dyDescent="0.25">
      <c r="B1672" s="21"/>
      <c r="C1672" s="21"/>
      <c r="D1672" s="21"/>
    </row>
    <row r="1673" spans="2:4" x14ac:dyDescent="0.25">
      <c r="B1673" s="21"/>
      <c r="C1673" s="21"/>
      <c r="D1673" s="21"/>
    </row>
    <row r="1674" spans="2:4" x14ac:dyDescent="0.25">
      <c r="B1674" s="21"/>
      <c r="C1674" s="21"/>
      <c r="D1674" s="21"/>
    </row>
    <row r="1675" spans="2:4" x14ac:dyDescent="0.25">
      <c r="B1675" s="21"/>
      <c r="C1675" s="21"/>
      <c r="D1675" s="21"/>
    </row>
    <row r="1676" spans="2:4" x14ac:dyDescent="0.25">
      <c r="B1676" s="21"/>
      <c r="C1676" s="21"/>
      <c r="D1676" s="21"/>
    </row>
    <row r="1677" spans="2:4" x14ac:dyDescent="0.25">
      <c r="B1677" s="21"/>
      <c r="C1677" s="21"/>
      <c r="D1677" s="21"/>
    </row>
    <row r="1678" spans="2:4" x14ac:dyDescent="0.25">
      <c r="B1678" s="21"/>
      <c r="C1678" s="21"/>
      <c r="D1678" s="21"/>
    </row>
    <row r="1679" spans="2:4" x14ac:dyDescent="0.25">
      <c r="B1679" s="21"/>
      <c r="C1679" s="21"/>
      <c r="D1679" s="21"/>
    </row>
    <row r="1680" spans="2:4" x14ac:dyDescent="0.25">
      <c r="B1680" s="21"/>
      <c r="C1680" s="21"/>
      <c r="D1680" s="21"/>
    </row>
    <row r="1681" spans="2:4" x14ac:dyDescent="0.25">
      <c r="B1681" s="21"/>
      <c r="C1681" s="21"/>
      <c r="D1681" s="21"/>
    </row>
    <row r="1682" spans="2:4" x14ac:dyDescent="0.25">
      <c r="B1682" s="21"/>
      <c r="C1682" s="21"/>
      <c r="D1682" s="21"/>
    </row>
    <row r="1683" spans="2:4" x14ac:dyDescent="0.25">
      <c r="B1683" s="21"/>
      <c r="C1683" s="21"/>
      <c r="D1683" s="21"/>
    </row>
    <row r="1684" spans="2:4" x14ac:dyDescent="0.25">
      <c r="B1684" s="21"/>
      <c r="C1684" s="21"/>
      <c r="D1684" s="21"/>
    </row>
    <row r="1685" spans="2:4" x14ac:dyDescent="0.25">
      <c r="B1685" s="21"/>
      <c r="C1685" s="21"/>
      <c r="D1685" s="21"/>
    </row>
    <row r="1686" spans="2:4" x14ac:dyDescent="0.25">
      <c r="B1686" s="21"/>
      <c r="C1686" s="21"/>
      <c r="D1686" s="21"/>
    </row>
    <row r="1687" spans="2:4" x14ac:dyDescent="0.25">
      <c r="B1687" s="21"/>
      <c r="C1687" s="21"/>
      <c r="D1687" s="21"/>
    </row>
    <row r="1688" spans="2:4" x14ac:dyDescent="0.25">
      <c r="B1688" s="21"/>
      <c r="C1688" s="21"/>
      <c r="D1688" s="21"/>
    </row>
    <row r="1689" spans="2:4" x14ac:dyDescent="0.25">
      <c r="B1689" s="21"/>
      <c r="C1689" s="21"/>
      <c r="D1689" s="21"/>
    </row>
    <row r="1690" spans="2:4" x14ac:dyDescent="0.25">
      <c r="B1690" s="21"/>
      <c r="C1690" s="21"/>
      <c r="D1690" s="21"/>
    </row>
    <row r="1691" spans="2:4" x14ac:dyDescent="0.25">
      <c r="B1691" s="21"/>
      <c r="C1691" s="21"/>
      <c r="D1691" s="21"/>
    </row>
    <row r="1692" spans="2:4" x14ac:dyDescent="0.25">
      <c r="B1692" s="21"/>
      <c r="C1692" s="21"/>
      <c r="D1692" s="21"/>
    </row>
    <row r="1693" spans="2:4" x14ac:dyDescent="0.25">
      <c r="B1693" s="21"/>
      <c r="C1693" s="21"/>
      <c r="D1693" s="21"/>
    </row>
    <row r="1694" spans="2:4" x14ac:dyDescent="0.25">
      <c r="B1694" s="21"/>
      <c r="C1694" s="21"/>
      <c r="D1694" s="21"/>
    </row>
    <row r="1695" spans="2:4" x14ac:dyDescent="0.25">
      <c r="B1695" s="21"/>
      <c r="C1695" s="21"/>
      <c r="D1695" s="21"/>
    </row>
    <row r="1696" spans="2:4" x14ac:dyDescent="0.25">
      <c r="B1696" s="21"/>
      <c r="C1696" s="21"/>
      <c r="D1696" s="21"/>
    </row>
    <row r="1697" spans="2:4" x14ac:dyDescent="0.25">
      <c r="B1697" s="21"/>
      <c r="C1697" s="21"/>
      <c r="D1697" s="21"/>
    </row>
    <row r="1698" spans="2:4" x14ac:dyDescent="0.25">
      <c r="B1698" s="21"/>
      <c r="C1698" s="21"/>
      <c r="D1698" s="21"/>
    </row>
    <row r="1699" spans="2:4" x14ac:dyDescent="0.25">
      <c r="B1699" s="21"/>
      <c r="C1699" s="21"/>
      <c r="D1699" s="21"/>
    </row>
    <row r="1700" spans="2:4" x14ac:dyDescent="0.25">
      <c r="B1700" s="21"/>
      <c r="C1700" s="21"/>
      <c r="D1700" s="21"/>
    </row>
    <row r="1701" spans="2:4" x14ac:dyDescent="0.25">
      <c r="B1701" s="21"/>
      <c r="C1701" s="21"/>
      <c r="D1701" s="21"/>
    </row>
    <row r="1702" spans="2:4" x14ac:dyDescent="0.25">
      <c r="B1702" s="21"/>
      <c r="C1702" s="21"/>
      <c r="D1702" s="21"/>
    </row>
    <row r="1703" spans="2:4" x14ac:dyDescent="0.25">
      <c r="B1703" s="21"/>
      <c r="C1703" s="21"/>
      <c r="D1703" s="21"/>
    </row>
    <row r="1704" spans="2:4" x14ac:dyDescent="0.25">
      <c r="B1704" s="21"/>
      <c r="C1704" s="21"/>
      <c r="D1704" s="21"/>
    </row>
    <row r="1705" spans="2:4" x14ac:dyDescent="0.25">
      <c r="B1705" s="21"/>
      <c r="C1705" s="21"/>
      <c r="D1705" s="21"/>
    </row>
    <row r="1706" spans="2:4" x14ac:dyDescent="0.25">
      <c r="B1706" s="21"/>
      <c r="C1706" s="21"/>
      <c r="D1706" s="21"/>
    </row>
    <row r="1707" spans="2:4" x14ac:dyDescent="0.25">
      <c r="B1707" s="21"/>
      <c r="C1707" s="21"/>
      <c r="D1707" s="21"/>
    </row>
    <row r="1708" spans="2:4" x14ac:dyDescent="0.25">
      <c r="B1708" s="21"/>
      <c r="C1708" s="21"/>
      <c r="D1708" s="21"/>
    </row>
    <row r="1709" spans="2:4" x14ac:dyDescent="0.25">
      <c r="B1709" s="21"/>
      <c r="C1709" s="21"/>
      <c r="D1709" s="21"/>
    </row>
    <row r="1710" spans="2:4" x14ac:dyDescent="0.25">
      <c r="B1710" s="21"/>
      <c r="C1710" s="21"/>
      <c r="D1710" s="21"/>
    </row>
    <row r="1711" spans="2:4" x14ac:dyDescent="0.25">
      <c r="B1711" s="21"/>
      <c r="C1711" s="21"/>
      <c r="D1711" s="21"/>
    </row>
    <row r="1712" spans="2:4" x14ac:dyDescent="0.25">
      <c r="B1712" s="21"/>
      <c r="C1712" s="21"/>
      <c r="D1712" s="21"/>
    </row>
    <row r="1713" spans="2:4" x14ac:dyDescent="0.25">
      <c r="B1713" s="21"/>
      <c r="C1713" s="21"/>
      <c r="D1713" s="21"/>
    </row>
    <row r="1714" spans="2:4" x14ac:dyDescent="0.25">
      <c r="B1714" s="21"/>
      <c r="C1714" s="21"/>
      <c r="D1714" s="21"/>
    </row>
    <row r="1715" spans="2:4" x14ac:dyDescent="0.25">
      <c r="B1715" s="21"/>
      <c r="C1715" s="21"/>
      <c r="D1715" s="21"/>
    </row>
    <row r="1716" spans="2:4" x14ac:dyDescent="0.25">
      <c r="B1716" s="21"/>
      <c r="C1716" s="21"/>
      <c r="D1716" s="21"/>
    </row>
    <row r="1717" spans="2:4" x14ac:dyDescent="0.25">
      <c r="B1717" s="21"/>
      <c r="C1717" s="21"/>
      <c r="D1717" s="21"/>
    </row>
    <row r="1718" spans="2:4" x14ac:dyDescent="0.25">
      <c r="B1718" s="21"/>
      <c r="C1718" s="21"/>
      <c r="D1718" s="21"/>
    </row>
    <row r="1719" spans="2:4" x14ac:dyDescent="0.25">
      <c r="B1719" s="21"/>
      <c r="C1719" s="21"/>
      <c r="D1719" s="21"/>
    </row>
    <row r="1720" spans="2:4" x14ac:dyDescent="0.25">
      <c r="B1720" s="21"/>
      <c r="C1720" s="21"/>
      <c r="D1720" s="21"/>
    </row>
    <row r="1721" spans="2:4" x14ac:dyDescent="0.25">
      <c r="B1721" s="21"/>
      <c r="C1721" s="21"/>
      <c r="D1721" s="21"/>
    </row>
    <row r="1722" spans="2:4" x14ac:dyDescent="0.25">
      <c r="B1722" s="21"/>
      <c r="C1722" s="21"/>
      <c r="D1722" s="21"/>
    </row>
    <row r="1723" spans="2:4" x14ac:dyDescent="0.25">
      <c r="B1723" s="21"/>
      <c r="C1723" s="21"/>
      <c r="D1723" s="21"/>
    </row>
    <row r="1724" spans="2:4" x14ac:dyDescent="0.25">
      <c r="B1724" s="21"/>
      <c r="C1724" s="21"/>
      <c r="D1724" s="21"/>
    </row>
    <row r="1725" spans="2:4" x14ac:dyDescent="0.25">
      <c r="B1725" s="21"/>
      <c r="C1725" s="21"/>
      <c r="D1725" s="21"/>
    </row>
    <row r="1726" spans="2:4" x14ac:dyDescent="0.25">
      <c r="B1726" s="21"/>
      <c r="C1726" s="21"/>
      <c r="D1726" s="21"/>
    </row>
    <row r="1727" spans="2:4" x14ac:dyDescent="0.25">
      <c r="B1727" s="21"/>
      <c r="C1727" s="21"/>
      <c r="D1727" s="21"/>
    </row>
    <row r="1728" spans="2:4" x14ac:dyDescent="0.25">
      <c r="B1728" s="21"/>
      <c r="C1728" s="21"/>
      <c r="D1728" s="21"/>
    </row>
    <row r="1729" spans="2:4" x14ac:dyDescent="0.25">
      <c r="B1729" s="21"/>
      <c r="C1729" s="21"/>
      <c r="D1729" s="21"/>
    </row>
    <row r="1730" spans="2:4" x14ac:dyDescent="0.25">
      <c r="B1730" s="21"/>
      <c r="C1730" s="21"/>
      <c r="D1730" s="21"/>
    </row>
    <row r="1731" spans="2:4" x14ac:dyDescent="0.25">
      <c r="B1731" s="21"/>
      <c r="C1731" s="21"/>
      <c r="D1731" s="21"/>
    </row>
    <row r="1732" spans="2:4" x14ac:dyDescent="0.25">
      <c r="B1732" s="21"/>
      <c r="C1732" s="21"/>
      <c r="D1732" s="21"/>
    </row>
    <row r="1733" spans="2:4" x14ac:dyDescent="0.25">
      <c r="B1733" s="21"/>
      <c r="C1733" s="21"/>
      <c r="D1733" s="21"/>
    </row>
    <row r="1734" spans="2:4" x14ac:dyDescent="0.25">
      <c r="B1734" s="21"/>
      <c r="C1734" s="21"/>
      <c r="D1734" s="21"/>
    </row>
    <row r="1735" spans="2:4" x14ac:dyDescent="0.25">
      <c r="B1735" s="21"/>
      <c r="C1735" s="21"/>
      <c r="D1735" s="21"/>
    </row>
    <row r="1736" spans="2:4" x14ac:dyDescent="0.25">
      <c r="B1736" s="21"/>
      <c r="C1736" s="21"/>
      <c r="D1736" s="21"/>
    </row>
    <row r="1737" spans="2:4" x14ac:dyDescent="0.25">
      <c r="B1737" s="21"/>
      <c r="C1737" s="21"/>
      <c r="D1737" s="21"/>
    </row>
    <row r="1738" spans="2:4" x14ac:dyDescent="0.25">
      <c r="B1738" s="21"/>
      <c r="C1738" s="21"/>
      <c r="D1738" s="21"/>
    </row>
    <row r="1739" spans="2:4" x14ac:dyDescent="0.25">
      <c r="B1739" s="21"/>
      <c r="C1739" s="21"/>
      <c r="D1739" s="21"/>
    </row>
    <row r="1740" spans="2:4" x14ac:dyDescent="0.25">
      <c r="B1740" s="21"/>
      <c r="C1740" s="21"/>
      <c r="D1740" s="21"/>
    </row>
    <row r="1741" spans="2:4" x14ac:dyDescent="0.25">
      <c r="B1741" s="21"/>
      <c r="C1741" s="21"/>
      <c r="D1741" s="21"/>
    </row>
    <row r="1742" spans="2:4" x14ac:dyDescent="0.25">
      <c r="B1742" s="21"/>
      <c r="C1742" s="21"/>
      <c r="D1742" s="21"/>
    </row>
    <row r="1743" spans="2:4" x14ac:dyDescent="0.25">
      <c r="B1743" s="21"/>
      <c r="C1743" s="21"/>
      <c r="D1743" s="21"/>
    </row>
    <row r="1744" spans="2:4" x14ac:dyDescent="0.25">
      <c r="B1744" s="21"/>
      <c r="C1744" s="21"/>
      <c r="D1744" s="21"/>
    </row>
    <row r="1745" spans="2:4" x14ac:dyDescent="0.25">
      <c r="B1745" s="21"/>
      <c r="C1745" s="21"/>
      <c r="D1745" s="21"/>
    </row>
    <row r="1746" spans="2:4" x14ac:dyDescent="0.25">
      <c r="B1746" s="21"/>
      <c r="C1746" s="21"/>
      <c r="D1746" s="21"/>
    </row>
    <row r="1747" spans="2:4" x14ac:dyDescent="0.25">
      <c r="B1747" s="21"/>
      <c r="C1747" s="21"/>
      <c r="D1747" s="21"/>
    </row>
    <row r="1748" spans="2:4" x14ac:dyDescent="0.25">
      <c r="B1748" s="21"/>
      <c r="C1748" s="21"/>
      <c r="D1748" s="21"/>
    </row>
    <row r="1749" spans="2:4" x14ac:dyDescent="0.25">
      <c r="B1749" s="21"/>
      <c r="C1749" s="21"/>
      <c r="D1749" s="21"/>
    </row>
    <row r="1750" spans="2:4" x14ac:dyDescent="0.25">
      <c r="B1750" s="21"/>
      <c r="C1750" s="21"/>
      <c r="D1750" s="21"/>
    </row>
    <row r="1751" spans="2:4" x14ac:dyDescent="0.25">
      <c r="B1751" s="21"/>
      <c r="C1751" s="21"/>
      <c r="D1751" s="21"/>
    </row>
    <row r="1752" spans="2:4" x14ac:dyDescent="0.25">
      <c r="B1752" s="21"/>
      <c r="C1752" s="21"/>
      <c r="D1752" s="21"/>
    </row>
    <row r="1753" spans="2:4" x14ac:dyDescent="0.25">
      <c r="B1753" s="21"/>
      <c r="C1753" s="21"/>
      <c r="D1753" s="21"/>
    </row>
    <row r="1754" spans="2:4" x14ac:dyDescent="0.25">
      <c r="B1754" s="21"/>
      <c r="C1754" s="21"/>
      <c r="D1754" s="21"/>
    </row>
    <row r="1755" spans="2:4" x14ac:dyDescent="0.25">
      <c r="B1755" s="21"/>
      <c r="C1755" s="21"/>
      <c r="D1755" s="21"/>
    </row>
    <row r="1756" spans="2:4" x14ac:dyDescent="0.25">
      <c r="B1756" s="21"/>
      <c r="C1756" s="21"/>
      <c r="D1756" s="21"/>
    </row>
    <row r="1757" spans="2:4" x14ac:dyDescent="0.25">
      <c r="B1757" s="21"/>
      <c r="C1757" s="21"/>
      <c r="D1757" s="21"/>
    </row>
    <row r="1758" spans="2:4" x14ac:dyDescent="0.25">
      <c r="B1758" s="21"/>
      <c r="C1758" s="21"/>
      <c r="D1758" s="21"/>
    </row>
    <row r="1759" spans="2:4" x14ac:dyDescent="0.25">
      <c r="B1759" s="21"/>
      <c r="C1759" s="21"/>
      <c r="D1759" s="21"/>
    </row>
    <row r="1760" spans="2:4" x14ac:dyDescent="0.25">
      <c r="B1760" s="21"/>
      <c r="C1760" s="21"/>
      <c r="D1760" s="21"/>
    </row>
    <row r="1761" spans="2:4" x14ac:dyDescent="0.25">
      <c r="B1761" s="21"/>
      <c r="C1761" s="21"/>
      <c r="D1761" s="21"/>
    </row>
    <row r="1762" spans="2:4" x14ac:dyDescent="0.25">
      <c r="B1762" s="21"/>
      <c r="C1762" s="21"/>
      <c r="D1762" s="21"/>
    </row>
    <row r="1763" spans="2:4" x14ac:dyDescent="0.25">
      <c r="B1763" s="21"/>
      <c r="C1763" s="21"/>
      <c r="D1763" s="21"/>
    </row>
    <row r="1764" spans="2:4" x14ac:dyDescent="0.25">
      <c r="B1764" s="21"/>
      <c r="C1764" s="21"/>
      <c r="D1764" s="21"/>
    </row>
    <row r="1765" spans="2:4" x14ac:dyDescent="0.25">
      <c r="B1765" s="21"/>
      <c r="C1765" s="21"/>
      <c r="D1765" s="21"/>
    </row>
    <row r="1766" spans="2:4" x14ac:dyDescent="0.25">
      <c r="B1766" s="21"/>
      <c r="C1766" s="21"/>
      <c r="D1766" s="21"/>
    </row>
    <row r="1767" spans="2:4" x14ac:dyDescent="0.25">
      <c r="B1767" s="21"/>
      <c r="C1767" s="21"/>
      <c r="D1767" s="21"/>
    </row>
    <row r="1768" spans="2:4" x14ac:dyDescent="0.25">
      <c r="B1768" s="21"/>
      <c r="C1768" s="21"/>
      <c r="D1768" s="21"/>
    </row>
    <row r="1769" spans="2:4" x14ac:dyDescent="0.25">
      <c r="B1769" s="21"/>
      <c r="C1769" s="21"/>
      <c r="D1769" s="21"/>
    </row>
    <row r="1770" spans="2:4" x14ac:dyDescent="0.25">
      <c r="B1770" s="21"/>
      <c r="C1770" s="21"/>
      <c r="D1770" s="21"/>
    </row>
    <row r="1771" spans="2:4" x14ac:dyDescent="0.25">
      <c r="B1771" s="21"/>
      <c r="C1771" s="21"/>
      <c r="D1771" s="21"/>
    </row>
    <row r="1772" spans="2:4" x14ac:dyDescent="0.25">
      <c r="B1772" s="21"/>
      <c r="C1772" s="21"/>
      <c r="D1772" s="21"/>
    </row>
    <row r="1773" spans="2:4" x14ac:dyDescent="0.25">
      <c r="B1773" s="21"/>
      <c r="C1773" s="21"/>
      <c r="D1773" s="21"/>
    </row>
    <row r="1774" spans="2:4" x14ac:dyDescent="0.25">
      <c r="B1774" s="21"/>
      <c r="C1774" s="21"/>
      <c r="D1774" s="21"/>
    </row>
    <row r="1775" spans="2:4" x14ac:dyDescent="0.25">
      <c r="B1775" s="21"/>
      <c r="C1775" s="21"/>
      <c r="D1775" s="21"/>
    </row>
    <row r="1776" spans="2:4" x14ac:dyDescent="0.25">
      <c r="B1776" s="21"/>
      <c r="C1776" s="21"/>
      <c r="D1776" s="21"/>
    </row>
    <row r="1777" spans="2:4" x14ac:dyDescent="0.25">
      <c r="B1777" s="21"/>
      <c r="C1777" s="21"/>
      <c r="D1777" s="21"/>
    </row>
    <row r="1778" spans="2:4" x14ac:dyDescent="0.25">
      <c r="B1778" s="21"/>
      <c r="C1778" s="21"/>
      <c r="D1778" s="21"/>
    </row>
    <row r="1779" spans="2:4" x14ac:dyDescent="0.25">
      <c r="B1779" s="21"/>
      <c r="C1779" s="21"/>
      <c r="D1779" s="21"/>
    </row>
    <row r="1780" spans="2:4" x14ac:dyDescent="0.25">
      <c r="B1780" s="21"/>
      <c r="C1780" s="21"/>
      <c r="D1780" s="21"/>
    </row>
    <row r="1781" spans="2:4" x14ac:dyDescent="0.25">
      <c r="B1781" s="21"/>
      <c r="C1781" s="21"/>
      <c r="D1781" s="21"/>
    </row>
    <row r="1782" spans="2:4" x14ac:dyDescent="0.25">
      <c r="B1782" s="21"/>
      <c r="C1782" s="21"/>
      <c r="D1782" s="21"/>
    </row>
    <row r="1783" spans="2:4" x14ac:dyDescent="0.25">
      <c r="B1783" s="21"/>
      <c r="C1783" s="21"/>
      <c r="D1783" s="21"/>
    </row>
    <row r="1784" spans="2:4" x14ac:dyDescent="0.25">
      <c r="B1784" s="21"/>
      <c r="C1784" s="21"/>
      <c r="D1784" s="21"/>
    </row>
    <row r="1785" spans="2:4" x14ac:dyDescent="0.25">
      <c r="B1785" s="21"/>
      <c r="C1785" s="21"/>
      <c r="D1785" s="21"/>
    </row>
    <row r="1786" spans="2:4" x14ac:dyDescent="0.25">
      <c r="B1786" s="21"/>
      <c r="C1786" s="21"/>
      <c r="D1786" s="21"/>
    </row>
    <row r="1787" spans="2:4" x14ac:dyDescent="0.25">
      <c r="B1787" s="21"/>
      <c r="C1787" s="21"/>
      <c r="D1787" s="21"/>
    </row>
    <row r="1788" spans="2:4" x14ac:dyDescent="0.25">
      <c r="B1788" s="21"/>
      <c r="C1788" s="21"/>
      <c r="D1788" s="21"/>
    </row>
    <row r="1789" spans="2:4" x14ac:dyDescent="0.25">
      <c r="B1789" s="21"/>
      <c r="C1789" s="21"/>
      <c r="D1789" s="21"/>
    </row>
    <row r="1790" spans="2:4" x14ac:dyDescent="0.25">
      <c r="B1790" s="21"/>
      <c r="C1790" s="21"/>
      <c r="D1790" s="21"/>
    </row>
    <row r="1791" spans="2:4" x14ac:dyDescent="0.25">
      <c r="B1791" s="21"/>
      <c r="C1791" s="21"/>
      <c r="D1791" s="21"/>
    </row>
    <row r="1792" spans="2:4" x14ac:dyDescent="0.25">
      <c r="B1792" s="21"/>
      <c r="C1792" s="21"/>
      <c r="D1792" s="21"/>
    </row>
    <row r="1793" spans="2:4" x14ac:dyDescent="0.25">
      <c r="B1793" s="21"/>
      <c r="C1793" s="21"/>
      <c r="D1793" s="21"/>
    </row>
    <row r="1794" spans="2:4" x14ac:dyDescent="0.25">
      <c r="B1794" s="21"/>
      <c r="C1794" s="21"/>
      <c r="D1794" s="21"/>
    </row>
    <row r="1795" spans="2:4" x14ac:dyDescent="0.25">
      <c r="B1795" s="21"/>
      <c r="C1795" s="21"/>
      <c r="D1795" s="21"/>
    </row>
    <row r="1796" spans="2:4" x14ac:dyDescent="0.25">
      <c r="B1796" s="21"/>
      <c r="C1796" s="21"/>
      <c r="D1796" s="21"/>
    </row>
    <row r="1797" spans="2:4" x14ac:dyDescent="0.25">
      <c r="B1797" s="21"/>
      <c r="C1797" s="21"/>
      <c r="D1797" s="21"/>
    </row>
    <row r="1798" spans="2:4" x14ac:dyDescent="0.25">
      <c r="B1798" s="21"/>
      <c r="C1798" s="21"/>
      <c r="D1798" s="21"/>
    </row>
    <row r="1799" spans="2:4" x14ac:dyDescent="0.25">
      <c r="B1799" s="21"/>
      <c r="C1799" s="21"/>
      <c r="D1799" s="21"/>
    </row>
    <row r="1800" spans="2:4" x14ac:dyDescent="0.25">
      <c r="B1800" s="21"/>
      <c r="C1800" s="21"/>
      <c r="D1800" s="21"/>
    </row>
    <row r="1801" spans="2:4" x14ac:dyDescent="0.25">
      <c r="B1801" s="21"/>
      <c r="C1801" s="21"/>
      <c r="D1801" s="21"/>
    </row>
    <row r="1802" spans="2:4" x14ac:dyDescent="0.25">
      <c r="B1802" s="21"/>
      <c r="C1802" s="21"/>
      <c r="D1802" s="21"/>
    </row>
    <row r="1803" spans="2:4" x14ac:dyDescent="0.25">
      <c r="B1803" s="21"/>
      <c r="C1803" s="21"/>
      <c r="D1803" s="21"/>
    </row>
    <row r="1804" spans="2:4" x14ac:dyDescent="0.25">
      <c r="B1804" s="21"/>
      <c r="C1804" s="21"/>
      <c r="D1804" s="21"/>
    </row>
    <row r="1805" spans="2:4" x14ac:dyDescent="0.25">
      <c r="B1805" s="21"/>
      <c r="C1805" s="21"/>
      <c r="D1805" s="21"/>
    </row>
    <row r="1806" spans="2:4" x14ac:dyDescent="0.25">
      <c r="B1806" s="21"/>
      <c r="C1806" s="21"/>
      <c r="D1806" s="21"/>
    </row>
    <row r="1807" spans="2:4" x14ac:dyDescent="0.25">
      <c r="B1807" s="21"/>
      <c r="C1807" s="21"/>
      <c r="D1807" s="21"/>
    </row>
    <row r="1808" spans="2:4" x14ac:dyDescent="0.25">
      <c r="B1808" s="21"/>
      <c r="C1808" s="21"/>
      <c r="D1808" s="21"/>
    </row>
    <row r="1809" spans="2:4" x14ac:dyDescent="0.25">
      <c r="B1809" s="21"/>
      <c r="C1809" s="21"/>
      <c r="D1809" s="21"/>
    </row>
    <row r="1810" spans="2:4" x14ac:dyDescent="0.25">
      <c r="B1810" s="21"/>
      <c r="C1810" s="21"/>
      <c r="D1810" s="21"/>
    </row>
    <row r="1811" spans="2:4" x14ac:dyDescent="0.25">
      <c r="B1811" s="21"/>
      <c r="C1811" s="21"/>
      <c r="D1811" s="21"/>
    </row>
    <row r="1812" spans="2:4" x14ac:dyDescent="0.25">
      <c r="B1812" s="21"/>
      <c r="C1812" s="21"/>
      <c r="D1812" s="21"/>
    </row>
    <row r="1813" spans="2:4" x14ac:dyDescent="0.25">
      <c r="B1813" s="21"/>
      <c r="C1813" s="21"/>
      <c r="D1813" s="21"/>
    </row>
    <row r="1814" spans="2:4" x14ac:dyDescent="0.25">
      <c r="B1814" s="21"/>
      <c r="C1814" s="21"/>
      <c r="D1814" s="21"/>
    </row>
    <row r="1815" spans="2:4" x14ac:dyDescent="0.25">
      <c r="B1815" s="21"/>
      <c r="C1815" s="21"/>
      <c r="D1815" s="21"/>
    </row>
    <row r="1816" spans="2:4" x14ac:dyDescent="0.25">
      <c r="B1816" s="21"/>
      <c r="C1816" s="21"/>
      <c r="D1816" s="21"/>
    </row>
    <row r="1817" spans="2:4" x14ac:dyDescent="0.25">
      <c r="B1817" s="21"/>
      <c r="C1817" s="21"/>
      <c r="D1817" s="21"/>
    </row>
    <row r="1818" spans="2:4" x14ac:dyDescent="0.25">
      <c r="B1818" s="21"/>
      <c r="C1818" s="21"/>
      <c r="D1818" s="21"/>
    </row>
    <row r="1819" spans="2:4" x14ac:dyDescent="0.25">
      <c r="B1819" s="21"/>
      <c r="C1819" s="21"/>
      <c r="D1819" s="21"/>
    </row>
    <row r="1820" spans="2:4" x14ac:dyDescent="0.25">
      <c r="B1820" s="21"/>
      <c r="C1820" s="21"/>
      <c r="D1820" s="21"/>
    </row>
    <row r="1821" spans="2:4" x14ac:dyDescent="0.25">
      <c r="B1821" s="21"/>
      <c r="C1821" s="21"/>
      <c r="D1821" s="21"/>
    </row>
    <row r="1822" spans="2:4" x14ac:dyDescent="0.25">
      <c r="B1822" s="21"/>
      <c r="C1822" s="21"/>
      <c r="D1822" s="21"/>
    </row>
    <row r="1823" spans="2:4" x14ac:dyDescent="0.25">
      <c r="B1823" s="21"/>
      <c r="C1823" s="21"/>
      <c r="D1823" s="21"/>
    </row>
    <row r="1824" spans="2:4" x14ac:dyDescent="0.25">
      <c r="B1824" s="21"/>
      <c r="C1824" s="21"/>
      <c r="D1824" s="21"/>
    </row>
    <row r="1825" spans="2:4" x14ac:dyDescent="0.25">
      <c r="B1825" s="21"/>
      <c r="C1825" s="21"/>
      <c r="D1825" s="21"/>
    </row>
    <row r="1826" spans="2:4" x14ac:dyDescent="0.25">
      <c r="B1826" s="21"/>
      <c r="C1826" s="21"/>
      <c r="D1826" s="21"/>
    </row>
    <row r="1827" spans="2:4" x14ac:dyDescent="0.25">
      <c r="B1827" s="21"/>
      <c r="C1827" s="21"/>
      <c r="D1827" s="21"/>
    </row>
    <row r="1828" spans="2:4" x14ac:dyDescent="0.25">
      <c r="B1828" s="21"/>
      <c r="C1828" s="21"/>
      <c r="D1828" s="21"/>
    </row>
    <row r="1829" spans="2:4" x14ac:dyDescent="0.25">
      <c r="B1829" s="21"/>
      <c r="C1829" s="21"/>
      <c r="D1829" s="21"/>
    </row>
    <row r="1830" spans="2:4" x14ac:dyDescent="0.25">
      <c r="B1830" s="21"/>
      <c r="C1830" s="21"/>
      <c r="D1830" s="21"/>
    </row>
    <row r="1831" spans="2:4" x14ac:dyDescent="0.25">
      <c r="B1831" s="21"/>
      <c r="C1831" s="21"/>
      <c r="D1831" s="21"/>
    </row>
    <row r="1832" spans="2:4" x14ac:dyDescent="0.25">
      <c r="B1832" s="21"/>
      <c r="C1832" s="21"/>
      <c r="D1832" s="21"/>
    </row>
    <row r="1833" spans="2:4" x14ac:dyDescent="0.25">
      <c r="B1833" s="21"/>
      <c r="C1833" s="21"/>
      <c r="D1833" s="21"/>
    </row>
    <row r="1834" spans="2:4" x14ac:dyDescent="0.25">
      <c r="B1834" s="21"/>
      <c r="C1834" s="21"/>
      <c r="D1834" s="21"/>
    </row>
    <row r="1835" spans="2:4" x14ac:dyDescent="0.25">
      <c r="B1835" s="21"/>
      <c r="C1835" s="21"/>
      <c r="D1835" s="21"/>
    </row>
    <row r="1836" spans="2:4" x14ac:dyDescent="0.25">
      <c r="B1836" s="21"/>
      <c r="C1836" s="21"/>
      <c r="D1836" s="21"/>
    </row>
    <row r="1837" spans="2:4" x14ac:dyDescent="0.25">
      <c r="B1837" s="21"/>
      <c r="C1837" s="21"/>
      <c r="D1837" s="21"/>
    </row>
    <row r="1838" spans="2:4" x14ac:dyDescent="0.25">
      <c r="B1838" s="21"/>
      <c r="C1838" s="21"/>
      <c r="D1838" s="21"/>
    </row>
    <row r="1839" spans="2:4" x14ac:dyDescent="0.25">
      <c r="B1839" s="21"/>
      <c r="C1839" s="21"/>
      <c r="D1839" s="21"/>
    </row>
    <row r="1840" spans="2:4" x14ac:dyDescent="0.25">
      <c r="B1840" s="21"/>
      <c r="C1840" s="21"/>
      <c r="D1840" s="21"/>
    </row>
    <row r="1841" spans="2:4" x14ac:dyDescent="0.25">
      <c r="B1841" s="21"/>
      <c r="C1841" s="21"/>
      <c r="D1841" s="21"/>
    </row>
    <row r="1842" spans="2:4" x14ac:dyDescent="0.25">
      <c r="B1842" s="21"/>
      <c r="C1842" s="21"/>
      <c r="D1842" s="21"/>
    </row>
    <row r="1843" spans="2:4" x14ac:dyDescent="0.25">
      <c r="B1843" s="21"/>
      <c r="C1843" s="21"/>
      <c r="D1843" s="21"/>
    </row>
    <row r="1844" spans="2:4" x14ac:dyDescent="0.25">
      <c r="B1844" s="21"/>
      <c r="C1844" s="21"/>
      <c r="D1844" s="21"/>
    </row>
    <row r="1845" spans="2:4" x14ac:dyDescent="0.25">
      <c r="B1845" s="21"/>
      <c r="C1845" s="21"/>
      <c r="D1845" s="21"/>
    </row>
    <row r="1846" spans="2:4" x14ac:dyDescent="0.25">
      <c r="B1846" s="21"/>
      <c r="C1846" s="21"/>
      <c r="D1846" s="21"/>
    </row>
    <row r="1847" spans="2:4" x14ac:dyDescent="0.25">
      <c r="B1847" s="21"/>
      <c r="C1847" s="21"/>
      <c r="D1847" s="21"/>
    </row>
    <row r="1848" spans="2:4" x14ac:dyDescent="0.25">
      <c r="B1848" s="21"/>
      <c r="C1848" s="21"/>
      <c r="D1848" s="21"/>
    </row>
    <row r="1849" spans="2:4" x14ac:dyDescent="0.25">
      <c r="B1849" s="21"/>
      <c r="C1849" s="21"/>
      <c r="D1849" s="21"/>
    </row>
    <row r="1850" spans="2:4" x14ac:dyDescent="0.25">
      <c r="B1850" s="21"/>
      <c r="C1850" s="21"/>
      <c r="D1850" s="21"/>
    </row>
    <row r="1851" spans="2:4" x14ac:dyDescent="0.25">
      <c r="B1851" s="21"/>
      <c r="C1851" s="21"/>
      <c r="D1851" s="21"/>
    </row>
    <row r="1852" spans="2:4" x14ac:dyDescent="0.25">
      <c r="B1852" s="21"/>
      <c r="C1852" s="21"/>
      <c r="D1852" s="21"/>
    </row>
    <row r="1853" spans="2:4" x14ac:dyDescent="0.25">
      <c r="B1853" s="21"/>
      <c r="C1853" s="21"/>
      <c r="D1853" s="21"/>
    </row>
    <row r="1854" spans="2:4" x14ac:dyDescent="0.25">
      <c r="B1854" s="21"/>
      <c r="C1854" s="21"/>
      <c r="D1854" s="21"/>
    </row>
    <row r="1855" spans="2:4" x14ac:dyDescent="0.25">
      <c r="B1855" s="21"/>
      <c r="C1855" s="21"/>
      <c r="D1855" s="21"/>
    </row>
    <row r="1856" spans="2:4" x14ac:dyDescent="0.25">
      <c r="B1856" s="21"/>
      <c r="C1856" s="21"/>
      <c r="D1856" s="21"/>
    </row>
    <row r="1857" spans="2:4" x14ac:dyDescent="0.25">
      <c r="B1857" s="21"/>
      <c r="C1857" s="21"/>
      <c r="D1857" s="21"/>
    </row>
    <row r="1858" spans="2:4" x14ac:dyDescent="0.25">
      <c r="B1858" s="21"/>
      <c r="C1858" s="21"/>
      <c r="D1858" s="21"/>
    </row>
    <row r="1859" spans="2:4" x14ac:dyDescent="0.25">
      <c r="B1859" s="21"/>
      <c r="C1859" s="21"/>
      <c r="D1859" s="21"/>
    </row>
    <row r="1860" spans="2:4" x14ac:dyDescent="0.25">
      <c r="B1860" s="21"/>
      <c r="C1860" s="21"/>
      <c r="D1860" s="21"/>
    </row>
    <row r="1861" spans="2:4" x14ac:dyDescent="0.25">
      <c r="B1861" s="21"/>
      <c r="C1861" s="21"/>
      <c r="D1861" s="21"/>
    </row>
    <row r="1862" spans="2:4" x14ac:dyDescent="0.25">
      <c r="B1862" s="21"/>
      <c r="C1862" s="21"/>
      <c r="D1862" s="21"/>
    </row>
    <row r="1863" spans="2:4" x14ac:dyDescent="0.25">
      <c r="B1863" s="21"/>
      <c r="C1863" s="21"/>
      <c r="D1863" s="21"/>
    </row>
    <row r="1864" spans="2:4" x14ac:dyDescent="0.25">
      <c r="B1864" s="21"/>
      <c r="C1864" s="21"/>
      <c r="D1864" s="21"/>
    </row>
    <row r="1865" spans="2:4" x14ac:dyDescent="0.25">
      <c r="B1865" s="21"/>
      <c r="C1865" s="21"/>
      <c r="D1865" s="21"/>
    </row>
    <row r="1866" spans="2:4" x14ac:dyDescent="0.25">
      <c r="B1866" s="21"/>
      <c r="C1866" s="21"/>
      <c r="D1866" s="21"/>
    </row>
    <row r="1867" spans="2:4" x14ac:dyDescent="0.25">
      <c r="B1867" s="21"/>
      <c r="C1867" s="21"/>
      <c r="D1867" s="21"/>
    </row>
    <row r="1868" spans="2:4" x14ac:dyDescent="0.25">
      <c r="B1868" s="21"/>
      <c r="C1868" s="21"/>
      <c r="D1868" s="21"/>
    </row>
    <row r="1869" spans="2:4" x14ac:dyDescent="0.25">
      <c r="B1869" s="21"/>
      <c r="C1869" s="21"/>
      <c r="D1869" s="21"/>
    </row>
    <row r="1870" spans="2:4" x14ac:dyDescent="0.25">
      <c r="B1870" s="21"/>
      <c r="C1870" s="21"/>
      <c r="D1870" s="21"/>
    </row>
    <row r="1871" spans="2:4" x14ac:dyDescent="0.25">
      <c r="B1871" s="21"/>
      <c r="C1871" s="21"/>
      <c r="D1871" s="21"/>
    </row>
    <row r="1872" spans="2:4" x14ac:dyDescent="0.25">
      <c r="B1872" s="21"/>
      <c r="C1872" s="21"/>
      <c r="D1872" s="21"/>
    </row>
    <row r="1873" spans="2:4" x14ac:dyDescent="0.25">
      <c r="B1873" s="21"/>
      <c r="C1873" s="21"/>
      <c r="D1873" s="21"/>
    </row>
    <row r="1874" spans="2:4" x14ac:dyDescent="0.25">
      <c r="B1874" s="21"/>
      <c r="C1874" s="21"/>
      <c r="D1874" s="21"/>
    </row>
    <row r="1875" spans="2:4" x14ac:dyDescent="0.25">
      <c r="B1875" s="21"/>
      <c r="C1875" s="21"/>
      <c r="D1875" s="21"/>
    </row>
    <row r="1876" spans="2:4" x14ac:dyDescent="0.25">
      <c r="B1876" s="21"/>
      <c r="C1876" s="21"/>
      <c r="D1876" s="21"/>
    </row>
    <row r="1877" spans="2:4" x14ac:dyDescent="0.25">
      <c r="B1877" s="21"/>
      <c r="C1877" s="21"/>
      <c r="D1877" s="21"/>
    </row>
    <row r="1878" spans="2:4" x14ac:dyDescent="0.25">
      <c r="B1878" s="21"/>
      <c r="C1878" s="21"/>
      <c r="D1878" s="21"/>
    </row>
    <row r="1879" spans="2:4" x14ac:dyDescent="0.25">
      <c r="B1879" s="21"/>
      <c r="C1879" s="21"/>
      <c r="D1879" s="21"/>
    </row>
    <row r="1880" spans="2:4" x14ac:dyDescent="0.25">
      <c r="B1880" s="21"/>
      <c r="C1880" s="21"/>
      <c r="D1880" s="21"/>
    </row>
    <row r="1881" spans="2:4" x14ac:dyDescent="0.25">
      <c r="B1881" s="21"/>
      <c r="C1881" s="21"/>
      <c r="D1881" s="21"/>
    </row>
    <row r="1882" spans="2:4" x14ac:dyDescent="0.25">
      <c r="B1882" s="21"/>
      <c r="C1882" s="21"/>
      <c r="D1882" s="21"/>
    </row>
    <row r="1883" spans="2:4" x14ac:dyDescent="0.25">
      <c r="B1883" s="21"/>
      <c r="C1883" s="21"/>
      <c r="D1883" s="21"/>
    </row>
    <row r="1884" spans="2:4" x14ac:dyDescent="0.25">
      <c r="B1884" s="21"/>
      <c r="C1884" s="21"/>
      <c r="D1884" s="21"/>
    </row>
    <row r="1885" spans="2:4" x14ac:dyDescent="0.25">
      <c r="B1885" s="21"/>
      <c r="C1885" s="21"/>
      <c r="D1885" s="21"/>
    </row>
    <row r="1886" spans="2:4" x14ac:dyDescent="0.25">
      <c r="B1886" s="21"/>
      <c r="C1886" s="21"/>
      <c r="D1886" s="21"/>
    </row>
    <row r="1887" spans="2:4" x14ac:dyDescent="0.25">
      <c r="B1887" s="21"/>
      <c r="C1887" s="21"/>
      <c r="D1887" s="21"/>
    </row>
    <row r="1888" spans="2:4" x14ac:dyDescent="0.25">
      <c r="B1888" s="21"/>
      <c r="C1888" s="21"/>
      <c r="D1888" s="21"/>
    </row>
    <row r="1889" spans="2:4" x14ac:dyDescent="0.25">
      <c r="B1889" s="21"/>
      <c r="C1889" s="21"/>
      <c r="D1889" s="21"/>
    </row>
    <row r="1890" spans="2:4" x14ac:dyDescent="0.25">
      <c r="B1890" s="21"/>
      <c r="C1890" s="21"/>
      <c r="D1890" s="21"/>
    </row>
    <row r="1891" spans="2:4" x14ac:dyDescent="0.25">
      <c r="B1891" s="21"/>
      <c r="C1891" s="21"/>
      <c r="D1891" s="21"/>
    </row>
    <row r="1892" spans="2:4" x14ac:dyDescent="0.25">
      <c r="B1892" s="21"/>
      <c r="C1892" s="21"/>
      <c r="D1892" s="21"/>
    </row>
    <row r="1893" spans="2:4" x14ac:dyDescent="0.25">
      <c r="B1893" s="21"/>
      <c r="C1893" s="21"/>
      <c r="D1893" s="21"/>
    </row>
    <row r="1894" spans="2:4" x14ac:dyDescent="0.25">
      <c r="B1894" s="21"/>
      <c r="C1894" s="21"/>
      <c r="D1894" s="21"/>
    </row>
    <row r="1895" spans="2:4" x14ac:dyDescent="0.25">
      <c r="B1895" s="21"/>
      <c r="C1895" s="21"/>
      <c r="D1895" s="21"/>
    </row>
    <row r="1896" spans="2:4" x14ac:dyDescent="0.25">
      <c r="B1896" s="21"/>
      <c r="C1896" s="21"/>
      <c r="D1896" s="21"/>
    </row>
    <row r="1897" spans="2:4" x14ac:dyDescent="0.25">
      <c r="B1897" s="21"/>
      <c r="C1897" s="21"/>
      <c r="D1897" s="21"/>
    </row>
    <row r="1898" spans="2:4" x14ac:dyDescent="0.25">
      <c r="B1898" s="21"/>
      <c r="C1898" s="21"/>
      <c r="D1898" s="21"/>
    </row>
    <row r="1899" spans="2:4" x14ac:dyDescent="0.25">
      <c r="B1899" s="21"/>
      <c r="C1899" s="21"/>
      <c r="D1899" s="21"/>
    </row>
    <row r="1900" spans="2:4" x14ac:dyDescent="0.25">
      <c r="B1900" s="21"/>
      <c r="C1900" s="21"/>
      <c r="D1900" s="21"/>
    </row>
    <row r="1901" spans="2:4" x14ac:dyDescent="0.25">
      <c r="B1901" s="21"/>
      <c r="C1901" s="21"/>
      <c r="D1901" s="21"/>
    </row>
    <row r="1902" spans="2:4" x14ac:dyDescent="0.25">
      <c r="B1902" s="21"/>
      <c r="C1902" s="21"/>
      <c r="D1902" s="21"/>
    </row>
    <row r="1903" spans="2:4" x14ac:dyDescent="0.25">
      <c r="B1903" s="21"/>
      <c r="C1903" s="21"/>
      <c r="D1903" s="21"/>
    </row>
    <row r="1904" spans="2:4" x14ac:dyDescent="0.25">
      <c r="B1904" s="21"/>
      <c r="C1904" s="21"/>
      <c r="D1904" s="21"/>
    </row>
    <row r="1905" spans="2:4" x14ac:dyDescent="0.25">
      <c r="B1905" s="21"/>
      <c r="C1905" s="21"/>
      <c r="D1905" s="21"/>
    </row>
    <row r="1906" spans="2:4" x14ac:dyDescent="0.25">
      <c r="B1906" s="21"/>
      <c r="C1906" s="21"/>
      <c r="D1906" s="21"/>
    </row>
    <row r="1907" spans="2:4" x14ac:dyDescent="0.25">
      <c r="B1907" s="21"/>
      <c r="C1907" s="21"/>
      <c r="D1907" s="21"/>
    </row>
    <row r="1908" spans="2:4" x14ac:dyDescent="0.25">
      <c r="B1908" s="21"/>
      <c r="C1908" s="21"/>
      <c r="D1908" s="21"/>
    </row>
    <row r="1909" spans="2:4" x14ac:dyDescent="0.25">
      <c r="B1909" s="21"/>
      <c r="C1909" s="21"/>
      <c r="D1909" s="21"/>
    </row>
    <row r="1910" spans="2:4" x14ac:dyDescent="0.25">
      <c r="B1910" s="21"/>
      <c r="C1910" s="21"/>
      <c r="D1910" s="21"/>
    </row>
    <row r="1911" spans="2:4" x14ac:dyDescent="0.25">
      <c r="B1911" s="21"/>
      <c r="C1911" s="21"/>
      <c r="D1911" s="21"/>
    </row>
    <row r="1912" spans="2:4" x14ac:dyDescent="0.25">
      <c r="B1912" s="21"/>
      <c r="C1912" s="21"/>
      <c r="D1912" s="21"/>
    </row>
    <row r="1913" spans="2:4" x14ac:dyDescent="0.25">
      <c r="B1913" s="21"/>
      <c r="C1913" s="21"/>
      <c r="D1913" s="21"/>
    </row>
    <row r="1914" spans="2:4" x14ac:dyDescent="0.25">
      <c r="B1914" s="21"/>
      <c r="C1914" s="21"/>
      <c r="D1914" s="21"/>
    </row>
    <row r="1915" spans="2:4" x14ac:dyDescent="0.25">
      <c r="B1915" s="21"/>
      <c r="C1915" s="21"/>
      <c r="D1915" s="21"/>
    </row>
    <row r="1916" spans="2:4" x14ac:dyDescent="0.25">
      <c r="B1916" s="21"/>
      <c r="C1916" s="21"/>
      <c r="D1916" s="21"/>
    </row>
    <row r="1917" spans="2:4" x14ac:dyDescent="0.25">
      <c r="B1917" s="21"/>
      <c r="C1917" s="21"/>
      <c r="D1917" s="21"/>
    </row>
    <row r="1918" spans="2:4" x14ac:dyDescent="0.25">
      <c r="B1918" s="21"/>
      <c r="C1918" s="21"/>
      <c r="D1918" s="21"/>
    </row>
    <row r="1919" spans="2:4" x14ac:dyDescent="0.25">
      <c r="B1919" s="21"/>
      <c r="C1919" s="21"/>
      <c r="D1919" s="21"/>
    </row>
    <row r="1920" spans="2:4" x14ac:dyDescent="0.25">
      <c r="B1920" s="21"/>
      <c r="C1920" s="21"/>
      <c r="D1920" s="21"/>
    </row>
    <row r="1921" spans="2:4" x14ac:dyDescent="0.25">
      <c r="B1921" s="21"/>
      <c r="C1921" s="21"/>
      <c r="D1921" s="21"/>
    </row>
    <row r="1922" spans="2:4" x14ac:dyDescent="0.25">
      <c r="B1922" s="21"/>
      <c r="C1922" s="21"/>
      <c r="D1922" s="21"/>
    </row>
    <row r="1923" spans="2:4" x14ac:dyDescent="0.25">
      <c r="B1923" s="21"/>
      <c r="C1923" s="21"/>
      <c r="D1923" s="21"/>
    </row>
    <row r="1924" spans="2:4" x14ac:dyDescent="0.25">
      <c r="B1924" s="21"/>
      <c r="C1924" s="21"/>
      <c r="D1924" s="21"/>
    </row>
    <row r="1925" spans="2:4" x14ac:dyDescent="0.25">
      <c r="B1925" s="21"/>
      <c r="C1925" s="21"/>
      <c r="D1925" s="21"/>
    </row>
    <row r="1926" spans="2:4" x14ac:dyDescent="0.25">
      <c r="B1926" s="21"/>
      <c r="C1926" s="21"/>
      <c r="D1926" s="21"/>
    </row>
    <row r="1927" spans="2:4" x14ac:dyDescent="0.25">
      <c r="B1927" s="21"/>
      <c r="C1927" s="21"/>
      <c r="D1927" s="21"/>
    </row>
    <row r="1928" spans="2:4" x14ac:dyDescent="0.25">
      <c r="B1928" s="21"/>
      <c r="C1928" s="21"/>
      <c r="D1928" s="21"/>
    </row>
    <row r="1929" spans="2:4" x14ac:dyDescent="0.25">
      <c r="B1929" s="21"/>
      <c r="C1929" s="21"/>
      <c r="D1929" s="21"/>
    </row>
    <row r="1930" spans="2:4" x14ac:dyDescent="0.25">
      <c r="B1930" s="21"/>
      <c r="C1930" s="21"/>
      <c r="D1930" s="21"/>
    </row>
    <row r="1931" spans="2:4" x14ac:dyDescent="0.25">
      <c r="B1931" s="21"/>
      <c r="C1931" s="21"/>
      <c r="D1931" s="21"/>
    </row>
    <row r="1932" spans="2:4" x14ac:dyDescent="0.25">
      <c r="B1932" s="21"/>
      <c r="C1932" s="21"/>
      <c r="D1932" s="21"/>
    </row>
    <row r="1933" spans="2:4" x14ac:dyDescent="0.25">
      <c r="B1933" s="21"/>
      <c r="C1933" s="21"/>
      <c r="D1933" s="21"/>
    </row>
    <row r="1934" spans="2:4" x14ac:dyDescent="0.25">
      <c r="B1934" s="21"/>
      <c r="C1934" s="21"/>
      <c r="D1934" s="21"/>
    </row>
    <row r="1935" spans="2:4" x14ac:dyDescent="0.25">
      <c r="B1935" s="21"/>
      <c r="C1935" s="21"/>
      <c r="D1935" s="21"/>
    </row>
    <row r="1936" spans="2:4" x14ac:dyDescent="0.25">
      <c r="B1936" s="21"/>
      <c r="C1936" s="21"/>
      <c r="D1936" s="21"/>
    </row>
    <row r="1937" spans="2:4" x14ac:dyDescent="0.25">
      <c r="B1937" s="21"/>
      <c r="C1937" s="21"/>
      <c r="D1937" s="21"/>
    </row>
    <row r="1938" spans="2:4" x14ac:dyDescent="0.25">
      <c r="B1938" s="21"/>
      <c r="C1938" s="21"/>
      <c r="D1938" s="21"/>
    </row>
    <row r="1939" spans="2:4" x14ac:dyDescent="0.25">
      <c r="B1939" s="21"/>
      <c r="C1939" s="21"/>
      <c r="D1939" s="21"/>
    </row>
    <row r="1940" spans="2:4" x14ac:dyDescent="0.25">
      <c r="B1940" s="21"/>
      <c r="C1940" s="21"/>
      <c r="D1940" s="21"/>
    </row>
    <row r="1941" spans="2:4" x14ac:dyDescent="0.25">
      <c r="B1941" s="21"/>
      <c r="C1941" s="21"/>
      <c r="D1941" s="21"/>
    </row>
    <row r="1942" spans="2:4" x14ac:dyDescent="0.25">
      <c r="B1942" s="21"/>
      <c r="C1942" s="21"/>
      <c r="D1942" s="21"/>
    </row>
    <row r="1943" spans="2:4" x14ac:dyDescent="0.25">
      <c r="B1943" s="21"/>
      <c r="C1943" s="21"/>
      <c r="D1943" s="21"/>
    </row>
    <row r="1944" spans="2:4" x14ac:dyDescent="0.25">
      <c r="B1944" s="21"/>
      <c r="C1944" s="21"/>
      <c r="D1944" s="21"/>
    </row>
    <row r="1945" spans="2:4" x14ac:dyDescent="0.25">
      <c r="B1945" s="21"/>
      <c r="C1945" s="21"/>
      <c r="D1945" s="21"/>
    </row>
    <row r="1946" spans="2:4" x14ac:dyDescent="0.25">
      <c r="B1946" s="21"/>
      <c r="C1946" s="21"/>
      <c r="D1946" s="21"/>
    </row>
    <row r="1947" spans="2:4" x14ac:dyDescent="0.25">
      <c r="B1947" s="21"/>
      <c r="C1947" s="21"/>
      <c r="D1947" s="21"/>
    </row>
    <row r="1948" spans="2:4" x14ac:dyDescent="0.25">
      <c r="B1948" s="21"/>
      <c r="C1948" s="21"/>
      <c r="D1948" s="21"/>
    </row>
    <row r="1949" spans="2:4" x14ac:dyDescent="0.25">
      <c r="B1949" s="21"/>
      <c r="C1949" s="21"/>
      <c r="D1949" s="21"/>
    </row>
    <row r="1950" spans="2:4" x14ac:dyDescent="0.25">
      <c r="B1950" s="21"/>
      <c r="C1950" s="21"/>
      <c r="D1950" s="21"/>
    </row>
    <row r="1951" spans="2:4" x14ac:dyDescent="0.25">
      <c r="B1951" s="21"/>
      <c r="C1951" s="21"/>
      <c r="D1951" s="21"/>
    </row>
    <row r="1952" spans="2:4" x14ac:dyDescent="0.25">
      <c r="B1952" s="21"/>
      <c r="C1952" s="21"/>
      <c r="D1952" s="21"/>
    </row>
    <row r="1953" spans="2:4" x14ac:dyDescent="0.25">
      <c r="B1953" s="21"/>
      <c r="C1953" s="21"/>
      <c r="D1953" s="21"/>
    </row>
    <row r="1954" spans="2:4" x14ac:dyDescent="0.25">
      <c r="B1954" s="21"/>
      <c r="C1954" s="21"/>
      <c r="D1954" s="21"/>
    </row>
    <row r="1955" spans="2:4" x14ac:dyDescent="0.25">
      <c r="B1955" s="21"/>
      <c r="C1955" s="21"/>
      <c r="D1955" s="21"/>
    </row>
    <row r="1956" spans="2:4" x14ac:dyDescent="0.25">
      <c r="B1956" s="21"/>
      <c r="C1956" s="21"/>
      <c r="D1956" s="21"/>
    </row>
    <row r="1957" spans="2:4" x14ac:dyDescent="0.25">
      <c r="B1957" s="21"/>
      <c r="C1957" s="21"/>
      <c r="D1957" s="21"/>
    </row>
    <row r="1958" spans="2:4" x14ac:dyDescent="0.25">
      <c r="B1958" s="21"/>
      <c r="C1958" s="21"/>
      <c r="D1958" s="21"/>
    </row>
    <row r="1959" spans="2:4" x14ac:dyDescent="0.25">
      <c r="B1959" s="21"/>
      <c r="C1959" s="21"/>
      <c r="D1959" s="21"/>
    </row>
    <row r="1960" spans="2:4" x14ac:dyDescent="0.25">
      <c r="B1960" s="21"/>
      <c r="C1960" s="21"/>
      <c r="D1960" s="21"/>
    </row>
    <row r="1961" spans="2:4" x14ac:dyDescent="0.25">
      <c r="B1961" s="21"/>
      <c r="C1961" s="21"/>
      <c r="D1961" s="21"/>
    </row>
    <row r="1962" spans="2:4" x14ac:dyDescent="0.25">
      <c r="B1962" s="21"/>
      <c r="C1962" s="21"/>
      <c r="D1962" s="21"/>
    </row>
    <row r="1963" spans="2:4" x14ac:dyDescent="0.25">
      <c r="B1963" s="21"/>
      <c r="C1963" s="21"/>
      <c r="D1963" s="21"/>
    </row>
    <row r="1964" spans="2:4" x14ac:dyDescent="0.25">
      <c r="B1964" s="21"/>
      <c r="C1964" s="21"/>
      <c r="D1964" s="21"/>
    </row>
    <row r="1965" spans="2:4" x14ac:dyDescent="0.25">
      <c r="B1965" s="21"/>
      <c r="C1965" s="21"/>
      <c r="D1965" s="21"/>
    </row>
    <row r="1966" spans="2:4" x14ac:dyDescent="0.25">
      <c r="B1966" s="21"/>
      <c r="C1966" s="21"/>
      <c r="D1966" s="21"/>
    </row>
    <row r="1967" spans="2:4" x14ac:dyDescent="0.25">
      <c r="B1967" s="21"/>
      <c r="C1967" s="21"/>
      <c r="D1967" s="21"/>
    </row>
    <row r="1968" spans="2:4" x14ac:dyDescent="0.25">
      <c r="B1968" s="21"/>
      <c r="C1968" s="21"/>
      <c r="D1968" s="21"/>
    </row>
    <row r="1969" spans="2:4" x14ac:dyDescent="0.25">
      <c r="B1969" s="21"/>
      <c r="C1969" s="21"/>
      <c r="D1969" s="21"/>
    </row>
    <row r="1970" spans="2:4" x14ac:dyDescent="0.25">
      <c r="B1970" s="21"/>
      <c r="C1970" s="21"/>
      <c r="D1970" s="21"/>
    </row>
    <row r="1971" spans="2:4" x14ac:dyDescent="0.25">
      <c r="B1971" s="21"/>
      <c r="C1971" s="21"/>
      <c r="D1971" s="21"/>
    </row>
    <row r="1972" spans="2:4" x14ac:dyDescent="0.25">
      <c r="B1972" s="21"/>
      <c r="C1972" s="21"/>
      <c r="D1972" s="21"/>
    </row>
    <row r="1973" spans="2:4" x14ac:dyDescent="0.25">
      <c r="B1973" s="21"/>
      <c r="C1973" s="21"/>
      <c r="D1973" s="21"/>
    </row>
    <row r="1974" spans="2:4" x14ac:dyDescent="0.25">
      <c r="B1974" s="21"/>
      <c r="C1974" s="21"/>
      <c r="D1974" s="21"/>
    </row>
    <row r="1975" spans="2:4" x14ac:dyDescent="0.25">
      <c r="B1975" s="21"/>
      <c r="C1975" s="21"/>
      <c r="D1975" s="21"/>
    </row>
    <row r="1976" spans="2:4" x14ac:dyDescent="0.25">
      <c r="B1976" s="21"/>
      <c r="C1976" s="21"/>
      <c r="D1976" s="21"/>
    </row>
    <row r="1977" spans="2:4" x14ac:dyDescent="0.25">
      <c r="B1977" s="21"/>
      <c r="C1977" s="21"/>
      <c r="D1977" s="21"/>
    </row>
    <row r="1978" spans="2:4" x14ac:dyDescent="0.25">
      <c r="B1978" s="21"/>
      <c r="C1978" s="21"/>
      <c r="D1978" s="21"/>
    </row>
    <row r="1979" spans="2:4" x14ac:dyDescent="0.25">
      <c r="B1979" s="21"/>
      <c r="C1979" s="21"/>
      <c r="D1979" s="21"/>
    </row>
    <row r="1980" spans="2:4" x14ac:dyDescent="0.25">
      <c r="B1980" s="21"/>
      <c r="C1980" s="21"/>
      <c r="D1980" s="21"/>
    </row>
    <row r="1981" spans="2:4" x14ac:dyDescent="0.25">
      <c r="B1981" s="21"/>
      <c r="C1981" s="21"/>
      <c r="D1981" s="21"/>
    </row>
    <row r="1982" spans="2:4" x14ac:dyDescent="0.25">
      <c r="B1982" s="21"/>
      <c r="C1982" s="21"/>
      <c r="D1982" s="21"/>
    </row>
    <row r="1983" spans="2:4" x14ac:dyDescent="0.25">
      <c r="B1983" s="21"/>
      <c r="C1983" s="21"/>
      <c r="D1983" s="21"/>
    </row>
    <row r="1984" spans="2:4" x14ac:dyDescent="0.25">
      <c r="B1984" s="21"/>
      <c r="C1984" s="21"/>
      <c r="D1984" s="21"/>
    </row>
    <row r="1985" spans="2:4" x14ac:dyDescent="0.25">
      <c r="B1985" s="21"/>
      <c r="C1985" s="21"/>
      <c r="D1985" s="21"/>
    </row>
    <row r="1986" spans="2:4" x14ac:dyDescent="0.25">
      <c r="B1986" s="21"/>
      <c r="C1986" s="21"/>
      <c r="D1986" s="21"/>
    </row>
    <row r="1987" spans="2:4" x14ac:dyDescent="0.25">
      <c r="B1987" s="21"/>
      <c r="C1987" s="21"/>
      <c r="D1987" s="21"/>
    </row>
    <row r="1988" spans="2:4" x14ac:dyDescent="0.25">
      <c r="B1988" s="21"/>
      <c r="C1988" s="21"/>
      <c r="D1988" s="21"/>
    </row>
    <row r="1989" spans="2:4" x14ac:dyDescent="0.25">
      <c r="B1989" s="21"/>
      <c r="C1989" s="21"/>
      <c r="D1989" s="21"/>
    </row>
    <row r="1990" spans="2:4" x14ac:dyDescent="0.25">
      <c r="B1990" s="21"/>
      <c r="C1990" s="21"/>
      <c r="D1990" s="21"/>
    </row>
    <row r="1991" spans="2:4" x14ac:dyDescent="0.25">
      <c r="B1991" s="21"/>
      <c r="C1991" s="21"/>
      <c r="D1991" s="21"/>
    </row>
    <row r="1992" spans="2:4" x14ac:dyDescent="0.25">
      <c r="B1992" s="21"/>
      <c r="C1992" s="21"/>
      <c r="D1992" s="21"/>
    </row>
    <row r="1993" spans="2:4" x14ac:dyDescent="0.25">
      <c r="B1993" s="21"/>
      <c r="C1993" s="21"/>
      <c r="D1993" s="21"/>
    </row>
    <row r="1994" spans="2:4" x14ac:dyDescent="0.25">
      <c r="B1994" s="21"/>
      <c r="C1994" s="21"/>
      <c r="D1994" s="21"/>
    </row>
    <row r="1995" spans="2:4" x14ac:dyDescent="0.25">
      <c r="B1995" s="21"/>
      <c r="C1995" s="21"/>
      <c r="D1995" s="21"/>
    </row>
    <row r="1996" spans="2:4" x14ac:dyDescent="0.25">
      <c r="B1996" s="21"/>
      <c r="C1996" s="21"/>
      <c r="D1996" s="21"/>
    </row>
    <row r="1997" spans="2:4" x14ac:dyDescent="0.25">
      <c r="B1997" s="21"/>
      <c r="C1997" s="21"/>
      <c r="D1997" s="21"/>
    </row>
    <row r="1998" spans="2:4" x14ac:dyDescent="0.25">
      <c r="B1998" s="21"/>
      <c r="C1998" s="21"/>
      <c r="D1998" s="21"/>
    </row>
    <row r="1999" spans="2:4" x14ac:dyDescent="0.25">
      <c r="B1999" s="21"/>
      <c r="C1999" s="21"/>
      <c r="D1999" s="21"/>
    </row>
    <row r="2000" spans="2:4" x14ac:dyDescent="0.25">
      <c r="B2000" s="21"/>
      <c r="C2000" s="21"/>
      <c r="D2000" s="21"/>
    </row>
    <row r="2001" spans="2:4" x14ac:dyDescent="0.25">
      <c r="B2001" s="21"/>
      <c r="C2001" s="21"/>
      <c r="D2001" s="21"/>
    </row>
    <row r="2002" spans="2:4" x14ac:dyDescent="0.25">
      <c r="B2002" s="21"/>
      <c r="C2002" s="21"/>
      <c r="D2002" s="21"/>
    </row>
    <row r="2003" spans="2:4" x14ac:dyDescent="0.25">
      <c r="B2003" s="21"/>
      <c r="C2003" s="21"/>
      <c r="D2003" s="21"/>
    </row>
    <row r="2004" spans="2:4" x14ac:dyDescent="0.25">
      <c r="B2004" s="21"/>
      <c r="C2004" s="21"/>
      <c r="D2004" s="21"/>
    </row>
    <row r="2005" spans="2:4" x14ac:dyDescent="0.25">
      <c r="B2005" s="21"/>
      <c r="C2005" s="21"/>
      <c r="D2005" s="21"/>
    </row>
    <row r="2006" spans="2:4" x14ac:dyDescent="0.25">
      <c r="B2006" s="21"/>
      <c r="C2006" s="21"/>
      <c r="D2006" s="21"/>
    </row>
    <row r="2007" spans="2:4" x14ac:dyDescent="0.25">
      <c r="B2007" s="21"/>
      <c r="C2007" s="21"/>
      <c r="D2007" s="21"/>
    </row>
    <row r="2008" spans="2:4" x14ac:dyDescent="0.25">
      <c r="B2008" s="21"/>
      <c r="C2008" s="21"/>
      <c r="D2008" s="21"/>
    </row>
    <row r="2009" spans="2:4" x14ac:dyDescent="0.25">
      <c r="B2009" s="21"/>
      <c r="C2009" s="21"/>
      <c r="D2009" s="21"/>
    </row>
    <row r="2010" spans="2:4" x14ac:dyDescent="0.25">
      <c r="B2010" s="21"/>
      <c r="C2010" s="21"/>
      <c r="D2010" s="21"/>
    </row>
    <row r="2011" spans="2:4" x14ac:dyDescent="0.25">
      <c r="B2011" s="21"/>
      <c r="C2011" s="21"/>
      <c r="D2011" s="21"/>
    </row>
    <row r="2012" spans="2:4" x14ac:dyDescent="0.25">
      <c r="B2012" s="21"/>
      <c r="C2012" s="21"/>
      <c r="D2012" s="21"/>
    </row>
    <row r="2013" spans="2:4" x14ac:dyDescent="0.25">
      <c r="B2013" s="21"/>
      <c r="C2013" s="21"/>
      <c r="D2013" s="21"/>
    </row>
    <row r="2014" spans="2:4" x14ac:dyDescent="0.25">
      <c r="B2014" s="21"/>
      <c r="C2014" s="21"/>
      <c r="D2014" s="21"/>
    </row>
    <row r="2015" spans="2:4" x14ac:dyDescent="0.25">
      <c r="B2015" s="21"/>
      <c r="C2015" s="21"/>
      <c r="D2015" s="21"/>
    </row>
    <row r="2016" spans="2:4" x14ac:dyDescent="0.25">
      <c r="B2016" s="21"/>
      <c r="C2016" s="21"/>
      <c r="D2016" s="21"/>
    </row>
    <row r="2017" spans="2:4" x14ac:dyDescent="0.25">
      <c r="B2017" s="21"/>
      <c r="C2017" s="21"/>
      <c r="D2017" s="21"/>
    </row>
    <row r="2018" spans="2:4" x14ac:dyDescent="0.25">
      <c r="B2018" s="21"/>
      <c r="C2018" s="21"/>
      <c r="D2018" s="21"/>
    </row>
    <row r="2019" spans="2:4" x14ac:dyDescent="0.25">
      <c r="B2019" s="21"/>
      <c r="C2019" s="21"/>
      <c r="D2019" s="21"/>
    </row>
    <row r="2020" spans="2:4" x14ac:dyDescent="0.25">
      <c r="B2020" s="21"/>
      <c r="C2020" s="21"/>
      <c r="D2020" s="21"/>
    </row>
    <row r="2021" spans="2:4" x14ac:dyDescent="0.25">
      <c r="B2021" s="21"/>
      <c r="C2021" s="21"/>
      <c r="D2021" s="21"/>
    </row>
    <row r="2022" spans="2:4" x14ac:dyDescent="0.25">
      <c r="B2022" s="21"/>
      <c r="C2022" s="21"/>
      <c r="D2022" s="21"/>
    </row>
    <row r="2023" spans="2:4" x14ac:dyDescent="0.25">
      <c r="B2023" s="21"/>
      <c r="C2023" s="21"/>
      <c r="D2023" s="21"/>
    </row>
    <row r="2024" spans="2:4" x14ac:dyDescent="0.25">
      <c r="B2024" s="21"/>
      <c r="C2024" s="21"/>
      <c r="D2024" s="21"/>
    </row>
    <row r="2025" spans="2:4" x14ac:dyDescent="0.25">
      <c r="B2025" s="21"/>
      <c r="C2025" s="21"/>
      <c r="D2025" s="21"/>
    </row>
    <row r="2026" spans="2:4" x14ac:dyDescent="0.25">
      <c r="B2026" s="21"/>
      <c r="C2026" s="21"/>
      <c r="D2026" s="21"/>
    </row>
    <row r="2027" spans="2:4" x14ac:dyDescent="0.25">
      <c r="B2027" s="21"/>
      <c r="C2027" s="21"/>
      <c r="D2027" s="21"/>
    </row>
    <row r="2028" spans="2:4" x14ac:dyDescent="0.25">
      <c r="B2028" s="21"/>
      <c r="C2028" s="21"/>
      <c r="D2028" s="21"/>
    </row>
    <row r="2029" spans="2:4" x14ac:dyDescent="0.25">
      <c r="B2029" s="21"/>
      <c r="C2029" s="21"/>
      <c r="D2029" s="21"/>
    </row>
    <row r="2030" spans="2:4" x14ac:dyDescent="0.25">
      <c r="B2030" s="21"/>
      <c r="C2030" s="21"/>
      <c r="D2030" s="21"/>
    </row>
    <row r="2031" spans="2:4" x14ac:dyDescent="0.25">
      <c r="B2031" s="21"/>
      <c r="C2031" s="21"/>
      <c r="D2031" s="21"/>
    </row>
    <row r="2032" spans="2:4" x14ac:dyDescent="0.25">
      <c r="B2032" s="21"/>
      <c r="C2032" s="21"/>
      <c r="D2032" s="21"/>
    </row>
    <row r="2033" spans="2:4" x14ac:dyDescent="0.25">
      <c r="B2033" s="21"/>
      <c r="C2033" s="21"/>
      <c r="D2033" s="21"/>
    </row>
    <row r="2034" spans="2:4" x14ac:dyDescent="0.25">
      <c r="B2034" s="21"/>
      <c r="C2034" s="21"/>
      <c r="D2034" s="21"/>
    </row>
    <row r="2035" spans="2:4" x14ac:dyDescent="0.25">
      <c r="B2035" s="21"/>
      <c r="C2035" s="21"/>
      <c r="D2035" s="21"/>
    </row>
    <row r="2036" spans="2:4" x14ac:dyDescent="0.25">
      <c r="B2036" s="21"/>
      <c r="C2036" s="21"/>
      <c r="D2036" s="21"/>
    </row>
    <row r="2037" spans="2:4" x14ac:dyDescent="0.25">
      <c r="B2037" s="21"/>
      <c r="C2037" s="21"/>
      <c r="D2037" s="21"/>
    </row>
    <row r="2038" spans="2:4" x14ac:dyDescent="0.25">
      <c r="B2038" s="21"/>
      <c r="C2038" s="21"/>
      <c r="D2038" s="21"/>
    </row>
    <row r="2039" spans="2:4" x14ac:dyDescent="0.25">
      <c r="B2039" s="21"/>
      <c r="C2039" s="21"/>
      <c r="D2039" s="21"/>
    </row>
    <row r="2040" spans="2:4" x14ac:dyDescent="0.25">
      <c r="B2040" s="21"/>
      <c r="C2040" s="21"/>
      <c r="D2040" s="21"/>
    </row>
    <row r="2041" spans="2:4" x14ac:dyDescent="0.25">
      <c r="B2041" s="21"/>
      <c r="C2041" s="21"/>
      <c r="D2041" s="21"/>
    </row>
    <row r="2042" spans="2:4" x14ac:dyDescent="0.25">
      <c r="B2042" s="21"/>
      <c r="C2042" s="21"/>
      <c r="D2042" s="21"/>
    </row>
    <row r="2043" spans="2:4" x14ac:dyDescent="0.25">
      <c r="B2043" s="21"/>
      <c r="C2043" s="21"/>
      <c r="D2043" s="21"/>
    </row>
    <row r="2044" spans="2:4" x14ac:dyDescent="0.25">
      <c r="B2044" s="21"/>
      <c r="C2044" s="21"/>
      <c r="D2044" s="21"/>
    </row>
    <row r="2045" spans="2:4" x14ac:dyDescent="0.25">
      <c r="B2045" s="21"/>
      <c r="C2045" s="21"/>
      <c r="D2045" s="21"/>
    </row>
    <row r="2046" spans="2:4" x14ac:dyDescent="0.25">
      <c r="B2046" s="21"/>
      <c r="C2046" s="21"/>
      <c r="D2046" s="21"/>
    </row>
    <row r="2047" spans="2:4" x14ac:dyDescent="0.25">
      <c r="B2047" s="21"/>
      <c r="C2047" s="21"/>
      <c r="D2047" s="21"/>
    </row>
    <row r="2048" spans="2:4" x14ac:dyDescent="0.25">
      <c r="B2048" s="21"/>
      <c r="C2048" s="21"/>
      <c r="D2048" s="21"/>
    </row>
    <row r="2049" spans="2:4" x14ac:dyDescent="0.25">
      <c r="B2049" s="21"/>
      <c r="C2049" s="21"/>
      <c r="D2049" s="21"/>
    </row>
    <row r="2050" spans="2:4" x14ac:dyDescent="0.25">
      <c r="B2050" s="21"/>
      <c r="C2050" s="21"/>
      <c r="D2050" s="21"/>
    </row>
    <row r="2051" spans="2:4" x14ac:dyDescent="0.25">
      <c r="B2051" s="21"/>
      <c r="C2051" s="21"/>
      <c r="D2051" s="21"/>
    </row>
    <row r="2052" spans="2:4" x14ac:dyDescent="0.25">
      <c r="B2052" s="21"/>
      <c r="C2052" s="21"/>
      <c r="D2052" s="21"/>
    </row>
    <row r="2053" spans="2:4" x14ac:dyDescent="0.25">
      <c r="B2053" s="21"/>
      <c r="C2053" s="21"/>
      <c r="D2053" s="21"/>
    </row>
    <row r="2054" spans="2:4" x14ac:dyDescent="0.25">
      <c r="B2054" s="21"/>
      <c r="C2054" s="21"/>
      <c r="D2054" s="21"/>
    </row>
    <row r="2055" spans="2:4" x14ac:dyDescent="0.25">
      <c r="B2055" s="21"/>
      <c r="C2055" s="21"/>
      <c r="D2055" s="21"/>
    </row>
    <row r="2056" spans="2:4" x14ac:dyDescent="0.25">
      <c r="B2056" s="21"/>
      <c r="C2056" s="21"/>
      <c r="D2056" s="21"/>
    </row>
    <row r="2057" spans="2:4" x14ac:dyDescent="0.25">
      <c r="B2057" s="21"/>
      <c r="C2057" s="21"/>
      <c r="D2057" s="21"/>
    </row>
    <row r="2058" spans="2:4" x14ac:dyDescent="0.25">
      <c r="B2058" s="21"/>
      <c r="C2058" s="21"/>
      <c r="D2058" s="21"/>
    </row>
    <row r="2059" spans="2:4" x14ac:dyDescent="0.25">
      <c r="B2059" s="21"/>
      <c r="C2059" s="21"/>
      <c r="D2059" s="21"/>
    </row>
    <row r="2060" spans="2:4" x14ac:dyDescent="0.25">
      <c r="B2060" s="21"/>
      <c r="C2060" s="21"/>
      <c r="D2060" s="21"/>
    </row>
    <row r="2061" spans="2:4" x14ac:dyDescent="0.25">
      <c r="B2061" s="21"/>
      <c r="C2061" s="21"/>
      <c r="D2061" s="21"/>
    </row>
    <row r="2062" spans="2:4" x14ac:dyDescent="0.25">
      <c r="B2062" s="21"/>
      <c r="C2062" s="21"/>
      <c r="D2062" s="21"/>
    </row>
    <row r="2063" spans="2:4" x14ac:dyDescent="0.25">
      <c r="B2063" s="21"/>
      <c r="C2063" s="21"/>
      <c r="D2063" s="21"/>
    </row>
    <row r="2064" spans="2:4" x14ac:dyDescent="0.25">
      <c r="B2064" s="21"/>
      <c r="C2064" s="21"/>
      <c r="D2064" s="21"/>
    </row>
    <row r="2065" spans="2:4" x14ac:dyDescent="0.25">
      <c r="B2065" s="21"/>
      <c r="C2065" s="21"/>
      <c r="D2065" s="21"/>
    </row>
    <row r="2066" spans="2:4" x14ac:dyDescent="0.25">
      <c r="B2066" s="21"/>
      <c r="C2066" s="21"/>
      <c r="D2066" s="21"/>
    </row>
    <row r="2067" spans="2:4" x14ac:dyDescent="0.25">
      <c r="B2067" s="21"/>
      <c r="C2067" s="21"/>
      <c r="D2067" s="21"/>
    </row>
    <row r="2068" spans="2:4" x14ac:dyDescent="0.25">
      <c r="B2068" s="21"/>
      <c r="C2068" s="21"/>
      <c r="D2068" s="21"/>
    </row>
    <row r="2069" spans="2:4" x14ac:dyDescent="0.25">
      <c r="B2069" s="21"/>
      <c r="C2069" s="21"/>
      <c r="D2069" s="21"/>
    </row>
    <row r="2070" spans="2:4" x14ac:dyDescent="0.25">
      <c r="B2070" s="21"/>
      <c r="C2070" s="21"/>
      <c r="D2070" s="21"/>
    </row>
    <row r="2071" spans="2:4" x14ac:dyDescent="0.25">
      <c r="B2071" s="21"/>
      <c r="C2071" s="21"/>
      <c r="D2071" s="21"/>
    </row>
    <row r="2072" spans="2:4" x14ac:dyDescent="0.25">
      <c r="B2072" s="21"/>
      <c r="C2072" s="21"/>
      <c r="D2072" s="21"/>
    </row>
    <row r="2073" spans="2:4" x14ac:dyDescent="0.25">
      <c r="B2073" s="21"/>
      <c r="C2073" s="21"/>
      <c r="D2073" s="21"/>
    </row>
    <row r="2074" spans="2:4" x14ac:dyDescent="0.25">
      <c r="B2074" s="21"/>
      <c r="C2074" s="21"/>
      <c r="D2074" s="21"/>
    </row>
    <row r="2075" spans="2:4" x14ac:dyDescent="0.25">
      <c r="B2075" s="21"/>
      <c r="C2075" s="21"/>
      <c r="D2075" s="21"/>
    </row>
    <row r="2076" spans="2:4" x14ac:dyDescent="0.25">
      <c r="B2076" s="21"/>
      <c r="C2076" s="21"/>
      <c r="D2076" s="21"/>
    </row>
    <row r="2077" spans="2:4" x14ac:dyDescent="0.25">
      <c r="B2077" s="21"/>
      <c r="C2077" s="21"/>
      <c r="D2077" s="21"/>
    </row>
    <row r="2078" spans="2:4" x14ac:dyDescent="0.25">
      <c r="B2078" s="21"/>
      <c r="C2078" s="21"/>
      <c r="D2078" s="21"/>
    </row>
    <row r="2079" spans="2:4" x14ac:dyDescent="0.25">
      <c r="B2079" s="21"/>
      <c r="C2079" s="21"/>
      <c r="D2079" s="21"/>
    </row>
    <row r="2080" spans="2:4" x14ac:dyDescent="0.25">
      <c r="B2080" s="21"/>
      <c r="C2080" s="21"/>
      <c r="D2080" s="21"/>
    </row>
    <row r="2081" spans="2:4" x14ac:dyDescent="0.25">
      <c r="B2081" s="21"/>
      <c r="C2081" s="21"/>
      <c r="D2081" s="21"/>
    </row>
    <row r="2082" spans="2:4" x14ac:dyDescent="0.25">
      <c r="B2082" s="21"/>
      <c r="C2082" s="21"/>
      <c r="D2082" s="21"/>
    </row>
    <row r="2083" spans="2:4" x14ac:dyDescent="0.25">
      <c r="B2083" s="21"/>
      <c r="C2083" s="21"/>
      <c r="D2083" s="21"/>
    </row>
    <row r="2084" spans="2:4" x14ac:dyDescent="0.25">
      <c r="B2084" s="21"/>
      <c r="C2084" s="21"/>
      <c r="D2084" s="21"/>
    </row>
    <row r="2085" spans="2:4" x14ac:dyDescent="0.25">
      <c r="B2085" s="21"/>
      <c r="C2085" s="21"/>
      <c r="D2085" s="21"/>
    </row>
    <row r="2086" spans="2:4" x14ac:dyDescent="0.25">
      <c r="B2086" s="21"/>
      <c r="C2086" s="21"/>
      <c r="D2086" s="21"/>
    </row>
    <row r="2087" spans="2:4" x14ac:dyDescent="0.25">
      <c r="B2087" s="21"/>
      <c r="C2087" s="21"/>
      <c r="D2087" s="21"/>
    </row>
    <row r="2088" spans="2:4" x14ac:dyDescent="0.25">
      <c r="B2088" s="21"/>
      <c r="C2088" s="21"/>
      <c r="D2088" s="21"/>
    </row>
    <row r="2089" spans="2:4" x14ac:dyDescent="0.25">
      <c r="B2089" s="21"/>
      <c r="C2089" s="21"/>
      <c r="D2089" s="21"/>
    </row>
    <row r="2090" spans="2:4" x14ac:dyDescent="0.25">
      <c r="B2090" s="21"/>
      <c r="C2090" s="21"/>
      <c r="D2090" s="21"/>
    </row>
    <row r="2091" spans="2:4" x14ac:dyDescent="0.25">
      <c r="B2091" s="21"/>
      <c r="C2091" s="21"/>
      <c r="D2091" s="21"/>
    </row>
    <row r="2092" spans="2:4" x14ac:dyDescent="0.25">
      <c r="B2092" s="21"/>
      <c r="C2092" s="21"/>
      <c r="D2092" s="21"/>
    </row>
    <row r="2093" spans="2:4" x14ac:dyDescent="0.25">
      <c r="B2093" s="21"/>
      <c r="C2093" s="21"/>
      <c r="D2093" s="21"/>
    </row>
    <row r="2094" spans="2:4" x14ac:dyDescent="0.25">
      <c r="B2094" s="21"/>
      <c r="C2094" s="21"/>
      <c r="D2094" s="21"/>
    </row>
    <row r="2095" spans="2:4" x14ac:dyDescent="0.25">
      <c r="B2095" s="21"/>
      <c r="C2095" s="21"/>
      <c r="D2095" s="21"/>
    </row>
    <row r="2096" spans="2:4" x14ac:dyDescent="0.25">
      <c r="B2096" s="21"/>
      <c r="C2096" s="21"/>
      <c r="D2096" s="21"/>
    </row>
    <row r="2097" spans="2:4" x14ac:dyDescent="0.25">
      <c r="B2097" s="21"/>
      <c r="C2097" s="21"/>
      <c r="D2097" s="21"/>
    </row>
    <row r="2098" spans="2:4" x14ac:dyDescent="0.25">
      <c r="B2098" s="21"/>
      <c r="C2098" s="21"/>
      <c r="D2098" s="21"/>
    </row>
    <row r="2099" spans="2:4" x14ac:dyDescent="0.25">
      <c r="B2099" s="21"/>
      <c r="C2099" s="21"/>
      <c r="D2099" s="21"/>
    </row>
    <row r="2100" spans="2:4" x14ac:dyDescent="0.25">
      <c r="B2100" s="21"/>
      <c r="C2100" s="21"/>
      <c r="D2100" s="21"/>
    </row>
    <row r="2101" spans="2:4" x14ac:dyDescent="0.25">
      <c r="B2101" s="21"/>
      <c r="C2101" s="21"/>
      <c r="D2101" s="21"/>
    </row>
    <row r="2102" spans="2:4" x14ac:dyDescent="0.25">
      <c r="B2102" s="21"/>
      <c r="C2102" s="21"/>
      <c r="D2102" s="21"/>
    </row>
    <row r="2103" spans="2:4" x14ac:dyDescent="0.25">
      <c r="B2103" s="21"/>
      <c r="C2103" s="21"/>
      <c r="D2103" s="21"/>
    </row>
    <row r="2104" spans="2:4" x14ac:dyDescent="0.25">
      <c r="B2104" s="21"/>
      <c r="C2104" s="21"/>
      <c r="D2104" s="21"/>
    </row>
    <row r="2105" spans="2:4" x14ac:dyDescent="0.25">
      <c r="B2105" s="21"/>
      <c r="C2105" s="21"/>
      <c r="D2105" s="21"/>
    </row>
    <row r="2106" spans="2:4" x14ac:dyDescent="0.25">
      <c r="B2106" s="21"/>
      <c r="C2106" s="21"/>
      <c r="D2106" s="21"/>
    </row>
    <row r="2107" spans="2:4" x14ac:dyDescent="0.25">
      <c r="B2107" s="21"/>
      <c r="C2107" s="21"/>
      <c r="D2107" s="21"/>
    </row>
    <row r="2108" spans="2:4" x14ac:dyDescent="0.25">
      <c r="B2108" s="21"/>
      <c r="C2108" s="21"/>
      <c r="D2108" s="21"/>
    </row>
    <row r="2109" spans="2:4" x14ac:dyDescent="0.25">
      <c r="B2109" s="21"/>
      <c r="C2109" s="21"/>
      <c r="D2109" s="21"/>
    </row>
    <row r="2110" spans="2:4" x14ac:dyDescent="0.25">
      <c r="B2110" s="21"/>
      <c r="C2110" s="21"/>
      <c r="D2110" s="21"/>
    </row>
    <row r="2111" spans="2:4" x14ac:dyDescent="0.25">
      <c r="B2111" s="21"/>
      <c r="C2111" s="21"/>
      <c r="D2111" s="21"/>
    </row>
    <row r="2112" spans="2:4" x14ac:dyDescent="0.25">
      <c r="B2112" s="21"/>
      <c r="C2112" s="21"/>
      <c r="D2112" s="21"/>
    </row>
    <row r="2113" spans="2:4" x14ac:dyDescent="0.25">
      <c r="B2113" s="21"/>
      <c r="C2113" s="21"/>
      <c r="D2113" s="21"/>
    </row>
    <row r="2114" spans="2:4" x14ac:dyDescent="0.25">
      <c r="B2114" s="21"/>
      <c r="C2114" s="21"/>
      <c r="D2114" s="21"/>
    </row>
    <row r="2115" spans="2:4" x14ac:dyDescent="0.25">
      <c r="B2115" s="21"/>
      <c r="C2115" s="21"/>
      <c r="D2115" s="21"/>
    </row>
    <row r="2116" spans="2:4" x14ac:dyDescent="0.25">
      <c r="B2116" s="21"/>
      <c r="C2116" s="21"/>
      <c r="D2116" s="21"/>
    </row>
    <row r="2117" spans="2:4" x14ac:dyDescent="0.25">
      <c r="B2117" s="21"/>
      <c r="C2117" s="21"/>
      <c r="D2117" s="21"/>
    </row>
    <row r="2118" spans="2:4" x14ac:dyDescent="0.25">
      <c r="B2118" s="21"/>
      <c r="C2118" s="21"/>
      <c r="D2118" s="21"/>
    </row>
    <row r="2119" spans="2:4" x14ac:dyDescent="0.25">
      <c r="B2119" s="21"/>
      <c r="C2119" s="21"/>
      <c r="D2119" s="21"/>
    </row>
    <row r="2120" spans="2:4" x14ac:dyDescent="0.25">
      <c r="B2120" s="21"/>
      <c r="C2120" s="21"/>
      <c r="D2120" s="21"/>
    </row>
    <row r="2121" spans="2:4" x14ac:dyDescent="0.25">
      <c r="B2121" s="21"/>
      <c r="C2121" s="21"/>
      <c r="D2121" s="21"/>
    </row>
    <row r="2122" spans="2:4" x14ac:dyDescent="0.25">
      <c r="B2122" s="21"/>
      <c r="C2122" s="21"/>
      <c r="D2122" s="21"/>
    </row>
    <row r="2123" spans="2:4" x14ac:dyDescent="0.25">
      <c r="B2123" s="21"/>
      <c r="C2123" s="21"/>
      <c r="D2123" s="21"/>
    </row>
    <row r="2124" spans="2:4" x14ac:dyDescent="0.25">
      <c r="B2124" s="21"/>
      <c r="C2124" s="21"/>
      <c r="D2124" s="21"/>
    </row>
    <row r="2125" spans="2:4" x14ac:dyDescent="0.25">
      <c r="B2125" s="21"/>
      <c r="C2125" s="21"/>
      <c r="D2125" s="21"/>
    </row>
    <row r="2126" spans="2:4" x14ac:dyDescent="0.25">
      <c r="B2126" s="21"/>
      <c r="C2126" s="21"/>
      <c r="D2126" s="21"/>
    </row>
    <row r="2127" spans="2:4" x14ac:dyDescent="0.25">
      <c r="B2127" s="21"/>
      <c r="C2127" s="21"/>
      <c r="D2127" s="21"/>
    </row>
    <row r="2128" spans="2:4" x14ac:dyDescent="0.25">
      <c r="B2128" s="21"/>
      <c r="C2128" s="21"/>
      <c r="D2128" s="21"/>
    </row>
    <row r="2129" spans="2:4" x14ac:dyDescent="0.25">
      <c r="B2129" s="21"/>
      <c r="C2129" s="21"/>
      <c r="D2129" s="21"/>
    </row>
    <row r="2130" spans="2:4" x14ac:dyDescent="0.25">
      <c r="B2130" s="21"/>
      <c r="C2130" s="21"/>
      <c r="D2130" s="21"/>
    </row>
    <row r="2131" spans="2:4" x14ac:dyDescent="0.25">
      <c r="B2131" s="21"/>
      <c r="C2131" s="21"/>
      <c r="D2131" s="21"/>
    </row>
    <row r="2132" spans="2:4" x14ac:dyDescent="0.25">
      <c r="B2132" s="21"/>
      <c r="C2132" s="21"/>
      <c r="D2132" s="21"/>
    </row>
    <row r="2133" spans="2:4" x14ac:dyDescent="0.25">
      <c r="B2133" s="21"/>
      <c r="C2133" s="21"/>
      <c r="D2133" s="21"/>
    </row>
    <row r="2134" spans="2:4" x14ac:dyDescent="0.25">
      <c r="B2134" s="21"/>
      <c r="C2134" s="21"/>
      <c r="D2134" s="21"/>
    </row>
    <row r="2135" spans="2:4" x14ac:dyDescent="0.25">
      <c r="B2135" s="21"/>
      <c r="C2135" s="21"/>
      <c r="D2135" s="21"/>
    </row>
    <row r="2136" spans="2:4" x14ac:dyDescent="0.25">
      <c r="B2136" s="21"/>
      <c r="C2136" s="21"/>
      <c r="D2136" s="21"/>
    </row>
    <row r="2137" spans="2:4" x14ac:dyDescent="0.25">
      <c r="B2137" s="21"/>
      <c r="C2137" s="21"/>
      <c r="D2137" s="21"/>
    </row>
    <row r="2138" spans="2:4" x14ac:dyDescent="0.25">
      <c r="B2138" s="21"/>
      <c r="C2138" s="21"/>
      <c r="D2138" s="21"/>
    </row>
    <row r="2139" spans="2:4" x14ac:dyDescent="0.25">
      <c r="B2139" s="21"/>
      <c r="C2139" s="21"/>
      <c r="D2139" s="21"/>
    </row>
    <row r="2140" spans="2:4" x14ac:dyDescent="0.25">
      <c r="B2140" s="21"/>
      <c r="C2140" s="21"/>
      <c r="D2140" s="21"/>
    </row>
    <row r="2141" spans="2:4" x14ac:dyDescent="0.25">
      <c r="B2141" s="21"/>
      <c r="C2141" s="21"/>
      <c r="D2141" s="21"/>
    </row>
    <row r="2142" spans="2:4" x14ac:dyDescent="0.25">
      <c r="B2142" s="21"/>
      <c r="C2142" s="21"/>
      <c r="D2142" s="21"/>
    </row>
    <row r="2143" spans="2:4" x14ac:dyDescent="0.25">
      <c r="B2143" s="21"/>
      <c r="C2143" s="21"/>
      <c r="D2143" s="21"/>
    </row>
    <row r="2144" spans="2:4" x14ac:dyDescent="0.25">
      <c r="B2144" s="21"/>
      <c r="C2144" s="21"/>
      <c r="D2144" s="21"/>
    </row>
    <row r="2145" spans="2:4" x14ac:dyDescent="0.25">
      <c r="B2145" s="21"/>
      <c r="C2145" s="21"/>
      <c r="D2145" s="21"/>
    </row>
    <row r="2146" spans="2:4" x14ac:dyDescent="0.25">
      <c r="B2146" s="21"/>
      <c r="C2146" s="21"/>
      <c r="D2146" s="21"/>
    </row>
    <row r="2147" spans="2:4" x14ac:dyDescent="0.25">
      <c r="B2147" s="21"/>
      <c r="C2147" s="21"/>
      <c r="D2147" s="21"/>
    </row>
    <row r="2148" spans="2:4" x14ac:dyDescent="0.25">
      <c r="B2148" s="21"/>
      <c r="C2148" s="21"/>
      <c r="D2148" s="21"/>
    </row>
    <row r="2149" spans="2:4" x14ac:dyDescent="0.25">
      <c r="B2149" s="21"/>
      <c r="C2149" s="21"/>
      <c r="D2149" s="21"/>
    </row>
    <row r="2150" spans="2:4" x14ac:dyDescent="0.25">
      <c r="B2150" s="21"/>
      <c r="C2150" s="21"/>
      <c r="D2150" s="21"/>
    </row>
    <row r="2151" spans="2:4" x14ac:dyDescent="0.25">
      <c r="B2151" s="21"/>
      <c r="C2151" s="21"/>
      <c r="D2151" s="21"/>
    </row>
    <row r="2152" spans="2:4" x14ac:dyDescent="0.25">
      <c r="B2152" s="21"/>
      <c r="C2152" s="21"/>
      <c r="D2152" s="21"/>
    </row>
    <row r="2153" spans="2:4" x14ac:dyDescent="0.25">
      <c r="B2153" s="21"/>
      <c r="C2153" s="21"/>
      <c r="D2153" s="21"/>
    </row>
    <row r="2154" spans="2:4" x14ac:dyDescent="0.25">
      <c r="B2154" s="21"/>
      <c r="C2154" s="21"/>
      <c r="D2154" s="21"/>
    </row>
    <row r="2155" spans="2:4" x14ac:dyDescent="0.25">
      <c r="B2155" s="21"/>
      <c r="C2155" s="21"/>
      <c r="D2155" s="21"/>
    </row>
    <row r="2156" spans="2:4" x14ac:dyDescent="0.25">
      <c r="B2156" s="21"/>
      <c r="C2156" s="21"/>
      <c r="D2156" s="21"/>
    </row>
    <row r="2157" spans="2:4" x14ac:dyDescent="0.25">
      <c r="B2157" s="21"/>
      <c r="C2157" s="21"/>
      <c r="D2157" s="21"/>
    </row>
    <row r="2158" spans="2:4" x14ac:dyDescent="0.25">
      <c r="B2158" s="21"/>
      <c r="C2158" s="21"/>
      <c r="D2158" s="21"/>
    </row>
    <row r="2159" spans="2:4" x14ac:dyDescent="0.25">
      <c r="B2159" s="21"/>
      <c r="C2159" s="21"/>
      <c r="D2159" s="21"/>
    </row>
    <row r="2160" spans="2:4" x14ac:dyDescent="0.25">
      <c r="B2160" s="21"/>
      <c r="C2160" s="21"/>
      <c r="D2160" s="21"/>
    </row>
    <row r="2161" spans="2:4" x14ac:dyDescent="0.25">
      <c r="B2161" s="21"/>
      <c r="C2161" s="21"/>
      <c r="D2161" s="21"/>
    </row>
    <row r="2162" spans="2:4" x14ac:dyDescent="0.25">
      <c r="B2162" s="21"/>
      <c r="C2162" s="21"/>
      <c r="D2162" s="21"/>
    </row>
    <row r="2163" spans="2:4" x14ac:dyDescent="0.25">
      <c r="B2163" s="21"/>
      <c r="C2163" s="21"/>
      <c r="D2163" s="21"/>
    </row>
    <row r="2164" spans="2:4" x14ac:dyDescent="0.25">
      <c r="B2164" s="21"/>
      <c r="C2164" s="21"/>
      <c r="D2164" s="21"/>
    </row>
    <row r="2165" spans="2:4" x14ac:dyDescent="0.25">
      <c r="B2165" s="21"/>
      <c r="C2165" s="21"/>
      <c r="D2165" s="21"/>
    </row>
    <row r="2166" spans="2:4" x14ac:dyDescent="0.25">
      <c r="B2166" s="21"/>
      <c r="C2166" s="21"/>
      <c r="D2166" s="21"/>
    </row>
    <row r="2167" spans="2:4" x14ac:dyDescent="0.25">
      <c r="B2167" s="21"/>
      <c r="C2167" s="21"/>
      <c r="D2167" s="21"/>
    </row>
    <row r="2168" spans="2:4" x14ac:dyDescent="0.25">
      <c r="B2168" s="21"/>
      <c r="C2168" s="21"/>
      <c r="D2168" s="21"/>
    </row>
    <row r="2169" spans="2:4" x14ac:dyDescent="0.25">
      <c r="B2169" s="21"/>
      <c r="C2169" s="21"/>
      <c r="D2169" s="21"/>
    </row>
    <row r="2170" spans="2:4" x14ac:dyDescent="0.25">
      <c r="B2170" s="21"/>
      <c r="C2170" s="21"/>
      <c r="D2170" s="21"/>
    </row>
    <row r="2171" spans="2:4" x14ac:dyDescent="0.25">
      <c r="B2171" s="21"/>
      <c r="C2171" s="21"/>
      <c r="D2171" s="21"/>
    </row>
    <row r="2172" spans="2:4" x14ac:dyDescent="0.25">
      <c r="B2172" s="21"/>
      <c r="C2172" s="21"/>
      <c r="D2172" s="21"/>
    </row>
    <row r="2173" spans="2:4" x14ac:dyDescent="0.25">
      <c r="B2173" s="21"/>
      <c r="C2173" s="21"/>
      <c r="D2173" s="21"/>
    </row>
    <row r="2174" spans="2:4" x14ac:dyDescent="0.25">
      <c r="B2174" s="21"/>
      <c r="C2174" s="21"/>
      <c r="D2174" s="21"/>
    </row>
    <row r="2175" spans="2:4" x14ac:dyDescent="0.25">
      <c r="B2175" s="21"/>
      <c r="C2175" s="21"/>
      <c r="D2175" s="21"/>
    </row>
    <row r="2176" spans="2:4" x14ac:dyDescent="0.25">
      <c r="B2176" s="21"/>
      <c r="C2176" s="21"/>
      <c r="D2176" s="21"/>
    </row>
    <row r="2177" spans="2:4" x14ac:dyDescent="0.25">
      <c r="B2177" s="21"/>
      <c r="C2177" s="21"/>
      <c r="D2177" s="21"/>
    </row>
    <row r="2178" spans="2:4" x14ac:dyDescent="0.25">
      <c r="B2178" s="21"/>
      <c r="C2178" s="21"/>
      <c r="D2178" s="21"/>
    </row>
    <row r="2179" spans="2:4" x14ac:dyDescent="0.25">
      <c r="B2179" s="21"/>
      <c r="C2179" s="21"/>
      <c r="D2179" s="21"/>
    </row>
    <row r="2180" spans="2:4" x14ac:dyDescent="0.25">
      <c r="B2180" s="21"/>
      <c r="C2180" s="21"/>
      <c r="D2180" s="21"/>
    </row>
    <row r="2181" spans="2:4" x14ac:dyDescent="0.25">
      <c r="B2181" s="21"/>
      <c r="C2181" s="21"/>
      <c r="D2181" s="21"/>
    </row>
    <row r="2182" spans="2:4" x14ac:dyDescent="0.25">
      <c r="B2182" s="21"/>
      <c r="C2182" s="21"/>
      <c r="D2182" s="21"/>
    </row>
    <row r="2183" spans="2:4" x14ac:dyDescent="0.25">
      <c r="B2183" s="21"/>
      <c r="C2183" s="21"/>
      <c r="D2183" s="21"/>
    </row>
    <row r="2184" spans="2:4" x14ac:dyDescent="0.25">
      <c r="B2184" s="21"/>
      <c r="C2184" s="21"/>
      <c r="D2184" s="21"/>
    </row>
    <row r="2185" spans="2:4" x14ac:dyDescent="0.25">
      <c r="B2185" s="21"/>
      <c r="C2185" s="21"/>
      <c r="D2185" s="21"/>
    </row>
    <row r="2186" spans="2:4" x14ac:dyDescent="0.25">
      <c r="B2186" s="21"/>
      <c r="C2186" s="21"/>
      <c r="D2186" s="21"/>
    </row>
    <row r="2187" spans="2:4" x14ac:dyDescent="0.25">
      <c r="B2187" s="21"/>
      <c r="C2187" s="21"/>
      <c r="D2187" s="21"/>
    </row>
    <row r="2188" spans="2:4" x14ac:dyDescent="0.25">
      <c r="B2188" s="21"/>
      <c r="C2188" s="21"/>
      <c r="D2188" s="21"/>
    </row>
    <row r="2189" spans="2:4" x14ac:dyDescent="0.25">
      <c r="B2189" s="21"/>
      <c r="C2189" s="21"/>
      <c r="D2189" s="21"/>
    </row>
    <row r="2190" spans="2:4" x14ac:dyDescent="0.25">
      <c r="B2190" s="21"/>
      <c r="C2190" s="21"/>
      <c r="D2190" s="21"/>
    </row>
    <row r="2191" spans="2:4" x14ac:dyDescent="0.25">
      <c r="B2191" s="21"/>
      <c r="C2191" s="21"/>
      <c r="D2191" s="21"/>
    </row>
    <row r="2192" spans="2:4" x14ac:dyDescent="0.25">
      <c r="B2192" s="21"/>
      <c r="C2192" s="21"/>
      <c r="D2192" s="21"/>
    </row>
    <row r="2193" spans="2:4" x14ac:dyDescent="0.25">
      <c r="B2193" s="21"/>
      <c r="C2193" s="21"/>
      <c r="D2193" s="21"/>
    </row>
    <row r="2194" spans="2:4" x14ac:dyDescent="0.25">
      <c r="B2194" s="21"/>
      <c r="C2194" s="21"/>
      <c r="D2194" s="21"/>
    </row>
    <row r="2195" spans="2:4" x14ac:dyDescent="0.25">
      <c r="B2195" s="21"/>
      <c r="C2195" s="21"/>
      <c r="D2195" s="21"/>
    </row>
    <row r="2196" spans="2:4" x14ac:dyDescent="0.25">
      <c r="B2196" s="21"/>
      <c r="C2196" s="21"/>
      <c r="D2196" s="21"/>
    </row>
    <row r="2197" spans="2:4" x14ac:dyDescent="0.25">
      <c r="B2197" s="21"/>
      <c r="C2197" s="21"/>
      <c r="D2197" s="21"/>
    </row>
    <row r="2198" spans="2:4" x14ac:dyDescent="0.25">
      <c r="B2198" s="21"/>
      <c r="C2198" s="21"/>
      <c r="D2198" s="21"/>
    </row>
    <row r="2199" spans="2:4" x14ac:dyDescent="0.25">
      <c r="B2199" s="21"/>
      <c r="C2199" s="21"/>
      <c r="D2199" s="21"/>
    </row>
    <row r="2200" spans="2:4" x14ac:dyDescent="0.25">
      <c r="B2200" s="21"/>
      <c r="C2200" s="21"/>
      <c r="D2200" s="21"/>
    </row>
    <row r="2201" spans="2:4" x14ac:dyDescent="0.25">
      <c r="B2201" s="21"/>
      <c r="C2201" s="21"/>
      <c r="D2201" s="21"/>
    </row>
    <row r="2202" spans="2:4" x14ac:dyDescent="0.25">
      <c r="B2202" s="21"/>
      <c r="C2202" s="21"/>
      <c r="D2202" s="21"/>
    </row>
    <row r="2203" spans="2:4" x14ac:dyDescent="0.25">
      <c r="B2203" s="21"/>
      <c r="C2203" s="21"/>
      <c r="D2203" s="21"/>
    </row>
    <row r="2204" spans="2:4" x14ac:dyDescent="0.25">
      <c r="B2204" s="21"/>
      <c r="C2204" s="21"/>
      <c r="D2204" s="21"/>
    </row>
    <row r="2205" spans="2:4" x14ac:dyDescent="0.25">
      <c r="B2205" s="21"/>
      <c r="C2205" s="21"/>
      <c r="D2205" s="21"/>
    </row>
    <row r="2206" spans="2:4" x14ac:dyDescent="0.25">
      <c r="B2206" s="21"/>
      <c r="C2206" s="21"/>
      <c r="D2206" s="21"/>
    </row>
    <row r="2207" spans="2:4" x14ac:dyDescent="0.25">
      <c r="B2207" s="21"/>
      <c r="C2207" s="21"/>
      <c r="D2207" s="21"/>
    </row>
    <row r="2208" spans="2:4" x14ac:dyDescent="0.25">
      <c r="B2208" s="21"/>
      <c r="C2208" s="21"/>
      <c r="D2208" s="21"/>
    </row>
    <row r="2209" spans="2:4" x14ac:dyDescent="0.25">
      <c r="B2209" s="21"/>
      <c r="C2209" s="21"/>
      <c r="D2209" s="21"/>
    </row>
    <row r="2210" spans="2:4" x14ac:dyDescent="0.25">
      <c r="B2210" s="21"/>
      <c r="C2210" s="21"/>
      <c r="D2210" s="21"/>
    </row>
    <row r="2211" spans="2:4" x14ac:dyDescent="0.25">
      <c r="B2211" s="21"/>
      <c r="C2211" s="21"/>
      <c r="D2211" s="21"/>
    </row>
    <row r="2212" spans="2:4" x14ac:dyDescent="0.25">
      <c r="B2212" s="21"/>
      <c r="C2212" s="21"/>
      <c r="D2212" s="21"/>
    </row>
    <row r="2213" spans="2:4" x14ac:dyDescent="0.25">
      <c r="B2213" s="21"/>
      <c r="C2213" s="21"/>
      <c r="D2213" s="21"/>
    </row>
    <row r="2214" spans="2:4" x14ac:dyDescent="0.25">
      <c r="B2214" s="21"/>
      <c r="C2214" s="21"/>
      <c r="D2214" s="21"/>
    </row>
    <row r="2215" spans="2:4" x14ac:dyDescent="0.25">
      <c r="B2215" s="21"/>
      <c r="C2215" s="21"/>
      <c r="D2215" s="21"/>
    </row>
    <row r="2216" spans="2:4" x14ac:dyDescent="0.25">
      <c r="B2216" s="21"/>
      <c r="C2216" s="21"/>
      <c r="D2216" s="21"/>
    </row>
    <row r="2217" spans="2:4" x14ac:dyDescent="0.25">
      <c r="B2217" s="21"/>
      <c r="C2217" s="21"/>
      <c r="D2217" s="21"/>
    </row>
    <row r="2218" spans="2:4" x14ac:dyDescent="0.25">
      <c r="B2218" s="21"/>
      <c r="C2218" s="21"/>
      <c r="D2218" s="21"/>
    </row>
    <row r="2219" spans="2:4" x14ac:dyDescent="0.25">
      <c r="B2219" s="21"/>
      <c r="C2219" s="21"/>
      <c r="D2219" s="21"/>
    </row>
    <row r="2220" spans="2:4" x14ac:dyDescent="0.25">
      <c r="B2220" s="21"/>
      <c r="C2220" s="21"/>
      <c r="D2220" s="21"/>
    </row>
    <row r="2221" spans="2:4" x14ac:dyDescent="0.25">
      <c r="B2221" s="21"/>
      <c r="C2221" s="21"/>
      <c r="D2221" s="21"/>
    </row>
    <row r="2222" spans="2:4" x14ac:dyDescent="0.25">
      <c r="B2222" s="21"/>
      <c r="C2222" s="21"/>
      <c r="D2222" s="21"/>
    </row>
    <row r="2223" spans="2:4" x14ac:dyDescent="0.25">
      <c r="B2223" s="21"/>
      <c r="C2223" s="21"/>
      <c r="D2223" s="21"/>
    </row>
    <row r="2224" spans="2:4" x14ac:dyDescent="0.25">
      <c r="B2224" s="21"/>
      <c r="C2224" s="21"/>
      <c r="D2224" s="21"/>
    </row>
    <row r="2225" spans="2:4" x14ac:dyDescent="0.25">
      <c r="B2225" s="21"/>
      <c r="C2225" s="21"/>
      <c r="D2225" s="21"/>
    </row>
    <row r="2226" spans="2:4" x14ac:dyDescent="0.25">
      <c r="B2226" s="21"/>
      <c r="C2226" s="21"/>
      <c r="D2226" s="21"/>
    </row>
    <row r="2227" spans="2:4" x14ac:dyDescent="0.25">
      <c r="B2227" s="21"/>
      <c r="C2227" s="21"/>
      <c r="D2227" s="21"/>
    </row>
    <row r="2228" spans="2:4" x14ac:dyDescent="0.25">
      <c r="B2228" s="21"/>
      <c r="C2228" s="21"/>
      <c r="D2228" s="21"/>
    </row>
    <row r="2229" spans="2:4" x14ac:dyDescent="0.25">
      <c r="B2229" s="21"/>
      <c r="C2229" s="21"/>
      <c r="D2229" s="21"/>
    </row>
    <row r="2230" spans="2:4" x14ac:dyDescent="0.25">
      <c r="B2230" s="21"/>
      <c r="C2230" s="21"/>
      <c r="D2230" s="21"/>
    </row>
    <row r="2231" spans="2:4" x14ac:dyDescent="0.25">
      <c r="B2231" s="21"/>
      <c r="C2231" s="21"/>
      <c r="D2231" s="21"/>
    </row>
    <row r="2232" spans="2:4" x14ac:dyDescent="0.25">
      <c r="B2232" s="21"/>
      <c r="C2232" s="21"/>
      <c r="D2232" s="21"/>
    </row>
    <row r="2233" spans="2:4" x14ac:dyDescent="0.25">
      <c r="B2233" s="21"/>
      <c r="C2233" s="21"/>
      <c r="D2233" s="21"/>
    </row>
    <row r="2234" spans="2:4" x14ac:dyDescent="0.25">
      <c r="B2234" s="21"/>
      <c r="C2234" s="21"/>
      <c r="D2234" s="21"/>
    </row>
    <row r="2235" spans="2:4" x14ac:dyDescent="0.25">
      <c r="B2235" s="21"/>
      <c r="C2235" s="21"/>
      <c r="D2235" s="21"/>
    </row>
    <row r="2236" spans="2:4" x14ac:dyDescent="0.25">
      <c r="B2236" s="21"/>
      <c r="C2236" s="21"/>
      <c r="D2236" s="21"/>
    </row>
    <row r="2237" spans="2:4" x14ac:dyDescent="0.25">
      <c r="B2237" s="21"/>
      <c r="C2237" s="21"/>
      <c r="D2237" s="21"/>
    </row>
    <row r="2238" spans="2:4" x14ac:dyDescent="0.25">
      <c r="B2238" s="21"/>
      <c r="C2238" s="21"/>
      <c r="D2238" s="21"/>
    </row>
    <row r="2239" spans="2:4" x14ac:dyDescent="0.25">
      <c r="B2239" s="21"/>
      <c r="C2239" s="21"/>
      <c r="D2239" s="21"/>
    </row>
    <row r="2240" spans="2:4" x14ac:dyDescent="0.25">
      <c r="B2240" s="21"/>
      <c r="C2240" s="21"/>
      <c r="D2240" s="21"/>
    </row>
    <row r="2241" spans="2:4" x14ac:dyDescent="0.25">
      <c r="B2241" s="21"/>
      <c r="C2241" s="21"/>
      <c r="D2241" s="21"/>
    </row>
    <row r="2242" spans="2:4" x14ac:dyDescent="0.25">
      <c r="B2242" s="21"/>
      <c r="C2242" s="21"/>
      <c r="D2242" s="21"/>
    </row>
    <row r="2243" spans="2:4" x14ac:dyDescent="0.25">
      <c r="B2243" s="21"/>
      <c r="C2243" s="21"/>
      <c r="D2243" s="21"/>
    </row>
    <row r="2244" spans="2:4" x14ac:dyDescent="0.25">
      <c r="B2244" s="21"/>
      <c r="C2244" s="21"/>
      <c r="D2244" s="21"/>
    </row>
    <row r="2245" spans="2:4" x14ac:dyDescent="0.25">
      <c r="B2245" s="21"/>
      <c r="C2245" s="21"/>
      <c r="D2245" s="21"/>
    </row>
    <row r="2246" spans="2:4" x14ac:dyDescent="0.25">
      <c r="B2246" s="21"/>
      <c r="C2246" s="21"/>
      <c r="D2246" s="21"/>
    </row>
    <row r="2247" spans="2:4" x14ac:dyDescent="0.25">
      <c r="B2247" s="21"/>
      <c r="C2247" s="21"/>
      <c r="D2247" s="21"/>
    </row>
    <row r="2248" spans="2:4" x14ac:dyDescent="0.25">
      <c r="B2248" s="21"/>
      <c r="C2248" s="21"/>
      <c r="D2248" s="21"/>
    </row>
    <row r="2249" spans="2:4" x14ac:dyDescent="0.25">
      <c r="B2249" s="21"/>
      <c r="C2249" s="21"/>
      <c r="D2249" s="21"/>
    </row>
    <row r="2250" spans="2:4" x14ac:dyDescent="0.25">
      <c r="B2250" s="21"/>
      <c r="C2250" s="21"/>
      <c r="D2250" s="21"/>
    </row>
    <row r="2251" spans="2:4" x14ac:dyDescent="0.25">
      <c r="B2251" s="21"/>
      <c r="C2251" s="21"/>
      <c r="D2251" s="21"/>
    </row>
    <row r="2252" spans="2:4" x14ac:dyDescent="0.25">
      <c r="B2252" s="21"/>
      <c r="C2252" s="21"/>
      <c r="D2252" s="21"/>
    </row>
    <row r="2253" spans="2:4" x14ac:dyDescent="0.25">
      <c r="B2253" s="21"/>
      <c r="C2253" s="21"/>
      <c r="D2253" s="21"/>
    </row>
    <row r="2254" spans="2:4" x14ac:dyDescent="0.25">
      <c r="B2254" s="21"/>
      <c r="C2254" s="21"/>
      <c r="D2254" s="21"/>
    </row>
    <row r="2255" spans="2:4" x14ac:dyDescent="0.25">
      <c r="B2255" s="21"/>
      <c r="C2255" s="21"/>
      <c r="D2255" s="21"/>
    </row>
    <row r="2256" spans="2:4" x14ac:dyDescent="0.25">
      <c r="B2256" s="21"/>
      <c r="C2256" s="21"/>
      <c r="D2256" s="21"/>
    </row>
    <row r="2257" spans="2:4" x14ac:dyDescent="0.25">
      <c r="B2257" s="21"/>
      <c r="C2257" s="21"/>
      <c r="D2257" s="21"/>
    </row>
    <row r="2258" spans="2:4" x14ac:dyDescent="0.25">
      <c r="B2258" s="21"/>
      <c r="C2258" s="21"/>
      <c r="D2258" s="21"/>
    </row>
    <row r="2259" spans="2:4" x14ac:dyDescent="0.25">
      <c r="B2259" s="21"/>
      <c r="C2259" s="21"/>
      <c r="D2259" s="21"/>
    </row>
    <row r="2260" spans="2:4" x14ac:dyDescent="0.25">
      <c r="B2260" s="21"/>
      <c r="C2260" s="21"/>
      <c r="D2260" s="21"/>
    </row>
    <row r="2261" spans="2:4" x14ac:dyDescent="0.25">
      <c r="B2261" s="21"/>
      <c r="C2261" s="21"/>
      <c r="D2261" s="21"/>
    </row>
    <row r="2262" spans="2:4" x14ac:dyDescent="0.25">
      <c r="B2262" s="21"/>
      <c r="C2262" s="21"/>
      <c r="D2262" s="21"/>
    </row>
    <row r="2263" spans="2:4" x14ac:dyDescent="0.25">
      <c r="B2263" s="21"/>
      <c r="C2263" s="21"/>
      <c r="D2263" s="21"/>
    </row>
    <row r="2264" spans="2:4" x14ac:dyDescent="0.25">
      <c r="B2264" s="21"/>
      <c r="C2264" s="21"/>
      <c r="D2264" s="21"/>
    </row>
    <row r="2265" spans="2:4" x14ac:dyDescent="0.25">
      <c r="B2265" s="21"/>
      <c r="C2265" s="21"/>
      <c r="D2265" s="21"/>
    </row>
    <row r="2266" spans="2:4" x14ac:dyDescent="0.25">
      <c r="B2266" s="21"/>
      <c r="C2266" s="21"/>
      <c r="D2266" s="21"/>
    </row>
    <row r="2267" spans="2:4" x14ac:dyDescent="0.25">
      <c r="B2267" s="21"/>
      <c r="C2267" s="21"/>
      <c r="D2267" s="21"/>
    </row>
    <row r="2268" spans="2:4" x14ac:dyDescent="0.25">
      <c r="B2268" s="21"/>
      <c r="C2268" s="21"/>
      <c r="D2268" s="21"/>
    </row>
    <row r="2269" spans="2:4" x14ac:dyDescent="0.25">
      <c r="B2269" s="21"/>
      <c r="C2269" s="21"/>
      <c r="D2269" s="21"/>
    </row>
    <row r="2270" spans="2:4" x14ac:dyDescent="0.25">
      <c r="B2270" s="21"/>
      <c r="C2270" s="21"/>
      <c r="D2270" s="21"/>
    </row>
    <row r="2271" spans="2:4" x14ac:dyDescent="0.25">
      <c r="B2271" s="21"/>
      <c r="C2271" s="21"/>
      <c r="D2271" s="21"/>
    </row>
    <row r="2272" spans="2:4" x14ac:dyDescent="0.25">
      <c r="B2272" s="21"/>
      <c r="C2272" s="21"/>
      <c r="D2272" s="21"/>
    </row>
    <row r="2273" spans="2:4" x14ac:dyDescent="0.25">
      <c r="B2273" s="21"/>
      <c r="C2273" s="21"/>
      <c r="D2273" s="21"/>
    </row>
    <row r="2274" spans="2:4" x14ac:dyDescent="0.25">
      <c r="B2274" s="21"/>
      <c r="C2274" s="21"/>
      <c r="D2274" s="21"/>
    </row>
    <row r="2275" spans="2:4" x14ac:dyDescent="0.25">
      <c r="B2275" s="21"/>
      <c r="C2275" s="21"/>
      <c r="D2275" s="21"/>
    </row>
    <row r="2276" spans="2:4" x14ac:dyDescent="0.25">
      <c r="B2276" s="21"/>
      <c r="C2276" s="21"/>
      <c r="D2276" s="21"/>
    </row>
    <row r="2277" spans="2:4" x14ac:dyDescent="0.25">
      <c r="B2277" s="21"/>
      <c r="C2277" s="21"/>
      <c r="D2277" s="21"/>
    </row>
    <row r="2278" spans="2:4" x14ac:dyDescent="0.25">
      <c r="B2278" s="21"/>
      <c r="C2278" s="21"/>
      <c r="D2278" s="21"/>
    </row>
    <row r="2279" spans="2:4" x14ac:dyDescent="0.25">
      <c r="B2279" s="21"/>
      <c r="C2279" s="21"/>
      <c r="D2279" s="21"/>
    </row>
    <row r="2280" spans="2:4" x14ac:dyDescent="0.25">
      <c r="B2280" s="21"/>
      <c r="C2280" s="21"/>
      <c r="D2280" s="21"/>
    </row>
    <row r="2281" spans="2:4" x14ac:dyDescent="0.25">
      <c r="B2281" s="21"/>
      <c r="C2281" s="21"/>
      <c r="D2281" s="21"/>
    </row>
    <row r="2282" spans="2:4" x14ac:dyDescent="0.25">
      <c r="B2282" s="21"/>
      <c r="C2282" s="21"/>
      <c r="D2282" s="21"/>
    </row>
    <row r="2283" spans="2:4" x14ac:dyDescent="0.25">
      <c r="B2283" s="21"/>
      <c r="C2283" s="21"/>
      <c r="D2283" s="21"/>
    </row>
    <row r="2284" spans="2:4" x14ac:dyDescent="0.25">
      <c r="B2284" s="21"/>
      <c r="C2284" s="21"/>
      <c r="D2284" s="21"/>
    </row>
    <row r="2285" spans="2:4" x14ac:dyDescent="0.25">
      <c r="B2285" s="21"/>
      <c r="C2285" s="21"/>
      <c r="D2285" s="21"/>
    </row>
    <row r="2286" spans="2:4" x14ac:dyDescent="0.25">
      <c r="B2286" s="21"/>
      <c r="C2286" s="21"/>
      <c r="D2286" s="21"/>
    </row>
    <row r="2287" spans="2:4" x14ac:dyDescent="0.25">
      <c r="B2287" s="21"/>
      <c r="C2287" s="21"/>
      <c r="D2287" s="21"/>
    </row>
    <row r="2288" spans="2:4" x14ac:dyDescent="0.25">
      <c r="B2288" s="21"/>
      <c r="C2288" s="21"/>
      <c r="D2288" s="21"/>
    </row>
    <row r="2289" spans="2:4" x14ac:dyDescent="0.25">
      <c r="B2289" s="21"/>
      <c r="C2289" s="21"/>
      <c r="D2289" s="21"/>
    </row>
    <row r="2290" spans="2:4" x14ac:dyDescent="0.25">
      <c r="B2290" s="21"/>
      <c r="C2290" s="21"/>
      <c r="D2290" s="21"/>
    </row>
    <row r="2291" spans="2:4" x14ac:dyDescent="0.25">
      <c r="B2291" s="21"/>
      <c r="C2291" s="21"/>
      <c r="D2291" s="21"/>
    </row>
    <row r="2292" spans="2:4" x14ac:dyDescent="0.25">
      <c r="B2292" s="21"/>
      <c r="C2292" s="21"/>
      <c r="D2292" s="21"/>
    </row>
    <row r="2293" spans="2:4" x14ac:dyDescent="0.25">
      <c r="B2293" s="21"/>
      <c r="C2293" s="21"/>
      <c r="D2293" s="21"/>
    </row>
    <row r="2294" spans="2:4" x14ac:dyDescent="0.25">
      <c r="B2294" s="21"/>
      <c r="C2294" s="21"/>
      <c r="D2294" s="21"/>
    </row>
    <row r="2295" spans="2:4" x14ac:dyDescent="0.25">
      <c r="B2295" s="21"/>
      <c r="C2295" s="21"/>
      <c r="D2295" s="21"/>
    </row>
    <row r="2296" spans="2:4" x14ac:dyDescent="0.25">
      <c r="B2296" s="21"/>
      <c r="C2296" s="21"/>
      <c r="D2296" s="21"/>
    </row>
    <row r="2297" spans="2:4" x14ac:dyDescent="0.25">
      <c r="B2297" s="21"/>
      <c r="C2297" s="21"/>
      <c r="D2297" s="21"/>
    </row>
    <row r="2298" spans="2:4" x14ac:dyDescent="0.25">
      <c r="B2298" s="21"/>
      <c r="C2298" s="21"/>
      <c r="D2298" s="21"/>
    </row>
    <row r="2299" spans="2:4" x14ac:dyDescent="0.25">
      <c r="B2299" s="21"/>
      <c r="C2299" s="21"/>
      <c r="D2299" s="21"/>
    </row>
    <row r="2300" spans="2:4" x14ac:dyDescent="0.25">
      <c r="B2300" s="21"/>
      <c r="C2300" s="21"/>
      <c r="D2300" s="21"/>
    </row>
    <row r="2301" spans="2:4" x14ac:dyDescent="0.25">
      <c r="B2301" s="21"/>
      <c r="C2301" s="21"/>
      <c r="D2301" s="21"/>
    </row>
    <row r="2302" spans="2:4" x14ac:dyDescent="0.25">
      <c r="B2302" s="21"/>
      <c r="C2302" s="21"/>
      <c r="D2302" s="21"/>
    </row>
    <row r="2303" spans="2:4" x14ac:dyDescent="0.25">
      <c r="B2303" s="21"/>
      <c r="C2303" s="21"/>
      <c r="D2303" s="21"/>
    </row>
    <row r="2304" spans="2:4" x14ac:dyDescent="0.25">
      <c r="B2304" s="21"/>
      <c r="C2304" s="21"/>
      <c r="D2304" s="21"/>
    </row>
    <row r="2305" spans="2:4" x14ac:dyDescent="0.25">
      <c r="B2305" s="21"/>
      <c r="C2305" s="21"/>
      <c r="D2305" s="21"/>
    </row>
    <row r="2306" spans="2:4" x14ac:dyDescent="0.25">
      <c r="B2306" s="21"/>
      <c r="C2306" s="21"/>
      <c r="D2306" s="21"/>
    </row>
    <row r="2307" spans="2:4" x14ac:dyDescent="0.25">
      <c r="B2307" s="21"/>
      <c r="C2307" s="21"/>
      <c r="D2307" s="21"/>
    </row>
    <row r="2308" spans="2:4" x14ac:dyDescent="0.25">
      <c r="B2308" s="21"/>
      <c r="C2308" s="21"/>
      <c r="D2308" s="21"/>
    </row>
    <row r="2309" spans="2:4" x14ac:dyDescent="0.25">
      <c r="B2309" s="21"/>
      <c r="C2309" s="21"/>
      <c r="D2309" s="21"/>
    </row>
    <row r="2310" spans="2:4" x14ac:dyDescent="0.25">
      <c r="B2310" s="21"/>
      <c r="C2310" s="21"/>
      <c r="D2310" s="21"/>
    </row>
    <row r="2311" spans="2:4" x14ac:dyDescent="0.25">
      <c r="B2311" s="21"/>
      <c r="C2311" s="21"/>
      <c r="D2311" s="21"/>
    </row>
    <row r="2312" spans="2:4" x14ac:dyDescent="0.25">
      <c r="B2312" s="21"/>
      <c r="C2312" s="21"/>
      <c r="D2312" s="21"/>
    </row>
    <row r="2313" spans="2:4" x14ac:dyDescent="0.25">
      <c r="B2313" s="21"/>
      <c r="C2313" s="21"/>
      <c r="D2313" s="21"/>
    </row>
    <row r="2314" spans="2:4" x14ac:dyDescent="0.25">
      <c r="B2314" s="21"/>
      <c r="C2314" s="21"/>
      <c r="D2314" s="21"/>
    </row>
    <row r="2315" spans="2:4" x14ac:dyDescent="0.25">
      <c r="B2315" s="21"/>
      <c r="C2315" s="21"/>
      <c r="D2315" s="21"/>
    </row>
    <row r="2316" spans="2:4" x14ac:dyDescent="0.25">
      <c r="B2316" s="21"/>
      <c r="C2316" s="21"/>
      <c r="D2316" s="21"/>
    </row>
    <row r="2317" spans="2:4" x14ac:dyDescent="0.25">
      <c r="B2317" s="21"/>
      <c r="C2317" s="21"/>
      <c r="D2317" s="21"/>
    </row>
    <row r="2318" spans="2:4" x14ac:dyDescent="0.25">
      <c r="B2318" s="21"/>
      <c r="C2318" s="21"/>
      <c r="D2318" s="21"/>
    </row>
    <row r="2319" spans="2:4" x14ac:dyDescent="0.25">
      <c r="B2319" s="21"/>
      <c r="C2319" s="21"/>
      <c r="D2319" s="21"/>
    </row>
    <row r="2320" spans="2:4" x14ac:dyDescent="0.25">
      <c r="B2320" s="21"/>
      <c r="C2320" s="21"/>
      <c r="D2320" s="21"/>
    </row>
    <row r="2321" spans="2:4" x14ac:dyDescent="0.25">
      <c r="B2321" s="21"/>
      <c r="C2321" s="21"/>
      <c r="D2321" s="21"/>
    </row>
    <row r="2322" spans="2:4" x14ac:dyDescent="0.25">
      <c r="B2322" s="21"/>
      <c r="C2322" s="21"/>
      <c r="D2322" s="21"/>
    </row>
    <row r="2323" spans="2:4" x14ac:dyDescent="0.25">
      <c r="B2323" s="21"/>
      <c r="C2323" s="21"/>
      <c r="D2323" s="21"/>
    </row>
    <row r="2324" spans="2:4" x14ac:dyDescent="0.25">
      <c r="B2324" s="21"/>
      <c r="C2324" s="21"/>
      <c r="D2324" s="21"/>
    </row>
    <row r="2325" spans="2:4" x14ac:dyDescent="0.25">
      <c r="B2325" s="21"/>
      <c r="C2325" s="21"/>
      <c r="D2325" s="21"/>
    </row>
    <row r="2326" spans="2:4" x14ac:dyDescent="0.25">
      <c r="B2326" s="21"/>
      <c r="C2326" s="21"/>
      <c r="D2326" s="21"/>
    </row>
    <row r="2327" spans="2:4" x14ac:dyDescent="0.25">
      <c r="B2327" s="21"/>
      <c r="C2327" s="21"/>
      <c r="D2327" s="21"/>
    </row>
    <row r="2328" spans="2:4" x14ac:dyDescent="0.25">
      <c r="B2328" s="21"/>
      <c r="C2328" s="21"/>
      <c r="D2328" s="21"/>
    </row>
    <row r="2329" spans="2:4" x14ac:dyDescent="0.25">
      <c r="B2329" s="21"/>
      <c r="C2329" s="21"/>
      <c r="D2329" s="21"/>
    </row>
    <row r="2330" spans="2:4" x14ac:dyDescent="0.25">
      <c r="B2330" s="21"/>
      <c r="C2330" s="21"/>
      <c r="D2330" s="21"/>
    </row>
    <row r="2331" spans="2:4" x14ac:dyDescent="0.25">
      <c r="B2331" s="21"/>
      <c r="C2331" s="21"/>
      <c r="D2331" s="21"/>
    </row>
    <row r="2332" spans="2:4" x14ac:dyDescent="0.25">
      <c r="B2332" s="21"/>
      <c r="C2332" s="21"/>
      <c r="D2332" s="21"/>
    </row>
    <row r="2333" spans="2:4" x14ac:dyDescent="0.25">
      <c r="B2333" s="21"/>
      <c r="C2333" s="21"/>
      <c r="D2333" s="21"/>
    </row>
    <row r="2334" spans="2:4" x14ac:dyDescent="0.25">
      <c r="B2334" s="21"/>
      <c r="C2334" s="21"/>
      <c r="D2334" s="21"/>
    </row>
    <row r="2335" spans="2:4" x14ac:dyDescent="0.25">
      <c r="B2335" s="21"/>
      <c r="C2335" s="21"/>
      <c r="D2335" s="21"/>
    </row>
    <row r="2336" spans="2:4" x14ac:dyDescent="0.25">
      <c r="B2336" s="21"/>
      <c r="C2336" s="21"/>
      <c r="D2336" s="21"/>
    </row>
    <row r="2337" spans="2:4" x14ac:dyDescent="0.25">
      <c r="B2337" s="21"/>
      <c r="C2337" s="21"/>
      <c r="D2337" s="21"/>
    </row>
    <row r="2338" spans="2:4" x14ac:dyDescent="0.25">
      <c r="B2338" s="21"/>
      <c r="C2338" s="21"/>
      <c r="D2338" s="21"/>
    </row>
    <row r="2339" spans="2:4" x14ac:dyDescent="0.25">
      <c r="B2339" s="21"/>
      <c r="C2339" s="21"/>
      <c r="D2339" s="21"/>
    </row>
    <row r="2340" spans="2:4" x14ac:dyDescent="0.25">
      <c r="B2340" s="21"/>
      <c r="C2340" s="21"/>
      <c r="D2340" s="21"/>
    </row>
    <row r="2341" spans="2:4" x14ac:dyDescent="0.25">
      <c r="B2341" s="21"/>
      <c r="C2341" s="21"/>
      <c r="D2341" s="21"/>
    </row>
    <row r="2342" spans="2:4" x14ac:dyDescent="0.25">
      <c r="B2342" s="21"/>
      <c r="C2342" s="21"/>
      <c r="D2342" s="21"/>
    </row>
    <row r="2343" spans="2:4" x14ac:dyDescent="0.25">
      <c r="B2343" s="21"/>
      <c r="C2343" s="21"/>
      <c r="D2343" s="21"/>
    </row>
    <row r="2344" spans="2:4" x14ac:dyDescent="0.25">
      <c r="B2344" s="21"/>
      <c r="C2344" s="21"/>
      <c r="D2344" s="21"/>
    </row>
    <row r="2345" spans="2:4" x14ac:dyDescent="0.25">
      <c r="B2345" s="21"/>
      <c r="C2345" s="21"/>
      <c r="D2345" s="21"/>
    </row>
    <row r="2346" spans="2:4" x14ac:dyDescent="0.25">
      <c r="B2346" s="21"/>
      <c r="C2346" s="21"/>
      <c r="D2346" s="21"/>
    </row>
    <row r="2347" spans="2:4" x14ac:dyDescent="0.25">
      <c r="B2347" s="21"/>
      <c r="C2347" s="21"/>
      <c r="D2347" s="21"/>
    </row>
    <row r="2348" spans="2:4" x14ac:dyDescent="0.25">
      <c r="B2348" s="21"/>
      <c r="C2348" s="21"/>
      <c r="D2348" s="21"/>
    </row>
    <row r="2349" spans="2:4" x14ac:dyDescent="0.25">
      <c r="B2349" s="21"/>
      <c r="C2349" s="21"/>
      <c r="D2349" s="21"/>
    </row>
    <row r="2350" spans="2:4" x14ac:dyDescent="0.25">
      <c r="B2350" s="21"/>
      <c r="C2350" s="21"/>
      <c r="D2350" s="21"/>
    </row>
    <row r="2351" spans="2:4" x14ac:dyDescent="0.25">
      <c r="B2351" s="21"/>
      <c r="C2351" s="21"/>
      <c r="D2351" s="21"/>
    </row>
    <row r="2352" spans="2:4" x14ac:dyDescent="0.25">
      <c r="B2352" s="21"/>
      <c r="C2352" s="21"/>
      <c r="D2352" s="21"/>
    </row>
    <row r="2353" spans="2:4" x14ac:dyDescent="0.25">
      <c r="B2353" s="21"/>
      <c r="C2353" s="21"/>
      <c r="D2353" s="21"/>
    </row>
    <row r="2354" spans="2:4" x14ac:dyDescent="0.25">
      <c r="B2354" s="21"/>
      <c r="C2354" s="21"/>
      <c r="D2354" s="21"/>
    </row>
    <row r="2355" spans="2:4" x14ac:dyDescent="0.25">
      <c r="B2355" s="21"/>
      <c r="C2355" s="21"/>
      <c r="D2355" s="21"/>
    </row>
    <row r="2356" spans="2:4" x14ac:dyDescent="0.25">
      <c r="B2356" s="21"/>
      <c r="C2356" s="21"/>
      <c r="D2356" s="21"/>
    </row>
    <row r="2357" spans="2:4" x14ac:dyDescent="0.25">
      <c r="B2357" s="21"/>
      <c r="C2357" s="21"/>
      <c r="D2357" s="21"/>
    </row>
    <row r="2358" spans="2:4" x14ac:dyDescent="0.25">
      <c r="B2358" s="21"/>
      <c r="C2358" s="21"/>
      <c r="D2358" s="21"/>
    </row>
    <row r="2359" spans="2:4" x14ac:dyDescent="0.25">
      <c r="B2359" s="21"/>
      <c r="C2359" s="21"/>
      <c r="D2359" s="21"/>
    </row>
    <row r="2360" spans="2:4" x14ac:dyDescent="0.25">
      <c r="B2360" s="21"/>
      <c r="C2360" s="21"/>
      <c r="D2360" s="21"/>
    </row>
    <row r="2361" spans="2:4" x14ac:dyDescent="0.25">
      <c r="B2361" s="21"/>
      <c r="C2361" s="21"/>
      <c r="D2361" s="21"/>
    </row>
    <row r="2362" spans="2:4" x14ac:dyDescent="0.25">
      <c r="B2362" s="21"/>
      <c r="C2362" s="21"/>
      <c r="D2362" s="21"/>
    </row>
    <row r="2363" spans="2:4" x14ac:dyDescent="0.25">
      <c r="B2363" s="21"/>
      <c r="C2363" s="21"/>
      <c r="D2363" s="21"/>
    </row>
    <row r="2364" spans="2:4" x14ac:dyDescent="0.25">
      <c r="B2364" s="21"/>
      <c r="C2364" s="21"/>
      <c r="D2364" s="21"/>
    </row>
    <row r="2365" spans="2:4" x14ac:dyDescent="0.25">
      <c r="B2365" s="21"/>
      <c r="C2365" s="21"/>
      <c r="D2365" s="21"/>
    </row>
    <row r="2366" spans="2:4" x14ac:dyDescent="0.25">
      <c r="B2366" s="21"/>
      <c r="C2366" s="21"/>
      <c r="D2366" s="21"/>
    </row>
    <row r="2367" spans="2:4" x14ac:dyDescent="0.25">
      <c r="B2367" s="21"/>
      <c r="C2367" s="21"/>
      <c r="D2367" s="21"/>
    </row>
    <row r="2368" spans="2:4" x14ac:dyDescent="0.25">
      <c r="B2368" s="21"/>
      <c r="C2368" s="21"/>
      <c r="D2368" s="21"/>
    </row>
    <row r="2369" spans="2:4" x14ac:dyDescent="0.25">
      <c r="B2369" s="21"/>
      <c r="C2369" s="21"/>
      <c r="D2369" s="21"/>
    </row>
    <row r="2370" spans="2:4" x14ac:dyDescent="0.25">
      <c r="B2370" s="21"/>
      <c r="C2370" s="21"/>
      <c r="D2370" s="21"/>
    </row>
    <row r="2371" spans="2:4" x14ac:dyDescent="0.25">
      <c r="B2371" s="21"/>
      <c r="C2371" s="21"/>
      <c r="D2371" s="21"/>
    </row>
    <row r="2372" spans="2:4" x14ac:dyDescent="0.25">
      <c r="B2372" s="21"/>
      <c r="C2372" s="21"/>
      <c r="D2372" s="21"/>
    </row>
    <row r="2373" spans="2:4" x14ac:dyDescent="0.25">
      <c r="B2373" s="21"/>
      <c r="C2373" s="21"/>
      <c r="D2373" s="21"/>
    </row>
    <row r="2374" spans="2:4" x14ac:dyDescent="0.25">
      <c r="B2374" s="21"/>
      <c r="C2374" s="21"/>
      <c r="D2374" s="21"/>
    </row>
    <row r="2375" spans="2:4" x14ac:dyDescent="0.25">
      <c r="B2375" s="21"/>
      <c r="C2375" s="21"/>
      <c r="D2375" s="21"/>
    </row>
    <row r="2376" spans="2:4" x14ac:dyDescent="0.25">
      <c r="B2376" s="21"/>
      <c r="C2376" s="21"/>
      <c r="D2376" s="21"/>
    </row>
    <row r="2377" spans="2:4" x14ac:dyDescent="0.25">
      <c r="B2377" s="21"/>
      <c r="C2377" s="21"/>
      <c r="D2377" s="21"/>
    </row>
    <row r="2378" spans="2:4" x14ac:dyDescent="0.25">
      <c r="B2378" s="21"/>
      <c r="C2378" s="21"/>
      <c r="D2378" s="21"/>
    </row>
    <row r="2379" spans="2:4" x14ac:dyDescent="0.25">
      <c r="B2379" s="21"/>
      <c r="C2379" s="21"/>
      <c r="D2379" s="21"/>
    </row>
    <row r="2380" spans="2:4" x14ac:dyDescent="0.25">
      <c r="B2380" s="21"/>
      <c r="C2380" s="21"/>
      <c r="D2380" s="21"/>
    </row>
    <row r="2381" spans="2:4" x14ac:dyDescent="0.25">
      <c r="B2381" s="21"/>
      <c r="C2381" s="21"/>
      <c r="D2381" s="21"/>
    </row>
    <row r="2382" spans="2:4" x14ac:dyDescent="0.25">
      <c r="B2382" s="21"/>
      <c r="C2382" s="21"/>
      <c r="D2382" s="21"/>
    </row>
    <row r="2383" spans="2:4" x14ac:dyDescent="0.25">
      <c r="B2383" s="21"/>
      <c r="C2383" s="21"/>
      <c r="D2383" s="21"/>
    </row>
    <row r="2384" spans="2:4" x14ac:dyDescent="0.25">
      <c r="B2384" s="21"/>
      <c r="C2384" s="21"/>
      <c r="D2384" s="21"/>
    </row>
    <row r="2385" spans="2:4" x14ac:dyDescent="0.25">
      <c r="B2385" s="21"/>
      <c r="C2385" s="21"/>
      <c r="D2385" s="21"/>
    </row>
    <row r="2386" spans="2:4" x14ac:dyDescent="0.25">
      <c r="B2386" s="21"/>
      <c r="C2386" s="21"/>
      <c r="D2386" s="21"/>
    </row>
    <row r="2387" spans="2:4" x14ac:dyDescent="0.25">
      <c r="B2387" s="21"/>
      <c r="C2387" s="21"/>
      <c r="D2387" s="21"/>
    </row>
    <row r="2388" spans="2:4" x14ac:dyDescent="0.25">
      <c r="B2388" s="21"/>
      <c r="C2388" s="21"/>
      <c r="D2388" s="21"/>
    </row>
    <row r="2389" spans="2:4" x14ac:dyDescent="0.25">
      <c r="B2389" s="21"/>
      <c r="C2389" s="21"/>
      <c r="D2389" s="21"/>
    </row>
    <row r="2390" spans="2:4" x14ac:dyDescent="0.25">
      <c r="B2390" s="21"/>
      <c r="C2390" s="21"/>
      <c r="D2390" s="21"/>
    </row>
    <row r="2391" spans="2:4" x14ac:dyDescent="0.25">
      <c r="B2391" s="21"/>
      <c r="C2391" s="21"/>
      <c r="D2391" s="21"/>
    </row>
    <row r="2392" spans="2:4" x14ac:dyDescent="0.25">
      <c r="B2392" s="21"/>
      <c r="C2392" s="21"/>
      <c r="D2392" s="21"/>
    </row>
    <row r="2393" spans="2:4" x14ac:dyDescent="0.25">
      <c r="B2393" s="21"/>
      <c r="C2393" s="21"/>
      <c r="D2393" s="21"/>
    </row>
    <row r="2394" spans="2:4" x14ac:dyDescent="0.25">
      <c r="B2394" s="21"/>
      <c r="C2394" s="21"/>
      <c r="D2394" s="21"/>
    </row>
    <row r="2395" spans="2:4" x14ac:dyDescent="0.25">
      <c r="B2395" s="21"/>
      <c r="C2395" s="21"/>
      <c r="D2395" s="21"/>
    </row>
    <row r="2396" spans="2:4" x14ac:dyDescent="0.25">
      <c r="B2396" s="21"/>
      <c r="C2396" s="21"/>
      <c r="D2396" s="21"/>
    </row>
    <row r="2397" spans="2:4" x14ac:dyDescent="0.25">
      <c r="B2397" s="21"/>
      <c r="C2397" s="21"/>
      <c r="D2397" s="21"/>
    </row>
    <row r="2398" spans="2:4" x14ac:dyDescent="0.25">
      <c r="B2398" s="21"/>
      <c r="C2398" s="21"/>
      <c r="D2398" s="21"/>
    </row>
    <row r="2399" spans="2:4" x14ac:dyDescent="0.25">
      <c r="B2399" s="21"/>
      <c r="C2399" s="21"/>
      <c r="D2399" s="21"/>
    </row>
    <row r="2400" spans="2:4" x14ac:dyDescent="0.25">
      <c r="B2400" s="21"/>
      <c r="C2400" s="21"/>
      <c r="D2400" s="21"/>
    </row>
    <row r="2401" spans="2:4" x14ac:dyDescent="0.25">
      <c r="B2401" s="21"/>
      <c r="C2401" s="21"/>
      <c r="D2401" s="21"/>
    </row>
    <row r="2402" spans="2:4" x14ac:dyDescent="0.25">
      <c r="B2402" s="21"/>
      <c r="C2402" s="21"/>
      <c r="D2402" s="21"/>
    </row>
    <row r="2403" spans="2:4" x14ac:dyDescent="0.25">
      <c r="B2403" s="21"/>
      <c r="C2403" s="21"/>
      <c r="D2403" s="21"/>
    </row>
    <row r="2404" spans="2:4" x14ac:dyDescent="0.25">
      <c r="B2404" s="21"/>
      <c r="C2404" s="21"/>
      <c r="D2404" s="21"/>
    </row>
  </sheetData>
  <mergeCells count="1">
    <mergeCell ref="B1:D1"/>
  </mergeCells>
  <printOptions horizontalCentered="1"/>
  <pageMargins left="0.70866141732283472" right="0.70866141732283472" top="0.74803149606299213" bottom="0.74803149606299213" header="0.31496062992125984" footer="0.31496062992125984"/>
  <pageSetup paperSize="9" scale="54" orientation="landscape" r:id="rId1"/>
  <headerFooter>
    <oddHeader xml:space="preserve">&amp;C&amp;"Times New Roman,Félkövér"Budapest VIII. kerületi Önkormányzat 2020. évi költségvetés előirányzatainak
teljesítési és felhasználási ütemterve&amp;R&amp;"Times New Roman,Félkövér dőlt"előterjesztés
1.sz. melléklete
ezer Ft-ban&amp;"MS Sans Serif,Normál"
</oddHeader>
  </headerFooter>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G100"/>
  <sheetViews>
    <sheetView topLeftCell="A32" zoomScaleNormal="100" workbookViewId="0">
      <selection activeCell="J40" sqref="J40"/>
    </sheetView>
  </sheetViews>
  <sheetFormatPr defaultColWidth="9.109375" defaultRowHeight="13.2" x14ac:dyDescent="0.25"/>
  <cols>
    <col min="1" max="1" width="69.6640625" style="92" customWidth="1"/>
    <col min="2" max="2" width="19.6640625" style="127" customWidth="1"/>
    <col min="3" max="5" width="12.6640625" style="127" customWidth="1"/>
    <col min="6" max="6" width="26.44140625" style="92" customWidth="1"/>
    <col min="7" max="7" width="9.109375" style="332"/>
    <col min="8" max="256" width="9.109375" style="127"/>
    <col min="257" max="257" width="39" style="127" customWidth="1"/>
    <col min="258" max="258" width="19.6640625" style="127" customWidth="1"/>
    <col min="259" max="261" width="12.6640625" style="127" customWidth="1"/>
    <col min="262" max="262" width="51.109375" style="127" customWidth="1"/>
    <col min="263" max="512" width="9.109375" style="127"/>
    <col min="513" max="513" width="39" style="127" customWidth="1"/>
    <col min="514" max="514" width="19.6640625" style="127" customWidth="1"/>
    <col min="515" max="517" width="12.6640625" style="127" customWidth="1"/>
    <col min="518" max="518" width="51.109375" style="127" customWidth="1"/>
    <col min="519" max="768" width="9.109375" style="127"/>
    <col min="769" max="769" width="39" style="127" customWidth="1"/>
    <col min="770" max="770" width="19.6640625" style="127" customWidth="1"/>
    <col min="771" max="773" width="12.6640625" style="127" customWidth="1"/>
    <col min="774" max="774" width="51.109375" style="127" customWidth="1"/>
    <col min="775" max="1024" width="9.109375" style="127"/>
    <col min="1025" max="1025" width="39" style="127" customWidth="1"/>
    <col min="1026" max="1026" width="19.6640625" style="127" customWidth="1"/>
    <col min="1027" max="1029" width="12.6640625" style="127" customWidth="1"/>
    <col min="1030" max="1030" width="51.109375" style="127" customWidth="1"/>
    <col min="1031" max="1280" width="9.109375" style="127"/>
    <col min="1281" max="1281" width="39" style="127" customWidth="1"/>
    <col min="1282" max="1282" width="19.6640625" style="127" customWidth="1"/>
    <col min="1283" max="1285" width="12.6640625" style="127" customWidth="1"/>
    <col min="1286" max="1286" width="51.109375" style="127" customWidth="1"/>
    <col min="1287" max="1536" width="9.109375" style="127"/>
    <col min="1537" max="1537" width="39" style="127" customWidth="1"/>
    <col min="1538" max="1538" width="19.6640625" style="127" customWidth="1"/>
    <col min="1539" max="1541" width="12.6640625" style="127" customWidth="1"/>
    <col min="1542" max="1542" width="51.109375" style="127" customWidth="1"/>
    <col min="1543" max="1792" width="9.109375" style="127"/>
    <col min="1793" max="1793" width="39" style="127" customWidth="1"/>
    <col min="1794" max="1794" width="19.6640625" style="127" customWidth="1"/>
    <col min="1795" max="1797" width="12.6640625" style="127" customWidth="1"/>
    <col min="1798" max="1798" width="51.109375" style="127" customWidth="1"/>
    <col min="1799" max="2048" width="9.109375" style="127"/>
    <col min="2049" max="2049" width="39" style="127" customWidth="1"/>
    <col min="2050" max="2050" width="19.6640625" style="127" customWidth="1"/>
    <col min="2051" max="2053" width="12.6640625" style="127" customWidth="1"/>
    <col min="2054" max="2054" width="51.109375" style="127" customWidth="1"/>
    <col min="2055" max="2304" width="9.109375" style="127"/>
    <col min="2305" max="2305" width="39" style="127" customWidth="1"/>
    <col min="2306" max="2306" width="19.6640625" style="127" customWidth="1"/>
    <col min="2307" max="2309" width="12.6640625" style="127" customWidth="1"/>
    <col min="2310" max="2310" width="51.109375" style="127" customWidth="1"/>
    <col min="2311" max="2560" width="9.109375" style="127"/>
    <col min="2561" max="2561" width="39" style="127" customWidth="1"/>
    <col min="2562" max="2562" width="19.6640625" style="127" customWidth="1"/>
    <col min="2563" max="2565" width="12.6640625" style="127" customWidth="1"/>
    <col min="2566" max="2566" width="51.109375" style="127" customWidth="1"/>
    <col min="2567" max="2816" width="9.109375" style="127"/>
    <col min="2817" max="2817" width="39" style="127" customWidth="1"/>
    <col min="2818" max="2818" width="19.6640625" style="127" customWidth="1"/>
    <col min="2819" max="2821" width="12.6640625" style="127" customWidth="1"/>
    <col min="2822" max="2822" width="51.109375" style="127" customWidth="1"/>
    <col min="2823" max="3072" width="9.109375" style="127"/>
    <col min="3073" max="3073" width="39" style="127" customWidth="1"/>
    <col min="3074" max="3074" width="19.6640625" style="127" customWidth="1"/>
    <col min="3075" max="3077" width="12.6640625" style="127" customWidth="1"/>
    <col min="3078" max="3078" width="51.109375" style="127" customWidth="1"/>
    <col min="3079" max="3328" width="9.109375" style="127"/>
    <col min="3329" max="3329" width="39" style="127" customWidth="1"/>
    <col min="3330" max="3330" width="19.6640625" style="127" customWidth="1"/>
    <col min="3331" max="3333" width="12.6640625" style="127" customWidth="1"/>
    <col min="3334" max="3334" width="51.109375" style="127" customWidth="1"/>
    <col min="3335" max="3584" width="9.109375" style="127"/>
    <col min="3585" max="3585" width="39" style="127" customWidth="1"/>
    <col min="3586" max="3586" width="19.6640625" style="127" customWidth="1"/>
    <col min="3587" max="3589" width="12.6640625" style="127" customWidth="1"/>
    <col min="3590" max="3590" width="51.109375" style="127" customWidth="1"/>
    <col min="3591" max="3840" width="9.109375" style="127"/>
    <col min="3841" max="3841" width="39" style="127" customWidth="1"/>
    <col min="3842" max="3842" width="19.6640625" style="127" customWidth="1"/>
    <col min="3843" max="3845" width="12.6640625" style="127" customWidth="1"/>
    <col min="3846" max="3846" width="51.109375" style="127" customWidth="1"/>
    <col min="3847" max="4096" width="9.109375" style="127"/>
    <col min="4097" max="4097" width="39" style="127" customWidth="1"/>
    <col min="4098" max="4098" width="19.6640625" style="127" customWidth="1"/>
    <col min="4099" max="4101" width="12.6640625" style="127" customWidth="1"/>
    <col min="4102" max="4102" width="51.109375" style="127" customWidth="1"/>
    <col min="4103" max="4352" width="9.109375" style="127"/>
    <col min="4353" max="4353" width="39" style="127" customWidth="1"/>
    <col min="4354" max="4354" width="19.6640625" style="127" customWidth="1"/>
    <col min="4355" max="4357" width="12.6640625" style="127" customWidth="1"/>
    <col min="4358" max="4358" width="51.109375" style="127" customWidth="1"/>
    <col min="4359" max="4608" width="9.109375" style="127"/>
    <col min="4609" max="4609" width="39" style="127" customWidth="1"/>
    <col min="4610" max="4610" width="19.6640625" style="127" customWidth="1"/>
    <col min="4611" max="4613" width="12.6640625" style="127" customWidth="1"/>
    <col min="4614" max="4614" width="51.109375" style="127" customWidth="1"/>
    <col min="4615" max="4864" width="9.109375" style="127"/>
    <col min="4865" max="4865" width="39" style="127" customWidth="1"/>
    <col min="4866" max="4866" width="19.6640625" style="127" customWidth="1"/>
    <col min="4867" max="4869" width="12.6640625" style="127" customWidth="1"/>
    <col min="4870" max="4870" width="51.109375" style="127" customWidth="1"/>
    <col min="4871" max="5120" width="9.109375" style="127"/>
    <col min="5121" max="5121" width="39" style="127" customWidth="1"/>
    <col min="5122" max="5122" width="19.6640625" style="127" customWidth="1"/>
    <col min="5123" max="5125" width="12.6640625" style="127" customWidth="1"/>
    <col min="5126" max="5126" width="51.109375" style="127" customWidth="1"/>
    <col min="5127" max="5376" width="9.109375" style="127"/>
    <col min="5377" max="5377" width="39" style="127" customWidth="1"/>
    <col min="5378" max="5378" width="19.6640625" style="127" customWidth="1"/>
    <col min="5379" max="5381" width="12.6640625" style="127" customWidth="1"/>
    <col min="5382" max="5382" width="51.109375" style="127" customWidth="1"/>
    <col min="5383" max="5632" width="9.109375" style="127"/>
    <col min="5633" max="5633" width="39" style="127" customWidth="1"/>
    <col min="5634" max="5634" width="19.6640625" style="127" customWidth="1"/>
    <col min="5635" max="5637" width="12.6640625" style="127" customWidth="1"/>
    <col min="5638" max="5638" width="51.109375" style="127" customWidth="1"/>
    <col min="5639" max="5888" width="9.109375" style="127"/>
    <col min="5889" max="5889" width="39" style="127" customWidth="1"/>
    <col min="5890" max="5890" width="19.6640625" style="127" customWidth="1"/>
    <col min="5891" max="5893" width="12.6640625" style="127" customWidth="1"/>
    <col min="5894" max="5894" width="51.109375" style="127" customWidth="1"/>
    <col min="5895" max="6144" width="9.109375" style="127"/>
    <col min="6145" max="6145" width="39" style="127" customWidth="1"/>
    <col min="6146" max="6146" width="19.6640625" style="127" customWidth="1"/>
    <col min="6147" max="6149" width="12.6640625" style="127" customWidth="1"/>
    <col min="6150" max="6150" width="51.109375" style="127" customWidth="1"/>
    <col min="6151" max="6400" width="9.109375" style="127"/>
    <col min="6401" max="6401" width="39" style="127" customWidth="1"/>
    <col min="6402" max="6402" width="19.6640625" style="127" customWidth="1"/>
    <col min="6403" max="6405" width="12.6640625" style="127" customWidth="1"/>
    <col min="6406" max="6406" width="51.109375" style="127" customWidth="1"/>
    <col min="6407" max="6656" width="9.109375" style="127"/>
    <col min="6657" max="6657" width="39" style="127" customWidth="1"/>
    <col min="6658" max="6658" width="19.6640625" style="127" customWidth="1"/>
    <col min="6659" max="6661" width="12.6640625" style="127" customWidth="1"/>
    <col min="6662" max="6662" width="51.109375" style="127" customWidth="1"/>
    <col min="6663" max="6912" width="9.109375" style="127"/>
    <col min="6913" max="6913" width="39" style="127" customWidth="1"/>
    <col min="6914" max="6914" width="19.6640625" style="127" customWidth="1"/>
    <col min="6915" max="6917" width="12.6640625" style="127" customWidth="1"/>
    <col min="6918" max="6918" width="51.109375" style="127" customWidth="1"/>
    <col min="6919" max="7168" width="9.109375" style="127"/>
    <col min="7169" max="7169" width="39" style="127" customWidth="1"/>
    <col min="7170" max="7170" width="19.6640625" style="127" customWidth="1"/>
    <col min="7171" max="7173" width="12.6640625" style="127" customWidth="1"/>
    <col min="7174" max="7174" width="51.109375" style="127" customWidth="1"/>
    <col min="7175" max="7424" width="9.109375" style="127"/>
    <col min="7425" max="7425" width="39" style="127" customWidth="1"/>
    <col min="7426" max="7426" width="19.6640625" style="127" customWidth="1"/>
    <col min="7427" max="7429" width="12.6640625" style="127" customWidth="1"/>
    <col min="7430" max="7430" width="51.109375" style="127" customWidth="1"/>
    <col min="7431" max="7680" width="9.109375" style="127"/>
    <col min="7681" max="7681" width="39" style="127" customWidth="1"/>
    <col min="7682" max="7682" width="19.6640625" style="127" customWidth="1"/>
    <col min="7683" max="7685" width="12.6640625" style="127" customWidth="1"/>
    <col min="7686" max="7686" width="51.109375" style="127" customWidth="1"/>
    <col min="7687" max="7936" width="9.109375" style="127"/>
    <col min="7937" max="7937" width="39" style="127" customWidth="1"/>
    <col min="7938" max="7938" width="19.6640625" style="127" customWidth="1"/>
    <col min="7939" max="7941" width="12.6640625" style="127" customWidth="1"/>
    <col min="7942" max="7942" width="51.109375" style="127" customWidth="1"/>
    <col min="7943" max="8192" width="9.109375" style="127"/>
    <col min="8193" max="8193" width="39" style="127" customWidth="1"/>
    <col min="8194" max="8194" width="19.6640625" style="127" customWidth="1"/>
    <col min="8195" max="8197" width="12.6640625" style="127" customWidth="1"/>
    <col min="8198" max="8198" width="51.109375" style="127" customWidth="1"/>
    <col min="8199" max="8448" width="9.109375" style="127"/>
    <col min="8449" max="8449" width="39" style="127" customWidth="1"/>
    <col min="8450" max="8450" width="19.6640625" style="127" customWidth="1"/>
    <col min="8451" max="8453" width="12.6640625" style="127" customWidth="1"/>
    <col min="8454" max="8454" width="51.109375" style="127" customWidth="1"/>
    <col min="8455" max="8704" width="9.109375" style="127"/>
    <col min="8705" max="8705" width="39" style="127" customWidth="1"/>
    <col min="8706" max="8706" width="19.6640625" style="127" customWidth="1"/>
    <col min="8707" max="8709" width="12.6640625" style="127" customWidth="1"/>
    <col min="8710" max="8710" width="51.109375" style="127" customWidth="1"/>
    <col min="8711" max="8960" width="9.109375" style="127"/>
    <col min="8961" max="8961" width="39" style="127" customWidth="1"/>
    <col min="8962" max="8962" width="19.6640625" style="127" customWidth="1"/>
    <col min="8963" max="8965" width="12.6640625" style="127" customWidth="1"/>
    <col min="8966" max="8966" width="51.109375" style="127" customWidth="1"/>
    <col min="8967" max="9216" width="9.109375" style="127"/>
    <col min="9217" max="9217" width="39" style="127" customWidth="1"/>
    <col min="9218" max="9218" width="19.6640625" style="127" customWidth="1"/>
    <col min="9219" max="9221" width="12.6640625" style="127" customWidth="1"/>
    <col min="9222" max="9222" width="51.109375" style="127" customWidth="1"/>
    <col min="9223" max="9472" width="9.109375" style="127"/>
    <col min="9473" max="9473" width="39" style="127" customWidth="1"/>
    <col min="9474" max="9474" width="19.6640625" style="127" customWidth="1"/>
    <col min="9475" max="9477" width="12.6640625" style="127" customWidth="1"/>
    <col min="9478" max="9478" width="51.109375" style="127" customWidth="1"/>
    <col min="9479" max="9728" width="9.109375" style="127"/>
    <col min="9729" max="9729" width="39" style="127" customWidth="1"/>
    <col min="9730" max="9730" width="19.6640625" style="127" customWidth="1"/>
    <col min="9731" max="9733" width="12.6640625" style="127" customWidth="1"/>
    <col min="9734" max="9734" width="51.109375" style="127" customWidth="1"/>
    <col min="9735" max="9984" width="9.109375" style="127"/>
    <col min="9985" max="9985" width="39" style="127" customWidth="1"/>
    <col min="9986" max="9986" width="19.6640625" style="127" customWidth="1"/>
    <col min="9987" max="9989" width="12.6640625" style="127" customWidth="1"/>
    <col min="9990" max="9990" width="51.109375" style="127" customWidth="1"/>
    <col min="9991" max="10240" width="9.109375" style="127"/>
    <col min="10241" max="10241" width="39" style="127" customWidth="1"/>
    <col min="10242" max="10242" width="19.6640625" style="127" customWidth="1"/>
    <col min="10243" max="10245" width="12.6640625" style="127" customWidth="1"/>
    <col min="10246" max="10246" width="51.109375" style="127" customWidth="1"/>
    <col min="10247" max="10496" width="9.109375" style="127"/>
    <col min="10497" max="10497" width="39" style="127" customWidth="1"/>
    <col min="10498" max="10498" width="19.6640625" style="127" customWidth="1"/>
    <col min="10499" max="10501" width="12.6640625" style="127" customWidth="1"/>
    <col min="10502" max="10502" width="51.109375" style="127" customWidth="1"/>
    <col min="10503" max="10752" width="9.109375" style="127"/>
    <col min="10753" max="10753" width="39" style="127" customWidth="1"/>
    <col min="10754" max="10754" width="19.6640625" style="127" customWidth="1"/>
    <col min="10755" max="10757" width="12.6640625" style="127" customWidth="1"/>
    <col min="10758" max="10758" width="51.109375" style="127" customWidth="1"/>
    <col min="10759" max="11008" width="9.109375" style="127"/>
    <col min="11009" max="11009" width="39" style="127" customWidth="1"/>
    <col min="11010" max="11010" width="19.6640625" style="127" customWidth="1"/>
    <col min="11011" max="11013" width="12.6640625" style="127" customWidth="1"/>
    <col min="11014" max="11014" width="51.109375" style="127" customWidth="1"/>
    <col min="11015" max="11264" width="9.109375" style="127"/>
    <col min="11265" max="11265" width="39" style="127" customWidth="1"/>
    <col min="11266" max="11266" width="19.6640625" style="127" customWidth="1"/>
    <col min="11267" max="11269" width="12.6640625" style="127" customWidth="1"/>
    <col min="11270" max="11270" width="51.109375" style="127" customWidth="1"/>
    <col min="11271" max="11520" width="9.109375" style="127"/>
    <col min="11521" max="11521" width="39" style="127" customWidth="1"/>
    <col min="11522" max="11522" width="19.6640625" style="127" customWidth="1"/>
    <col min="11523" max="11525" width="12.6640625" style="127" customWidth="1"/>
    <col min="11526" max="11526" width="51.109375" style="127" customWidth="1"/>
    <col min="11527" max="11776" width="9.109375" style="127"/>
    <col min="11777" max="11777" width="39" style="127" customWidth="1"/>
    <col min="11778" max="11778" width="19.6640625" style="127" customWidth="1"/>
    <col min="11779" max="11781" width="12.6640625" style="127" customWidth="1"/>
    <col min="11782" max="11782" width="51.109375" style="127" customWidth="1"/>
    <col min="11783" max="12032" width="9.109375" style="127"/>
    <col min="12033" max="12033" width="39" style="127" customWidth="1"/>
    <col min="12034" max="12034" width="19.6640625" style="127" customWidth="1"/>
    <col min="12035" max="12037" width="12.6640625" style="127" customWidth="1"/>
    <col min="12038" max="12038" width="51.109375" style="127" customWidth="1"/>
    <col min="12039" max="12288" width="9.109375" style="127"/>
    <col min="12289" max="12289" width="39" style="127" customWidth="1"/>
    <col min="12290" max="12290" width="19.6640625" style="127" customWidth="1"/>
    <col min="12291" max="12293" width="12.6640625" style="127" customWidth="1"/>
    <col min="12294" max="12294" width="51.109375" style="127" customWidth="1"/>
    <col min="12295" max="12544" width="9.109375" style="127"/>
    <col min="12545" max="12545" width="39" style="127" customWidth="1"/>
    <col min="12546" max="12546" width="19.6640625" style="127" customWidth="1"/>
    <col min="12547" max="12549" width="12.6640625" style="127" customWidth="1"/>
    <col min="12550" max="12550" width="51.109375" style="127" customWidth="1"/>
    <col min="12551" max="12800" width="9.109375" style="127"/>
    <col min="12801" max="12801" width="39" style="127" customWidth="1"/>
    <col min="12802" max="12802" width="19.6640625" style="127" customWidth="1"/>
    <col min="12803" max="12805" width="12.6640625" style="127" customWidth="1"/>
    <col min="12806" max="12806" width="51.109375" style="127" customWidth="1"/>
    <col min="12807" max="13056" width="9.109375" style="127"/>
    <col min="13057" max="13057" width="39" style="127" customWidth="1"/>
    <col min="13058" max="13058" width="19.6640625" style="127" customWidth="1"/>
    <col min="13059" max="13061" width="12.6640625" style="127" customWidth="1"/>
    <col min="13062" max="13062" width="51.109375" style="127" customWidth="1"/>
    <col min="13063" max="13312" width="9.109375" style="127"/>
    <col min="13313" max="13313" width="39" style="127" customWidth="1"/>
    <col min="13314" max="13314" width="19.6640625" style="127" customWidth="1"/>
    <col min="13315" max="13317" width="12.6640625" style="127" customWidth="1"/>
    <col min="13318" max="13318" width="51.109375" style="127" customWidth="1"/>
    <col min="13319" max="13568" width="9.109375" style="127"/>
    <col min="13569" max="13569" width="39" style="127" customWidth="1"/>
    <col min="13570" max="13570" width="19.6640625" style="127" customWidth="1"/>
    <col min="13571" max="13573" width="12.6640625" style="127" customWidth="1"/>
    <col min="13574" max="13574" width="51.109375" style="127" customWidth="1"/>
    <col min="13575" max="13824" width="9.109375" style="127"/>
    <col min="13825" max="13825" width="39" style="127" customWidth="1"/>
    <col min="13826" max="13826" width="19.6640625" style="127" customWidth="1"/>
    <col min="13827" max="13829" width="12.6640625" style="127" customWidth="1"/>
    <col min="13830" max="13830" width="51.109375" style="127" customWidth="1"/>
    <col min="13831" max="14080" width="9.109375" style="127"/>
    <col min="14081" max="14081" width="39" style="127" customWidth="1"/>
    <col min="14082" max="14082" width="19.6640625" style="127" customWidth="1"/>
    <col min="14083" max="14085" width="12.6640625" style="127" customWidth="1"/>
    <col min="14086" max="14086" width="51.109375" style="127" customWidth="1"/>
    <col min="14087" max="14336" width="9.109375" style="127"/>
    <col min="14337" max="14337" width="39" style="127" customWidth="1"/>
    <col min="14338" max="14338" width="19.6640625" style="127" customWidth="1"/>
    <col min="14339" max="14341" width="12.6640625" style="127" customWidth="1"/>
    <col min="14342" max="14342" width="51.109375" style="127" customWidth="1"/>
    <col min="14343" max="14592" width="9.109375" style="127"/>
    <col min="14593" max="14593" width="39" style="127" customWidth="1"/>
    <col min="14594" max="14594" width="19.6640625" style="127" customWidth="1"/>
    <col min="14595" max="14597" width="12.6640625" style="127" customWidth="1"/>
    <col min="14598" max="14598" width="51.109375" style="127" customWidth="1"/>
    <col min="14599" max="14848" width="9.109375" style="127"/>
    <col min="14849" max="14849" width="39" style="127" customWidth="1"/>
    <col min="14850" max="14850" width="19.6640625" style="127" customWidth="1"/>
    <col min="14851" max="14853" width="12.6640625" style="127" customWidth="1"/>
    <col min="14854" max="14854" width="51.109375" style="127" customWidth="1"/>
    <col min="14855" max="15104" width="9.109375" style="127"/>
    <col min="15105" max="15105" width="39" style="127" customWidth="1"/>
    <col min="15106" max="15106" width="19.6640625" style="127" customWidth="1"/>
    <col min="15107" max="15109" width="12.6640625" style="127" customWidth="1"/>
    <col min="15110" max="15110" width="51.109375" style="127" customWidth="1"/>
    <col min="15111" max="15360" width="9.109375" style="127"/>
    <col min="15361" max="15361" width="39" style="127" customWidth="1"/>
    <col min="15362" max="15362" width="19.6640625" style="127" customWidth="1"/>
    <col min="15363" max="15365" width="12.6640625" style="127" customWidth="1"/>
    <col min="15366" max="15366" width="51.109375" style="127" customWidth="1"/>
    <col min="15367" max="15616" width="9.109375" style="127"/>
    <col min="15617" max="15617" width="39" style="127" customWidth="1"/>
    <col min="15618" max="15618" width="19.6640625" style="127" customWidth="1"/>
    <col min="15619" max="15621" width="12.6640625" style="127" customWidth="1"/>
    <col min="15622" max="15622" width="51.109375" style="127" customWidth="1"/>
    <col min="15623" max="15872" width="9.109375" style="127"/>
    <col min="15873" max="15873" width="39" style="127" customWidth="1"/>
    <col min="15874" max="15874" width="19.6640625" style="127" customWidth="1"/>
    <col min="15875" max="15877" width="12.6640625" style="127" customWidth="1"/>
    <col min="15878" max="15878" width="51.109375" style="127" customWidth="1"/>
    <col min="15879" max="16128" width="9.109375" style="127"/>
    <col min="16129" max="16129" width="39" style="127" customWidth="1"/>
    <col min="16130" max="16130" width="19.6640625" style="127" customWidth="1"/>
    <col min="16131" max="16133" width="12.6640625" style="127" customWidth="1"/>
    <col min="16134" max="16134" width="51.109375" style="127" customWidth="1"/>
    <col min="16135" max="16384" width="9.109375" style="127"/>
  </cols>
  <sheetData>
    <row r="1" spans="1:7" ht="45.75" customHeight="1" x14ac:dyDescent="0.25">
      <c r="A1" s="852" t="s">
        <v>600</v>
      </c>
      <c r="B1" s="853" t="s">
        <v>807</v>
      </c>
      <c r="C1" s="854" t="s">
        <v>808</v>
      </c>
      <c r="D1" s="854" t="s">
        <v>988</v>
      </c>
      <c r="E1" s="854" t="s">
        <v>2141</v>
      </c>
      <c r="F1" s="855" t="s">
        <v>994</v>
      </c>
    </row>
    <row r="2" spans="1:7" ht="45" customHeight="1" x14ac:dyDescent="0.25">
      <c r="A2" s="342" t="s">
        <v>1066</v>
      </c>
      <c r="B2" s="547" t="s">
        <v>809</v>
      </c>
      <c r="C2" s="548">
        <v>18000</v>
      </c>
      <c r="D2" s="548">
        <v>18000</v>
      </c>
      <c r="E2" s="548">
        <v>18000</v>
      </c>
      <c r="F2" s="856" t="s">
        <v>995</v>
      </c>
    </row>
    <row r="3" spans="1:7" ht="15" customHeight="1" x14ac:dyDescent="0.25">
      <c r="A3" s="857" t="s">
        <v>1067</v>
      </c>
      <c r="B3" s="547" t="s">
        <v>810</v>
      </c>
      <c r="C3" s="548">
        <v>24336</v>
      </c>
      <c r="D3" s="548">
        <v>24336</v>
      </c>
      <c r="E3" s="548">
        <v>0</v>
      </c>
      <c r="F3" s="856" t="s">
        <v>1068</v>
      </c>
    </row>
    <row r="4" spans="1:7" ht="75" customHeight="1" x14ac:dyDescent="0.25">
      <c r="A4" s="857" t="s">
        <v>811</v>
      </c>
      <c r="B4" s="547" t="s">
        <v>810</v>
      </c>
      <c r="C4" s="548">
        <v>305339</v>
      </c>
      <c r="D4" s="548">
        <v>305339</v>
      </c>
      <c r="E4" s="548">
        <v>305339</v>
      </c>
      <c r="F4" s="856" t="s">
        <v>1069</v>
      </c>
    </row>
    <row r="5" spans="1:7" ht="30" customHeight="1" x14ac:dyDescent="0.25">
      <c r="A5" s="857" t="s">
        <v>1070</v>
      </c>
      <c r="B5" s="547" t="s">
        <v>809</v>
      </c>
      <c r="C5" s="548">
        <v>4000</v>
      </c>
      <c r="D5" s="548">
        <v>4000</v>
      </c>
      <c r="E5" s="548">
        <v>4000</v>
      </c>
      <c r="F5" s="856" t="s">
        <v>996</v>
      </c>
    </row>
    <row r="6" spans="1:7" ht="30" customHeight="1" x14ac:dyDescent="0.25">
      <c r="A6" s="342" t="s">
        <v>1071</v>
      </c>
      <c r="B6" s="547" t="s">
        <v>809</v>
      </c>
      <c r="C6" s="548">
        <v>4680</v>
      </c>
      <c r="D6" s="548">
        <v>4680</v>
      </c>
      <c r="E6" s="548">
        <v>4680</v>
      </c>
      <c r="F6" s="856" t="s">
        <v>997</v>
      </c>
    </row>
    <row r="7" spans="1:7" ht="15" customHeight="1" x14ac:dyDescent="0.25">
      <c r="A7" s="218" t="s">
        <v>1072</v>
      </c>
      <c r="B7" s="79" t="s">
        <v>809</v>
      </c>
      <c r="C7" s="549">
        <v>15300</v>
      </c>
      <c r="D7" s="549">
        <v>0</v>
      </c>
      <c r="E7" s="549">
        <v>0</v>
      </c>
      <c r="F7" s="858" t="s">
        <v>998</v>
      </c>
    </row>
    <row r="8" spans="1:7" ht="45" customHeight="1" x14ac:dyDescent="0.25">
      <c r="A8" s="342" t="s">
        <v>1073</v>
      </c>
      <c r="B8" s="79" t="s">
        <v>745</v>
      </c>
      <c r="C8" s="549">
        <v>80915</v>
      </c>
      <c r="D8" s="549">
        <v>0</v>
      </c>
      <c r="E8" s="549">
        <v>0</v>
      </c>
      <c r="F8" s="858" t="s">
        <v>999</v>
      </c>
    </row>
    <row r="9" spans="1:7" ht="30" customHeight="1" x14ac:dyDescent="0.25">
      <c r="A9" s="859" t="s">
        <v>812</v>
      </c>
      <c r="B9" s="79" t="s">
        <v>810</v>
      </c>
      <c r="C9" s="549">
        <v>2000</v>
      </c>
      <c r="D9" s="549">
        <v>2000</v>
      </c>
      <c r="E9" s="549">
        <v>2000</v>
      </c>
      <c r="F9" s="858" t="s">
        <v>1000</v>
      </c>
    </row>
    <row r="10" spans="1:7" ht="15" customHeight="1" x14ac:dyDescent="0.25">
      <c r="A10" s="218" t="s">
        <v>993</v>
      </c>
      <c r="B10" s="79" t="s">
        <v>604</v>
      </c>
      <c r="C10" s="549">
        <v>360</v>
      </c>
      <c r="D10" s="549">
        <v>360</v>
      </c>
      <c r="E10" s="549">
        <v>360</v>
      </c>
      <c r="F10" s="858" t="s">
        <v>1001</v>
      </c>
    </row>
    <row r="11" spans="1:7" ht="60" customHeight="1" x14ac:dyDescent="0.25">
      <c r="A11" s="342" t="s">
        <v>1074</v>
      </c>
      <c r="B11" s="79" t="s">
        <v>727</v>
      </c>
      <c r="C11" s="549">
        <v>3500</v>
      </c>
      <c r="D11" s="549"/>
      <c r="E11" s="549"/>
      <c r="F11" s="858" t="s">
        <v>1002</v>
      </c>
    </row>
    <row r="12" spans="1:7" ht="45" customHeight="1" x14ac:dyDescent="0.25">
      <c r="A12" s="218" t="s">
        <v>1075</v>
      </c>
      <c r="B12" s="79" t="s">
        <v>604</v>
      </c>
      <c r="C12" s="549">
        <v>1593</v>
      </c>
      <c r="D12" s="549">
        <v>1593</v>
      </c>
      <c r="E12" s="549">
        <v>1593</v>
      </c>
      <c r="F12" s="858" t="s">
        <v>1003</v>
      </c>
    </row>
    <row r="13" spans="1:7" ht="45" customHeight="1" x14ac:dyDescent="0.25">
      <c r="A13" s="342" t="s">
        <v>2358</v>
      </c>
      <c r="B13" s="550" t="s">
        <v>604</v>
      </c>
      <c r="C13" s="549">
        <v>25400</v>
      </c>
      <c r="D13" s="549">
        <v>25400</v>
      </c>
      <c r="E13" s="549">
        <v>25400</v>
      </c>
      <c r="F13" s="858" t="s">
        <v>1004</v>
      </c>
      <c r="G13" s="551"/>
    </row>
    <row r="14" spans="1:7" ht="60" customHeight="1" x14ac:dyDescent="0.25">
      <c r="A14" s="342" t="s">
        <v>1076</v>
      </c>
      <c r="B14" s="550" t="s">
        <v>727</v>
      </c>
      <c r="C14" s="549">
        <v>12200</v>
      </c>
      <c r="D14" s="549">
        <v>12200</v>
      </c>
      <c r="E14" s="549">
        <v>12200</v>
      </c>
      <c r="F14" s="858" t="s">
        <v>1005</v>
      </c>
    </row>
    <row r="15" spans="1:7" ht="45" customHeight="1" x14ac:dyDescent="0.25">
      <c r="A15" s="860" t="s">
        <v>2181</v>
      </c>
      <c r="B15" s="550" t="s">
        <v>727</v>
      </c>
      <c r="C15" s="549">
        <v>1746</v>
      </c>
      <c r="D15" s="549">
        <v>1746</v>
      </c>
      <c r="E15" s="549">
        <v>1746</v>
      </c>
      <c r="F15" s="858" t="s">
        <v>2182</v>
      </c>
    </row>
    <row r="16" spans="1:7" ht="30" customHeight="1" x14ac:dyDescent="0.25">
      <c r="A16" s="218" t="s">
        <v>1077</v>
      </c>
      <c r="B16" s="550" t="s">
        <v>727</v>
      </c>
      <c r="C16" s="549">
        <v>3100</v>
      </c>
      <c r="D16" s="549">
        <v>3100</v>
      </c>
      <c r="E16" s="549">
        <v>3100</v>
      </c>
      <c r="F16" s="858" t="s">
        <v>1006</v>
      </c>
    </row>
    <row r="17" spans="1:7" ht="30" customHeight="1" x14ac:dyDescent="0.25">
      <c r="A17" s="218" t="s">
        <v>2185</v>
      </c>
      <c r="B17" s="550" t="s">
        <v>604</v>
      </c>
      <c r="C17" s="549">
        <f>16169+38809</f>
        <v>54978</v>
      </c>
      <c r="D17" s="549">
        <f t="shared" ref="D17:E17" si="0">16169+38809</f>
        <v>54978</v>
      </c>
      <c r="E17" s="549">
        <f t="shared" si="0"/>
        <v>54978</v>
      </c>
      <c r="F17" s="858" t="s">
        <v>2184</v>
      </c>
    </row>
    <row r="18" spans="1:7" ht="30" customHeight="1" x14ac:dyDescent="0.25">
      <c r="A18" s="861" t="s">
        <v>2186</v>
      </c>
      <c r="B18" s="550" t="s">
        <v>604</v>
      </c>
      <c r="C18" s="549">
        <f>117319+4454</f>
        <v>121773</v>
      </c>
      <c r="D18" s="549">
        <f t="shared" ref="D18:E18" si="1">117319+4454</f>
        <v>121773</v>
      </c>
      <c r="E18" s="549">
        <f t="shared" si="1"/>
        <v>121773</v>
      </c>
      <c r="F18" s="858" t="s">
        <v>2206</v>
      </c>
    </row>
    <row r="19" spans="1:7" ht="60" customHeight="1" x14ac:dyDescent="0.25">
      <c r="A19" s="342" t="s">
        <v>1078</v>
      </c>
      <c r="B19" s="550" t="s">
        <v>727</v>
      </c>
      <c r="C19" s="549">
        <v>26670</v>
      </c>
      <c r="D19" s="549">
        <v>26670</v>
      </c>
      <c r="E19" s="549">
        <v>26670</v>
      </c>
      <c r="F19" s="858" t="s">
        <v>1007</v>
      </c>
    </row>
    <row r="20" spans="1:7" ht="45" customHeight="1" x14ac:dyDescent="0.25">
      <c r="A20" s="346" t="s">
        <v>2359</v>
      </c>
      <c r="B20" s="550" t="s">
        <v>604</v>
      </c>
      <c r="C20" s="549">
        <v>20000</v>
      </c>
      <c r="D20" s="549">
        <v>20000</v>
      </c>
      <c r="E20" s="549">
        <v>20000</v>
      </c>
      <c r="F20" s="858" t="s">
        <v>1079</v>
      </c>
    </row>
    <row r="21" spans="1:7" ht="30" customHeight="1" x14ac:dyDescent="0.25">
      <c r="A21" s="342" t="s">
        <v>870</v>
      </c>
      <c r="B21" s="550" t="s">
        <v>810</v>
      </c>
      <c r="C21" s="549">
        <v>3840</v>
      </c>
      <c r="D21" s="549">
        <v>3840</v>
      </c>
      <c r="E21" s="549">
        <v>3840</v>
      </c>
      <c r="F21" s="858" t="s">
        <v>1008</v>
      </c>
    </row>
    <row r="22" spans="1:7" ht="60" customHeight="1" x14ac:dyDescent="0.25">
      <c r="A22" s="861" t="s">
        <v>1080</v>
      </c>
      <c r="B22" s="79" t="s">
        <v>813</v>
      </c>
      <c r="C22" s="549">
        <v>35016</v>
      </c>
      <c r="D22" s="549">
        <v>35016</v>
      </c>
      <c r="E22" s="549">
        <v>35016</v>
      </c>
      <c r="F22" s="858" t="s">
        <v>1009</v>
      </c>
      <c r="G22" s="551"/>
    </row>
    <row r="23" spans="1:7" ht="75" customHeight="1" x14ac:dyDescent="0.25">
      <c r="A23" s="861" t="s">
        <v>1081</v>
      </c>
      <c r="B23" s="550" t="s">
        <v>604</v>
      </c>
      <c r="C23" s="549">
        <v>1152231.7</v>
      </c>
      <c r="D23" s="549">
        <v>1152231.7</v>
      </c>
      <c r="E23" s="549">
        <v>1152231.7</v>
      </c>
      <c r="F23" s="858" t="s">
        <v>1010</v>
      </c>
      <c r="G23" s="2494"/>
    </row>
    <row r="24" spans="1:7" ht="30" customHeight="1" x14ac:dyDescent="0.25">
      <c r="A24" s="342" t="s">
        <v>1082</v>
      </c>
      <c r="B24" s="550" t="s">
        <v>814</v>
      </c>
      <c r="C24" s="549">
        <v>6845</v>
      </c>
      <c r="D24" s="549">
        <v>6845</v>
      </c>
      <c r="E24" s="549"/>
      <c r="F24" s="858" t="s">
        <v>2187</v>
      </c>
    </row>
    <row r="25" spans="1:7" ht="45" customHeight="1" x14ac:dyDescent="0.25">
      <c r="A25" s="342" t="s">
        <v>1083</v>
      </c>
      <c r="B25" s="550" t="s">
        <v>727</v>
      </c>
      <c r="C25" s="549">
        <v>1016</v>
      </c>
      <c r="D25" s="549">
        <v>1016</v>
      </c>
      <c r="E25" s="549">
        <v>1016</v>
      </c>
      <c r="F25" s="858" t="s">
        <v>1011</v>
      </c>
    </row>
    <row r="26" spans="1:7" ht="45" customHeight="1" x14ac:dyDescent="0.25">
      <c r="A26" s="861" t="s">
        <v>1084</v>
      </c>
      <c r="B26" s="550" t="s">
        <v>604</v>
      </c>
      <c r="C26" s="549">
        <v>38000</v>
      </c>
      <c r="D26" s="549">
        <v>38000</v>
      </c>
      <c r="E26" s="549"/>
      <c r="F26" s="858" t="s">
        <v>1012</v>
      </c>
    </row>
    <row r="27" spans="1:7" ht="30" customHeight="1" x14ac:dyDescent="0.25">
      <c r="A27" s="861" t="s">
        <v>1085</v>
      </c>
      <c r="B27" s="550" t="s">
        <v>604</v>
      </c>
      <c r="C27" s="549">
        <v>3647.4</v>
      </c>
      <c r="D27" s="549">
        <v>0</v>
      </c>
      <c r="E27" s="549">
        <v>0</v>
      </c>
      <c r="F27" s="858" t="s">
        <v>1013</v>
      </c>
    </row>
    <row r="28" spans="1:7" ht="45" customHeight="1" x14ac:dyDescent="0.25">
      <c r="A28" s="861" t="s">
        <v>1086</v>
      </c>
      <c r="B28" s="79" t="s">
        <v>815</v>
      </c>
      <c r="C28" s="549">
        <v>5175</v>
      </c>
      <c r="D28" s="549">
        <v>0</v>
      </c>
      <c r="E28" s="549">
        <v>0</v>
      </c>
      <c r="F28" s="858" t="s">
        <v>1013</v>
      </c>
    </row>
    <row r="29" spans="1:7" ht="60" customHeight="1" x14ac:dyDescent="0.25">
      <c r="A29" s="861" t="s">
        <v>871</v>
      </c>
      <c r="B29" s="550" t="s">
        <v>816</v>
      </c>
      <c r="C29" s="549">
        <v>1500</v>
      </c>
      <c r="D29" s="549">
        <v>1500</v>
      </c>
      <c r="E29" s="549">
        <v>1500</v>
      </c>
      <c r="F29" s="858" t="s">
        <v>1014</v>
      </c>
    </row>
    <row r="30" spans="1:7" ht="60" customHeight="1" x14ac:dyDescent="0.25">
      <c r="A30" s="862" t="s">
        <v>1087</v>
      </c>
      <c r="B30" s="550" t="s">
        <v>727</v>
      </c>
      <c r="C30" s="549">
        <v>630</v>
      </c>
      <c r="D30" s="549">
        <v>630</v>
      </c>
      <c r="E30" s="549">
        <v>630</v>
      </c>
      <c r="F30" s="858" t="s">
        <v>1014</v>
      </c>
    </row>
    <row r="31" spans="1:7" ht="60" customHeight="1" x14ac:dyDescent="0.25">
      <c r="A31" s="861" t="s">
        <v>1088</v>
      </c>
      <c r="B31" s="550" t="s">
        <v>727</v>
      </c>
      <c r="C31" s="549">
        <v>119642.2</v>
      </c>
      <c r="D31" s="549">
        <v>0</v>
      </c>
      <c r="E31" s="549">
        <v>0</v>
      </c>
      <c r="F31" s="858" t="s">
        <v>1015</v>
      </c>
    </row>
    <row r="32" spans="1:7" ht="45" customHeight="1" x14ac:dyDescent="0.25">
      <c r="A32" s="861" t="s">
        <v>872</v>
      </c>
      <c r="B32" s="550" t="s">
        <v>727</v>
      </c>
      <c r="C32" s="549">
        <v>4572</v>
      </c>
      <c r="D32" s="549">
        <v>4572</v>
      </c>
      <c r="E32" s="549">
        <v>4572</v>
      </c>
      <c r="F32" s="858" t="s">
        <v>1016</v>
      </c>
    </row>
    <row r="33" spans="1:7" ht="60" customHeight="1" x14ac:dyDescent="0.25">
      <c r="A33" s="342" t="s">
        <v>2189</v>
      </c>
      <c r="B33" s="550" t="s">
        <v>727</v>
      </c>
      <c r="C33" s="549">
        <v>33860.199999999997</v>
      </c>
      <c r="D33" s="549">
        <v>33860.199999999997</v>
      </c>
      <c r="E33" s="549">
        <v>33860.199999999997</v>
      </c>
      <c r="F33" s="858" t="s">
        <v>2188</v>
      </c>
    </row>
    <row r="34" spans="1:7" ht="30" customHeight="1" x14ac:dyDescent="0.25">
      <c r="A34" s="861" t="s">
        <v>1089</v>
      </c>
      <c r="B34" s="550" t="s">
        <v>727</v>
      </c>
      <c r="C34" s="549">
        <v>10400</v>
      </c>
      <c r="D34" s="549">
        <v>10400</v>
      </c>
      <c r="E34" s="549">
        <v>10400</v>
      </c>
      <c r="F34" s="858" t="s">
        <v>1017</v>
      </c>
    </row>
    <row r="35" spans="1:7" ht="30" customHeight="1" x14ac:dyDescent="0.25">
      <c r="A35" s="342" t="s">
        <v>1090</v>
      </c>
      <c r="B35" s="550" t="s">
        <v>727</v>
      </c>
      <c r="C35" s="549">
        <v>98517</v>
      </c>
      <c r="D35" s="549">
        <v>98517</v>
      </c>
      <c r="E35" s="549">
        <v>98517</v>
      </c>
      <c r="F35" s="858" t="s">
        <v>1017</v>
      </c>
      <c r="G35" s="552"/>
    </row>
    <row r="36" spans="1:7" ht="45" customHeight="1" x14ac:dyDescent="0.25">
      <c r="A36" s="861" t="s">
        <v>873</v>
      </c>
      <c r="B36" s="550" t="s">
        <v>727</v>
      </c>
      <c r="C36" s="549">
        <v>2508</v>
      </c>
      <c r="D36" s="549">
        <v>2508</v>
      </c>
      <c r="E36" s="549">
        <v>2508</v>
      </c>
      <c r="F36" s="858" t="s">
        <v>1017</v>
      </c>
    </row>
    <row r="37" spans="1:7" ht="30" customHeight="1" x14ac:dyDescent="0.25">
      <c r="A37" s="342" t="s">
        <v>1091</v>
      </c>
      <c r="B37" s="550" t="s">
        <v>727</v>
      </c>
      <c r="C37" s="549">
        <v>168</v>
      </c>
      <c r="D37" s="549">
        <v>168</v>
      </c>
      <c r="E37" s="549">
        <v>168</v>
      </c>
      <c r="F37" s="858" t="s">
        <v>1018</v>
      </c>
    </row>
    <row r="38" spans="1:7" ht="45" customHeight="1" x14ac:dyDescent="0.25">
      <c r="A38" s="861" t="s">
        <v>874</v>
      </c>
      <c r="B38" s="550" t="s">
        <v>604</v>
      </c>
      <c r="C38" s="549">
        <v>6421.6</v>
      </c>
      <c r="D38" s="549">
        <v>6421.6</v>
      </c>
      <c r="E38" s="549">
        <v>6421.6</v>
      </c>
      <c r="F38" s="858" t="s">
        <v>1019</v>
      </c>
      <c r="G38" s="551"/>
    </row>
    <row r="39" spans="1:7" ht="30" customHeight="1" x14ac:dyDescent="0.25">
      <c r="A39" s="342" t="s">
        <v>1092</v>
      </c>
      <c r="B39" s="550" t="s">
        <v>727</v>
      </c>
      <c r="C39" s="549">
        <v>40084</v>
      </c>
      <c r="D39" s="549">
        <v>40084</v>
      </c>
      <c r="E39" s="549">
        <v>40084</v>
      </c>
      <c r="F39" s="858" t="s">
        <v>1019</v>
      </c>
    </row>
    <row r="40" spans="1:7" ht="30" customHeight="1" x14ac:dyDescent="0.25">
      <c r="A40" s="861" t="s">
        <v>1093</v>
      </c>
      <c r="B40" s="550" t="s">
        <v>727</v>
      </c>
      <c r="C40" s="549">
        <v>25000</v>
      </c>
      <c r="D40" s="549">
        <v>25000</v>
      </c>
      <c r="E40" s="549">
        <v>25000</v>
      </c>
      <c r="F40" s="858" t="s">
        <v>1020</v>
      </c>
    </row>
    <row r="41" spans="1:7" ht="45" customHeight="1" x14ac:dyDescent="0.25">
      <c r="A41" s="863" t="s">
        <v>1094</v>
      </c>
      <c r="B41" s="550" t="s">
        <v>727</v>
      </c>
      <c r="C41" s="549">
        <v>508</v>
      </c>
      <c r="D41" s="549">
        <v>508</v>
      </c>
      <c r="E41" s="549">
        <v>508</v>
      </c>
      <c r="F41" s="858" t="s">
        <v>1021</v>
      </c>
    </row>
    <row r="42" spans="1:7" ht="75" customHeight="1" x14ac:dyDescent="0.25">
      <c r="A42" s="346" t="s">
        <v>1095</v>
      </c>
      <c r="B42" s="796" t="s">
        <v>727</v>
      </c>
      <c r="C42" s="797">
        <v>34251</v>
      </c>
      <c r="D42" s="797">
        <v>19000</v>
      </c>
      <c r="E42" s="797"/>
      <c r="F42" s="858" t="s">
        <v>1096</v>
      </c>
    </row>
    <row r="43" spans="1:7" ht="30" customHeight="1" x14ac:dyDescent="0.25">
      <c r="A43" s="861" t="s">
        <v>1097</v>
      </c>
      <c r="B43" s="550" t="s">
        <v>727</v>
      </c>
      <c r="C43" s="549">
        <v>4000</v>
      </c>
      <c r="D43" s="549">
        <v>4000</v>
      </c>
      <c r="E43" s="549">
        <v>4000</v>
      </c>
      <c r="F43" s="858" t="s">
        <v>1022</v>
      </c>
    </row>
    <row r="44" spans="1:7" ht="60" customHeight="1" x14ac:dyDescent="0.25">
      <c r="A44" s="861" t="s">
        <v>1098</v>
      </c>
      <c r="B44" s="550" t="s">
        <v>604</v>
      </c>
      <c r="C44" s="549">
        <v>52733.1</v>
      </c>
      <c r="D44" s="549">
        <v>52733.1</v>
      </c>
      <c r="E44" s="549">
        <v>52733.1</v>
      </c>
      <c r="F44" s="858" t="s">
        <v>1023</v>
      </c>
      <c r="G44" s="551"/>
    </row>
    <row r="45" spans="1:7" ht="30" customHeight="1" x14ac:dyDescent="0.25">
      <c r="A45" s="861" t="s">
        <v>1099</v>
      </c>
      <c r="B45" s="550" t="s">
        <v>810</v>
      </c>
      <c r="C45" s="549">
        <v>5000</v>
      </c>
      <c r="D45" s="549">
        <v>5000</v>
      </c>
      <c r="E45" s="549">
        <v>5000</v>
      </c>
      <c r="F45" s="858" t="s">
        <v>1024</v>
      </c>
    </row>
    <row r="46" spans="1:7" ht="75" customHeight="1" x14ac:dyDescent="0.25">
      <c r="A46" s="861" t="s">
        <v>1100</v>
      </c>
      <c r="B46" s="550" t="s">
        <v>814</v>
      </c>
      <c r="C46" s="549">
        <v>12775</v>
      </c>
      <c r="D46" s="549">
        <v>12775</v>
      </c>
      <c r="E46" s="549">
        <v>12775</v>
      </c>
      <c r="F46" s="858" t="s">
        <v>1025</v>
      </c>
      <c r="G46" s="551"/>
    </row>
    <row r="47" spans="1:7" ht="45" customHeight="1" x14ac:dyDescent="0.25">
      <c r="A47" s="861" t="s">
        <v>875</v>
      </c>
      <c r="B47" s="550" t="s">
        <v>814</v>
      </c>
      <c r="C47" s="549">
        <v>1000</v>
      </c>
      <c r="D47" s="549">
        <v>1000</v>
      </c>
      <c r="E47" s="549">
        <v>1000</v>
      </c>
      <c r="F47" s="858" t="s">
        <v>1026</v>
      </c>
    </row>
    <row r="48" spans="1:7" ht="45" customHeight="1" x14ac:dyDescent="0.25">
      <c r="A48" s="342" t="s">
        <v>992</v>
      </c>
      <c r="B48" s="550" t="s">
        <v>814</v>
      </c>
      <c r="C48" s="549">
        <v>200</v>
      </c>
      <c r="D48" s="549">
        <v>200</v>
      </c>
      <c r="E48" s="549">
        <v>200</v>
      </c>
      <c r="F48" s="858" t="s">
        <v>1027</v>
      </c>
    </row>
    <row r="49" spans="1:6" ht="60" customHeight="1" x14ac:dyDescent="0.25">
      <c r="A49" s="342" t="s">
        <v>1101</v>
      </c>
      <c r="B49" s="550" t="s">
        <v>814</v>
      </c>
      <c r="C49" s="549">
        <v>1092</v>
      </c>
      <c r="D49" s="549">
        <v>1092</v>
      </c>
      <c r="E49" s="549">
        <v>1092</v>
      </c>
      <c r="F49" s="858" t="s">
        <v>1028</v>
      </c>
    </row>
    <row r="50" spans="1:6" ht="30" customHeight="1" x14ac:dyDescent="0.25">
      <c r="A50" s="342" t="s">
        <v>1102</v>
      </c>
      <c r="B50" s="550" t="s">
        <v>814</v>
      </c>
      <c r="C50" s="549">
        <v>15000</v>
      </c>
      <c r="D50" s="549">
        <v>15000</v>
      </c>
      <c r="E50" s="549">
        <v>15000</v>
      </c>
      <c r="F50" s="864" t="s">
        <v>1029</v>
      </c>
    </row>
    <row r="51" spans="1:6" ht="15" customHeight="1" x14ac:dyDescent="0.25">
      <c r="A51" s="861" t="s">
        <v>2190</v>
      </c>
      <c r="B51" s="550" t="s">
        <v>604</v>
      </c>
      <c r="C51" s="549">
        <v>44196</v>
      </c>
      <c r="D51" s="549">
        <v>44196</v>
      </c>
      <c r="E51" s="549">
        <v>44196</v>
      </c>
      <c r="F51" s="864" t="s">
        <v>2187</v>
      </c>
    </row>
    <row r="52" spans="1:6" ht="30" customHeight="1" x14ac:dyDescent="0.25">
      <c r="A52" s="342" t="s">
        <v>876</v>
      </c>
      <c r="B52" s="550" t="s">
        <v>727</v>
      </c>
      <c r="C52" s="549">
        <v>2295.1</v>
      </c>
      <c r="D52" s="549">
        <v>2295.1</v>
      </c>
      <c r="E52" s="549">
        <v>2295.1</v>
      </c>
      <c r="F52" s="864" t="s">
        <v>1030</v>
      </c>
    </row>
    <row r="53" spans="1:6" ht="45" customHeight="1" x14ac:dyDescent="0.25">
      <c r="A53" s="861" t="s">
        <v>1103</v>
      </c>
      <c r="B53" s="550" t="s">
        <v>604</v>
      </c>
      <c r="C53" s="549">
        <v>1200</v>
      </c>
      <c r="D53" s="549">
        <v>1200</v>
      </c>
      <c r="E53" s="549">
        <v>1200</v>
      </c>
      <c r="F53" s="858" t="s">
        <v>1031</v>
      </c>
    </row>
    <row r="54" spans="1:6" ht="30" customHeight="1" x14ac:dyDescent="0.25">
      <c r="A54" s="342" t="s">
        <v>1104</v>
      </c>
      <c r="B54" s="550" t="s">
        <v>727</v>
      </c>
      <c r="C54" s="549">
        <v>360</v>
      </c>
      <c r="D54" s="549">
        <v>360</v>
      </c>
      <c r="E54" s="549">
        <v>360</v>
      </c>
      <c r="F54" s="858" t="s">
        <v>1032</v>
      </c>
    </row>
    <row r="55" spans="1:6" ht="105" customHeight="1" x14ac:dyDescent="0.25">
      <c r="A55" s="861" t="s">
        <v>1105</v>
      </c>
      <c r="B55" s="550" t="s">
        <v>727</v>
      </c>
      <c r="C55" s="549">
        <v>1770</v>
      </c>
      <c r="D55" s="549">
        <v>1770</v>
      </c>
      <c r="E55" s="549">
        <v>1770</v>
      </c>
      <c r="F55" s="864" t="s">
        <v>1033</v>
      </c>
    </row>
    <row r="56" spans="1:6" ht="30" customHeight="1" x14ac:dyDescent="0.25">
      <c r="A56" s="861" t="s">
        <v>1106</v>
      </c>
      <c r="B56" s="550" t="s">
        <v>604</v>
      </c>
      <c r="C56" s="549">
        <v>1200</v>
      </c>
      <c r="D56" s="549">
        <v>1200</v>
      </c>
      <c r="E56" s="549">
        <v>1200</v>
      </c>
      <c r="F56" s="858" t="s">
        <v>1107</v>
      </c>
    </row>
    <row r="57" spans="1:6" ht="30" customHeight="1" x14ac:dyDescent="0.25">
      <c r="A57" s="861" t="s">
        <v>1065</v>
      </c>
      <c r="B57" s="550" t="s">
        <v>604</v>
      </c>
      <c r="C57" s="549">
        <v>2500</v>
      </c>
      <c r="D57" s="549">
        <v>2500</v>
      </c>
      <c r="E57" s="549">
        <v>2500</v>
      </c>
      <c r="F57" s="864" t="s">
        <v>1034</v>
      </c>
    </row>
    <row r="58" spans="1:6" ht="30" customHeight="1" x14ac:dyDescent="0.25">
      <c r="A58" s="342" t="s">
        <v>2191</v>
      </c>
      <c r="B58" s="550" t="s">
        <v>727</v>
      </c>
      <c r="C58" s="549">
        <v>3000</v>
      </c>
      <c r="D58" s="549">
        <v>3000</v>
      </c>
      <c r="E58" s="549">
        <v>3000</v>
      </c>
      <c r="F58" s="864" t="s">
        <v>2192</v>
      </c>
    </row>
    <row r="59" spans="1:6" ht="30" customHeight="1" x14ac:dyDescent="0.25">
      <c r="A59" s="342" t="s">
        <v>1108</v>
      </c>
      <c r="B59" s="550" t="s">
        <v>727</v>
      </c>
      <c r="C59" s="549">
        <v>181</v>
      </c>
      <c r="D59" s="549">
        <v>181</v>
      </c>
      <c r="E59" s="549">
        <v>181</v>
      </c>
      <c r="F59" s="864" t="s">
        <v>1059</v>
      </c>
    </row>
    <row r="60" spans="1:6" ht="45" customHeight="1" x14ac:dyDescent="0.25">
      <c r="A60" s="342" t="s">
        <v>877</v>
      </c>
      <c r="B60" s="550" t="s">
        <v>727</v>
      </c>
      <c r="C60" s="549">
        <v>0</v>
      </c>
      <c r="D60" s="549">
        <v>0</v>
      </c>
      <c r="E60" s="549">
        <v>0</v>
      </c>
      <c r="F60" s="864" t="s">
        <v>1035</v>
      </c>
    </row>
    <row r="61" spans="1:6" ht="60" customHeight="1" x14ac:dyDescent="0.25">
      <c r="A61" s="342" t="s">
        <v>1109</v>
      </c>
      <c r="B61" s="550" t="s">
        <v>604</v>
      </c>
      <c r="C61" s="549">
        <v>8502.6</v>
      </c>
      <c r="D61" s="549">
        <v>8502.6</v>
      </c>
      <c r="E61" s="549">
        <v>8502.6</v>
      </c>
      <c r="F61" s="864" t="s">
        <v>1036</v>
      </c>
    </row>
    <row r="62" spans="1:6" ht="30" customHeight="1" x14ac:dyDescent="0.25">
      <c r="A62" s="861" t="s">
        <v>1110</v>
      </c>
      <c r="B62" s="550" t="s">
        <v>814</v>
      </c>
      <c r="C62" s="549">
        <v>254.4</v>
      </c>
      <c r="D62" s="549">
        <v>254.4</v>
      </c>
      <c r="E62" s="549">
        <v>254.4</v>
      </c>
      <c r="F62" s="864" t="s">
        <v>1037</v>
      </c>
    </row>
    <row r="63" spans="1:6" ht="45" customHeight="1" x14ac:dyDescent="0.25">
      <c r="A63" s="861" t="s">
        <v>1111</v>
      </c>
      <c r="B63" s="550" t="s">
        <v>814</v>
      </c>
      <c r="C63" s="549">
        <v>3360</v>
      </c>
      <c r="D63" s="549">
        <v>3360</v>
      </c>
      <c r="E63" s="549">
        <v>3360</v>
      </c>
      <c r="F63" s="864" t="s">
        <v>1038</v>
      </c>
    </row>
    <row r="64" spans="1:6" ht="15" customHeight="1" x14ac:dyDescent="0.25">
      <c r="A64" s="861" t="s">
        <v>1112</v>
      </c>
      <c r="B64" s="550" t="s">
        <v>814</v>
      </c>
      <c r="C64" s="549">
        <v>9967</v>
      </c>
      <c r="D64" s="549">
        <v>9967</v>
      </c>
      <c r="E64" s="549">
        <v>9967</v>
      </c>
      <c r="F64" s="864" t="s">
        <v>1039</v>
      </c>
    </row>
    <row r="65" spans="1:6" ht="60" customHeight="1" x14ac:dyDescent="0.25">
      <c r="A65" s="367" t="s">
        <v>1113</v>
      </c>
      <c r="B65" s="79" t="s">
        <v>912</v>
      </c>
      <c r="C65" s="549">
        <v>30876</v>
      </c>
      <c r="D65" s="549">
        <v>30876</v>
      </c>
      <c r="E65" s="549">
        <v>30876</v>
      </c>
      <c r="F65" s="864" t="s">
        <v>1040</v>
      </c>
    </row>
    <row r="66" spans="1:6" ht="30" customHeight="1" x14ac:dyDescent="0.25">
      <c r="A66" s="367" t="s">
        <v>1114</v>
      </c>
      <c r="B66" s="550" t="s">
        <v>727</v>
      </c>
      <c r="C66" s="549">
        <v>10116</v>
      </c>
      <c r="D66" s="549">
        <v>10116</v>
      </c>
      <c r="E66" s="549">
        <v>10116</v>
      </c>
      <c r="F66" s="864" t="s">
        <v>1040</v>
      </c>
    </row>
    <row r="67" spans="1:6" ht="30" customHeight="1" x14ac:dyDescent="0.25">
      <c r="A67" s="367" t="s">
        <v>1115</v>
      </c>
      <c r="B67" s="550" t="s">
        <v>604</v>
      </c>
      <c r="C67" s="549">
        <v>151574</v>
      </c>
      <c r="D67" s="549">
        <v>151574</v>
      </c>
      <c r="E67" s="549">
        <v>151574</v>
      </c>
      <c r="F67" s="864" t="s">
        <v>1040</v>
      </c>
    </row>
    <row r="68" spans="1:6" ht="15" customHeight="1" x14ac:dyDescent="0.25">
      <c r="A68" s="367" t="s">
        <v>1116</v>
      </c>
      <c r="B68" s="550" t="s">
        <v>727</v>
      </c>
      <c r="C68" s="549">
        <v>20387</v>
      </c>
      <c r="D68" s="549">
        <v>20387</v>
      </c>
      <c r="E68" s="549">
        <v>20387</v>
      </c>
      <c r="F68" s="864" t="s">
        <v>1040</v>
      </c>
    </row>
    <row r="69" spans="1:6" ht="30" customHeight="1" x14ac:dyDescent="0.25">
      <c r="A69" s="367" t="s">
        <v>1117</v>
      </c>
      <c r="B69" s="550" t="s">
        <v>604</v>
      </c>
      <c r="C69" s="549">
        <v>3175</v>
      </c>
      <c r="D69" s="549">
        <v>3175</v>
      </c>
      <c r="E69" s="549">
        <v>3175</v>
      </c>
      <c r="F69" s="864" t="s">
        <v>1040</v>
      </c>
    </row>
    <row r="70" spans="1:6" ht="26.4" x14ac:dyDescent="0.25">
      <c r="A70" s="367" t="s">
        <v>1118</v>
      </c>
      <c r="B70" s="550" t="s">
        <v>727</v>
      </c>
      <c r="C70" s="549">
        <v>254</v>
      </c>
      <c r="D70" s="549">
        <v>0</v>
      </c>
      <c r="E70" s="549">
        <v>0</v>
      </c>
      <c r="F70" s="864" t="s">
        <v>1041</v>
      </c>
    </row>
    <row r="71" spans="1:6" ht="30" customHeight="1" x14ac:dyDescent="0.25">
      <c r="A71" s="865" t="s">
        <v>1055</v>
      </c>
      <c r="B71" s="550" t="s">
        <v>604</v>
      </c>
      <c r="C71" s="549">
        <v>2531</v>
      </c>
      <c r="D71" s="549">
        <v>2531</v>
      </c>
      <c r="E71" s="549">
        <v>2531</v>
      </c>
      <c r="F71" s="858" t="s">
        <v>1061</v>
      </c>
    </row>
    <row r="72" spans="1:6" ht="45" customHeight="1" x14ac:dyDescent="0.25">
      <c r="A72" s="865" t="s">
        <v>1056</v>
      </c>
      <c r="B72" s="550" t="s">
        <v>1057</v>
      </c>
      <c r="C72" s="549">
        <v>500</v>
      </c>
      <c r="D72" s="549">
        <v>500</v>
      </c>
      <c r="E72" s="549">
        <v>500</v>
      </c>
      <c r="F72" s="858" t="s">
        <v>1060</v>
      </c>
    </row>
    <row r="73" spans="1:6" ht="66" x14ac:dyDescent="0.25">
      <c r="A73" s="861" t="s">
        <v>1119</v>
      </c>
      <c r="B73" s="550" t="s">
        <v>727</v>
      </c>
      <c r="C73" s="549">
        <v>2000</v>
      </c>
      <c r="D73" s="549">
        <v>2000</v>
      </c>
      <c r="E73" s="549">
        <v>2000</v>
      </c>
      <c r="F73" s="864" t="s">
        <v>1042</v>
      </c>
    </row>
    <row r="74" spans="1:6" ht="26.4" x14ac:dyDescent="0.25">
      <c r="A74" s="367" t="s">
        <v>1120</v>
      </c>
      <c r="B74" s="550" t="s">
        <v>604</v>
      </c>
      <c r="C74" s="549">
        <v>2521</v>
      </c>
      <c r="D74" s="549">
        <v>2521</v>
      </c>
      <c r="E74" s="549">
        <v>2521</v>
      </c>
      <c r="F74" s="864" t="s">
        <v>1043</v>
      </c>
    </row>
    <row r="75" spans="1:6" ht="26.4" x14ac:dyDescent="0.25">
      <c r="A75" s="861" t="s">
        <v>1121</v>
      </c>
      <c r="B75" s="550" t="s">
        <v>604</v>
      </c>
      <c r="C75" s="549">
        <v>1951</v>
      </c>
      <c r="D75" s="549">
        <v>0</v>
      </c>
      <c r="E75" s="549">
        <v>0</v>
      </c>
      <c r="F75" s="864" t="s">
        <v>1044</v>
      </c>
    </row>
    <row r="76" spans="1:6" ht="30" customHeight="1" x14ac:dyDescent="0.25">
      <c r="A76" s="861" t="s">
        <v>1058</v>
      </c>
      <c r="B76" s="550" t="s">
        <v>727</v>
      </c>
      <c r="C76" s="549">
        <v>29500</v>
      </c>
      <c r="D76" s="549">
        <v>29500</v>
      </c>
      <c r="E76" s="549">
        <v>19500</v>
      </c>
      <c r="F76" s="858" t="s">
        <v>2142</v>
      </c>
    </row>
    <row r="77" spans="1:6" ht="30" customHeight="1" x14ac:dyDescent="0.25">
      <c r="A77" s="2327" t="s">
        <v>2162</v>
      </c>
      <c r="B77" s="2328"/>
      <c r="C77" s="2329">
        <v>7527</v>
      </c>
      <c r="D77" s="2329">
        <v>7527</v>
      </c>
      <c r="E77" s="2329"/>
      <c r="F77" s="2330" t="s">
        <v>2143</v>
      </c>
    </row>
    <row r="78" spans="1:6" ht="30" customHeight="1" x14ac:dyDescent="0.25">
      <c r="A78" s="2327" t="s">
        <v>2163</v>
      </c>
      <c r="B78" s="2328"/>
      <c r="C78" s="2329">
        <v>317500</v>
      </c>
      <c r="D78" s="2329">
        <v>317500</v>
      </c>
      <c r="E78" s="2329"/>
      <c r="F78" s="2330" t="s">
        <v>2144</v>
      </c>
    </row>
    <row r="79" spans="1:6" ht="15" customHeight="1" x14ac:dyDescent="0.25">
      <c r="A79" s="2327" t="s">
        <v>2164</v>
      </c>
      <c r="B79" s="2328"/>
      <c r="C79" s="2329">
        <v>127000</v>
      </c>
      <c r="D79" s="2329">
        <v>127000</v>
      </c>
      <c r="E79" s="2329"/>
      <c r="F79" s="2330" t="s">
        <v>2144</v>
      </c>
    </row>
    <row r="80" spans="1:6" ht="30" customHeight="1" x14ac:dyDescent="0.25">
      <c r="A80" s="2327" t="s">
        <v>2165</v>
      </c>
      <c r="B80" s="2328"/>
      <c r="C80" s="2329">
        <v>63000</v>
      </c>
      <c r="D80" s="2329">
        <v>0</v>
      </c>
      <c r="E80" s="2329"/>
      <c r="F80" s="2330" t="s">
        <v>2145</v>
      </c>
    </row>
    <row r="81" spans="1:6" ht="15" customHeight="1" x14ac:dyDescent="0.25">
      <c r="A81" s="865" t="s">
        <v>2166</v>
      </c>
      <c r="B81" s="2328"/>
      <c r="C81" s="2495">
        <v>189493</v>
      </c>
      <c r="D81" s="2495"/>
      <c r="E81" s="2329"/>
      <c r="F81" s="2330" t="s">
        <v>2146</v>
      </c>
    </row>
    <row r="82" spans="1:6" ht="15" customHeight="1" x14ac:dyDescent="0.25">
      <c r="A82" s="2327" t="s">
        <v>2167</v>
      </c>
      <c r="B82" s="2328"/>
      <c r="C82" s="2329">
        <v>500</v>
      </c>
      <c r="D82" s="2329">
        <v>500</v>
      </c>
      <c r="E82" s="2329"/>
      <c r="F82" s="2330" t="s">
        <v>2147</v>
      </c>
    </row>
    <row r="83" spans="1:6" ht="15" customHeight="1" x14ac:dyDescent="0.25">
      <c r="A83" s="2327" t="s">
        <v>2168</v>
      </c>
      <c r="B83" s="2328"/>
      <c r="C83" s="2329">
        <v>250</v>
      </c>
      <c r="D83" s="2329">
        <v>250</v>
      </c>
      <c r="E83" s="2329"/>
      <c r="F83" s="2330" t="s">
        <v>2148</v>
      </c>
    </row>
    <row r="84" spans="1:6" ht="45" customHeight="1" x14ac:dyDescent="0.25">
      <c r="A84" s="2327" t="s">
        <v>2169</v>
      </c>
      <c r="B84" s="2328"/>
      <c r="C84" s="2329">
        <v>500000</v>
      </c>
      <c r="D84" s="2329">
        <v>500000</v>
      </c>
      <c r="E84" s="2329"/>
      <c r="F84" s="2330" t="s">
        <v>2149</v>
      </c>
    </row>
    <row r="85" spans="1:6" ht="30" customHeight="1" x14ac:dyDescent="0.25">
      <c r="A85" s="2327" t="s">
        <v>2170</v>
      </c>
      <c r="B85" s="2328"/>
      <c r="C85" s="2329">
        <v>50136</v>
      </c>
      <c r="D85" s="2329">
        <v>50136</v>
      </c>
      <c r="E85" s="2329"/>
      <c r="F85" s="2331" t="s">
        <v>2150</v>
      </c>
    </row>
    <row r="86" spans="1:6" x14ac:dyDescent="0.25">
      <c r="A86" s="2327" t="s">
        <v>2171</v>
      </c>
      <c r="B86" s="2328"/>
      <c r="C86" s="2329">
        <v>193000</v>
      </c>
      <c r="D86" s="2329">
        <v>0</v>
      </c>
      <c r="E86" s="2329"/>
      <c r="F86" s="2330" t="s">
        <v>2151</v>
      </c>
    </row>
    <row r="87" spans="1:6" ht="30" customHeight="1" x14ac:dyDescent="0.25">
      <c r="A87" s="2327" t="s">
        <v>2172</v>
      </c>
      <c r="B87" s="2328"/>
      <c r="C87" s="2329">
        <v>30000</v>
      </c>
      <c r="D87" s="2329">
        <v>0</v>
      </c>
      <c r="E87" s="2329"/>
      <c r="F87" s="2330" t="s">
        <v>2152</v>
      </c>
    </row>
    <row r="88" spans="1:6" x14ac:dyDescent="0.25">
      <c r="A88" s="2327" t="s">
        <v>2173</v>
      </c>
      <c r="B88" s="2328"/>
      <c r="C88" s="2329">
        <v>50</v>
      </c>
      <c r="D88" s="2329">
        <v>50</v>
      </c>
      <c r="E88" s="2329"/>
      <c r="F88" s="2330" t="s">
        <v>2153</v>
      </c>
    </row>
    <row r="89" spans="1:6" ht="15" customHeight="1" x14ac:dyDescent="0.25">
      <c r="A89" s="2327" t="s">
        <v>2174</v>
      </c>
      <c r="B89" s="2328"/>
      <c r="C89" s="2329">
        <v>1075718</v>
      </c>
      <c r="D89" s="2329">
        <v>1075718</v>
      </c>
      <c r="E89" s="2329"/>
      <c r="F89" s="2330" t="s">
        <v>2154</v>
      </c>
    </row>
    <row r="90" spans="1:6" ht="30" customHeight="1" x14ac:dyDescent="0.25">
      <c r="A90" s="2327" t="s">
        <v>2175</v>
      </c>
      <c r="B90" s="2328"/>
      <c r="C90" s="2329">
        <f>59379+12624</f>
        <v>72003</v>
      </c>
      <c r="D90" s="2329"/>
      <c r="E90" s="2329"/>
      <c r="F90" s="2330" t="s">
        <v>2155</v>
      </c>
    </row>
    <row r="91" spans="1:6" ht="15" customHeight="1" x14ac:dyDescent="0.25">
      <c r="A91" s="2327" t="s">
        <v>2212</v>
      </c>
      <c r="B91" s="2328"/>
      <c r="C91" s="2329">
        <v>19000</v>
      </c>
      <c r="D91" s="2329">
        <v>19000</v>
      </c>
      <c r="E91" s="2329"/>
      <c r="F91" s="2330" t="s">
        <v>2156</v>
      </c>
    </row>
    <row r="92" spans="1:6" x14ac:dyDescent="0.25">
      <c r="A92" s="2327" t="s">
        <v>2176</v>
      </c>
      <c r="B92" s="2328"/>
      <c r="C92" s="2329">
        <v>1320</v>
      </c>
      <c r="D92" s="2329">
        <v>1320</v>
      </c>
      <c r="E92" s="2329"/>
      <c r="F92" s="2330" t="s">
        <v>2157</v>
      </c>
    </row>
    <row r="93" spans="1:6" ht="15" customHeight="1" x14ac:dyDescent="0.25">
      <c r="A93" s="2327" t="s">
        <v>2177</v>
      </c>
      <c r="B93" s="2328"/>
      <c r="C93" s="2329">
        <v>21000</v>
      </c>
      <c r="D93" s="2329"/>
      <c r="E93" s="2329"/>
      <c r="F93" s="2330" t="s">
        <v>2158</v>
      </c>
    </row>
    <row r="94" spans="1:6" x14ac:dyDescent="0.25">
      <c r="A94" s="2327" t="s">
        <v>2178</v>
      </c>
      <c r="B94" s="2328"/>
      <c r="C94" s="2329">
        <v>733341</v>
      </c>
      <c r="D94" s="2329"/>
      <c r="E94" s="2329"/>
      <c r="F94" s="2330" t="s">
        <v>2159</v>
      </c>
    </row>
    <row r="95" spans="1:6" ht="15" customHeight="1" x14ac:dyDescent="0.25">
      <c r="A95" s="2327" t="s">
        <v>2179</v>
      </c>
      <c r="B95" s="2328" t="s">
        <v>745</v>
      </c>
      <c r="C95" s="2329">
        <v>968958</v>
      </c>
      <c r="D95" s="2329">
        <v>968958</v>
      </c>
      <c r="E95" s="2329"/>
      <c r="F95" s="79" t="s">
        <v>2160</v>
      </c>
    </row>
    <row r="96" spans="1:6" x14ac:dyDescent="0.25">
      <c r="A96" s="2327" t="s">
        <v>2207</v>
      </c>
      <c r="B96" s="2328" t="s">
        <v>810</v>
      </c>
      <c r="C96" s="2329">
        <v>9144</v>
      </c>
      <c r="D96" s="2329">
        <v>9144</v>
      </c>
      <c r="E96" s="2329">
        <v>9144</v>
      </c>
      <c r="F96" s="2330" t="s">
        <v>2161</v>
      </c>
    </row>
    <row r="97" spans="1:6" x14ac:dyDescent="0.25">
      <c r="A97" s="2327" t="s">
        <v>2180</v>
      </c>
      <c r="B97" s="2328" t="s">
        <v>810</v>
      </c>
      <c r="C97" s="2329">
        <v>11430</v>
      </c>
      <c r="D97" s="2329"/>
      <c r="E97" s="2329"/>
      <c r="F97" s="2330" t="s">
        <v>2161</v>
      </c>
    </row>
    <row r="98" spans="1:6" x14ac:dyDescent="0.25">
      <c r="A98" s="2327" t="s">
        <v>2208</v>
      </c>
      <c r="B98" s="2328" t="s">
        <v>810</v>
      </c>
      <c r="C98" s="2329">
        <v>9144</v>
      </c>
      <c r="D98" s="2329">
        <v>9144</v>
      </c>
      <c r="E98" s="2329">
        <v>9144</v>
      </c>
      <c r="F98" s="2330" t="s">
        <v>2209</v>
      </c>
    </row>
    <row r="99" spans="1:6" ht="15" customHeight="1" x14ac:dyDescent="0.25">
      <c r="A99" s="2327" t="s">
        <v>2210</v>
      </c>
      <c r="B99" s="2328" t="s">
        <v>810</v>
      </c>
      <c r="C99" s="2329">
        <v>6878</v>
      </c>
      <c r="D99" s="2329">
        <v>0</v>
      </c>
      <c r="E99" s="2329">
        <v>0</v>
      </c>
      <c r="F99" s="2330" t="s">
        <v>2211</v>
      </c>
    </row>
    <row r="100" spans="1:6" ht="19.95" customHeight="1" thickBot="1" x14ac:dyDescent="0.3">
      <c r="A100" s="866" t="s">
        <v>575</v>
      </c>
      <c r="B100" s="31"/>
      <c r="C100" s="867">
        <f>SUM(C2:C99)</f>
        <v>7182086.3000000007</v>
      </c>
      <c r="D100" s="867">
        <f t="shared" ref="D100:E100" si="2">SUM(D2:D99)</f>
        <v>5616305.7000000002</v>
      </c>
      <c r="E100" s="867">
        <f t="shared" si="2"/>
        <v>2450165.7000000002</v>
      </c>
      <c r="F100" s="868"/>
    </row>
  </sheetData>
  <printOptions horizontalCentered="1"/>
  <pageMargins left="0.70866141732283472" right="0.70866141732283472" top="1.1417322834645669" bottom="0.74803149606299213" header="0.31496062992125984" footer="0.31496062992125984"/>
  <pageSetup paperSize="9" scale="80" orientation="landscape" r:id="rId1"/>
  <headerFooter>
    <oddHeader>&amp;C&amp;"Times New Roman,Félkövér"Budapest VIII. kerületi Önkormányzat 2020. évi költségvetés
Előzetes és többéves
kötelezettségvállalás&amp;R&amp;"Times New Roman,Félkövér dőlt"előterjesztés
2. sz. melléklete
ezer Ft-ban</oddHeader>
    <oddFooter>&amp;R&amp;P</oddFooter>
  </headerFooter>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39"/>
  <sheetViews>
    <sheetView zoomScaleNormal="100" workbookViewId="0">
      <pane xSplit="2" ySplit="5" topLeftCell="C6" activePane="bottomRight" state="frozen"/>
      <selection pane="topRight" activeCell="C1" sqref="C1"/>
      <selection pane="bottomLeft" activeCell="A6" sqref="A6"/>
      <selection pane="bottomRight" activeCell="C26" sqref="C26:D26"/>
    </sheetView>
  </sheetViews>
  <sheetFormatPr defaultRowHeight="12.6" x14ac:dyDescent="0.25"/>
  <cols>
    <col min="1" max="1" width="9" style="104" customWidth="1"/>
    <col min="2" max="2" width="59.33203125" style="104" customWidth="1"/>
    <col min="3" max="4" width="15.6640625" style="131" customWidth="1"/>
    <col min="5" max="254" width="9.109375" style="104"/>
    <col min="255" max="255" width="9" style="104" customWidth="1"/>
    <col min="256" max="256" width="59.33203125" style="104" customWidth="1"/>
    <col min="257" max="260" width="15.6640625" style="104" customWidth="1"/>
    <col min="261" max="510" width="9.109375" style="104"/>
    <col min="511" max="511" width="9" style="104" customWidth="1"/>
    <col min="512" max="512" width="59.33203125" style="104" customWidth="1"/>
    <col min="513" max="516" width="15.6640625" style="104" customWidth="1"/>
    <col min="517" max="766" width="9.109375" style="104"/>
    <col min="767" max="767" width="9" style="104" customWidth="1"/>
    <col min="768" max="768" width="59.33203125" style="104" customWidth="1"/>
    <col min="769" max="772" width="15.6640625" style="104" customWidth="1"/>
    <col min="773" max="1022" width="9.109375" style="104"/>
    <col min="1023" max="1023" width="9" style="104" customWidth="1"/>
    <col min="1024" max="1024" width="59.33203125" style="104" customWidth="1"/>
    <col min="1025" max="1028" width="15.6640625" style="104" customWidth="1"/>
    <col min="1029" max="1278" width="9.109375" style="104"/>
    <col min="1279" max="1279" width="9" style="104" customWidth="1"/>
    <col min="1280" max="1280" width="59.33203125" style="104" customWidth="1"/>
    <col min="1281" max="1284" width="15.6640625" style="104" customWidth="1"/>
    <col min="1285" max="1534" width="9.109375" style="104"/>
    <col min="1535" max="1535" width="9" style="104" customWidth="1"/>
    <col min="1536" max="1536" width="59.33203125" style="104" customWidth="1"/>
    <col min="1537" max="1540" width="15.6640625" style="104" customWidth="1"/>
    <col min="1541" max="1790" width="9.109375" style="104"/>
    <col min="1791" max="1791" width="9" style="104" customWidth="1"/>
    <col min="1792" max="1792" width="59.33203125" style="104" customWidth="1"/>
    <col min="1793" max="1796" width="15.6640625" style="104" customWidth="1"/>
    <col min="1797" max="2046" width="9.109375" style="104"/>
    <col min="2047" max="2047" width="9" style="104" customWidth="1"/>
    <col min="2048" max="2048" width="59.33203125" style="104" customWidth="1"/>
    <col min="2049" max="2052" width="15.6640625" style="104" customWidth="1"/>
    <col min="2053" max="2302" width="9.109375" style="104"/>
    <col min="2303" max="2303" width="9" style="104" customWidth="1"/>
    <col min="2304" max="2304" width="59.33203125" style="104" customWidth="1"/>
    <col min="2305" max="2308" width="15.6640625" style="104" customWidth="1"/>
    <col min="2309" max="2558" width="9.109375" style="104"/>
    <col min="2559" max="2559" width="9" style="104" customWidth="1"/>
    <col min="2560" max="2560" width="59.33203125" style="104" customWidth="1"/>
    <col min="2561" max="2564" width="15.6640625" style="104" customWidth="1"/>
    <col min="2565" max="2814" width="9.109375" style="104"/>
    <col min="2815" max="2815" width="9" style="104" customWidth="1"/>
    <col min="2816" max="2816" width="59.33203125" style="104" customWidth="1"/>
    <col min="2817" max="2820" width="15.6640625" style="104" customWidth="1"/>
    <col min="2821" max="3070" width="9.109375" style="104"/>
    <col min="3071" max="3071" width="9" style="104" customWidth="1"/>
    <col min="3072" max="3072" width="59.33203125" style="104" customWidth="1"/>
    <col min="3073" max="3076" width="15.6640625" style="104" customWidth="1"/>
    <col min="3077" max="3326" width="9.109375" style="104"/>
    <col min="3327" max="3327" width="9" style="104" customWidth="1"/>
    <col min="3328" max="3328" width="59.33203125" style="104" customWidth="1"/>
    <col min="3329" max="3332" width="15.6640625" style="104" customWidth="1"/>
    <col min="3333" max="3582" width="9.109375" style="104"/>
    <col min="3583" max="3583" width="9" style="104" customWidth="1"/>
    <col min="3584" max="3584" width="59.33203125" style="104" customWidth="1"/>
    <col min="3585" max="3588" width="15.6640625" style="104" customWidth="1"/>
    <col min="3589" max="3838" width="9.109375" style="104"/>
    <col min="3839" max="3839" width="9" style="104" customWidth="1"/>
    <col min="3840" max="3840" width="59.33203125" style="104" customWidth="1"/>
    <col min="3841" max="3844" width="15.6640625" style="104" customWidth="1"/>
    <col min="3845" max="4094" width="9.109375" style="104"/>
    <col min="4095" max="4095" width="9" style="104" customWidth="1"/>
    <col min="4096" max="4096" width="59.33203125" style="104" customWidth="1"/>
    <col min="4097" max="4100" width="15.6640625" style="104" customWidth="1"/>
    <col min="4101" max="4350" width="9.109375" style="104"/>
    <col min="4351" max="4351" width="9" style="104" customWidth="1"/>
    <col min="4352" max="4352" width="59.33203125" style="104" customWidth="1"/>
    <col min="4353" max="4356" width="15.6640625" style="104" customWidth="1"/>
    <col min="4357" max="4606" width="9.109375" style="104"/>
    <col min="4607" max="4607" width="9" style="104" customWidth="1"/>
    <col min="4608" max="4608" width="59.33203125" style="104" customWidth="1"/>
    <col min="4609" max="4612" width="15.6640625" style="104" customWidth="1"/>
    <col min="4613" max="4862" width="9.109375" style="104"/>
    <col min="4863" max="4863" width="9" style="104" customWidth="1"/>
    <col min="4864" max="4864" width="59.33203125" style="104" customWidth="1"/>
    <col min="4865" max="4868" width="15.6640625" style="104" customWidth="1"/>
    <col min="4869" max="5118" width="9.109375" style="104"/>
    <col min="5119" max="5119" width="9" style="104" customWidth="1"/>
    <col min="5120" max="5120" width="59.33203125" style="104" customWidth="1"/>
    <col min="5121" max="5124" width="15.6640625" style="104" customWidth="1"/>
    <col min="5125" max="5374" width="9.109375" style="104"/>
    <col min="5375" max="5375" width="9" style="104" customWidth="1"/>
    <col min="5376" max="5376" width="59.33203125" style="104" customWidth="1"/>
    <col min="5377" max="5380" width="15.6640625" style="104" customWidth="1"/>
    <col min="5381" max="5630" width="9.109375" style="104"/>
    <col min="5631" max="5631" width="9" style="104" customWidth="1"/>
    <col min="5632" max="5632" width="59.33203125" style="104" customWidth="1"/>
    <col min="5633" max="5636" width="15.6640625" style="104" customWidth="1"/>
    <col min="5637" max="5886" width="9.109375" style="104"/>
    <col min="5887" max="5887" width="9" style="104" customWidth="1"/>
    <col min="5888" max="5888" width="59.33203125" style="104" customWidth="1"/>
    <col min="5889" max="5892" width="15.6640625" style="104" customWidth="1"/>
    <col min="5893" max="6142" width="9.109375" style="104"/>
    <col min="6143" max="6143" width="9" style="104" customWidth="1"/>
    <col min="6144" max="6144" width="59.33203125" style="104" customWidth="1"/>
    <col min="6145" max="6148" width="15.6640625" style="104" customWidth="1"/>
    <col min="6149" max="6398" width="9.109375" style="104"/>
    <col min="6399" max="6399" width="9" style="104" customWidth="1"/>
    <col min="6400" max="6400" width="59.33203125" style="104" customWidth="1"/>
    <col min="6401" max="6404" width="15.6640625" style="104" customWidth="1"/>
    <col min="6405" max="6654" width="9.109375" style="104"/>
    <col min="6655" max="6655" width="9" style="104" customWidth="1"/>
    <col min="6656" max="6656" width="59.33203125" style="104" customWidth="1"/>
    <col min="6657" max="6660" width="15.6640625" style="104" customWidth="1"/>
    <col min="6661" max="6910" width="9.109375" style="104"/>
    <col min="6911" max="6911" width="9" style="104" customWidth="1"/>
    <col min="6912" max="6912" width="59.33203125" style="104" customWidth="1"/>
    <col min="6913" max="6916" width="15.6640625" style="104" customWidth="1"/>
    <col min="6917" max="7166" width="9.109375" style="104"/>
    <col min="7167" max="7167" width="9" style="104" customWidth="1"/>
    <col min="7168" max="7168" width="59.33203125" style="104" customWidth="1"/>
    <col min="7169" max="7172" width="15.6640625" style="104" customWidth="1"/>
    <col min="7173" max="7422" width="9.109375" style="104"/>
    <col min="7423" max="7423" width="9" style="104" customWidth="1"/>
    <col min="7424" max="7424" width="59.33203125" style="104" customWidth="1"/>
    <col min="7425" max="7428" width="15.6640625" style="104" customWidth="1"/>
    <col min="7429" max="7678" width="9.109375" style="104"/>
    <col min="7679" max="7679" width="9" style="104" customWidth="1"/>
    <col min="7680" max="7680" width="59.33203125" style="104" customWidth="1"/>
    <col min="7681" max="7684" width="15.6640625" style="104" customWidth="1"/>
    <col min="7685" max="7934" width="9.109375" style="104"/>
    <col min="7935" max="7935" width="9" style="104" customWidth="1"/>
    <col min="7936" max="7936" width="59.33203125" style="104" customWidth="1"/>
    <col min="7937" max="7940" width="15.6640625" style="104" customWidth="1"/>
    <col min="7941" max="8190" width="9.109375" style="104"/>
    <col min="8191" max="8191" width="9" style="104" customWidth="1"/>
    <col min="8192" max="8192" width="59.33203125" style="104" customWidth="1"/>
    <col min="8193" max="8196" width="15.6640625" style="104" customWidth="1"/>
    <col min="8197" max="8446" width="9.109375" style="104"/>
    <col min="8447" max="8447" width="9" style="104" customWidth="1"/>
    <col min="8448" max="8448" width="59.33203125" style="104" customWidth="1"/>
    <col min="8449" max="8452" width="15.6640625" style="104" customWidth="1"/>
    <col min="8453" max="8702" width="9.109375" style="104"/>
    <col min="8703" max="8703" width="9" style="104" customWidth="1"/>
    <col min="8704" max="8704" width="59.33203125" style="104" customWidth="1"/>
    <col min="8705" max="8708" width="15.6640625" style="104" customWidth="1"/>
    <col min="8709" max="8958" width="9.109375" style="104"/>
    <col min="8959" max="8959" width="9" style="104" customWidth="1"/>
    <col min="8960" max="8960" width="59.33203125" style="104" customWidth="1"/>
    <col min="8961" max="8964" width="15.6640625" style="104" customWidth="1"/>
    <col min="8965" max="9214" width="9.109375" style="104"/>
    <col min="9215" max="9215" width="9" style="104" customWidth="1"/>
    <col min="9216" max="9216" width="59.33203125" style="104" customWidth="1"/>
    <col min="9217" max="9220" width="15.6640625" style="104" customWidth="1"/>
    <col min="9221" max="9470" width="9.109375" style="104"/>
    <col min="9471" max="9471" width="9" style="104" customWidth="1"/>
    <col min="9472" max="9472" width="59.33203125" style="104" customWidth="1"/>
    <col min="9473" max="9476" width="15.6640625" style="104" customWidth="1"/>
    <col min="9477" max="9726" width="9.109375" style="104"/>
    <col min="9727" max="9727" width="9" style="104" customWidth="1"/>
    <col min="9728" max="9728" width="59.33203125" style="104" customWidth="1"/>
    <col min="9729" max="9732" width="15.6640625" style="104" customWidth="1"/>
    <col min="9733" max="9982" width="9.109375" style="104"/>
    <col min="9983" max="9983" width="9" style="104" customWidth="1"/>
    <col min="9984" max="9984" width="59.33203125" style="104" customWidth="1"/>
    <col min="9985" max="9988" width="15.6640625" style="104" customWidth="1"/>
    <col min="9989" max="10238" width="9.109375" style="104"/>
    <col min="10239" max="10239" width="9" style="104" customWidth="1"/>
    <col min="10240" max="10240" width="59.33203125" style="104" customWidth="1"/>
    <col min="10241" max="10244" width="15.6640625" style="104" customWidth="1"/>
    <col min="10245" max="10494" width="9.109375" style="104"/>
    <col min="10495" max="10495" width="9" style="104" customWidth="1"/>
    <col min="10496" max="10496" width="59.33203125" style="104" customWidth="1"/>
    <col min="10497" max="10500" width="15.6640625" style="104" customWidth="1"/>
    <col min="10501" max="10750" width="9.109375" style="104"/>
    <col min="10751" max="10751" width="9" style="104" customWidth="1"/>
    <col min="10752" max="10752" width="59.33203125" style="104" customWidth="1"/>
    <col min="10753" max="10756" width="15.6640625" style="104" customWidth="1"/>
    <col min="10757" max="11006" width="9.109375" style="104"/>
    <col min="11007" max="11007" width="9" style="104" customWidth="1"/>
    <col min="11008" max="11008" width="59.33203125" style="104" customWidth="1"/>
    <col min="11009" max="11012" width="15.6640625" style="104" customWidth="1"/>
    <col min="11013" max="11262" width="9.109375" style="104"/>
    <col min="11263" max="11263" width="9" style="104" customWidth="1"/>
    <col min="11264" max="11264" width="59.33203125" style="104" customWidth="1"/>
    <col min="11265" max="11268" width="15.6640625" style="104" customWidth="1"/>
    <col min="11269" max="11518" width="9.109375" style="104"/>
    <col min="11519" max="11519" width="9" style="104" customWidth="1"/>
    <col min="11520" max="11520" width="59.33203125" style="104" customWidth="1"/>
    <col min="11521" max="11524" width="15.6640625" style="104" customWidth="1"/>
    <col min="11525" max="11774" width="9.109375" style="104"/>
    <col min="11775" max="11775" width="9" style="104" customWidth="1"/>
    <col min="11776" max="11776" width="59.33203125" style="104" customWidth="1"/>
    <col min="11777" max="11780" width="15.6640625" style="104" customWidth="1"/>
    <col min="11781" max="12030" width="9.109375" style="104"/>
    <col min="12031" max="12031" width="9" style="104" customWidth="1"/>
    <col min="12032" max="12032" width="59.33203125" style="104" customWidth="1"/>
    <col min="12033" max="12036" width="15.6640625" style="104" customWidth="1"/>
    <col min="12037" max="12286" width="9.109375" style="104"/>
    <col min="12287" max="12287" width="9" style="104" customWidth="1"/>
    <col min="12288" max="12288" width="59.33203125" style="104" customWidth="1"/>
    <col min="12289" max="12292" width="15.6640625" style="104" customWidth="1"/>
    <col min="12293" max="12542" width="9.109375" style="104"/>
    <col min="12543" max="12543" width="9" style="104" customWidth="1"/>
    <col min="12544" max="12544" width="59.33203125" style="104" customWidth="1"/>
    <col min="12545" max="12548" width="15.6640625" style="104" customWidth="1"/>
    <col min="12549" max="12798" width="9.109375" style="104"/>
    <col min="12799" max="12799" width="9" style="104" customWidth="1"/>
    <col min="12800" max="12800" width="59.33203125" style="104" customWidth="1"/>
    <col min="12801" max="12804" width="15.6640625" style="104" customWidth="1"/>
    <col min="12805" max="13054" width="9.109375" style="104"/>
    <col min="13055" max="13055" width="9" style="104" customWidth="1"/>
    <col min="13056" max="13056" width="59.33203125" style="104" customWidth="1"/>
    <col min="13057" max="13060" width="15.6640625" style="104" customWidth="1"/>
    <col min="13061" max="13310" width="9.109375" style="104"/>
    <col min="13311" max="13311" width="9" style="104" customWidth="1"/>
    <col min="13312" max="13312" width="59.33203125" style="104" customWidth="1"/>
    <col min="13313" max="13316" width="15.6640625" style="104" customWidth="1"/>
    <col min="13317" max="13566" width="9.109375" style="104"/>
    <col min="13567" max="13567" width="9" style="104" customWidth="1"/>
    <col min="13568" max="13568" width="59.33203125" style="104" customWidth="1"/>
    <col min="13569" max="13572" width="15.6640625" style="104" customWidth="1"/>
    <col min="13573" max="13822" width="9.109375" style="104"/>
    <col min="13823" max="13823" width="9" style="104" customWidth="1"/>
    <col min="13824" max="13824" width="59.33203125" style="104" customWidth="1"/>
    <col min="13825" max="13828" width="15.6640625" style="104" customWidth="1"/>
    <col min="13829" max="14078" width="9.109375" style="104"/>
    <col min="14079" max="14079" width="9" style="104" customWidth="1"/>
    <col min="14080" max="14080" width="59.33203125" style="104" customWidth="1"/>
    <col min="14081" max="14084" width="15.6640625" style="104" customWidth="1"/>
    <col min="14085" max="14334" width="9.109375" style="104"/>
    <col min="14335" max="14335" width="9" style="104" customWidth="1"/>
    <col min="14336" max="14336" width="59.33203125" style="104" customWidth="1"/>
    <col min="14337" max="14340" width="15.6640625" style="104" customWidth="1"/>
    <col min="14341" max="14590" width="9.109375" style="104"/>
    <col min="14591" max="14591" width="9" style="104" customWidth="1"/>
    <col min="14592" max="14592" width="59.33203125" style="104" customWidth="1"/>
    <col min="14593" max="14596" width="15.6640625" style="104" customWidth="1"/>
    <col min="14597" max="14846" width="9.109375" style="104"/>
    <col min="14847" max="14847" width="9" style="104" customWidth="1"/>
    <col min="14848" max="14848" width="59.33203125" style="104" customWidth="1"/>
    <col min="14849" max="14852" width="15.6640625" style="104" customWidth="1"/>
    <col min="14853" max="15102" width="9.109375" style="104"/>
    <col min="15103" max="15103" width="9" style="104" customWidth="1"/>
    <col min="15104" max="15104" width="59.33203125" style="104" customWidth="1"/>
    <col min="15105" max="15108" width="15.6640625" style="104" customWidth="1"/>
    <col min="15109" max="15358" width="9.109375" style="104"/>
    <col min="15359" max="15359" width="9" style="104" customWidth="1"/>
    <col min="15360" max="15360" width="59.33203125" style="104" customWidth="1"/>
    <col min="15361" max="15364" width="15.6640625" style="104" customWidth="1"/>
    <col min="15365" max="15614" width="9.109375" style="104"/>
    <col min="15615" max="15615" width="9" style="104" customWidth="1"/>
    <col min="15616" max="15616" width="59.33203125" style="104" customWidth="1"/>
    <col min="15617" max="15620" width="15.6640625" style="104" customWidth="1"/>
    <col min="15621" max="15870" width="9.109375" style="104"/>
    <col min="15871" max="15871" width="9" style="104" customWidth="1"/>
    <col min="15872" max="15872" width="59.33203125" style="104" customWidth="1"/>
    <col min="15873" max="15876" width="15.6640625" style="104" customWidth="1"/>
    <col min="15877" max="16126" width="9.109375" style="104"/>
    <col min="16127" max="16127" width="9" style="104" customWidth="1"/>
    <col min="16128" max="16128" width="59.33203125" style="104" customWidth="1"/>
    <col min="16129" max="16132" width="15.6640625" style="104" customWidth="1"/>
    <col min="16133" max="16384" width="9.109375" style="104"/>
  </cols>
  <sheetData>
    <row r="3" spans="1:8" ht="13.8" thickBot="1" x14ac:dyDescent="0.3">
      <c r="A3" s="418"/>
      <c r="B3" s="418"/>
      <c r="C3" s="419"/>
      <c r="D3" s="419"/>
    </row>
    <row r="4" spans="1:8" ht="35.25" customHeight="1" x14ac:dyDescent="0.25">
      <c r="A4" s="2628" t="s">
        <v>724</v>
      </c>
      <c r="B4" s="2705" t="s">
        <v>725</v>
      </c>
      <c r="C4" s="2700" t="s">
        <v>2345</v>
      </c>
      <c r="D4" s="2701"/>
      <c r="E4" s="418"/>
      <c r="F4" s="418"/>
      <c r="G4" s="418"/>
      <c r="H4" s="418"/>
    </row>
    <row r="5" spans="1:8" s="421" customFormat="1" ht="27" thickBot="1" x14ac:dyDescent="0.3">
      <c r="A5" s="2629"/>
      <c r="B5" s="2706"/>
      <c r="C5" s="348" t="s">
        <v>726</v>
      </c>
      <c r="D5" s="349" t="s">
        <v>727</v>
      </c>
      <c r="E5" s="420"/>
      <c r="F5" s="420"/>
      <c r="G5" s="420"/>
      <c r="H5" s="420"/>
    </row>
    <row r="6" spans="1:8" ht="20.100000000000001" customHeight="1" x14ac:dyDescent="0.25">
      <c r="A6" s="430">
        <v>1</v>
      </c>
      <c r="B6" s="431" t="s">
        <v>728</v>
      </c>
      <c r="C6" s="324"/>
      <c r="D6" s="432"/>
      <c r="E6" s="418"/>
      <c r="F6" s="418"/>
      <c r="G6" s="418"/>
      <c r="H6" s="418"/>
    </row>
    <row r="7" spans="1:8" ht="20.100000000000001" customHeight="1" x14ac:dyDescent="0.25">
      <c r="A7" s="425">
        <v>2</v>
      </c>
      <c r="B7" s="28" t="s">
        <v>729</v>
      </c>
      <c r="C7" s="29"/>
      <c r="D7" s="426"/>
      <c r="E7" s="418"/>
      <c r="F7" s="418"/>
      <c r="G7" s="418"/>
      <c r="H7" s="418"/>
    </row>
    <row r="8" spans="1:8" ht="20.100000000000001" customHeight="1" x14ac:dyDescent="0.25">
      <c r="A8" s="425">
        <v>3</v>
      </c>
      <c r="B8" s="28" t="s">
        <v>730</v>
      </c>
      <c r="C8" s="29">
        <v>365</v>
      </c>
      <c r="D8" s="426"/>
      <c r="E8" s="418"/>
      <c r="F8" s="418"/>
      <c r="G8" s="418"/>
      <c r="H8" s="418"/>
    </row>
    <row r="9" spans="1:8" ht="20.100000000000001" customHeight="1" x14ac:dyDescent="0.25">
      <c r="A9" s="425">
        <v>4</v>
      </c>
      <c r="B9" s="28" t="s">
        <v>731</v>
      </c>
      <c r="C9" s="29"/>
      <c r="D9" s="426"/>
      <c r="E9" s="418"/>
      <c r="F9" s="418"/>
      <c r="G9" s="418"/>
      <c r="H9" s="418"/>
    </row>
    <row r="10" spans="1:8" ht="20.100000000000001" customHeight="1" x14ac:dyDescent="0.25">
      <c r="A10" s="425">
        <v>5</v>
      </c>
      <c r="B10" s="28" t="s">
        <v>732</v>
      </c>
      <c r="C10" s="29"/>
      <c r="D10" s="426"/>
      <c r="E10" s="418"/>
      <c r="F10" s="418"/>
      <c r="G10" s="418"/>
      <c r="H10" s="418"/>
    </row>
    <row r="11" spans="1:8" ht="20.100000000000001" customHeight="1" x14ac:dyDescent="0.25">
      <c r="A11" s="425">
        <v>6</v>
      </c>
      <c r="B11" s="28" t="s">
        <v>750</v>
      </c>
      <c r="C11" s="29"/>
      <c r="D11" s="426"/>
      <c r="E11" s="418"/>
      <c r="F11" s="418"/>
      <c r="G11" s="418"/>
      <c r="H11" s="418"/>
    </row>
    <row r="12" spans="1:8" ht="20.100000000000001" customHeight="1" x14ac:dyDescent="0.25">
      <c r="A12" s="425">
        <v>7</v>
      </c>
      <c r="B12" s="28" t="s">
        <v>733</v>
      </c>
      <c r="C12" s="29"/>
      <c r="D12" s="426"/>
      <c r="E12" s="418"/>
      <c r="F12" s="418"/>
      <c r="G12" s="418"/>
      <c r="H12" s="418"/>
    </row>
    <row r="13" spans="1:8" ht="20.100000000000001" customHeight="1" x14ac:dyDescent="0.25">
      <c r="A13" s="425">
        <v>8</v>
      </c>
      <c r="B13" s="28" t="s">
        <v>733</v>
      </c>
      <c r="C13" s="29"/>
      <c r="D13" s="426"/>
      <c r="E13" s="418"/>
      <c r="F13" s="418"/>
      <c r="G13" s="418"/>
      <c r="H13" s="418"/>
    </row>
    <row r="14" spans="1:8" ht="20.100000000000001" customHeight="1" x14ac:dyDescent="0.25">
      <c r="A14" s="425">
        <v>9</v>
      </c>
      <c r="B14" s="28" t="s">
        <v>734</v>
      </c>
      <c r="C14" s="29"/>
      <c r="D14" s="426"/>
      <c r="E14" s="418"/>
      <c r="F14" s="418"/>
      <c r="G14" s="418"/>
      <c r="H14" s="418"/>
    </row>
    <row r="15" spans="1:8" ht="20.100000000000001" customHeight="1" x14ac:dyDescent="0.25">
      <c r="A15" s="425">
        <v>10</v>
      </c>
      <c r="B15" s="28" t="s">
        <v>735</v>
      </c>
      <c r="C15" s="29"/>
      <c r="D15" s="426"/>
      <c r="E15" s="418"/>
      <c r="F15" s="418"/>
      <c r="G15" s="418"/>
      <c r="H15" s="418"/>
    </row>
    <row r="16" spans="1:8" ht="20.100000000000001" customHeight="1" x14ac:dyDescent="0.25">
      <c r="A16" s="425">
        <v>11</v>
      </c>
      <c r="B16" s="28" t="s">
        <v>736</v>
      </c>
      <c r="C16" s="29"/>
      <c r="D16" s="426"/>
      <c r="E16" s="418"/>
      <c r="F16" s="418"/>
      <c r="G16" s="418"/>
      <c r="H16" s="418"/>
    </row>
    <row r="17" spans="1:8" ht="20.100000000000001" customHeight="1" x14ac:dyDescent="0.25">
      <c r="A17" s="425">
        <v>12</v>
      </c>
      <c r="B17" s="28" t="s">
        <v>737</v>
      </c>
      <c r="C17" s="29"/>
      <c r="D17" s="426"/>
      <c r="E17" s="418"/>
      <c r="F17" s="418"/>
      <c r="G17" s="418"/>
      <c r="H17" s="418"/>
    </row>
    <row r="18" spans="1:8" ht="20.100000000000001" customHeight="1" x14ac:dyDescent="0.25">
      <c r="A18" s="425">
        <v>13</v>
      </c>
      <c r="B18" s="28" t="s">
        <v>738</v>
      </c>
      <c r="C18" s="29"/>
      <c r="D18" s="426">
        <f>540+591285</f>
        <v>591825</v>
      </c>
      <c r="E18" s="418"/>
      <c r="F18" s="418"/>
      <c r="G18" s="418"/>
      <c r="H18" s="418"/>
    </row>
    <row r="19" spans="1:8" ht="20.100000000000001" customHeight="1" x14ac:dyDescent="0.25">
      <c r="A19" s="425">
        <v>14</v>
      </c>
      <c r="B19" s="28" t="s">
        <v>739</v>
      </c>
      <c r="C19" s="29"/>
      <c r="D19" s="426"/>
      <c r="E19" s="418"/>
      <c r="F19" s="418"/>
      <c r="G19" s="418"/>
      <c r="H19" s="418"/>
    </row>
    <row r="20" spans="1:8" ht="20.100000000000001" customHeight="1" x14ac:dyDescent="0.25">
      <c r="A20" s="425">
        <v>15</v>
      </c>
      <c r="B20" s="28" t="s">
        <v>740</v>
      </c>
      <c r="C20" s="29"/>
      <c r="D20" s="426"/>
      <c r="E20" s="418"/>
      <c r="F20" s="418"/>
      <c r="G20" s="418"/>
      <c r="H20" s="418"/>
    </row>
    <row r="21" spans="1:8" ht="20.100000000000001" customHeight="1" x14ac:dyDescent="0.25">
      <c r="A21" s="425">
        <v>16</v>
      </c>
      <c r="B21" s="28" t="s">
        <v>741</v>
      </c>
      <c r="C21" s="29"/>
      <c r="D21" s="426"/>
      <c r="E21" s="418"/>
      <c r="F21" s="418"/>
      <c r="G21" s="418"/>
      <c r="H21" s="418"/>
    </row>
    <row r="22" spans="1:8" ht="20.100000000000001" customHeight="1" x14ac:dyDescent="0.25">
      <c r="A22" s="425">
        <v>17</v>
      </c>
      <c r="B22" s="28" t="s">
        <v>742</v>
      </c>
      <c r="C22" s="331"/>
      <c r="D22" s="426"/>
      <c r="E22" s="418"/>
      <c r="F22" s="418"/>
      <c r="G22" s="418"/>
      <c r="H22" s="418"/>
    </row>
    <row r="23" spans="1:8" ht="20.100000000000001" customHeight="1" x14ac:dyDescent="0.25">
      <c r="A23" s="425">
        <v>18</v>
      </c>
      <c r="B23" s="28" t="s">
        <v>743</v>
      </c>
      <c r="C23" s="331">
        <v>55000</v>
      </c>
      <c r="D23" s="426"/>
      <c r="E23" s="418"/>
      <c r="F23" s="418"/>
      <c r="G23" s="418"/>
      <c r="H23" s="418"/>
    </row>
    <row r="24" spans="1:8" ht="20.100000000000001" customHeight="1" x14ac:dyDescent="0.25">
      <c r="A24" s="425">
        <v>19</v>
      </c>
      <c r="B24" s="28" t="s">
        <v>744</v>
      </c>
      <c r="C24" s="29"/>
      <c r="D24" s="426">
        <v>120000</v>
      </c>
      <c r="E24" s="418"/>
      <c r="F24" s="418"/>
      <c r="G24" s="418"/>
      <c r="H24" s="418"/>
    </row>
    <row r="25" spans="1:8" s="423" customFormat="1" ht="20.100000000000001" customHeight="1" thickBot="1" x14ac:dyDescent="0.3">
      <c r="A25" s="433">
        <v>20</v>
      </c>
      <c r="B25" s="434" t="s">
        <v>749</v>
      </c>
      <c r="C25" s="435"/>
      <c r="D25" s="436"/>
      <c r="E25" s="422"/>
      <c r="F25" s="422"/>
      <c r="G25" s="422"/>
      <c r="H25" s="422"/>
    </row>
    <row r="26" spans="1:8" s="128" customFormat="1" ht="20.100000000000001" customHeight="1" x14ac:dyDescent="0.25">
      <c r="A26" s="437"/>
      <c r="B26" s="438" t="s">
        <v>581</v>
      </c>
      <c r="C26" s="439">
        <f>SUM(C6:C25)</f>
        <v>55365</v>
      </c>
      <c r="D26" s="440">
        <f>SUM(D6:D25)</f>
        <v>711825</v>
      </c>
    </row>
    <row r="27" spans="1:8" s="128" customFormat="1" ht="20.100000000000001" customHeight="1" thickBot="1" x14ac:dyDescent="0.3">
      <c r="A27" s="427"/>
      <c r="B27" s="428" t="s">
        <v>903</v>
      </c>
      <c r="C27" s="344"/>
      <c r="D27" s="429">
        <f>SUM(C26:D26)</f>
        <v>767190</v>
      </c>
    </row>
    <row r="28" spans="1:8" ht="31.5" customHeight="1" x14ac:dyDescent="0.25">
      <c r="A28" s="2702"/>
      <c r="B28" s="2702"/>
      <c r="C28" s="104"/>
      <c r="D28" s="104"/>
    </row>
    <row r="29" spans="1:8" ht="13.2" x14ac:dyDescent="0.25">
      <c r="A29" s="127"/>
      <c r="B29" s="127"/>
      <c r="C29" s="103"/>
      <c r="D29" s="103"/>
    </row>
    <row r="30" spans="1:8" ht="13.2" x14ac:dyDescent="0.25">
      <c r="D30" s="103"/>
    </row>
    <row r="31" spans="1:8" ht="13.2" x14ac:dyDescent="0.25">
      <c r="A31" s="127"/>
      <c r="B31" s="127"/>
      <c r="C31" s="103"/>
      <c r="D31" s="103"/>
    </row>
    <row r="32" spans="1:8" ht="13.2" x14ac:dyDescent="0.25">
      <c r="A32" s="127"/>
      <c r="B32" s="127"/>
      <c r="C32" s="103"/>
      <c r="D32" s="103"/>
    </row>
    <row r="36" spans="1:4" ht="13.2" x14ac:dyDescent="0.25">
      <c r="A36" s="2703"/>
      <c r="B36" s="2703"/>
      <c r="C36" s="104"/>
      <c r="D36" s="104"/>
    </row>
    <row r="37" spans="1:4" ht="13.2" x14ac:dyDescent="0.25">
      <c r="A37" s="2703"/>
      <c r="B37" s="2703"/>
      <c r="C37" s="104"/>
      <c r="D37" s="104"/>
    </row>
    <row r="39" spans="1:4" x14ac:dyDescent="0.25">
      <c r="C39" s="2704"/>
      <c r="D39" s="2704"/>
    </row>
  </sheetData>
  <mergeCells count="7">
    <mergeCell ref="C4:D4"/>
    <mergeCell ref="A28:B28"/>
    <mergeCell ref="A36:B36"/>
    <mergeCell ref="A37:B37"/>
    <mergeCell ref="C39:D39"/>
    <mergeCell ref="A4:A5"/>
    <mergeCell ref="B4:B5"/>
  </mergeCells>
  <printOptions horizontalCentered="1"/>
  <pageMargins left="0.74803149606299213" right="0.74803149606299213" top="1.3385826771653544" bottom="0.82677165354330717" header="0.15748031496062992" footer="0.19685039370078741"/>
  <pageSetup paperSize="9" scale="85" orientation="portrait" r:id="rId1"/>
  <headerFooter alignWithMargins="0">
    <oddHeader>&amp;C&amp;"Times New Roman,Félkövér" 
Budapest VIII. kerületi Önkormányzat 2020. évi költségvetéshez
 a becsült közvetett támogatások bemutatása &amp;R
&amp;"Times New Roman,Félkövér dőlt"előterjesztés
3.sz. melléklete
ezer Ft-ban</oddHeader>
    <oddFooter xml:space="preserve">&amp;C
&amp;"Times New Roman,Normál"&amp;8&amp;P&amp;R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6"/>
  <sheetViews>
    <sheetView zoomScaleNormal="100" workbookViewId="0">
      <pane xSplit="3" ySplit="2" topLeftCell="D3" activePane="bottomRight" state="frozen"/>
      <selection pane="topRight" activeCell="D1" sqref="D1"/>
      <selection pane="bottomLeft" activeCell="A3" sqref="A3"/>
      <selection pane="bottomRight" activeCell="C13" sqref="C13"/>
    </sheetView>
  </sheetViews>
  <sheetFormatPr defaultColWidth="9.109375" defaultRowHeight="13.2" x14ac:dyDescent="0.25"/>
  <cols>
    <col min="1" max="1" width="42" style="596" customWidth="1"/>
    <col min="2" max="2" width="12.33203125" style="847" customWidth="1"/>
    <col min="3" max="3" width="14.6640625" style="848" customWidth="1"/>
    <col min="4" max="4" width="13.33203125" style="848" customWidth="1"/>
    <col min="5" max="5" width="44.6640625" style="596" customWidth="1"/>
    <col min="6" max="6" width="10.109375" style="103" bestFit="1" customWidth="1"/>
    <col min="7" max="7" width="10.88671875" style="103" bestFit="1" customWidth="1"/>
    <col min="8" max="8" width="10.6640625" style="596" customWidth="1"/>
    <col min="9" max="256" width="9.109375" style="596"/>
    <col min="257" max="257" width="42" style="596" customWidth="1"/>
    <col min="258" max="258" width="12.33203125" style="596" customWidth="1"/>
    <col min="259" max="259" width="14.6640625" style="596" customWidth="1"/>
    <col min="260" max="260" width="13.33203125" style="596" customWidth="1"/>
    <col min="261" max="261" width="53" style="596" customWidth="1"/>
    <col min="262" max="262" width="10.109375" style="596" bestFit="1" customWidth="1"/>
    <col min="263" max="512" width="9.109375" style="596"/>
    <col min="513" max="513" width="42" style="596" customWidth="1"/>
    <col min="514" max="514" width="12.33203125" style="596" customWidth="1"/>
    <col min="515" max="515" width="14.6640625" style="596" customWidth="1"/>
    <col min="516" max="516" width="13.33203125" style="596" customWidth="1"/>
    <col min="517" max="517" width="53" style="596" customWidth="1"/>
    <col min="518" max="518" width="10.109375" style="596" bestFit="1" customWidth="1"/>
    <col min="519" max="768" width="9.109375" style="596"/>
    <col min="769" max="769" width="42" style="596" customWidth="1"/>
    <col min="770" max="770" width="12.33203125" style="596" customWidth="1"/>
    <col min="771" max="771" width="14.6640625" style="596" customWidth="1"/>
    <col min="772" max="772" width="13.33203125" style="596" customWidth="1"/>
    <col min="773" max="773" width="53" style="596" customWidth="1"/>
    <col min="774" max="774" width="10.109375" style="596" bestFit="1" customWidth="1"/>
    <col min="775" max="1024" width="9.109375" style="596"/>
    <col min="1025" max="1025" width="42" style="596" customWidth="1"/>
    <col min="1026" max="1026" width="12.33203125" style="596" customWidth="1"/>
    <col min="1027" max="1027" width="14.6640625" style="596" customWidth="1"/>
    <col min="1028" max="1028" width="13.33203125" style="596" customWidth="1"/>
    <col min="1029" max="1029" width="53" style="596" customWidth="1"/>
    <col min="1030" max="1030" width="10.109375" style="596" bestFit="1" customWidth="1"/>
    <col min="1031" max="1280" width="9.109375" style="596"/>
    <col min="1281" max="1281" width="42" style="596" customWidth="1"/>
    <col min="1282" max="1282" width="12.33203125" style="596" customWidth="1"/>
    <col min="1283" max="1283" width="14.6640625" style="596" customWidth="1"/>
    <col min="1284" max="1284" width="13.33203125" style="596" customWidth="1"/>
    <col min="1285" max="1285" width="53" style="596" customWidth="1"/>
    <col min="1286" max="1286" width="10.109375" style="596" bestFit="1" customWidth="1"/>
    <col min="1287" max="1536" width="9.109375" style="596"/>
    <col min="1537" max="1537" width="42" style="596" customWidth="1"/>
    <col min="1538" max="1538" width="12.33203125" style="596" customWidth="1"/>
    <col min="1539" max="1539" width="14.6640625" style="596" customWidth="1"/>
    <col min="1540" max="1540" width="13.33203125" style="596" customWidth="1"/>
    <col min="1541" max="1541" width="53" style="596" customWidth="1"/>
    <col min="1542" max="1542" width="10.109375" style="596" bestFit="1" customWidth="1"/>
    <col min="1543" max="1792" width="9.109375" style="596"/>
    <col min="1793" max="1793" width="42" style="596" customWidth="1"/>
    <col min="1794" max="1794" width="12.33203125" style="596" customWidth="1"/>
    <col min="1795" max="1795" width="14.6640625" style="596" customWidth="1"/>
    <col min="1796" max="1796" width="13.33203125" style="596" customWidth="1"/>
    <col min="1797" max="1797" width="53" style="596" customWidth="1"/>
    <col min="1798" max="1798" width="10.109375" style="596" bestFit="1" customWidth="1"/>
    <col min="1799" max="2048" width="9.109375" style="596"/>
    <col min="2049" max="2049" width="42" style="596" customWidth="1"/>
    <col min="2050" max="2050" width="12.33203125" style="596" customWidth="1"/>
    <col min="2051" max="2051" width="14.6640625" style="596" customWidth="1"/>
    <col min="2052" max="2052" width="13.33203125" style="596" customWidth="1"/>
    <col min="2053" max="2053" width="53" style="596" customWidth="1"/>
    <col min="2054" max="2054" width="10.109375" style="596" bestFit="1" customWidth="1"/>
    <col min="2055" max="2304" width="9.109375" style="596"/>
    <col min="2305" max="2305" width="42" style="596" customWidth="1"/>
    <col min="2306" max="2306" width="12.33203125" style="596" customWidth="1"/>
    <col min="2307" max="2307" width="14.6640625" style="596" customWidth="1"/>
    <col min="2308" max="2308" width="13.33203125" style="596" customWidth="1"/>
    <col min="2309" max="2309" width="53" style="596" customWidth="1"/>
    <col min="2310" max="2310" width="10.109375" style="596" bestFit="1" customWidth="1"/>
    <col min="2311" max="2560" width="9.109375" style="596"/>
    <col min="2561" max="2561" width="42" style="596" customWidth="1"/>
    <col min="2562" max="2562" width="12.33203125" style="596" customWidth="1"/>
    <col min="2563" max="2563" width="14.6640625" style="596" customWidth="1"/>
    <col min="2564" max="2564" width="13.33203125" style="596" customWidth="1"/>
    <col min="2565" max="2565" width="53" style="596" customWidth="1"/>
    <col min="2566" max="2566" width="10.109375" style="596" bestFit="1" customWidth="1"/>
    <col min="2567" max="2816" width="9.109375" style="596"/>
    <col min="2817" max="2817" width="42" style="596" customWidth="1"/>
    <col min="2818" max="2818" width="12.33203125" style="596" customWidth="1"/>
    <col min="2819" max="2819" width="14.6640625" style="596" customWidth="1"/>
    <col min="2820" max="2820" width="13.33203125" style="596" customWidth="1"/>
    <col min="2821" max="2821" width="53" style="596" customWidth="1"/>
    <col min="2822" max="2822" width="10.109375" style="596" bestFit="1" customWidth="1"/>
    <col min="2823" max="3072" width="9.109375" style="596"/>
    <col min="3073" max="3073" width="42" style="596" customWidth="1"/>
    <col min="3074" max="3074" width="12.33203125" style="596" customWidth="1"/>
    <col min="3075" max="3075" width="14.6640625" style="596" customWidth="1"/>
    <col min="3076" max="3076" width="13.33203125" style="596" customWidth="1"/>
    <col min="3077" max="3077" width="53" style="596" customWidth="1"/>
    <col min="3078" max="3078" width="10.109375" style="596" bestFit="1" customWidth="1"/>
    <col min="3079" max="3328" width="9.109375" style="596"/>
    <col min="3329" max="3329" width="42" style="596" customWidth="1"/>
    <col min="3330" max="3330" width="12.33203125" style="596" customWidth="1"/>
    <col min="3331" max="3331" width="14.6640625" style="596" customWidth="1"/>
    <col min="3332" max="3332" width="13.33203125" style="596" customWidth="1"/>
    <col min="3333" max="3333" width="53" style="596" customWidth="1"/>
    <col min="3334" max="3334" width="10.109375" style="596" bestFit="1" customWidth="1"/>
    <col min="3335" max="3584" width="9.109375" style="596"/>
    <col min="3585" max="3585" width="42" style="596" customWidth="1"/>
    <col min="3586" max="3586" width="12.33203125" style="596" customWidth="1"/>
    <col min="3587" max="3587" width="14.6640625" style="596" customWidth="1"/>
    <col min="3588" max="3588" width="13.33203125" style="596" customWidth="1"/>
    <col min="3589" max="3589" width="53" style="596" customWidth="1"/>
    <col min="3590" max="3590" width="10.109375" style="596" bestFit="1" customWidth="1"/>
    <col min="3591" max="3840" width="9.109375" style="596"/>
    <col min="3841" max="3841" width="42" style="596" customWidth="1"/>
    <col min="3842" max="3842" width="12.33203125" style="596" customWidth="1"/>
    <col min="3843" max="3843" width="14.6640625" style="596" customWidth="1"/>
    <col min="3844" max="3844" width="13.33203125" style="596" customWidth="1"/>
    <col min="3845" max="3845" width="53" style="596" customWidth="1"/>
    <col min="3846" max="3846" width="10.109375" style="596" bestFit="1" customWidth="1"/>
    <col min="3847" max="4096" width="9.109375" style="596"/>
    <col min="4097" max="4097" width="42" style="596" customWidth="1"/>
    <col min="4098" max="4098" width="12.33203125" style="596" customWidth="1"/>
    <col min="4099" max="4099" width="14.6640625" style="596" customWidth="1"/>
    <col min="4100" max="4100" width="13.33203125" style="596" customWidth="1"/>
    <col min="4101" max="4101" width="53" style="596" customWidth="1"/>
    <col min="4102" max="4102" width="10.109375" style="596" bestFit="1" customWidth="1"/>
    <col min="4103" max="4352" width="9.109375" style="596"/>
    <col min="4353" max="4353" width="42" style="596" customWidth="1"/>
    <col min="4354" max="4354" width="12.33203125" style="596" customWidth="1"/>
    <col min="4355" max="4355" width="14.6640625" style="596" customWidth="1"/>
    <col min="4356" max="4356" width="13.33203125" style="596" customWidth="1"/>
    <col min="4357" max="4357" width="53" style="596" customWidth="1"/>
    <col min="4358" max="4358" width="10.109375" style="596" bestFit="1" customWidth="1"/>
    <col min="4359" max="4608" width="9.109375" style="596"/>
    <col min="4609" max="4609" width="42" style="596" customWidth="1"/>
    <col min="4610" max="4610" width="12.33203125" style="596" customWidth="1"/>
    <col min="4611" max="4611" width="14.6640625" style="596" customWidth="1"/>
    <col min="4612" max="4612" width="13.33203125" style="596" customWidth="1"/>
    <col min="4613" max="4613" width="53" style="596" customWidth="1"/>
    <col min="4614" max="4614" width="10.109375" style="596" bestFit="1" customWidth="1"/>
    <col min="4615" max="4864" width="9.109375" style="596"/>
    <col min="4865" max="4865" width="42" style="596" customWidth="1"/>
    <col min="4866" max="4866" width="12.33203125" style="596" customWidth="1"/>
    <col min="4867" max="4867" width="14.6640625" style="596" customWidth="1"/>
    <col min="4868" max="4868" width="13.33203125" style="596" customWidth="1"/>
    <col min="4869" max="4869" width="53" style="596" customWidth="1"/>
    <col min="4870" max="4870" width="10.109375" style="596" bestFit="1" customWidth="1"/>
    <col min="4871" max="5120" width="9.109375" style="596"/>
    <col min="5121" max="5121" width="42" style="596" customWidth="1"/>
    <col min="5122" max="5122" width="12.33203125" style="596" customWidth="1"/>
    <col min="5123" max="5123" width="14.6640625" style="596" customWidth="1"/>
    <col min="5124" max="5124" width="13.33203125" style="596" customWidth="1"/>
    <col min="5125" max="5125" width="53" style="596" customWidth="1"/>
    <col min="5126" max="5126" width="10.109375" style="596" bestFit="1" customWidth="1"/>
    <col min="5127" max="5376" width="9.109375" style="596"/>
    <col min="5377" max="5377" width="42" style="596" customWidth="1"/>
    <col min="5378" max="5378" width="12.33203125" style="596" customWidth="1"/>
    <col min="5379" max="5379" width="14.6640625" style="596" customWidth="1"/>
    <col min="5380" max="5380" width="13.33203125" style="596" customWidth="1"/>
    <col min="5381" max="5381" width="53" style="596" customWidth="1"/>
    <col min="5382" max="5382" width="10.109375" style="596" bestFit="1" customWidth="1"/>
    <col min="5383" max="5632" width="9.109375" style="596"/>
    <col min="5633" max="5633" width="42" style="596" customWidth="1"/>
    <col min="5634" max="5634" width="12.33203125" style="596" customWidth="1"/>
    <col min="5635" max="5635" width="14.6640625" style="596" customWidth="1"/>
    <col min="5636" max="5636" width="13.33203125" style="596" customWidth="1"/>
    <col min="5637" max="5637" width="53" style="596" customWidth="1"/>
    <col min="5638" max="5638" width="10.109375" style="596" bestFit="1" customWidth="1"/>
    <col min="5639" max="5888" width="9.109375" style="596"/>
    <col min="5889" max="5889" width="42" style="596" customWidth="1"/>
    <col min="5890" max="5890" width="12.33203125" style="596" customWidth="1"/>
    <col min="5891" max="5891" width="14.6640625" style="596" customWidth="1"/>
    <col min="5892" max="5892" width="13.33203125" style="596" customWidth="1"/>
    <col min="5893" max="5893" width="53" style="596" customWidth="1"/>
    <col min="5894" max="5894" width="10.109375" style="596" bestFit="1" customWidth="1"/>
    <col min="5895" max="6144" width="9.109375" style="596"/>
    <col min="6145" max="6145" width="42" style="596" customWidth="1"/>
    <col min="6146" max="6146" width="12.33203125" style="596" customWidth="1"/>
    <col min="6147" max="6147" width="14.6640625" style="596" customWidth="1"/>
    <col min="6148" max="6148" width="13.33203125" style="596" customWidth="1"/>
    <col min="6149" max="6149" width="53" style="596" customWidth="1"/>
    <col min="6150" max="6150" width="10.109375" style="596" bestFit="1" customWidth="1"/>
    <col min="6151" max="6400" width="9.109375" style="596"/>
    <col min="6401" max="6401" width="42" style="596" customWidth="1"/>
    <col min="6402" max="6402" width="12.33203125" style="596" customWidth="1"/>
    <col min="6403" max="6403" width="14.6640625" style="596" customWidth="1"/>
    <col min="6404" max="6404" width="13.33203125" style="596" customWidth="1"/>
    <col min="6405" max="6405" width="53" style="596" customWidth="1"/>
    <col min="6406" max="6406" width="10.109375" style="596" bestFit="1" customWidth="1"/>
    <col min="6407" max="6656" width="9.109375" style="596"/>
    <col min="6657" max="6657" width="42" style="596" customWidth="1"/>
    <col min="6658" max="6658" width="12.33203125" style="596" customWidth="1"/>
    <col min="6659" max="6659" width="14.6640625" style="596" customWidth="1"/>
    <col min="6660" max="6660" width="13.33203125" style="596" customWidth="1"/>
    <col min="6661" max="6661" width="53" style="596" customWidth="1"/>
    <col min="6662" max="6662" width="10.109375" style="596" bestFit="1" customWidth="1"/>
    <col min="6663" max="6912" width="9.109375" style="596"/>
    <col min="6913" max="6913" width="42" style="596" customWidth="1"/>
    <col min="6914" max="6914" width="12.33203125" style="596" customWidth="1"/>
    <col min="6915" max="6915" width="14.6640625" style="596" customWidth="1"/>
    <col min="6916" max="6916" width="13.33203125" style="596" customWidth="1"/>
    <col min="6917" max="6917" width="53" style="596" customWidth="1"/>
    <col min="6918" max="6918" width="10.109375" style="596" bestFit="1" customWidth="1"/>
    <col min="6919" max="7168" width="9.109375" style="596"/>
    <col min="7169" max="7169" width="42" style="596" customWidth="1"/>
    <col min="7170" max="7170" width="12.33203125" style="596" customWidth="1"/>
    <col min="7171" max="7171" width="14.6640625" style="596" customWidth="1"/>
    <col min="7172" max="7172" width="13.33203125" style="596" customWidth="1"/>
    <col min="7173" max="7173" width="53" style="596" customWidth="1"/>
    <col min="7174" max="7174" width="10.109375" style="596" bestFit="1" customWidth="1"/>
    <col min="7175" max="7424" width="9.109375" style="596"/>
    <col min="7425" max="7425" width="42" style="596" customWidth="1"/>
    <col min="7426" max="7426" width="12.33203125" style="596" customWidth="1"/>
    <col min="7427" max="7427" width="14.6640625" style="596" customWidth="1"/>
    <col min="7428" max="7428" width="13.33203125" style="596" customWidth="1"/>
    <col min="7429" max="7429" width="53" style="596" customWidth="1"/>
    <col min="7430" max="7430" width="10.109375" style="596" bestFit="1" customWidth="1"/>
    <col min="7431" max="7680" width="9.109375" style="596"/>
    <col min="7681" max="7681" width="42" style="596" customWidth="1"/>
    <col min="7682" max="7682" width="12.33203125" style="596" customWidth="1"/>
    <col min="7683" max="7683" width="14.6640625" style="596" customWidth="1"/>
    <col min="7684" max="7684" width="13.33203125" style="596" customWidth="1"/>
    <col min="7685" max="7685" width="53" style="596" customWidth="1"/>
    <col min="7686" max="7686" width="10.109375" style="596" bestFit="1" customWidth="1"/>
    <col min="7687" max="7936" width="9.109375" style="596"/>
    <col min="7937" max="7937" width="42" style="596" customWidth="1"/>
    <col min="7938" max="7938" width="12.33203125" style="596" customWidth="1"/>
    <col min="7939" max="7939" width="14.6640625" style="596" customWidth="1"/>
    <col min="7940" max="7940" width="13.33203125" style="596" customWidth="1"/>
    <col min="7941" max="7941" width="53" style="596" customWidth="1"/>
    <col min="7942" max="7942" width="10.109375" style="596" bestFit="1" customWidth="1"/>
    <col min="7943" max="8192" width="9.109375" style="596"/>
    <col min="8193" max="8193" width="42" style="596" customWidth="1"/>
    <col min="8194" max="8194" width="12.33203125" style="596" customWidth="1"/>
    <col min="8195" max="8195" width="14.6640625" style="596" customWidth="1"/>
    <col min="8196" max="8196" width="13.33203125" style="596" customWidth="1"/>
    <col min="8197" max="8197" width="53" style="596" customWidth="1"/>
    <col min="8198" max="8198" width="10.109375" style="596" bestFit="1" customWidth="1"/>
    <col min="8199" max="8448" width="9.109375" style="596"/>
    <col min="8449" max="8449" width="42" style="596" customWidth="1"/>
    <col min="8450" max="8450" width="12.33203125" style="596" customWidth="1"/>
    <col min="8451" max="8451" width="14.6640625" style="596" customWidth="1"/>
    <col min="8452" max="8452" width="13.33203125" style="596" customWidth="1"/>
    <col min="8453" max="8453" width="53" style="596" customWidth="1"/>
    <col min="8454" max="8454" width="10.109375" style="596" bestFit="1" customWidth="1"/>
    <col min="8455" max="8704" width="9.109375" style="596"/>
    <col min="8705" max="8705" width="42" style="596" customWidth="1"/>
    <col min="8706" max="8706" width="12.33203125" style="596" customWidth="1"/>
    <col min="8707" max="8707" width="14.6640625" style="596" customWidth="1"/>
    <col min="8708" max="8708" width="13.33203125" style="596" customWidth="1"/>
    <col min="8709" max="8709" width="53" style="596" customWidth="1"/>
    <col min="8710" max="8710" width="10.109375" style="596" bestFit="1" customWidth="1"/>
    <col min="8711" max="8960" width="9.109375" style="596"/>
    <col min="8961" max="8961" width="42" style="596" customWidth="1"/>
    <col min="8962" max="8962" width="12.33203125" style="596" customWidth="1"/>
    <col min="8963" max="8963" width="14.6640625" style="596" customWidth="1"/>
    <col min="8964" max="8964" width="13.33203125" style="596" customWidth="1"/>
    <col min="8965" max="8965" width="53" style="596" customWidth="1"/>
    <col min="8966" max="8966" width="10.109375" style="596" bestFit="1" customWidth="1"/>
    <col min="8967" max="9216" width="9.109375" style="596"/>
    <col min="9217" max="9217" width="42" style="596" customWidth="1"/>
    <col min="9218" max="9218" width="12.33203125" style="596" customWidth="1"/>
    <col min="9219" max="9219" width="14.6640625" style="596" customWidth="1"/>
    <col min="9220" max="9220" width="13.33203125" style="596" customWidth="1"/>
    <col min="9221" max="9221" width="53" style="596" customWidth="1"/>
    <col min="9222" max="9222" width="10.109375" style="596" bestFit="1" customWidth="1"/>
    <col min="9223" max="9472" width="9.109375" style="596"/>
    <col min="9473" max="9473" width="42" style="596" customWidth="1"/>
    <col min="9474" max="9474" width="12.33203125" style="596" customWidth="1"/>
    <col min="9475" max="9475" width="14.6640625" style="596" customWidth="1"/>
    <col min="9476" max="9476" width="13.33203125" style="596" customWidth="1"/>
    <col min="9477" max="9477" width="53" style="596" customWidth="1"/>
    <col min="9478" max="9478" width="10.109375" style="596" bestFit="1" customWidth="1"/>
    <col min="9479" max="9728" width="9.109375" style="596"/>
    <col min="9729" max="9729" width="42" style="596" customWidth="1"/>
    <col min="9730" max="9730" width="12.33203125" style="596" customWidth="1"/>
    <col min="9731" max="9731" width="14.6640625" style="596" customWidth="1"/>
    <col min="9732" max="9732" width="13.33203125" style="596" customWidth="1"/>
    <col min="9733" max="9733" width="53" style="596" customWidth="1"/>
    <col min="9734" max="9734" width="10.109375" style="596" bestFit="1" customWidth="1"/>
    <col min="9735" max="9984" width="9.109375" style="596"/>
    <col min="9985" max="9985" width="42" style="596" customWidth="1"/>
    <col min="9986" max="9986" width="12.33203125" style="596" customWidth="1"/>
    <col min="9987" max="9987" width="14.6640625" style="596" customWidth="1"/>
    <col min="9988" max="9988" width="13.33203125" style="596" customWidth="1"/>
    <col min="9989" max="9989" width="53" style="596" customWidth="1"/>
    <col min="9990" max="9990" width="10.109375" style="596" bestFit="1" customWidth="1"/>
    <col min="9991" max="10240" width="9.109375" style="596"/>
    <col min="10241" max="10241" width="42" style="596" customWidth="1"/>
    <col min="10242" max="10242" width="12.33203125" style="596" customWidth="1"/>
    <col min="10243" max="10243" width="14.6640625" style="596" customWidth="1"/>
    <col min="10244" max="10244" width="13.33203125" style="596" customWidth="1"/>
    <col min="10245" max="10245" width="53" style="596" customWidth="1"/>
    <col min="10246" max="10246" width="10.109375" style="596" bestFit="1" customWidth="1"/>
    <col min="10247" max="10496" width="9.109375" style="596"/>
    <col min="10497" max="10497" width="42" style="596" customWidth="1"/>
    <col min="10498" max="10498" width="12.33203125" style="596" customWidth="1"/>
    <col min="10499" max="10499" width="14.6640625" style="596" customWidth="1"/>
    <col min="10500" max="10500" width="13.33203125" style="596" customWidth="1"/>
    <col min="10501" max="10501" width="53" style="596" customWidth="1"/>
    <col min="10502" max="10502" width="10.109375" style="596" bestFit="1" customWidth="1"/>
    <col min="10503" max="10752" width="9.109375" style="596"/>
    <col min="10753" max="10753" width="42" style="596" customWidth="1"/>
    <col min="10754" max="10754" width="12.33203125" style="596" customWidth="1"/>
    <col min="10755" max="10755" width="14.6640625" style="596" customWidth="1"/>
    <col min="10756" max="10756" width="13.33203125" style="596" customWidth="1"/>
    <col min="10757" max="10757" width="53" style="596" customWidth="1"/>
    <col min="10758" max="10758" width="10.109375" style="596" bestFit="1" customWidth="1"/>
    <col min="10759" max="11008" width="9.109375" style="596"/>
    <col min="11009" max="11009" width="42" style="596" customWidth="1"/>
    <col min="11010" max="11010" width="12.33203125" style="596" customWidth="1"/>
    <col min="11011" max="11011" width="14.6640625" style="596" customWidth="1"/>
    <col min="11012" max="11012" width="13.33203125" style="596" customWidth="1"/>
    <col min="11013" max="11013" width="53" style="596" customWidth="1"/>
    <col min="11014" max="11014" width="10.109375" style="596" bestFit="1" customWidth="1"/>
    <col min="11015" max="11264" width="9.109375" style="596"/>
    <col min="11265" max="11265" width="42" style="596" customWidth="1"/>
    <col min="11266" max="11266" width="12.33203125" style="596" customWidth="1"/>
    <col min="11267" max="11267" width="14.6640625" style="596" customWidth="1"/>
    <col min="11268" max="11268" width="13.33203125" style="596" customWidth="1"/>
    <col min="11269" max="11269" width="53" style="596" customWidth="1"/>
    <col min="11270" max="11270" width="10.109375" style="596" bestFit="1" customWidth="1"/>
    <col min="11271" max="11520" width="9.109375" style="596"/>
    <col min="11521" max="11521" width="42" style="596" customWidth="1"/>
    <col min="11522" max="11522" width="12.33203125" style="596" customWidth="1"/>
    <col min="11523" max="11523" width="14.6640625" style="596" customWidth="1"/>
    <col min="11524" max="11524" width="13.33203125" style="596" customWidth="1"/>
    <col min="11525" max="11525" width="53" style="596" customWidth="1"/>
    <col min="11526" max="11526" width="10.109375" style="596" bestFit="1" customWidth="1"/>
    <col min="11527" max="11776" width="9.109375" style="596"/>
    <col min="11777" max="11777" width="42" style="596" customWidth="1"/>
    <col min="11778" max="11778" width="12.33203125" style="596" customWidth="1"/>
    <col min="11779" max="11779" width="14.6640625" style="596" customWidth="1"/>
    <col min="11780" max="11780" width="13.33203125" style="596" customWidth="1"/>
    <col min="11781" max="11781" width="53" style="596" customWidth="1"/>
    <col min="11782" max="11782" width="10.109375" style="596" bestFit="1" customWidth="1"/>
    <col min="11783" max="12032" width="9.109375" style="596"/>
    <col min="12033" max="12033" width="42" style="596" customWidth="1"/>
    <col min="12034" max="12034" width="12.33203125" style="596" customWidth="1"/>
    <col min="12035" max="12035" width="14.6640625" style="596" customWidth="1"/>
    <col min="12036" max="12036" width="13.33203125" style="596" customWidth="1"/>
    <col min="12037" max="12037" width="53" style="596" customWidth="1"/>
    <col min="12038" max="12038" width="10.109375" style="596" bestFit="1" customWidth="1"/>
    <col min="12039" max="12288" width="9.109375" style="596"/>
    <col min="12289" max="12289" width="42" style="596" customWidth="1"/>
    <col min="12290" max="12290" width="12.33203125" style="596" customWidth="1"/>
    <col min="12291" max="12291" width="14.6640625" style="596" customWidth="1"/>
    <col min="12292" max="12292" width="13.33203125" style="596" customWidth="1"/>
    <col min="12293" max="12293" width="53" style="596" customWidth="1"/>
    <col min="12294" max="12294" width="10.109375" style="596" bestFit="1" customWidth="1"/>
    <col min="12295" max="12544" width="9.109375" style="596"/>
    <col min="12545" max="12545" width="42" style="596" customWidth="1"/>
    <col min="12546" max="12546" width="12.33203125" style="596" customWidth="1"/>
    <col min="12547" max="12547" width="14.6640625" style="596" customWidth="1"/>
    <col min="12548" max="12548" width="13.33203125" style="596" customWidth="1"/>
    <col min="12549" max="12549" width="53" style="596" customWidth="1"/>
    <col min="12550" max="12550" width="10.109375" style="596" bestFit="1" customWidth="1"/>
    <col min="12551" max="12800" width="9.109375" style="596"/>
    <col min="12801" max="12801" width="42" style="596" customWidth="1"/>
    <col min="12802" max="12802" width="12.33203125" style="596" customWidth="1"/>
    <col min="12803" max="12803" width="14.6640625" style="596" customWidth="1"/>
    <col min="12804" max="12804" width="13.33203125" style="596" customWidth="1"/>
    <col min="12805" max="12805" width="53" style="596" customWidth="1"/>
    <col min="12806" max="12806" width="10.109375" style="596" bestFit="1" customWidth="1"/>
    <col min="12807" max="13056" width="9.109375" style="596"/>
    <col min="13057" max="13057" width="42" style="596" customWidth="1"/>
    <col min="13058" max="13058" width="12.33203125" style="596" customWidth="1"/>
    <col min="13059" max="13059" width="14.6640625" style="596" customWidth="1"/>
    <col min="13060" max="13060" width="13.33203125" style="596" customWidth="1"/>
    <col min="13061" max="13061" width="53" style="596" customWidth="1"/>
    <col min="13062" max="13062" width="10.109375" style="596" bestFit="1" customWidth="1"/>
    <col min="13063" max="13312" width="9.109375" style="596"/>
    <col min="13313" max="13313" width="42" style="596" customWidth="1"/>
    <col min="13314" max="13314" width="12.33203125" style="596" customWidth="1"/>
    <col min="13315" max="13315" width="14.6640625" style="596" customWidth="1"/>
    <col min="13316" max="13316" width="13.33203125" style="596" customWidth="1"/>
    <col min="13317" max="13317" width="53" style="596" customWidth="1"/>
    <col min="13318" max="13318" width="10.109375" style="596" bestFit="1" customWidth="1"/>
    <col min="13319" max="13568" width="9.109375" style="596"/>
    <col min="13569" max="13569" width="42" style="596" customWidth="1"/>
    <col min="13570" max="13570" width="12.33203125" style="596" customWidth="1"/>
    <col min="13571" max="13571" width="14.6640625" style="596" customWidth="1"/>
    <col min="13572" max="13572" width="13.33203125" style="596" customWidth="1"/>
    <col min="13573" max="13573" width="53" style="596" customWidth="1"/>
    <col min="13574" max="13574" width="10.109375" style="596" bestFit="1" customWidth="1"/>
    <col min="13575" max="13824" width="9.109375" style="596"/>
    <col min="13825" max="13825" width="42" style="596" customWidth="1"/>
    <col min="13826" max="13826" width="12.33203125" style="596" customWidth="1"/>
    <col min="13827" max="13827" width="14.6640625" style="596" customWidth="1"/>
    <col min="13828" max="13828" width="13.33203125" style="596" customWidth="1"/>
    <col min="13829" max="13829" width="53" style="596" customWidth="1"/>
    <col min="13830" max="13830" width="10.109375" style="596" bestFit="1" customWidth="1"/>
    <col min="13831" max="14080" width="9.109375" style="596"/>
    <col min="14081" max="14081" width="42" style="596" customWidth="1"/>
    <col min="14082" max="14082" width="12.33203125" style="596" customWidth="1"/>
    <col min="14083" max="14083" width="14.6640625" style="596" customWidth="1"/>
    <col min="14084" max="14084" width="13.33203125" style="596" customWidth="1"/>
    <col min="14085" max="14085" width="53" style="596" customWidth="1"/>
    <col min="14086" max="14086" width="10.109375" style="596" bestFit="1" customWidth="1"/>
    <col min="14087" max="14336" width="9.109375" style="596"/>
    <col min="14337" max="14337" width="42" style="596" customWidth="1"/>
    <col min="14338" max="14338" width="12.33203125" style="596" customWidth="1"/>
    <col min="14339" max="14339" width="14.6640625" style="596" customWidth="1"/>
    <col min="14340" max="14340" width="13.33203125" style="596" customWidth="1"/>
    <col min="14341" max="14341" width="53" style="596" customWidth="1"/>
    <col min="14342" max="14342" width="10.109375" style="596" bestFit="1" customWidth="1"/>
    <col min="14343" max="14592" width="9.109375" style="596"/>
    <col min="14593" max="14593" width="42" style="596" customWidth="1"/>
    <col min="14594" max="14594" width="12.33203125" style="596" customWidth="1"/>
    <col min="14595" max="14595" width="14.6640625" style="596" customWidth="1"/>
    <col min="14596" max="14596" width="13.33203125" style="596" customWidth="1"/>
    <col min="14597" max="14597" width="53" style="596" customWidth="1"/>
    <col min="14598" max="14598" width="10.109375" style="596" bestFit="1" customWidth="1"/>
    <col min="14599" max="14848" width="9.109375" style="596"/>
    <col min="14849" max="14849" width="42" style="596" customWidth="1"/>
    <col min="14850" max="14850" width="12.33203125" style="596" customWidth="1"/>
    <col min="14851" max="14851" width="14.6640625" style="596" customWidth="1"/>
    <col min="14852" max="14852" width="13.33203125" style="596" customWidth="1"/>
    <col min="14853" max="14853" width="53" style="596" customWidth="1"/>
    <col min="14854" max="14854" width="10.109375" style="596" bestFit="1" customWidth="1"/>
    <col min="14855" max="15104" width="9.109375" style="596"/>
    <col min="15105" max="15105" width="42" style="596" customWidth="1"/>
    <col min="15106" max="15106" width="12.33203125" style="596" customWidth="1"/>
    <col min="15107" max="15107" width="14.6640625" style="596" customWidth="1"/>
    <col min="15108" max="15108" width="13.33203125" style="596" customWidth="1"/>
    <col min="15109" max="15109" width="53" style="596" customWidth="1"/>
    <col min="15110" max="15110" width="10.109375" style="596" bestFit="1" customWidth="1"/>
    <col min="15111" max="15360" width="9.109375" style="596"/>
    <col min="15361" max="15361" width="42" style="596" customWidth="1"/>
    <col min="15362" max="15362" width="12.33203125" style="596" customWidth="1"/>
    <col min="15363" max="15363" width="14.6640625" style="596" customWidth="1"/>
    <col min="15364" max="15364" width="13.33203125" style="596" customWidth="1"/>
    <col min="15365" max="15365" width="53" style="596" customWidth="1"/>
    <col min="15366" max="15366" width="10.109375" style="596" bestFit="1" customWidth="1"/>
    <col min="15367" max="15616" width="9.109375" style="596"/>
    <col min="15617" max="15617" width="42" style="596" customWidth="1"/>
    <col min="15618" max="15618" width="12.33203125" style="596" customWidth="1"/>
    <col min="15619" max="15619" width="14.6640625" style="596" customWidth="1"/>
    <col min="15620" max="15620" width="13.33203125" style="596" customWidth="1"/>
    <col min="15621" max="15621" width="53" style="596" customWidth="1"/>
    <col min="15622" max="15622" width="10.109375" style="596" bestFit="1" customWidth="1"/>
    <col min="15623" max="15872" width="9.109375" style="596"/>
    <col min="15873" max="15873" width="42" style="596" customWidth="1"/>
    <col min="15874" max="15874" width="12.33203125" style="596" customWidth="1"/>
    <col min="15875" max="15875" width="14.6640625" style="596" customWidth="1"/>
    <col min="15876" max="15876" width="13.33203125" style="596" customWidth="1"/>
    <col min="15877" max="15877" width="53" style="596" customWidth="1"/>
    <col min="15878" max="15878" width="10.109375" style="596" bestFit="1" customWidth="1"/>
    <col min="15879" max="16128" width="9.109375" style="596"/>
    <col min="16129" max="16129" width="42" style="596" customWidth="1"/>
    <col min="16130" max="16130" width="12.33203125" style="596" customWidth="1"/>
    <col min="16131" max="16131" width="14.6640625" style="596" customWidth="1"/>
    <col min="16132" max="16132" width="13.33203125" style="596" customWidth="1"/>
    <col min="16133" max="16133" width="53" style="596" customWidth="1"/>
    <col min="16134" max="16134" width="10.109375" style="596" bestFit="1" customWidth="1"/>
    <col min="16135" max="16384" width="9.109375" style="596"/>
  </cols>
  <sheetData>
    <row r="1" spans="1:8" ht="60" customHeight="1" thickBot="1" x14ac:dyDescent="0.3">
      <c r="A1" s="181" t="s">
        <v>497</v>
      </c>
      <c r="B1" s="182" t="s">
        <v>532</v>
      </c>
      <c r="C1" s="183" t="s">
        <v>533</v>
      </c>
      <c r="D1" s="183" t="s">
        <v>534</v>
      </c>
      <c r="E1" s="184" t="s">
        <v>498</v>
      </c>
      <c r="F1" s="103" t="s">
        <v>891</v>
      </c>
      <c r="G1" s="723"/>
      <c r="H1" s="849"/>
    </row>
    <row r="2" spans="1:8" ht="19.95" customHeight="1" thickBot="1" x14ac:dyDescent="0.3">
      <c r="A2" s="177" t="s">
        <v>499</v>
      </c>
      <c r="B2" s="178"/>
      <c r="C2" s="179"/>
      <c r="D2" s="179"/>
      <c r="E2" s="180" t="s">
        <v>2242</v>
      </c>
      <c r="F2" s="103" t="s">
        <v>2132</v>
      </c>
      <c r="G2" s="103" t="s">
        <v>2133</v>
      </c>
    </row>
    <row r="3" spans="1:8" ht="45" customHeight="1" thickBot="1" x14ac:dyDescent="0.3">
      <c r="A3" s="171" t="s">
        <v>500</v>
      </c>
      <c r="B3" s="172"/>
      <c r="C3" s="173">
        <f>C4+C13+C23+C54</f>
        <v>2019674764</v>
      </c>
      <c r="D3" s="173">
        <f>D4+D13+D23+D54</f>
        <v>2019674.764</v>
      </c>
      <c r="E3" s="174"/>
      <c r="F3" s="2286">
        <f>F4+F13+F23+F54</f>
        <v>1981071</v>
      </c>
    </row>
    <row r="4" spans="1:8" ht="30" customHeight="1" x14ac:dyDescent="0.25">
      <c r="A4" s="842" t="s">
        <v>558</v>
      </c>
      <c r="B4" s="843"/>
      <c r="C4" s="844">
        <f>C5</f>
        <v>0</v>
      </c>
      <c r="D4" s="844">
        <f>D5+D11</f>
        <v>0</v>
      </c>
      <c r="E4" s="845"/>
      <c r="F4" s="2286">
        <f>F5+F11</f>
        <v>30169</v>
      </c>
    </row>
    <row r="5" spans="1:8" ht="19.95" customHeight="1" x14ac:dyDescent="0.25">
      <c r="A5" s="134" t="s">
        <v>501</v>
      </c>
      <c r="B5" s="105"/>
      <c r="C5" s="106">
        <f>SUM(C6)</f>
        <v>0</v>
      </c>
      <c r="D5" s="106">
        <f>SUM(D6)</f>
        <v>0</v>
      </c>
      <c r="E5" s="136" t="s">
        <v>2049</v>
      </c>
      <c r="F5" s="2287">
        <f>SUM(F6)</f>
        <v>30169</v>
      </c>
    </row>
    <row r="6" spans="1:8" ht="30" customHeight="1" x14ac:dyDescent="0.25">
      <c r="A6" s="137" t="s">
        <v>987</v>
      </c>
      <c r="B6" s="108"/>
      <c r="C6" s="109"/>
      <c r="D6" s="109">
        <f>C6/1000</f>
        <v>0</v>
      </c>
      <c r="E6" s="136"/>
      <c r="F6" s="2288">
        <v>30169</v>
      </c>
    </row>
    <row r="7" spans="1:8" s="110" customFormat="1" ht="15" customHeight="1" x14ac:dyDescent="0.25">
      <c r="A7" s="138" t="s">
        <v>502</v>
      </c>
      <c r="B7" s="105">
        <v>0</v>
      </c>
      <c r="C7" s="106"/>
      <c r="D7" s="106">
        <f>SUM(D8:D10)</f>
        <v>0</v>
      </c>
      <c r="E7" s="139"/>
      <c r="F7" s="2289"/>
      <c r="G7" s="103"/>
    </row>
    <row r="8" spans="1:8" ht="15" customHeight="1" x14ac:dyDescent="0.25">
      <c r="A8" s="137" t="s">
        <v>503</v>
      </c>
      <c r="B8" s="108">
        <v>0</v>
      </c>
      <c r="C8" s="109">
        <v>0</v>
      </c>
      <c r="D8" s="109">
        <v>0</v>
      </c>
      <c r="E8" s="135"/>
      <c r="F8" s="2288"/>
    </row>
    <row r="9" spans="1:8" ht="15" customHeight="1" x14ac:dyDescent="0.25">
      <c r="A9" s="137" t="s">
        <v>504</v>
      </c>
      <c r="B9" s="108">
        <v>0</v>
      </c>
      <c r="C9" s="109">
        <v>0</v>
      </c>
      <c r="D9" s="109">
        <v>0</v>
      </c>
      <c r="E9" s="135"/>
      <c r="F9" s="2288"/>
    </row>
    <row r="10" spans="1:8" ht="15" customHeight="1" x14ac:dyDescent="0.25">
      <c r="A10" s="137" t="s">
        <v>505</v>
      </c>
      <c r="B10" s="108">
        <v>0</v>
      </c>
      <c r="C10" s="109">
        <v>0</v>
      </c>
      <c r="D10" s="109">
        <v>0</v>
      </c>
      <c r="E10" s="135"/>
      <c r="F10" s="2288"/>
    </row>
    <row r="11" spans="1:8" ht="30" customHeight="1" x14ac:dyDescent="0.25">
      <c r="A11" s="137" t="s">
        <v>2128</v>
      </c>
      <c r="B11" s="108">
        <v>0</v>
      </c>
      <c r="C11" s="109">
        <v>0</v>
      </c>
      <c r="D11" s="109">
        <v>0</v>
      </c>
      <c r="E11" s="135"/>
      <c r="F11" s="2288">
        <v>0</v>
      </c>
    </row>
    <row r="12" spans="1:8" s="110" customFormat="1" ht="15" customHeight="1" x14ac:dyDescent="0.25">
      <c r="A12" s="140" t="s">
        <v>506</v>
      </c>
      <c r="B12" s="105">
        <v>0</v>
      </c>
      <c r="C12" s="106">
        <v>0</v>
      </c>
      <c r="D12" s="106">
        <v>0</v>
      </c>
      <c r="E12" s="139"/>
      <c r="F12" s="2289"/>
      <c r="G12" s="103"/>
    </row>
    <row r="13" spans="1:8" s="110" customFormat="1" ht="45" customHeight="1" x14ac:dyDescent="0.25">
      <c r="A13" s="134" t="s">
        <v>554</v>
      </c>
      <c r="B13" s="846"/>
      <c r="C13" s="133">
        <f>C14+C20</f>
        <v>805530850</v>
      </c>
      <c r="D13" s="133">
        <f>D14+D20</f>
        <v>805530.85</v>
      </c>
      <c r="E13" s="141"/>
      <c r="F13" s="2286">
        <f>F14+F20</f>
        <v>847214</v>
      </c>
      <c r="G13" s="103"/>
    </row>
    <row r="14" spans="1:8" s="110" customFormat="1" ht="45" customHeight="1" x14ac:dyDescent="0.25">
      <c r="A14" s="140" t="s">
        <v>507</v>
      </c>
      <c r="B14" s="105"/>
      <c r="C14" s="106">
        <f>SUM(C15:C19)</f>
        <v>687676850</v>
      </c>
      <c r="D14" s="106">
        <f>SUM(D15:D19)</f>
        <v>687676.85</v>
      </c>
      <c r="E14" s="141"/>
      <c r="F14" s="2287">
        <f>SUM(F15:F19)</f>
        <v>719328</v>
      </c>
      <c r="G14" s="103"/>
    </row>
    <row r="15" spans="1:8" ht="30" customHeight="1" x14ac:dyDescent="0.25">
      <c r="A15" s="142" t="s">
        <v>556</v>
      </c>
      <c r="B15" s="108">
        <v>106.9</v>
      </c>
      <c r="C15" s="109">
        <v>467313350</v>
      </c>
      <c r="D15" s="109">
        <f>C15/1000</f>
        <v>467313.35</v>
      </c>
      <c r="E15" s="136"/>
      <c r="F15" s="2288">
        <v>503597</v>
      </c>
      <c r="G15" s="103">
        <v>115.2</v>
      </c>
    </row>
    <row r="16" spans="1:8" ht="30" customHeight="1" x14ac:dyDescent="0.25">
      <c r="A16" s="142" t="s">
        <v>508</v>
      </c>
      <c r="B16" s="111"/>
      <c r="C16" s="112"/>
      <c r="D16" s="109"/>
      <c r="E16" s="136"/>
      <c r="F16" s="2288"/>
    </row>
    <row r="17" spans="1:8" ht="15" customHeight="1" x14ac:dyDescent="0.25">
      <c r="A17" s="142" t="s">
        <v>552</v>
      </c>
      <c r="B17" s="111">
        <v>46</v>
      </c>
      <c r="C17" s="112">
        <v>23501200</v>
      </c>
      <c r="D17" s="109">
        <f t="shared" ref="D17:D22" si="0">C17/1000</f>
        <v>23501.200000000001</v>
      </c>
      <c r="E17" s="136"/>
      <c r="F17" s="2288">
        <v>26278</v>
      </c>
      <c r="G17" s="103">
        <v>53</v>
      </c>
    </row>
    <row r="18" spans="1:8" ht="15" customHeight="1" x14ac:dyDescent="0.25">
      <c r="A18" s="142" t="s">
        <v>553</v>
      </c>
      <c r="B18" s="111">
        <v>3</v>
      </c>
      <c r="C18" s="112">
        <v>2462300</v>
      </c>
      <c r="D18" s="109">
        <f t="shared" si="0"/>
        <v>2462.3000000000002</v>
      </c>
      <c r="E18" s="136"/>
      <c r="F18" s="2288">
        <v>2028</v>
      </c>
      <c r="G18" s="103">
        <v>2</v>
      </c>
    </row>
    <row r="19" spans="1:8" ht="30" customHeight="1" x14ac:dyDescent="0.25">
      <c r="A19" s="143" t="s">
        <v>555</v>
      </c>
      <c r="B19" s="111">
        <v>81</v>
      </c>
      <c r="C19" s="112">
        <v>194400000</v>
      </c>
      <c r="D19" s="109">
        <f t="shared" si="0"/>
        <v>194400</v>
      </c>
      <c r="E19" s="144"/>
      <c r="F19" s="2288">
        <v>187425</v>
      </c>
      <c r="G19" s="103">
        <v>85</v>
      </c>
    </row>
    <row r="20" spans="1:8" ht="15" customHeight="1" x14ac:dyDescent="0.25">
      <c r="A20" s="138" t="s">
        <v>509</v>
      </c>
      <c r="B20" s="113"/>
      <c r="C20" s="114">
        <f>C22</f>
        <v>117854000</v>
      </c>
      <c r="D20" s="114">
        <f>D22</f>
        <v>117854</v>
      </c>
      <c r="E20" s="145"/>
      <c r="F20" s="2290">
        <f>F22</f>
        <v>127886</v>
      </c>
    </row>
    <row r="21" spans="1:8" ht="30" customHeight="1" x14ac:dyDescent="0.25">
      <c r="A21" s="143" t="s">
        <v>510</v>
      </c>
      <c r="B21" s="111">
        <v>1210</v>
      </c>
      <c r="C21" s="112"/>
      <c r="D21" s="109"/>
      <c r="E21" s="136"/>
      <c r="F21" s="2288"/>
      <c r="G21" s="103">
        <v>1313</v>
      </c>
    </row>
    <row r="22" spans="1:8" ht="15" customHeight="1" x14ac:dyDescent="0.25">
      <c r="A22" s="137" t="s">
        <v>511</v>
      </c>
      <c r="B22" s="108">
        <v>0</v>
      </c>
      <c r="C22" s="109">
        <v>117854000</v>
      </c>
      <c r="D22" s="109">
        <f t="shared" si="0"/>
        <v>117854</v>
      </c>
      <c r="E22" s="135"/>
      <c r="F22" s="2288">
        <v>127886</v>
      </c>
    </row>
    <row r="23" spans="1:8" ht="60" customHeight="1" x14ac:dyDescent="0.25">
      <c r="A23" s="150" t="s">
        <v>539</v>
      </c>
      <c r="B23" s="132"/>
      <c r="C23" s="117">
        <f>C24+C25+C35+C39+C40+C50+C53</f>
        <v>1184930184</v>
      </c>
      <c r="D23" s="117">
        <f>D24+D25+D35+D39+D40+D50+D53</f>
        <v>1184930.1840000001</v>
      </c>
      <c r="E23" s="135"/>
      <c r="F23" s="2291">
        <f>F24+F25+F35+F39+F40+F50+F53-1</f>
        <v>1029583</v>
      </c>
    </row>
    <row r="24" spans="1:8" s="110" customFormat="1" ht="30" customHeight="1" x14ac:dyDescent="0.25">
      <c r="A24" s="138" t="s">
        <v>540</v>
      </c>
      <c r="B24" s="105"/>
      <c r="C24" s="106">
        <v>0</v>
      </c>
      <c r="D24" s="106">
        <v>0</v>
      </c>
      <c r="E24" s="136" t="s">
        <v>2051</v>
      </c>
      <c r="F24" s="2289"/>
      <c r="G24" s="103"/>
    </row>
    <row r="25" spans="1:8" s="110" customFormat="1" ht="30" customHeight="1" x14ac:dyDescent="0.25">
      <c r="A25" s="138" t="s">
        <v>512</v>
      </c>
      <c r="B25" s="105"/>
      <c r="C25" s="106">
        <f>SUM(C26:C34)</f>
        <v>200915960</v>
      </c>
      <c r="D25" s="106">
        <f>SUM(D26:D34)</f>
        <v>200915.96</v>
      </c>
      <c r="E25" s="141"/>
      <c r="F25" s="2287">
        <f>SUM(F26:F34)</f>
        <v>169482</v>
      </c>
      <c r="G25" s="103"/>
    </row>
    <row r="26" spans="1:8" ht="15" customHeight="1" x14ac:dyDescent="0.25">
      <c r="A26" s="143" t="s">
        <v>513</v>
      </c>
      <c r="B26" s="2285">
        <v>9.15</v>
      </c>
      <c r="C26" s="109">
        <v>31110000</v>
      </c>
      <c r="D26" s="109">
        <f t="shared" ref="D26:D34" si="1">C26/1000</f>
        <v>31110</v>
      </c>
      <c r="E26" s="135"/>
      <c r="F26" s="2288">
        <v>31110</v>
      </c>
      <c r="H26" s="127"/>
    </row>
    <row r="27" spans="1:8" ht="15" customHeight="1" x14ac:dyDescent="0.25">
      <c r="A27" s="146" t="s">
        <v>514</v>
      </c>
      <c r="B27" s="2285">
        <v>10.15</v>
      </c>
      <c r="C27" s="109">
        <v>33495000</v>
      </c>
      <c r="D27" s="109">
        <f t="shared" si="1"/>
        <v>33495</v>
      </c>
      <c r="E27" s="135"/>
      <c r="F27" s="2288">
        <v>33495</v>
      </c>
      <c r="H27" s="127"/>
    </row>
    <row r="28" spans="1:8" ht="15" customHeight="1" x14ac:dyDescent="0.25">
      <c r="A28" s="146" t="s">
        <v>516</v>
      </c>
      <c r="B28" s="111">
        <v>561</v>
      </c>
      <c r="C28" s="112">
        <v>36666960</v>
      </c>
      <c r="D28" s="109">
        <f>C28/1000</f>
        <v>36666.959999999999</v>
      </c>
      <c r="E28" s="144"/>
      <c r="F28" s="2288">
        <v>34988</v>
      </c>
      <c r="G28" s="103">
        <v>632</v>
      </c>
      <c r="H28" s="127"/>
    </row>
    <row r="29" spans="1:8" ht="15" customHeight="1" x14ac:dyDescent="0.25">
      <c r="A29" s="142" t="s">
        <v>517</v>
      </c>
      <c r="B29" s="108"/>
      <c r="C29" s="109"/>
      <c r="D29" s="109">
        <f t="shared" si="1"/>
        <v>0</v>
      </c>
      <c r="E29" s="135"/>
      <c r="F29" s="2288"/>
      <c r="H29" s="127"/>
    </row>
    <row r="30" spans="1:8" ht="15" customHeight="1" x14ac:dyDescent="0.25">
      <c r="A30" s="142" t="s">
        <v>536</v>
      </c>
      <c r="B30" s="108">
        <v>6</v>
      </c>
      <c r="C30" s="109">
        <v>150000</v>
      </c>
      <c r="D30" s="109">
        <f t="shared" si="1"/>
        <v>150</v>
      </c>
      <c r="E30" s="135"/>
      <c r="F30" s="2288">
        <v>175</v>
      </c>
      <c r="G30" s="103">
        <v>7</v>
      </c>
      <c r="H30" s="127"/>
    </row>
    <row r="31" spans="1:8" ht="15" customHeight="1" x14ac:dyDescent="0.25">
      <c r="A31" s="142" t="s">
        <v>535</v>
      </c>
      <c r="B31" s="108">
        <v>64</v>
      </c>
      <c r="C31" s="109">
        <v>21120000</v>
      </c>
      <c r="D31" s="109">
        <f t="shared" si="1"/>
        <v>21120</v>
      </c>
      <c r="E31" s="135"/>
      <c r="F31" s="2288">
        <v>19140</v>
      </c>
      <c r="G31" s="103">
        <v>58</v>
      </c>
      <c r="H31" s="103"/>
    </row>
    <row r="32" spans="1:8" ht="15" customHeight="1" x14ac:dyDescent="0.25">
      <c r="A32" s="146" t="s">
        <v>518</v>
      </c>
      <c r="B32" s="111">
        <v>260</v>
      </c>
      <c r="C32" s="112">
        <v>49400000</v>
      </c>
      <c r="D32" s="109">
        <f t="shared" si="1"/>
        <v>49400</v>
      </c>
      <c r="E32" s="147"/>
      <c r="F32" s="2288">
        <v>26814</v>
      </c>
      <c r="G32" s="103">
        <v>246</v>
      </c>
      <c r="H32" s="127"/>
    </row>
    <row r="33" spans="1:8" ht="15" customHeight="1" x14ac:dyDescent="0.25">
      <c r="A33" s="137" t="s">
        <v>519</v>
      </c>
      <c r="B33" s="108">
        <v>16</v>
      </c>
      <c r="C33" s="112">
        <v>11024000</v>
      </c>
      <c r="D33" s="109">
        <f t="shared" si="1"/>
        <v>11024</v>
      </c>
      <c r="E33" s="148"/>
      <c r="F33" s="2288">
        <v>9500</v>
      </c>
      <c r="G33" s="103">
        <v>19</v>
      </c>
      <c r="H33" s="127"/>
    </row>
    <row r="34" spans="1:8" ht="15" customHeight="1" x14ac:dyDescent="0.25">
      <c r="A34" s="137" t="s">
        <v>541</v>
      </c>
      <c r="B34" s="108">
        <v>50</v>
      </c>
      <c r="C34" s="112">
        <v>17950000</v>
      </c>
      <c r="D34" s="109">
        <f t="shared" si="1"/>
        <v>17950</v>
      </c>
      <c r="E34" s="148"/>
      <c r="F34" s="2288">
        <v>14260</v>
      </c>
      <c r="G34" s="103">
        <v>46</v>
      </c>
      <c r="H34" s="127"/>
    </row>
    <row r="35" spans="1:8" ht="15" customHeight="1" x14ac:dyDescent="0.25">
      <c r="A35" s="150" t="s">
        <v>538</v>
      </c>
      <c r="B35" s="115"/>
      <c r="C35" s="117">
        <f>SUM(C36:C38)</f>
        <v>451150000</v>
      </c>
      <c r="D35" s="117">
        <f>SUM(D36:D38)</f>
        <v>451150</v>
      </c>
      <c r="E35" s="149"/>
      <c r="F35" s="2291">
        <f>SUM(F36:F38)</f>
        <v>368564</v>
      </c>
      <c r="H35" s="127"/>
    </row>
    <row r="36" spans="1:8" ht="15" customHeight="1" x14ac:dyDescent="0.25">
      <c r="A36" s="146" t="s">
        <v>549</v>
      </c>
      <c r="B36" s="115">
        <v>26</v>
      </c>
      <c r="C36" s="118">
        <v>114894000</v>
      </c>
      <c r="D36" s="109">
        <f t="shared" ref="D36:D39" si="2">C36/1000</f>
        <v>114894</v>
      </c>
      <c r="E36" s="149"/>
      <c r="F36" s="2288">
        <v>114894</v>
      </c>
      <c r="G36" s="103">
        <v>26</v>
      </c>
      <c r="H36" s="127"/>
    </row>
    <row r="37" spans="1:8" ht="30" customHeight="1" x14ac:dyDescent="0.25">
      <c r="A37" s="146" t="s">
        <v>550</v>
      </c>
      <c r="B37" s="115">
        <v>62</v>
      </c>
      <c r="C37" s="118">
        <v>185566000</v>
      </c>
      <c r="D37" s="109">
        <f t="shared" si="2"/>
        <v>185566</v>
      </c>
      <c r="E37" s="149"/>
      <c r="F37" s="2288">
        <v>139773</v>
      </c>
      <c r="G37" s="103">
        <v>46.7</v>
      </c>
      <c r="H37" s="127"/>
    </row>
    <row r="38" spans="1:8" ht="15" customHeight="1" x14ac:dyDescent="0.25">
      <c r="A38" s="146" t="s">
        <v>551</v>
      </c>
      <c r="B38" s="115"/>
      <c r="C38" s="116">
        <v>150690000</v>
      </c>
      <c r="D38" s="112">
        <f t="shared" si="2"/>
        <v>150690</v>
      </c>
      <c r="E38" s="136" t="s">
        <v>2050</v>
      </c>
      <c r="F38" s="2288">
        <v>113897</v>
      </c>
      <c r="H38" s="127"/>
    </row>
    <row r="39" spans="1:8" ht="30" customHeight="1" x14ac:dyDescent="0.25">
      <c r="A39" s="146" t="s">
        <v>934</v>
      </c>
      <c r="B39" s="115"/>
      <c r="C39" s="116">
        <v>35955954</v>
      </c>
      <c r="D39" s="112">
        <f t="shared" si="2"/>
        <v>35955.953999999998</v>
      </c>
      <c r="E39" s="136"/>
      <c r="F39" s="2288">
        <v>41140</v>
      </c>
      <c r="H39" s="127"/>
    </row>
    <row r="40" spans="1:8" s="110" customFormat="1" ht="60" customHeight="1" x14ac:dyDescent="0.25">
      <c r="A40" s="140" t="s">
        <v>542</v>
      </c>
      <c r="B40" s="113"/>
      <c r="C40" s="133">
        <f>SUM(C41:C49)</f>
        <v>115813520.00000001</v>
      </c>
      <c r="D40" s="106">
        <f>SUM(D41:D49)</f>
        <v>115813.52000000002</v>
      </c>
      <c r="E40" s="139"/>
      <c r="F40" s="2287">
        <f>SUM(F41:F49)</f>
        <v>123266</v>
      </c>
      <c r="G40" s="103"/>
      <c r="H40" s="128"/>
    </row>
    <row r="41" spans="1:8" ht="15" customHeight="1" x14ac:dyDescent="0.25">
      <c r="A41" s="138" t="s">
        <v>543</v>
      </c>
      <c r="B41" s="111">
        <f>21*0.93</f>
        <v>19.53</v>
      </c>
      <c r="C41" s="112"/>
      <c r="D41" s="109"/>
      <c r="E41" s="136"/>
      <c r="F41" s="2288"/>
      <c r="G41" s="103">
        <v>21</v>
      </c>
      <c r="H41" s="127"/>
    </row>
    <row r="42" spans="1:8" ht="15" customHeight="1" x14ac:dyDescent="0.25">
      <c r="A42" s="137" t="s">
        <v>544</v>
      </c>
      <c r="B42" s="111">
        <v>5</v>
      </c>
      <c r="C42" s="112">
        <f>50154520/13*5</f>
        <v>19290200</v>
      </c>
      <c r="D42" s="112">
        <f t="shared" ref="D42:D55" si="3">C42/1000</f>
        <v>19290.2</v>
      </c>
      <c r="E42" s="135" t="s">
        <v>2053</v>
      </c>
      <c r="F42" s="2288">
        <v>48416</v>
      </c>
      <c r="G42" s="103">
        <v>6</v>
      </c>
      <c r="H42" s="103"/>
    </row>
    <row r="43" spans="1:8" ht="15" customHeight="1" x14ac:dyDescent="0.25">
      <c r="A43" s="146" t="s">
        <v>545</v>
      </c>
      <c r="B43" s="115"/>
      <c r="C43" s="112">
        <f>65659000/56*19</f>
        <v>22277160.714285716</v>
      </c>
      <c r="D43" s="112">
        <f t="shared" ref="D43" si="4">C43/1000</f>
        <v>22277.160714285717</v>
      </c>
      <c r="E43" s="149"/>
      <c r="F43" s="2288">
        <v>74850</v>
      </c>
      <c r="H43" s="103"/>
    </row>
    <row r="44" spans="1:8" ht="15" customHeight="1" x14ac:dyDescent="0.25">
      <c r="A44" s="150" t="s">
        <v>520</v>
      </c>
      <c r="B44" s="115">
        <f>9*0.94</f>
        <v>8.4599999999999991</v>
      </c>
      <c r="C44" s="116"/>
      <c r="D44" s="112"/>
      <c r="E44" s="149"/>
      <c r="F44" s="2288"/>
      <c r="G44" s="103">
        <v>9</v>
      </c>
      <c r="H44" s="127"/>
    </row>
    <row r="45" spans="1:8" ht="15" customHeight="1" x14ac:dyDescent="0.25">
      <c r="A45" s="137" t="s">
        <v>544</v>
      </c>
      <c r="B45" s="115">
        <v>2</v>
      </c>
      <c r="C45" s="116">
        <f>50154520/13*2</f>
        <v>7716080</v>
      </c>
      <c r="D45" s="112">
        <f t="shared" si="3"/>
        <v>7716.08</v>
      </c>
      <c r="E45" s="149"/>
      <c r="F45" s="2288"/>
      <c r="G45" s="103">
        <v>2</v>
      </c>
      <c r="H45" s="103"/>
    </row>
    <row r="46" spans="1:8" ht="15" customHeight="1" x14ac:dyDescent="0.25">
      <c r="A46" s="146" t="s">
        <v>545</v>
      </c>
      <c r="B46" s="115"/>
      <c r="C46" s="116">
        <f>65659000/56*8</f>
        <v>9379857.1428571437</v>
      </c>
      <c r="D46" s="112">
        <f t="shared" ref="D46" si="5">C46/1000</f>
        <v>9379.8571428571431</v>
      </c>
      <c r="E46" s="149"/>
      <c r="F46" s="2288"/>
      <c r="H46" s="103"/>
    </row>
    <row r="47" spans="1:8" ht="15" customHeight="1" x14ac:dyDescent="0.25">
      <c r="A47" s="151" t="s">
        <v>537</v>
      </c>
      <c r="B47" s="115">
        <f>(28*0.83)+(8*0.7)</f>
        <v>28.839999999999996</v>
      </c>
      <c r="C47" s="116"/>
      <c r="D47" s="112"/>
      <c r="E47" s="149"/>
      <c r="F47" s="2288"/>
      <c r="G47" s="103">
        <v>37</v>
      </c>
      <c r="H47" s="127"/>
    </row>
    <row r="48" spans="1:8" ht="15" customHeight="1" x14ac:dyDescent="0.25">
      <c r="A48" s="137" t="s">
        <v>544</v>
      </c>
      <c r="B48" s="115">
        <v>6</v>
      </c>
      <c r="C48" s="116">
        <f>50154520/13*6</f>
        <v>23148240</v>
      </c>
      <c r="D48" s="112">
        <f t="shared" si="3"/>
        <v>23148.240000000002</v>
      </c>
      <c r="E48" s="149"/>
      <c r="F48" s="2288"/>
      <c r="G48" s="103">
        <v>9</v>
      </c>
      <c r="H48" s="103"/>
    </row>
    <row r="49" spans="1:8" ht="15" customHeight="1" x14ac:dyDescent="0.25">
      <c r="A49" s="910" t="s">
        <v>545</v>
      </c>
      <c r="B49" s="911"/>
      <c r="C49" s="116">
        <f>65659000/56*29</f>
        <v>34001982.142857149</v>
      </c>
      <c r="D49" s="2324">
        <f t="shared" si="3"/>
        <v>34001.982142857152</v>
      </c>
      <c r="E49" s="912"/>
      <c r="F49" s="2288"/>
      <c r="H49" s="103"/>
    </row>
    <row r="50" spans="1:8" ht="15" customHeight="1" x14ac:dyDescent="0.25">
      <c r="A50" s="150" t="s">
        <v>546</v>
      </c>
      <c r="B50" s="111"/>
      <c r="C50" s="117">
        <f>C51+C52</f>
        <v>380362015</v>
      </c>
      <c r="D50" s="114">
        <f>D51+D52</f>
        <v>380362.01500000001</v>
      </c>
      <c r="E50" s="144"/>
      <c r="F50" s="2290">
        <f>F51+F52</f>
        <v>326173</v>
      </c>
      <c r="H50" s="127"/>
    </row>
    <row r="51" spans="1:8" ht="15" customHeight="1" x14ac:dyDescent="0.25">
      <c r="A51" s="146" t="s">
        <v>515</v>
      </c>
      <c r="B51" s="386">
        <v>50.83</v>
      </c>
      <c r="C51" s="116">
        <v>111826000</v>
      </c>
      <c r="D51" s="109">
        <f t="shared" si="3"/>
        <v>111826</v>
      </c>
      <c r="E51" s="144"/>
      <c r="F51" s="2288">
        <v>100662</v>
      </c>
      <c r="G51" s="103">
        <v>52.98</v>
      </c>
      <c r="H51" s="127"/>
    </row>
    <row r="52" spans="1:8" ht="15" customHeight="1" x14ac:dyDescent="0.25">
      <c r="A52" s="146" t="s">
        <v>547</v>
      </c>
      <c r="B52" s="115"/>
      <c r="C52" s="331">
        <v>268536015</v>
      </c>
      <c r="D52" s="2325">
        <f t="shared" si="3"/>
        <v>268536.01500000001</v>
      </c>
      <c r="E52" s="152" t="s">
        <v>2052</v>
      </c>
      <c r="F52" s="2288">
        <v>225511</v>
      </c>
      <c r="H52" s="103"/>
    </row>
    <row r="53" spans="1:8" ht="30" customHeight="1" x14ac:dyDescent="0.25">
      <c r="A53" s="150" t="s">
        <v>548</v>
      </c>
      <c r="B53" s="132">
        <v>2571</v>
      </c>
      <c r="C53" s="117">
        <v>732735</v>
      </c>
      <c r="D53" s="114">
        <f t="shared" si="3"/>
        <v>732.73500000000001</v>
      </c>
      <c r="E53" s="152" t="s">
        <v>576</v>
      </c>
      <c r="F53" s="2290">
        <v>959</v>
      </c>
      <c r="G53" s="103">
        <v>3365</v>
      </c>
      <c r="H53" s="127"/>
    </row>
    <row r="54" spans="1:8" s="110" customFormat="1" ht="30" customHeight="1" x14ac:dyDescent="0.25">
      <c r="A54" s="150" t="s">
        <v>521</v>
      </c>
      <c r="B54" s="132"/>
      <c r="C54" s="133">
        <f>SUM(C55:C56)</f>
        <v>29213730</v>
      </c>
      <c r="D54" s="133">
        <f>SUM(D55:D56)</f>
        <v>29213.73</v>
      </c>
      <c r="E54" s="141"/>
      <c r="F54" s="2286">
        <f>SUM(F55:F56)</f>
        <v>74105</v>
      </c>
      <c r="G54" s="103"/>
      <c r="H54" s="128"/>
    </row>
    <row r="55" spans="1:8" s="110" customFormat="1" ht="30" customHeight="1" x14ac:dyDescent="0.25">
      <c r="A55" s="143" t="s">
        <v>522</v>
      </c>
      <c r="B55" s="112">
        <v>71253</v>
      </c>
      <c r="C55" s="112">
        <v>29213730</v>
      </c>
      <c r="D55" s="109">
        <f t="shared" si="3"/>
        <v>29213.73</v>
      </c>
      <c r="E55" s="141"/>
      <c r="F55" s="2288">
        <v>29205</v>
      </c>
      <c r="G55" s="103">
        <v>71756</v>
      </c>
      <c r="H55" s="128"/>
    </row>
    <row r="56" spans="1:8" s="110" customFormat="1" ht="29.25" customHeight="1" thickBot="1" x14ac:dyDescent="0.3">
      <c r="A56" s="175" t="s">
        <v>2244</v>
      </c>
      <c r="B56" s="176"/>
      <c r="C56" s="2324"/>
      <c r="D56" s="112"/>
      <c r="E56" s="162"/>
      <c r="F56" s="2288">
        <v>44900</v>
      </c>
      <c r="G56" s="103"/>
      <c r="H56" s="103"/>
    </row>
    <row r="57" spans="1:8" ht="19.95" customHeight="1" thickBot="1" x14ac:dyDescent="0.3">
      <c r="A57" s="167" t="s">
        <v>523</v>
      </c>
      <c r="B57" s="168"/>
      <c r="C57" s="169">
        <f>SUM(C58:C64)</f>
        <v>8835936000</v>
      </c>
      <c r="D57" s="169">
        <f>SUM(D58:D64)</f>
        <v>8835936</v>
      </c>
      <c r="E57" s="170"/>
      <c r="F57" s="2288">
        <f>SUM(F58:F64)</f>
        <v>8245012</v>
      </c>
      <c r="H57" s="127"/>
    </row>
    <row r="58" spans="1:8" ht="15" customHeight="1" x14ac:dyDescent="0.25">
      <c r="A58" s="163" t="s">
        <v>524</v>
      </c>
      <c r="B58" s="164">
        <v>0</v>
      </c>
      <c r="C58" s="165">
        <f>5038012000+499420000</f>
        <v>5537432000</v>
      </c>
      <c r="D58" s="165">
        <f>5038012+499420</f>
        <v>5537432</v>
      </c>
      <c r="E58" s="166"/>
      <c r="F58" s="2288">
        <v>5038012</v>
      </c>
      <c r="H58" s="127"/>
    </row>
    <row r="59" spans="1:8" ht="15" customHeight="1" x14ac:dyDescent="0.25">
      <c r="A59" s="142" t="s">
        <v>525</v>
      </c>
      <c r="B59" s="119">
        <v>0</v>
      </c>
      <c r="C59" s="118">
        <v>2500000000</v>
      </c>
      <c r="D59" s="118">
        <v>2500000</v>
      </c>
      <c r="E59" s="135"/>
      <c r="F59" s="2288">
        <v>2500000</v>
      </c>
      <c r="H59" s="127"/>
    </row>
    <row r="60" spans="1:8" ht="15" customHeight="1" x14ac:dyDescent="0.25">
      <c r="A60" s="142" t="s">
        <v>526</v>
      </c>
      <c r="B60" s="119">
        <v>0</v>
      </c>
      <c r="C60" s="118">
        <v>45000000</v>
      </c>
      <c r="D60" s="118">
        <v>45000</v>
      </c>
      <c r="E60" s="136"/>
      <c r="F60" s="2288">
        <v>45000</v>
      </c>
      <c r="H60" s="127"/>
    </row>
    <row r="61" spans="1:8" ht="15" customHeight="1" x14ac:dyDescent="0.25">
      <c r="A61" s="146" t="s">
        <v>527</v>
      </c>
      <c r="B61" s="119">
        <v>0</v>
      </c>
      <c r="C61" s="118">
        <v>450000000</v>
      </c>
      <c r="D61" s="116">
        <v>450000</v>
      </c>
      <c r="E61" s="135"/>
      <c r="F61" s="2288">
        <v>400000</v>
      </c>
      <c r="H61" s="127"/>
    </row>
    <row r="62" spans="1:8" ht="15" customHeight="1" x14ac:dyDescent="0.25">
      <c r="A62" s="146" t="s">
        <v>528</v>
      </c>
      <c r="B62" s="119">
        <v>0</v>
      </c>
      <c r="C62" s="118">
        <v>100000000</v>
      </c>
      <c r="D62" s="116">
        <v>100000</v>
      </c>
      <c r="E62" s="135"/>
      <c r="F62" s="2288">
        <v>70000</v>
      </c>
      <c r="H62" s="127"/>
    </row>
    <row r="63" spans="1:8" ht="15" customHeight="1" x14ac:dyDescent="0.25">
      <c r="A63" s="142" t="s">
        <v>529</v>
      </c>
      <c r="B63" s="119">
        <v>0</v>
      </c>
      <c r="C63" s="118">
        <v>185000000</v>
      </c>
      <c r="D63" s="118">
        <v>185000</v>
      </c>
      <c r="E63" s="135" t="s">
        <v>530</v>
      </c>
      <c r="F63" s="2288">
        <v>180000</v>
      </c>
      <c r="H63" s="127"/>
    </row>
    <row r="64" spans="1:8" ht="15" customHeight="1" thickBot="1" x14ac:dyDescent="0.3">
      <c r="A64" s="153" t="s">
        <v>531</v>
      </c>
      <c r="B64" s="154">
        <v>0</v>
      </c>
      <c r="C64" s="155">
        <f>13000000+5504000</f>
        <v>18504000</v>
      </c>
      <c r="D64" s="156">
        <f>13000+5504</f>
        <v>18504</v>
      </c>
      <c r="E64" s="157" t="s">
        <v>2243</v>
      </c>
      <c r="F64" s="2288">
        <v>12000</v>
      </c>
      <c r="H64" s="127"/>
    </row>
    <row r="65" spans="1:8" s="110" customFormat="1" ht="19.95" customHeight="1" thickBot="1" x14ac:dyDescent="0.3">
      <c r="A65" s="158" t="s">
        <v>1122</v>
      </c>
      <c r="B65" s="159">
        <v>0</v>
      </c>
      <c r="C65" s="160">
        <f>C3+C57</f>
        <v>10855610764</v>
      </c>
      <c r="D65" s="160">
        <f>D3+D57</f>
        <v>10855610.764</v>
      </c>
      <c r="E65" s="161"/>
      <c r="F65" s="2289"/>
      <c r="G65" s="103"/>
      <c r="H65" s="103">
        <f>SUM(H3:H64)</f>
        <v>0</v>
      </c>
    </row>
    <row r="66" spans="1:8" x14ac:dyDescent="0.25">
      <c r="A66" s="13"/>
      <c r="B66" s="120"/>
      <c r="C66" s="121"/>
      <c r="D66" s="121"/>
      <c r="F66" s="92"/>
    </row>
    <row r="67" spans="1:8" x14ac:dyDescent="0.25">
      <c r="A67" s="13"/>
      <c r="B67" s="122"/>
      <c r="C67" s="123"/>
      <c r="D67" s="123"/>
    </row>
    <row r="68" spans="1:8" x14ac:dyDescent="0.25">
      <c r="A68" s="124" t="s">
        <v>557</v>
      </c>
      <c r="B68" s="125"/>
      <c r="C68" s="126"/>
      <c r="D68" s="126"/>
      <c r="E68" s="127"/>
    </row>
    <row r="69" spans="1:8" x14ac:dyDescent="0.25">
      <c r="A69" s="128"/>
      <c r="B69" s="129"/>
      <c r="C69" s="130"/>
      <c r="D69" s="130"/>
    </row>
    <row r="70" spans="1:8" x14ac:dyDescent="0.25">
      <c r="A70" s="124"/>
      <c r="B70" s="129"/>
      <c r="C70" s="130"/>
      <c r="D70" s="130"/>
    </row>
    <row r="71" spans="1:8" x14ac:dyDescent="0.25">
      <c r="A71" s="124"/>
      <c r="B71" s="129"/>
      <c r="C71" s="130"/>
      <c r="D71" s="130"/>
    </row>
    <row r="73" spans="1:8" x14ac:dyDescent="0.25">
      <c r="A73" s="124"/>
    </row>
    <row r="74" spans="1:8" x14ac:dyDescent="0.25">
      <c r="A74" s="124"/>
    </row>
    <row r="75" spans="1:8" x14ac:dyDescent="0.25">
      <c r="A75" s="124"/>
    </row>
    <row r="76" spans="1:8" x14ac:dyDescent="0.25">
      <c r="A76" s="124"/>
    </row>
  </sheetData>
  <printOptions horizontalCentered="1"/>
  <pageMargins left="0.51181102362204722" right="0.39370078740157483" top="0.98425196850393704" bottom="0.39370078740157483" header="0.15748031496062992" footer="0.23622047244094491"/>
  <pageSetup paperSize="9" scale="65" orientation="portrait" r:id="rId1"/>
  <headerFooter alignWithMargins="0">
    <oddHeader>&amp;C&amp;"Times New Roman,Félkövér"
Budapest VIII. kerületi Önkormányzat
 2020. évi központi 
támogatások és adóbevételek tervezett előirányzata&amp;R&amp;"Times New Roman,Félkövér"
 &amp;"Times New Roman,Félkövér dőlt"előterjesztés 5. sz. melléklet
ezer Ft-ban</oddHeader>
    <oddFooter>&amp;R&amp;"Times New Roman,Normál"&amp;P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pane ySplit="1" topLeftCell="A86" activePane="bottomLeft" state="frozen"/>
      <selection pane="bottomLeft" activeCell="B36" sqref="B36"/>
    </sheetView>
  </sheetViews>
  <sheetFormatPr defaultColWidth="9.109375" defaultRowHeight="13.8" x14ac:dyDescent="0.25"/>
  <cols>
    <col min="1" max="1" width="9.88671875" style="41" customWidth="1"/>
    <col min="2" max="2" width="29.88671875" style="41" customWidth="1"/>
    <col min="3" max="3" width="27.88671875" style="41" customWidth="1"/>
    <col min="4" max="4" width="22.44140625" style="41" customWidth="1"/>
    <col min="5" max="5" width="30.33203125" style="41" customWidth="1"/>
    <col min="6" max="6" width="17.6640625" style="41" customWidth="1"/>
    <col min="7" max="7" width="18.44140625" style="40" customWidth="1"/>
    <col min="8" max="16384" width="9.109375" style="40"/>
  </cols>
  <sheetData>
    <row r="1" spans="1:18" ht="55.5" customHeight="1" x14ac:dyDescent="0.25">
      <c r="A1" s="49" t="s">
        <v>273</v>
      </c>
      <c r="B1" s="48" t="s">
        <v>280</v>
      </c>
      <c r="C1" s="48" t="s">
        <v>279</v>
      </c>
      <c r="D1" s="48" t="s">
        <v>281</v>
      </c>
      <c r="E1" s="49" t="s">
        <v>168</v>
      </c>
      <c r="F1" s="48" t="s">
        <v>282</v>
      </c>
      <c r="R1" s="69"/>
    </row>
    <row r="2" spans="1:18" ht="15" customHeight="1" x14ac:dyDescent="0.25">
      <c r="A2" s="68">
        <v>10000</v>
      </c>
      <c r="B2" s="68" t="s">
        <v>272</v>
      </c>
      <c r="C2" s="66"/>
      <c r="D2" s="66"/>
      <c r="E2" s="67"/>
      <c r="F2" s="66"/>
    </row>
    <row r="3" spans="1:18" s="43" customFormat="1" ht="30" customHeight="1" x14ac:dyDescent="0.25">
      <c r="A3" s="51">
        <v>11000</v>
      </c>
      <c r="B3" s="51" t="s">
        <v>271</v>
      </c>
      <c r="C3" s="51" t="s">
        <v>270</v>
      </c>
      <c r="D3" s="56"/>
      <c r="E3" s="57"/>
      <c r="F3" s="56"/>
    </row>
    <row r="4" spans="1:18" ht="135" customHeight="1" x14ac:dyDescent="0.25">
      <c r="A4" s="63">
        <v>11101</v>
      </c>
      <c r="B4" s="46" t="s">
        <v>274</v>
      </c>
      <c r="C4" s="65" t="s">
        <v>275</v>
      </c>
      <c r="D4" s="46" t="s">
        <v>269</v>
      </c>
      <c r="E4" s="47" t="s">
        <v>1140</v>
      </c>
      <c r="F4" s="46"/>
    </row>
    <row r="5" spans="1:18" ht="30" customHeight="1" x14ac:dyDescent="0.25">
      <c r="A5" s="63">
        <v>11102</v>
      </c>
      <c r="B5" s="46" t="s">
        <v>24</v>
      </c>
      <c r="C5" s="46" t="s">
        <v>276</v>
      </c>
      <c r="D5" s="46"/>
      <c r="E5" s="47" t="s">
        <v>268</v>
      </c>
      <c r="F5" s="46"/>
    </row>
    <row r="6" spans="1:18" ht="30" customHeight="1" x14ac:dyDescent="0.25">
      <c r="A6" s="63">
        <v>11103</v>
      </c>
      <c r="B6" s="46" t="s">
        <v>267</v>
      </c>
      <c r="C6" s="46" t="s">
        <v>277</v>
      </c>
      <c r="D6" s="46"/>
      <c r="E6" s="47" t="s">
        <v>283</v>
      </c>
      <c r="F6" s="46"/>
    </row>
    <row r="7" spans="1:18" ht="142.5" customHeight="1" x14ac:dyDescent="0.25">
      <c r="A7" s="63">
        <v>11104</v>
      </c>
      <c r="B7" s="46" t="s">
        <v>1141</v>
      </c>
      <c r="C7" s="46" t="s">
        <v>1142</v>
      </c>
      <c r="D7" s="46"/>
      <c r="E7" s="47" t="s">
        <v>1143</v>
      </c>
      <c r="F7" s="46"/>
    </row>
    <row r="8" spans="1:18" ht="192.75" customHeight="1" x14ac:dyDescent="0.25">
      <c r="A8" s="63">
        <v>11105</v>
      </c>
      <c r="B8" s="46" t="s">
        <v>27</v>
      </c>
      <c r="C8" s="46" t="s">
        <v>1144</v>
      </c>
      <c r="D8" s="46"/>
      <c r="E8" s="47" t="s">
        <v>1145</v>
      </c>
      <c r="F8" s="46"/>
    </row>
    <row r="9" spans="1:18" s="50" customFormat="1" ht="15" customHeight="1" x14ac:dyDescent="0.3">
      <c r="A9" s="917">
        <v>11106</v>
      </c>
      <c r="B9" s="65" t="s">
        <v>44</v>
      </c>
      <c r="C9" s="65"/>
      <c r="D9" s="918"/>
      <c r="E9" s="919"/>
      <c r="F9" s="918"/>
    </row>
    <row r="10" spans="1:18" s="50" customFormat="1" ht="15" customHeight="1" x14ac:dyDescent="0.3">
      <c r="A10" s="920">
        <v>11107</v>
      </c>
      <c r="B10" s="921" t="s">
        <v>265</v>
      </c>
      <c r="C10" s="922"/>
      <c r="D10" s="921"/>
      <c r="E10" s="923"/>
      <c r="F10" s="921"/>
    </row>
    <row r="11" spans="1:18" s="50" customFormat="1" ht="45" customHeight="1" x14ac:dyDescent="0.3">
      <c r="A11" s="63" t="s">
        <v>1</v>
      </c>
      <c r="B11" s="46" t="s">
        <v>103</v>
      </c>
      <c r="C11" s="46" t="s">
        <v>278</v>
      </c>
      <c r="D11" s="58"/>
      <c r="E11" s="59"/>
      <c r="F11" s="58"/>
    </row>
    <row r="12" spans="1:18" s="50" customFormat="1" ht="45" customHeight="1" x14ac:dyDescent="0.3">
      <c r="A12" s="63" t="s">
        <v>2</v>
      </c>
      <c r="B12" s="46" t="s">
        <v>29</v>
      </c>
      <c r="C12" s="46" t="s">
        <v>278</v>
      </c>
      <c r="D12" s="58"/>
      <c r="E12" s="59"/>
      <c r="F12" s="58"/>
    </row>
    <row r="13" spans="1:18" s="50" customFormat="1" ht="45" customHeight="1" x14ac:dyDescent="0.3">
      <c r="A13" s="920">
        <v>11108</v>
      </c>
      <c r="B13" s="921" t="s">
        <v>264</v>
      </c>
      <c r="C13" s="922"/>
      <c r="D13" s="921"/>
      <c r="E13" s="923"/>
      <c r="F13" s="921"/>
    </row>
    <row r="14" spans="1:18" s="50" customFormat="1" ht="90" customHeight="1" x14ac:dyDescent="0.3">
      <c r="A14" s="63" t="s">
        <v>3</v>
      </c>
      <c r="B14" s="46" t="s">
        <v>30</v>
      </c>
      <c r="C14" s="46" t="s">
        <v>263</v>
      </c>
      <c r="D14" s="46" t="s">
        <v>284</v>
      </c>
      <c r="E14" s="59"/>
      <c r="F14" s="58"/>
    </row>
    <row r="15" spans="1:18" s="50" customFormat="1" ht="90" customHeight="1" x14ac:dyDescent="0.3">
      <c r="A15" s="63" t="s">
        <v>4</v>
      </c>
      <c r="B15" s="46" t="s">
        <v>1146</v>
      </c>
      <c r="C15" s="46" t="s">
        <v>1147</v>
      </c>
      <c r="D15" s="46" t="s">
        <v>1148</v>
      </c>
      <c r="E15" s="46" t="s">
        <v>1148</v>
      </c>
      <c r="F15" s="58"/>
    </row>
    <row r="16" spans="1:18" s="50" customFormat="1" ht="15" customHeight="1" x14ac:dyDescent="0.3">
      <c r="A16" s="63" t="s">
        <v>262</v>
      </c>
      <c r="B16" s="65" t="s">
        <v>44</v>
      </c>
      <c r="C16" s="46"/>
      <c r="D16" s="46"/>
      <c r="E16" s="59"/>
      <c r="F16" s="58"/>
    </row>
    <row r="17" spans="1:7" s="50" customFormat="1" ht="75" customHeight="1" x14ac:dyDescent="0.3">
      <c r="A17" s="63" t="s">
        <v>5</v>
      </c>
      <c r="B17" s="46" t="s">
        <v>261</v>
      </c>
      <c r="C17" s="46" t="s">
        <v>1149</v>
      </c>
      <c r="D17" s="46" t="s">
        <v>1150</v>
      </c>
      <c r="E17" s="46" t="s">
        <v>1151</v>
      </c>
      <c r="F17" s="58"/>
    </row>
    <row r="18" spans="1:7" s="50" customFormat="1" ht="30" customHeight="1" x14ac:dyDescent="0.3">
      <c r="A18" s="920">
        <v>11200</v>
      </c>
      <c r="B18" s="921" t="s">
        <v>1152</v>
      </c>
      <c r="C18" s="921"/>
      <c r="D18" s="921"/>
      <c r="E18" s="923"/>
      <c r="F18" s="921"/>
    </row>
    <row r="19" spans="1:7" s="50" customFormat="1" ht="75" customHeight="1" x14ac:dyDescent="0.3">
      <c r="A19" s="63">
        <v>11201</v>
      </c>
      <c r="B19" s="46" t="s">
        <v>32</v>
      </c>
      <c r="C19" s="46" t="s">
        <v>260</v>
      </c>
      <c r="D19" s="79" t="s">
        <v>1153</v>
      </c>
      <c r="E19" s="47" t="s">
        <v>1154</v>
      </c>
      <c r="F19" s="58"/>
    </row>
    <row r="20" spans="1:7" ht="15" customHeight="1" x14ac:dyDescent="0.25">
      <c r="A20" s="920">
        <v>11300</v>
      </c>
      <c r="B20" s="921" t="s">
        <v>259</v>
      </c>
      <c r="C20" s="921"/>
      <c r="D20" s="924"/>
      <c r="E20" s="925"/>
      <c r="F20" s="924"/>
    </row>
    <row r="21" spans="1:7" ht="105" customHeight="1" x14ac:dyDescent="0.3">
      <c r="A21" s="63">
        <v>11301</v>
      </c>
      <c r="B21" s="46" t="s">
        <v>258</v>
      </c>
      <c r="C21" s="46" t="s">
        <v>257</v>
      </c>
      <c r="D21" s="46" t="s">
        <v>1155</v>
      </c>
      <c r="E21" s="47" t="s">
        <v>1156</v>
      </c>
      <c r="F21" s="46"/>
      <c r="G21" s="50"/>
    </row>
    <row r="22" spans="1:7" ht="15" customHeight="1" x14ac:dyDescent="0.25">
      <c r="A22" s="63">
        <v>11302</v>
      </c>
      <c r="B22" s="65" t="s">
        <v>44</v>
      </c>
      <c r="C22" s="46"/>
      <c r="D22" s="46"/>
      <c r="E22" s="47"/>
      <c r="F22" s="46"/>
    </row>
    <row r="23" spans="1:7" ht="120" customHeight="1" x14ac:dyDescent="0.25">
      <c r="A23" s="63">
        <v>11303</v>
      </c>
      <c r="B23" s="46" t="s">
        <v>34</v>
      </c>
      <c r="C23" s="46" t="s">
        <v>1157</v>
      </c>
      <c r="D23" s="65" t="s">
        <v>1158</v>
      </c>
      <c r="E23" s="64" t="s">
        <v>1159</v>
      </c>
      <c r="F23" s="46"/>
    </row>
    <row r="24" spans="1:7" ht="30" customHeight="1" x14ac:dyDescent="0.25">
      <c r="A24" s="920">
        <v>11400</v>
      </c>
      <c r="B24" s="921" t="s">
        <v>256</v>
      </c>
      <c r="C24" s="921"/>
      <c r="D24" s="924"/>
      <c r="E24" s="925"/>
      <c r="F24" s="924"/>
    </row>
    <row r="25" spans="1:7" s="50" customFormat="1" ht="175.5" customHeight="1" x14ac:dyDescent="0.3">
      <c r="A25" s="63">
        <v>11401</v>
      </c>
      <c r="B25" s="46" t="s">
        <v>35</v>
      </c>
      <c r="C25" s="46" t="s">
        <v>248</v>
      </c>
      <c r="D25" s="46" t="s">
        <v>1160</v>
      </c>
      <c r="E25" s="926" t="s">
        <v>1161</v>
      </c>
      <c r="F25" s="58"/>
    </row>
    <row r="26" spans="1:7" ht="30" customHeight="1" x14ac:dyDescent="0.25">
      <c r="A26" s="63">
        <v>11402</v>
      </c>
      <c r="B26" s="65" t="s">
        <v>2239</v>
      </c>
      <c r="C26" s="46" t="s">
        <v>219</v>
      </c>
      <c r="D26" s="927"/>
      <c r="E26" s="46" t="s">
        <v>2309</v>
      </c>
      <c r="F26" s="46"/>
    </row>
    <row r="27" spans="1:7" ht="15" customHeight="1" x14ac:dyDescent="0.25">
      <c r="A27" s="63">
        <v>11403</v>
      </c>
      <c r="B27" s="65" t="s">
        <v>44</v>
      </c>
      <c r="C27" s="46"/>
      <c r="D27" s="46"/>
      <c r="E27" s="47"/>
      <c r="F27" s="46"/>
    </row>
    <row r="28" spans="1:7" ht="75" customHeight="1" x14ac:dyDescent="0.25">
      <c r="A28" s="63" t="s">
        <v>6</v>
      </c>
      <c r="B28" s="46" t="s">
        <v>255</v>
      </c>
      <c r="C28" s="46" t="s">
        <v>1162</v>
      </c>
      <c r="D28" s="46" t="s">
        <v>254</v>
      </c>
      <c r="E28" s="47" t="s">
        <v>253</v>
      </c>
      <c r="F28" s="46"/>
    </row>
    <row r="29" spans="1:7" s="50" customFormat="1" ht="90" customHeight="1" x14ac:dyDescent="0.3">
      <c r="A29" s="63" t="s">
        <v>7</v>
      </c>
      <c r="B29" s="46" t="s">
        <v>252</v>
      </c>
      <c r="C29" s="46" t="s">
        <v>219</v>
      </c>
      <c r="D29" s="46" t="s">
        <v>251</v>
      </c>
      <c r="E29" s="47" t="s">
        <v>250</v>
      </c>
      <c r="F29" s="58"/>
    </row>
    <row r="30" spans="1:7" ht="30" customHeight="1" x14ac:dyDescent="0.25">
      <c r="A30" s="63">
        <v>11405</v>
      </c>
      <c r="B30" s="46" t="s">
        <v>38</v>
      </c>
      <c r="C30" s="46" t="s">
        <v>219</v>
      </c>
      <c r="D30" s="46"/>
      <c r="E30" s="47" t="s">
        <v>249</v>
      </c>
      <c r="F30" s="46"/>
    </row>
    <row r="31" spans="1:7" ht="60" customHeight="1" x14ac:dyDescent="0.25">
      <c r="A31" s="63">
        <v>11406</v>
      </c>
      <c r="B31" s="46" t="s">
        <v>39</v>
      </c>
      <c r="C31" s="46" t="s">
        <v>248</v>
      </c>
      <c r="D31" s="46" t="s">
        <v>247</v>
      </c>
      <c r="E31" s="47"/>
      <c r="F31" s="46"/>
    </row>
    <row r="32" spans="1:7" ht="120" customHeight="1" x14ac:dyDescent="0.25">
      <c r="A32" s="63">
        <v>11407</v>
      </c>
      <c r="B32" s="46" t="s">
        <v>285</v>
      </c>
      <c r="C32" s="46" t="s">
        <v>248</v>
      </c>
      <c r="D32" s="46" t="s">
        <v>246</v>
      </c>
      <c r="E32" s="47" t="s">
        <v>1163</v>
      </c>
      <c r="F32" s="46"/>
    </row>
    <row r="33" spans="1:7" ht="15" customHeight="1" x14ac:dyDescent="0.25">
      <c r="A33" s="920">
        <v>11500</v>
      </c>
      <c r="B33" s="921" t="s">
        <v>1164</v>
      </c>
      <c r="C33" s="924"/>
      <c r="D33" s="924"/>
      <c r="E33" s="925"/>
      <c r="F33" s="924"/>
    </row>
    <row r="34" spans="1:7" ht="30" customHeight="1" x14ac:dyDescent="0.25">
      <c r="A34" s="63">
        <v>11501</v>
      </c>
      <c r="B34" s="46" t="s">
        <v>1165</v>
      </c>
      <c r="C34" s="46" t="s">
        <v>219</v>
      </c>
      <c r="D34" s="928"/>
      <c r="E34" s="47" t="s">
        <v>1166</v>
      </c>
      <c r="F34" s="46"/>
    </row>
    <row r="35" spans="1:7" ht="45" customHeight="1" x14ac:dyDescent="0.25">
      <c r="A35" s="46">
        <v>11502</v>
      </c>
      <c r="B35" s="46" t="s">
        <v>245</v>
      </c>
      <c r="C35" s="46" t="s">
        <v>219</v>
      </c>
      <c r="D35" s="46" t="s">
        <v>244</v>
      </c>
      <c r="E35" s="47" t="s">
        <v>1167</v>
      </c>
      <c r="F35" s="46"/>
    </row>
    <row r="36" spans="1:7" ht="105" customHeight="1" x14ac:dyDescent="0.25">
      <c r="A36" s="920">
        <v>11600</v>
      </c>
      <c r="B36" s="929" t="s">
        <v>2343</v>
      </c>
      <c r="C36" s="921"/>
      <c r="D36" s="924"/>
      <c r="E36" s="925"/>
      <c r="F36" s="924"/>
    </row>
    <row r="37" spans="1:7" s="50" customFormat="1" ht="60" customHeight="1" x14ac:dyDescent="0.3">
      <c r="A37" s="63">
        <v>11601</v>
      </c>
      <c r="B37" s="46" t="s">
        <v>42</v>
      </c>
      <c r="C37" s="46" t="s">
        <v>239</v>
      </c>
      <c r="D37" s="46" t="s">
        <v>1168</v>
      </c>
      <c r="E37" s="47" t="s">
        <v>243</v>
      </c>
      <c r="F37" s="58"/>
    </row>
    <row r="38" spans="1:7" s="50" customFormat="1" ht="90" customHeight="1" x14ac:dyDescent="0.3">
      <c r="A38" s="63" t="s">
        <v>8</v>
      </c>
      <c r="B38" s="46" t="s">
        <v>286</v>
      </c>
      <c r="C38" s="46" t="s">
        <v>242</v>
      </c>
      <c r="D38" s="46" t="s">
        <v>241</v>
      </c>
      <c r="E38" s="64" t="s">
        <v>1169</v>
      </c>
      <c r="F38" s="58"/>
    </row>
    <row r="39" spans="1:7" s="50" customFormat="1" ht="15" customHeight="1" x14ac:dyDescent="0.3">
      <c r="A39" s="63" t="s">
        <v>9</v>
      </c>
      <c r="B39" s="65" t="s">
        <v>44</v>
      </c>
      <c r="C39" s="46"/>
      <c r="D39" s="46"/>
      <c r="E39" s="47"/>
      <c r="F39" s="58"/>
    </row>
    <row r="40" spans="1:7" s="50" customFormat="1" ht="146.25" customHeight="1" x14ac:dyDescent="0.3">
      <c r="A40" s="63" t="s">
        <v>10</v>
      </c>
      <c r="B40" s="46" t="s">
        <v>240</v>
      </c>
      <c r="C40" s="46" t="s">
        <v>239</v>
      </c>
      <c r="D40" s="46" t="s">
        <v>1170</v>
      </c>
      <c r="E40" s="47" t="s">
        <v>1171</v>
      </c>
      <c r="F40" s="58"/>
    </row>
    <row r="41" spans="1:7" s="50" customFormat="1" ht="15" customHeight="1" x14ac:dyDescent="0.3">
      <c r="A41" s="63" t="s">
        <v>11</v>
      </c>
      <c r="B41" s="65" t="s">
        <v>44</v>
      </c>
      <c r="C41" s="46"/>
      <c r="D41" s="46"/>
      <c r="E41" s="47"/>
      <c r="F41" s="58"/>
    </row>
    <row r="42" spans="1:7" ht="132.75" customHeight="1" x14ac:dyDescent="0.3">
      <c r="A42" s="46">
        <v>11602</v>
      </c>
      <c r="B42" s="46" t="s">
        <v>287</v>
      </c>
      <c r="C42" s="46" t="s">
        <v>238</v>
      </c>
      <c r="D42" s="46" t="s">
        <v>1172</v>
      </c>
      <c r="E42" s="47" t="s">
        <v>1173</v>
      </c>
      <c r="F42" s="46"/>
      <c r="G42" s="50"/>
    </row>
    <row r="43" spans="1:7" ht="60" customHeight="1" x14ac:dyDescent="0.25">
      <c r="A43" s="63">
        <v>11603</v>
      </c>
      <c r="B43" s="46" t="s">
        <v>237</v>
      </c>
      <c r="C43" s="46" t="s">
        <v>236</v>
      </c>
      <c r="D43" s="46"/>
      <c r="E43" s="47" t="s">
        <v>234</v>
      </c>
      <c r="F43" s="46"/>
    </row>
    <row r="44" spans="1:7" ht="60" customHeight="1" x14ac:dyDescent="0.25">
      <c r="A44" s="63">
        <v>11604</v>
      </c>
      <c r="B44" s="65" t="s">
        <v>773</v>
      </c>
      <c r="C44" s="46" t="s">
        <v>236</v>
      </c>
      <c r="D44" s="46"/>
      <c r="E44" s="47" t="s">
        <v>234</v>
      </c>
      <c r="F44" s="46"/>
    </row>
    <row r="45" spans="1:7" ht="75" customHeight="1" x14ac:dyDescent="0.25">
      <c r="A45" s="63">
        <v>11605</v>
      </c>
      <c r="B45" s="46" t="s">
        <v>989</v>
      </c>
      <c r="C45" s="46" t="s">
        <v>235</v>
      </c>
      <c r="D45" s="46"/>
      <c r="E45" s="47" t="s">
        <v>234</v>
      </c>
      <c r="F45" s="46"/>
    </row>
    <row r="46" spans="1:7" ht="15" customHeight="1" x14ac:dyDescent="0.25">
      <c r="A46" s="920">
        <v>11700</v>
      </c>
      <c r="B46" s="921" t="s">
        <v>233</v>
      </c>
      <c r="C46" s="921"/>
      <c r="D46" s="924"/>
      <c r="E46" s="925"/>
      <c r="F46" s="924"/>
    </row>
    <row r="47" spans="1:7" ht="60" customHeight="1" x14ac:dyDescent="0.25">
      <c r="A47" s="63">
        <v>11701</v>
      </c>
      <c r="B47" s="65" t="s">
        <v>44</v>
      </c>
      <c r="C47" s="46"/>
      <c r="D47" s="46"/>
      <c r="E47" s="47"/>
      <c r="F47" s="46"/>
    </row>
    <row r="48" spans="1:7" ht="30" customHeight="1" x14ac:dyDescent="0.25">
      <c r="A48" s="63">
        <v>11702</v>
      </c>
      <c r="B48" s="46" t="s">
        <v>50</v>
      </c>
      <c r="C48" s="46" t="s">
        <v>232</v>
      </c>
      <c r="D48" s="46"/>
      <c r="E48" s="46" t="s">
        <v>291</v>
      </c>
      <c r="F48" s="46"/>
    </row>
    <row r="49" spans="1:7" ht="75" customHeight="1" x14ac:dyDescent="0.25">
      <c r="A49" s="63">
        <v>11703</v>
      </c>
      <c r="B49" s="46" t="s">
        <v>231</v>
      </c>
      <c r="C49" s="46" t="s">
        <v>230</v>
      </c>
      <c r="D49" s="46" t="s">
        <v>794</v>
      </c>
      <c r="E49" s="47" t="s">
        <v>1174</v>
      </c>
      <c r="F49" s="46"/>
    </row>
    <row r="50" spans="1:7" s="50" customFormat="1" ht="105" customHeight="1" x14ac:dyDescent="0.3">
      <c r="A50" s="63">
        <v>11704</v>
      </c>
      <c r="B50" s="46" t="s">
        <v>51</v>
      </c>
      <c r="C50" s="46" t="s">
        <v>229</v>
      </c>
      <c r="D50" s="46" t="s">
        <v>1175</v>
      </c>
      <c r="E50" s="47" t="s">
        <v>1176</v>
      </c>
      <c r="F50" s="58"/>
    </row>
    <row r="51" spans="1:7" ht="72.75" customHeight="1" x14ac:dyDescent="0.25">
      <c r="A51" s="63">
        <v>11705</v>
      </c>
      <c r="B51" s="46" t="s">
        <v>288</v>
      </c>
      <c r="C51" s="46" t="s">
        <v>228</v>
      </c>
      <c r="D51" s="46"/>
      <c r="E51" s="47" t="s">
        <v>1177</v>
      </c>
      <c r="F51" s="46"/>
    </row>
    <row r="52" spans="1:7" ht="90" customHeight="1" x14ac:dyDescent="0.25">
      <c r="A52" s="63" t="s">
        <v>12</v>
      </c>
      <c r="B52" s="46" t="s">
        <v>227</v>
      </c>
      <c r="C52" s="46" t="s">
        <v>226</v>
      </c>
      <c r="D52" s="46" t="s">
        <v>225</v>
      </c>
      <c r="E52" s="47" t="s">
        <v>224</v>
      </c>
      <c r="F52" s="46"/>
    </row>
    <row r="53" spans="1:7" ht="90" customHeight="1" x14ac:dyDescent="0.25">
      <c r="A53" s="63" t="s">
        <v>13</v>
      </c>
      <c r="B53" s="46" t="s">
        <v>54</v>
      </c>
      <c r="C53" s="46" t="s">
        <v>223</v>
      </c>
      <c r="D53" s="46" t="s">
        <v>1178</v>
      </c>
      <c r="E53" s="47" t="s">
        <v>2303</v>
      </c>
      <c r="F53" s="46"/>
    </row>
    <row r="54" spans="1:7" s="50" customFormat="1" ht="45" customHeight="1" x14ac:dyDescent="0.3">
      <c r="A54" s="921">
        <v>11800</v>
      </c>
      <c r="B54" s="921" t="s">
        <v>222</v>
      </c>
      <c r="C54" s="921"/>
      <c r="D54" s="921"/>
      <c r="E54" s="923"/>
      <c r="F54" s="921"/>
    </row>
    <row r="55" spans="1:7" ht="15" customHeight="1" x14ac:dyDescent="0.25">
      <c r="A55" s="46">
        <v>11801</v>
      </c>
      <c r="B55" s="65" t="s">
        <v>44</v>
      </c>
      <c r="C55" s="46"/>
      <c r="D55" s="46"/>
      <c r="E55" s="47"/>
      <c r="F55" s="46"/>
    </row>
    <row r="56" spans="1:7" ht="15" customHeight="1" x14ac:dyDescent="0.25">
      <c r="A56" s="63">
        <v>11802</v>
      </c>
      <c r="B56" s="65" t="s">
        <v>44</v>
      </c>
      <c r="C56" s="46"/>
      <c r="D56" s="46"/>
      <c r="E56" s="47"/>
      <c r="F56" s="46"/>
    </row>
    <row r="57" spans="1:7" ht="45" customHeight="1" x14ac:dyDescent="0.25">
      <c r="A57" s="46">
        <v>11803</v>
      </c>
      <c r="B57" s="65" t="s">
        <v>55</v>
      </c>
      <c r="C57" s="46" t="s">
        <v>221</v>
      </c>
      <c r="D57" s="46"/>
      <c r="E57" s="47" t="s">
        <v>220</v>
      </c>
      <c r="F57" s="46"/>
    </row>
    <row r="58" spans="1:7" ht="15" customHeight="1" x14ac:dyDescent="0.25">
      <c r="A58" s="46">
        <v>11804</v>
      </c>
      <c r="B58" s="65" t="s">
        <v>44</v>
      </c>
      <c r="C58" s="46"/>
      <c r="D58" s="46"/>
      <c r="E58" s="47"/>
      <c r="F58" s="46"/>
    </row>
    <row r="59" spans="1:7" ht="244.95" customHeight="1" x14ac:dyDescent="0.3">
      <c r="A59" s="46">
        <v>11805</v>
      </c>
      <c r="B59" s="46" t="s">
        <v>56</v>
      </c>
      <c r="C59" s="46" t="s">
        <v>219</v>
      </c>
      <c r="D59" s="46" t="s">
        <v>1179</v>
      </c>
      <c r="E59" s="186" t="s">
        <v>1180</v>
      </c>
      <c r="F59" s="46"/>
      <c r="G59" s="50"/>
    </row>
    <row r="60" spans="1:7" ht="15" customHeight="1" x14ac:dyDescent="0.25">
      <c r="A60" s="60"/>
      <c r="B60" s="62" t="s">
        <v>162</v>
      </c>
      <c r="C60" s="60"/>
      <c r="D60" s="60"/>
      <c r="E60" s="61"/>
      <c r="F60" s="60"/>
    </row>
    <row r="61" spans="1:7" s="50" customFormat="1" ht="30" customHeight="1" x14ac:dyDescent="0.3">
      <c r="A61" s="51">
        <v>20000</v>
      </c>
      <c r="B61" s="51" t="s">
        <v>1181</v>
      </c>
      <c r="C61" s="51" t="s">
        <v>210</v>
      </c>
      <c r="D61" s="51"/>
      <c r="E61" s="52"/>
      <c r="F61" s="51"/>
    </row>
    <row r="62" spans="1:7" s="50" customFormat="1" ht="15" customHeight="1" x14ac:dyDescent="0.3">
      <c r="A62" s="58">
        <v>20100</v>
      </c>
      <c r="B62" s="58" t="s">
        <v>218</v>
      </c>
      <c r="C62" s="58"/>
      <c r="D62" s="58"/>
      <c r="E62" s="59"/>
      <c r="F62" s="58"/>
    </row>
    <row r="63" spans="1:7" ht="15" customHeight="1" x14ac:dyDescent="0.25">
      <c r="A63" s="46">
        <v>20101</v>
      </c>
      <c r="B63" s="65" t="s">
        <v>44</v>
      </c>
      <c r="C63" s="46"/>
      <c r="D63" s="46"/>
      <c r="E63" s="47"/>
      <c r="F63" s="46"/>
    </row>
    <row r="64" spans="1:7" ht="45" customHeight="1" x14ac:dyDescent="0.25">
      <c r="A64" s="46">
        <v>20102</v>
      </c>
      <c r="B64" s="46" t="s">
        <v>217</v>
      </c>
      <c r="C64" s="46" t="s">
        <v>216</v>
      </c>
      <c r="D64" s="46"/>
      <c r="E64" s="47"/>
      <c r="F64" s="46" t="s">
        <v>215</v>
      </c>
    </row>
    <row r="65" spans="1:6" ht="118.5" customHeight="1" x14ac:dyDescent="0.25">
      <c r="A65" s="46">
        <v>20103</v>
      </c>
      <c r="B65" s="46" t="s">
        <v>58</v>
      </c>
      <c r="C65" s="46" t="s">
        <v>214</v>
      </c>
      <c r="D65" s="46"/>
      <c r="E65" s="47"/>
      <c r="F65" s="46" t="s">
        <v>290</v>
      </c>
    </row>
    <row r="66" spans="1:6" ht="30" customHeight="1" x14ac:dyDescent="0.25">
      <c r="A66" s="46">
        <v>20104</v>
      </c>
      <c r="B66" s="46" t="s">
        <v>59</v>
      </c>
      <c r="C66" s="46" t="s">
        <v>213</v>
      </c>
      <c r="D66" s="46"/>
      <c r="E66" s="47"/>
      <c r="F66" s="46" t="s">
        <v>212</v>
      </c>
    </row>
    <row r="67" spans="1:6" s="50" customFormat="1" ht="15" customHeight="1" x14ac:dyDescent="0.3">
      <c r="A67" s="921">
        <v>20200</v>
      </c>
      <c r="B67" s="921" t="s">
        <v>211</v>
      </c>
      <c r="C67" s="921" t="s">
        <v>210</v>
      </c>
      <c r="D67" s="921"/>
      <c r="E67" s="923"/>
      <c r="F67" s="921"/>
    </row>
    <row r="68" spans="1:6" s="43" customFormat="1" ht="45" customHeight="1" x14ac:dyDescent="0.25">
      <c r="A68" s="46" t="s">
        <v>1182</v>
      </c>
      <c r="B68" s="46" t="s">
        <v>60</v>
      </c>
      <c r="C68" s="46" t="s">
        <v>209</v>
      </c>
      <c r="D68" s="46" t="s">
        <v>208</v>
      </c>
      <c r="E68" s="47" t="s">
        <v>1183</v>
      </c>
      <c r="F68" s="48"/>
    </row>
    <row r="69" spans="1:6" s="43" customFormat="1" ht="60" customHeight="1" x14ac:dyDescent="0.25">
      <c r="A69" s="46" t="s">
        <v>1184</v>
      </c>
      <c r="B69" s="46" t="s">
        <v>61</v>
      </c>
      <c r="C69" s="46" t="s">
        <v>207</v>
      </c>
      <c r="D69" s="46" t="s">
        <v>206</v>
      </c>
      <c r="E69" s="49"/>
      <c r="F69" s="48"/>
    </row>
    <row r="70" spans="1:6" s="43" customFormat="1" ht="75" customHeight="1" x14ac:dyDescent="0.25">
      <c r="A70" s="46" t="s">
        <v>1185</v>
      </c>
      <c r="B70" s="46" t="s">
        <v>62</v>
      </c>
      <c r="C70" s="46" t="s">
        <v>205</v>
      </c>
      <c r="D70" s="46" t="s">
        <v>289</v>
      </c>
      <c r="E70" s="47" t="s">
        <v>204</v>
      </c>
      <c r="F70" s="48"/>
    </row>
    <row r="71" spans="1:6" s="43" customFormat="1" ht="60" customHeight="1" x14ac:dyDescent="0.25">
      <c r="A71" s="46" t="s">
        <v>1186</v>
      </c>
      <c r="B71" s="46" t="s">
        <v>203</v>
      </c>
      <c r="C71" s="46" t="s">
        <v>202</v>
      </c>
      <c r="D71" s="46" t="s">
        <v>1187</v>
      </c>
      <c r="E71" s="49"/>
      <c r="F71" s="48"/>
    </row>
    <row r="72" spans="1:6" s="43" customFormat="1" ht="120" customHeight="1" x14ac:dyDescent="0.25">
      <c r="A72" s="46">
        <v>20202</v>
      </c>
      <c r="B72" s="46" t="s">
        <v>201</v>
      </c>
      <c r="C72" s="46" t="s">
        <v>200</v>
      </c>
      <c r="D72" s="46" t="s">
        <v>1188</v>
      </c>
      <c r="E72" s="186" t="s">
        <v>1189</v>
      </c>
      <c r="F72" s="48"/>
    </row>
    <row r="73" spans="1:6" s="43" customFormat="1" ht="60" customHeight="1" x14ac:dyDescent="0.25">
      <c r="A73" s="46">
        <v>20203</v>
      </c>
      <c r="B73" s="46" t="s">
        <v>199</v>
      </c>
      <c r="C73" s="46" t="s">
        <v>198</v>
      </c>
      <c r="D73" s="46" t="s">
        <v>197</v>
      </c>
      <c r="E73" s="47" t="s">
        <v>1190</v>
      </c>
      <c r="F73" s="48"/>
    </row>
    <row r="74" spans="1:6" s="50" customFormat="1" ht="30" customHeight="1" x14ac:dyDescent="0.3">
      <c r="A74" s="930">
        <v>30000</v>
      </c>
      <c r="B74" s="918" t="s">
        <v>44</v>
      </c>
      <c r="C74" s="930"/>
      <c r="D74" s="930"/>
      <c r="E74" s="931"/>
      <c r="F74" s="930"/>
    </row>
    <row r="75" spans="1:6" s="50" customFormat="1" ht="30" customHeight="1" x14ac:dyDescent="0.3">
      <c r="A75" s="51">
        <v>40000</v>
      </c>
      <c r="B75" s="51" t="s">
        <v>196</v>
      </c>
      <c r="C75" s="51"/>
      <c r="D75" s="51"/>
      <c r="E75" s="52"/>
      <c r="F75" s="51"/>
    </row>
    <row r="76" spans="1:6" s="43" customFormat="1" ht="43.5" customHeight="1" x14ac:dyDescent="0.25">
      <c r="A76" s="48">
        <v>40100</v>
      </c>
      <c r="B76" s="48" t="s">
        <v>195</v>
      </c>
      <c r="C76" s="48"/>
      <c r="D76" s="46"/>
      <c r="E76" s="47"/>
      <c r="F76" s="48"/>
    </row>
    <row r="77" spans="1:6" s="43" customFormat="1" ht="60" customHeight="1" x14ac:dyDescent="0.25">
      <c r="A77" s="46">
        <v>40101</v>
      </c>
      <c r="B77" s="46" t="s">
        <v>67</v>
      </c>
      <c r="C77" s="46"/>
      <c r="D77" s="46"/>
      <c r="E77" s="47" t="s">
        <v>1191</v>
      </c>
      <c r="F77" s="48"/>
    </row>
    <row r="78" spans="1:6" s="43" customFormat="1" ht="120" customHeight="1" x14ac:dyDescent="0.25">
      <c r="A78" s="46" t="s">
        <v>14</v>
      </c>
      <c r="B78" s="46" t="s">
        <v>194</v>
      </c>
      <c r="C78" s="46"/>
      <c r="D78" s="46" t="s">
        <v>1192</v>
      </c>
      <c r="E78" s="47" t="s">
        <v>1193</v>
      </c>
      <c r="F78" s="48"/>
    </row>
    <row r="79" spans="1:6" s="43" customFormat="1" ht="105" customHeight="1" x14ac:dyDescent="0.25">
      <c r="A79" s="46" t="s">
        <v>15</v>
      </c>
      <c r="B79" s="46" t="s">
        <v>69</v>
      </c>
      <c r="C79" s="46"/>
      <c r="D79" s="185" t="s">
        <v>559</v>
      </c>
      <c r="E79" s="47" t="s">
        <v>1193</v>
      </c>
      <c r="F79" s="48"/>
    </row>
    <row r="80" spans="1:6" s="43" customFormat="1" ht="205.2" customHeight="1" x14ac:dyDescent="0.25">
      <c r="A80" s="46" t="s">
        <v>16</v>
      </c>
      <c r="B80" s="46" t="s">
        <v>1194</v>
      </c>
      <c r="C80" s="46"/>
      <c r="D80" s="46" t="s">
        <v>1195</v>
      </c>
      <c r="E80" s="932" t="s">
        <v>1196</v>
      </c>
      <c r="F80" s="48"/>
    </row>
    <row r="81" spans="1:7" s="43" customFormat="1" ht="45" customHeight="1" x14ac:dyDescent="0.25">
      <c r="A81" s="65" t="s">
        <v>1197</v>
      </c>
      <c r="B81" s="65" t="s">
        <v>1198</v>
      </c>
      <c r="C81" s="65"/>
      <c r="D81" s="65" t="s">
        <v>1199</v>
      </c>
      <c r="E81" s="64" t="s">
        <v>1193</v>
      </c>
      <c r="F81" s="933"/>
    </row>
    <row r="82" spans="1:7" s="43" customFormat="1" ht="105" customHeight="1" x14ac:dyDescent="0.25">
      <c r="A82" s="46">
        <v>40103</v>
      </c>
      <c r="B82" s="46" t="s">
        <v>70</v>
      </c>
      <c r="C82" s="46"/>
      <c r="D82" s="46" t="s">
        <v>560</v>
      </c>
      <c r="E82" s="47" t="s">
        <v>1193</v>
      </c>
      <c r="F82" s="48"/>
    </row>
    <row r="83" spans="1:7" s="43" customFormat="1" ht="60" customHeight="1" x14ac:dyDescent="0.25">
      <c r="A83" s="46" t="s">
        <v>17</v>
      </c>
      <c r="B83" s="46" t="s">
        <v>71</v>
      </c>
      <c r="C83" s="46"/>
      <c r="D83" s="46" t="s">
        <v>193</v>
      </c>
      <c r="E83" s="47" t="s">
        <v>1200</v>
      </c>
      <c r="F83" s="48"/>
    </row>
    <row r="84" spans="1:7" s="43" customFormat="1" ht="75" customHeight="1" x14ac:dyDescent="0.25">
      <c r="A84" s="46" t="s">
        <v>18</v>
      </c>
      <c r="B84" s="46" t="s">
        <v>192</v>
      </c>
      <c r="C84" s="46"/>
      <c r="D84" s="46" t="s">
        <v>191</v>
      </c>
      <c r="E84" s="47" t="s">
        <v>1201</v>
      </c>
      <c r="F84" s="48"/>
    </row>
    <row r="85" spans="1:7" s="43" customFormat="1" ht="105" customHeight="1" x14ac:dyDescent="0.25">
      <c r="A85" s="46">
        <v>40105</v>
      </c>
      <c r="B85" s="46" t="s">
        <v>73</v>
      </c>
      <c r="C85" s="46"/>
      <c r="D85" s="46" t="s">
        <v>190</v>
      </c>
      <c r="E85" s="47" t="s">
        <v>1202</v>
      </c>
      <c r="F85" s="48"/>
    </row>
    <row r="86" spans="1:7" s="43" customFormat="1" ht="120" customHeight="1" x14ac:dyDescent="0.25">
      <c r="A86" s="46">
        <v>40106</v>
      </c>
      <c r="B86" s="46" t="s">
        <v>74</v>
      </c>
      <c r="C86" s="48"/>
      <c r="D86" s="46" t="s">
        <v>1203</v>
      </c>
      <c r="E86" s="47" t="s">
        <v>1204</v>
      </c>
      <c r="F86" s="48"/>
    </row>
    <row r="87" spans="1:7" s="43" customFormat="1" ht="60" customHeight="1" x14ac:dyDescent="0.25">
      <c r="A87" s="46">
        <v>40107</v>
      </c>
      <c r="B87" s="46" t="s">
        <v>189</v>
      </c>
      <c r="C87" s="48"/>
      <c r="D87" s="46"/>
      <c r="E87" s="186" t="s">
        <v>1205</v>
      </c>
      <c r="F87" s="48"/>
    </row>
    <row r="88" spans="1:7" s="43" customFormat="1" ht="75" customHeight="1" x14ac:dyDescent="0.25">
      <c r="A88" s="65" t="s">
        <v>1206</v>
      </c>
      <c r="B88" s="46" t="s">
        <v>188</v>
      </c>
      <c r="C88" s="48"/>
      <c r="D88" s="46" t="s">
        <v>1207</v>
      </c>
      <c r="E88" s="47" t="s">
        <v>1193</v>
      </c>
      <c r="F88" s="48"/>
    </row>
    <row r="89" spans="1:7" s="43" customFormat="1" ht="90" customHeight="1" x14ac:dyDescent="0.25">
      <c r="A89" s="65" t="s">
        <v>1208</v>
      </c>
      <c r="B89" s="46" t="s">
        <v>485</v>
      </c>
      <c r="C89" s="48"/>
      <c r="D89" s="79" t="s">
        <v>561</v>
      </c>
      <c r="E89" s="47" t="s">
        <v>1193</v>
      </c>
      <c r="F89" s="48"/>
    </row>
    <row r="90" spans="1:7" s="43" customFormat="1" ht="90" customHeight="1" x14ac:dyDescent="0.25">
      <c r="A90" s="46">
        <v>40109</v>
      </c>
      <c r="B90" s="46" t="s">
        <v>187</v>
      </c>
      <c r="C90" s="48"/>
      <c r="D90" s="46" t="s">
        <v>1209</v>
      </c>
      <c r="E90" s="47" t="s">
        <v>1193</v>
      </c>
      <c r="F90" s="48"/>
    </row>
    <row r="91" spans="1:7" s="43" customFormat="1" ht="175.2" customHeight="1" x14ac:dyDescent="0.25">
      <c r="A91" s="48">
        <v>40200</v>
      </c>
      <c r="B91" s="48" t="s">
        <v>186</v>
      </c>
      <c r="C91" s="48"/>
      <c r="D91" s="46" t="s">
        <v>185</v>
      </c>
      <c r="E91" s="934" t="s">
        <v>1210</v>
      </c>
      <c r="F91" s="48"/>
    </row>
    <row r="92" spans="1:7" s="43" customFormat="1" ht="15" customHeight="1" x14ac:dyDescent="0.25">
      <c r="A92" s="51">
        <v>50000</v>
      </c>
      <c r="B92" s="51" t="s">
        <v>184</v>
      </c>
      <c r="C92" s="56"/>
      <c r="D92" s="56"/>
      <c r="E92" s="57"/>
      <c r="F92" s="56"/>
    </row>
    <row r="93" spans="1:7" s="43" customFormat="1" ht="105" customHeight="1" x14ac:dyDescent="0.25">
      <c r="A93" s="48">
        <v>50100</v>
      </c>
      <c r="B93" s="48" t="s">
        <v>183</v>
      </c>
      <c r="C93" s="48"/>
      <c r="D93" s="46" t="s">
        <v>1211</v>
      </c>
      <c r="E93" s="47" t="s">
        <v>1212</v>
      </c>
      <c r="F93" s="48"/>
    </row>
    <row r="94" spans="1:7" s="50" customFormat="1" ht="15" customHeight="1" x14ac:dyDescent="0.3">
      <c r="A94" s="930">
        <v>60000</v>
      </c>
      <c r="B94" s="918" t="s">
        <v>44</v>
      </c>
      <c r="C94" s="930"/>
      <c r="D94" s="930"/>
      <c r="E94" s="931"/>
      <c r="F94" s="930"/>
    </row>
    <row r="95" spans="1:7" s="43" customFormat="1" ht="15" customHeight="1" x14ac:dyDescent="0.25">
      <c r="A95" s="921">
        <v>70000</v>
      </c>
      <c r="B95" s="935" t="s">
        <v>182</v>
      </c>
      <c r="C95" s="935"/>
      <c r="D95" s="935"/>
      <c r="E95" s="936"/>
      <c r="F95" s="935"/>
    </row>
    <row r="96" spans="1:7" s="53" customFormat="1" ht="105" customHeight="1" x14ac:dyDescent="0.25">
      <c r="A96" s="54">
        <v>70100</v>
      </c>
      <c r="B96" s="54" t="s">
        <v>293</v>
      </c>
      <c r="C96" s="48"/>
      <c r="D96" s="55" t="s">
        <v>1213</v>
      </c>
      <c r="E96" s="934" t="s">
        <v>1214</v>
      </c>
      <c r="F96" s="55"/>
      <c r="G96" s="937"/>
    </row>
    <row r="98" spans="1:6" x14ac:dyDescent="0.25">
      <c r="A98" s="2581"/>
      <c r="B98" s="2581"/>
    </row>
    <row r="99" spans="1:6" x14ac:dyDescent="0.25">
      <c r="A99" s="45"/>
      <c r="B99" s="45"/>
    </row>
    <row r="100" spans="1:6" x14ac:dyDescent="0.25">
      <c r="A100" s="45"/>
      <c r="B100" s="45"/>
    </row>
    <row r="101" spans="1:6" x14ac:dyDescent="0.25">
      <c r="A101" s="42"/>
      <c r="B101" s="42"/>
    </row>
    <row r="102" spans="1:6" x14ac:dyDescent="0.25">
      <c r="A102" s="42"/>
      <c r="B102" s="42"/>
    </row>
    <row r="103" spans="1:6" x14ac:dyDescent="0.25">
      <c r="A103" s="42"/>
      <c r="B103" s="42"/>
    </row>
    <row r="104" spans="1:6" x14ac:dyDescent="0.25">
      <c r="A104" s="42"/>
      <c r="B104" s="42"/>
    </row>
    <row r="105" spans="1:6" x14ac:dyDescent="0.25">
      <c r="A105" s="42"/>
      <c r="B105" s="42"/>
    </row>
    <row r="106" spans="1:6" x14ac:dyDescent="0.25">
      <c r="A106" s="42"/>
      <c r="B106" s="42"/>
    </row>
    <row r="107" spans="1:6" x14ac:dyDescent="0.25">
      <c r="A107" s="42"/>
      <c r="B107" s="42"/>
    </row>
    <row r="108" spans="1:6" x14ac:dyDescent="0.25">
      <c r="A108" s="42"/>
      <c r="B108" s="42"/>
    </row>
    <row r="109" spans="1:6" x14ac:dyDescent="0.25">
      <c r="A109" s="42"/>
      <c r="B109" s="42"/>
    </row>
    <row r="110" spans="1:6" x14ac:dyDescent="0.25">
      <c r="A110" s="42"/>
      <c r="B110" s="42"/>
    </row>
    <row r="111" spans="1:6" s="43" customFormat="1" x14ac:dyDescent="0.25">
      <c r="A111" s="45"/>
      <c r="B111" s="45"/>
      <c r="C111" s="44"/>
      <c r="D111" s="44"/>
      <c r="E111" s="44"/>
      <c r="F111" s="44"/>
    </row>
    <row r="112" spans="1:6" x14ac:dyDescent="0.25">
      <c r="A112" s="42"/>
      <c r="B112" s="42"/>
    </row>
    <row r="113" spans="1:6" x14ac:dyDescent="0.25">
      <c r="A113" s="42"/>
      <c r="B113" s="42"/>
    </row>
    <row r="114" spans="1:6" x14ac:dyDescent="0.25">
      <c r="A114" s="42"/>
      <c r="B114" s="42"/>
    </row>
    <row r="115" spans="1:6" x14ac:dyDescent="0.25">
      <c r="A115" s="42"/>
      <c r="B115" s="42"/>
    </row>
    <row r="116" spans="1:6" x14ac:dyDescent="0.25">
      <c r="A116" s="42"/>
      <c r="B116" s="42"/>
    </row>
    <row r="117" spans="1:6" x14ac:dyDescent="0.25">
      <c r="A117" s="42"/>
      <c r="B117" s="42"/>
    </row>
    <row r="118" spans="1:6" x14ac:dyDescent="0.25">
      <c r="A118" s="42"/>
      <c r="B118" s="42"/>
    </row>
    <row r="119" spans="1:6" x14ac:dyDescent="0.25">
      <c r="A119" s="42"/>
      <c r="B119" s="42"/>
    </row>
    <row r="120" spans="1:6" x14ac:dyDescent="0.25">
      <c r="A120" s="42"/>
      <c r="B120" s="42"/>
    </row>
    <row r="121" spans="1:6" x14ac:dyDescent="0.25">
      <c r="A121" s="42"/>
      <c r="B121" s="42"/>
    </row>
    <row r="122" spans="1:6" x14ac:dyDescent="0.25">
      <c r="A122" s="42"/>
      <c r="B122" s="45"/>
    </row>
    <row r="123" spans="1:6" s="43" customFormat="1" x14ac:dyDescent="0.25">
      <c r="A123" s="45"/>
      <c r="B123" s="45"/>
      <c r="C123" s="44"/>
      <c r="D123" s="44"/>
      <c r="E123" s="44"/>
      <c r="F123" s="44"/>
    </row>
    <row r="124" spans="1:6" x14ac:dyDescent="0.25">
      <c r="A124" s="42"/>
      <c r="B124" s="42"/>
    </row>
    <row r="125" spans="1:6" x14ac:dyDescent="0.25">
      <c r="A125" s="42"/>
      <c r="B125" s="42"/>
    </row>
    <row r="126" spans="1:6" x14ac:dyDescent="0.25">
      <c r="A126" s="42"/>
      <c r="B126" s="42"/>
    </row>
    <row r="127" spans="1:6" x14ac:dyDescent="0.25">
      <c r="A127" s="42"/>
      <c r="B127" s="42"/>
    </row>
    <row r="128" spans="1:6" x14ac:dyDescent="0.25">
      <c r="A128" s="42"/>
      <c r="B128" s="42"/>
    </row>
    <row r="129" spans="1:6" x14ac:dyDescent="0.25">
      <c r="A129" s="42"/>
      <c r="B129" s="42"/>
    </row>
    <row r="130" spans="1:6" x14ac:dyDescent="0.25">
      <c r="A130" s="42"/>
      <c r="B130" s="42"/>
    </row>
    <row r="131" spans="1:6" s="43" customFormat="1" x14ac:dyDescent="0.25">
      <c r="A131" s="45"/>
      <c r="B131" s="45"/>
      <c r="C131" s="44"/>
      <c r="D131" s="44"/>
      <c r="E131" s="44"/>
      <c r="F131" s="44"/>
    </row>
    <row r="132" spans="1:6" x14ac:dyDescent="0.25">
      <c r="A132" s="42"/>
      <c r="B132" s="42"/>
    </row>
    <row r="133" spans="1:6" x14ac:dyDescent="0.25">
      <c r="A133" s="42"/>
      <c r="B133" s="42"/>
    </row>
    <row r="134" spans="1:6" x14ac:dyDescent="0.25">
      <c r="A134" s="42"/>
      <c r="B134" s="42"/>
    </row>
    <row r="135" spans="1:6" x14ac:dyDescent="0.25">
      <c r="A135" s="42"/>
      <c r="B135" s="42"/>
    </row>
    <row r="136" spans="1:6" x14ac:dyDescent="0.25">
      <c r="A136" s="42"/>
      <c r="B136" s="42"/>
    </row>
    <row r="137" spans="1:6" x14ac:dyDescent="0.25">
      <c r="A137" s="42"/>
      <c r="B137" s="42"/>
    </row>
    <row r="138" spans="1:6" x14ac:dyDescent="0.25">
      <c r="A138" s="42"/>
      <c r="B138" s="42"/>
    </row>
    <row r="139" spans="1:6" x14ac:dyDescent="0.25">
      <c r="A139" s="42"/>
      <c r="B139" s="42"/>
    </row>
    <row r="140" spans="1:6" x14ac:dyDescent="0.25">
      <c r="A140" s="42"/>
      <c r="B140" s="42"/>
    </row>
    <row r="141" spans="1:6" x14ac:dyDescent="0.25">
      <c r="A141" s="42"/>
      <c r="B141" s="42"/>
    </row>
    <row r="142" spans="1:6" x14ac:dyDescent="0.25">
      <c r="A142" s="42"/>
      <c r="B142" s="42"/>
    </row>
    <row r="145" spans="1:6" x14ac:dyDescent="0.25">
      <c r="A145" s="40"/>
      <c r="B145" s="40"/>
      <c r="C145" s="40"/>
      <c r="D145" s="40"/>
      <c r="E145" s="40"/>
      <c r="F145" s="40"/>
    </row>
    <row r="146" spans="1:6" x14ac:dyDescent="0.25">
      <c r="A146" s="40"/>
      <c r="B146" s="40"/>
      <c r="C146" s="40"/>
      <c r="D146" s="40"/>
      <c r="E146" s="40"/>
      <c r="F146" s="40"/>
    </row>
    <row r="147" spans="1:6" x14ac:dyDescent="0.25">
      <c r="A147" s="40"/>
      <c r="B147" s="40"/>
      <c r="C147" s="40"/>
      <c r="D147" s="40"/>
      <c r="E147" s="40"/>
      <c r="F147" s="40"/>
    </row>
    <row r="148" spans="1:6" x14ac:dyDescent="0.25">
      <c r="A148" s="40"/>
      <c r="B148" s="40"/>
      <c r="C148" s="40"/>
      <c r="D148" s="40"/>
      <c r="E148" s="40"/>
      <c r="F148" s="40"/>
    </row>
    <row r="149" spans="1:6" x14ac:dyDescent="0.25">
      <c r="A149" s="40"/>
      <c r="B149" s="40"/>
      <c r="C149" s="40"/>
      <c r="D149" s="40"/>
      <c r="E149" s="40"/>
      <c r="F149" s="40"/>
    </row>
    <row r="150" spans="1:6" x14ac:dyDescent="0.25">
      <c r="A150" s="40"/>
      <c r="B150" s="40"/>
      <c r="C150" s="40"/>
      <c r="D150" s="40"/>
      <c r="E150" s="40"/>
      <c r="F150" s="40"/>
    </row>
    <row r="151" spans="1:6" x14ac:dyDescent="0.25">
      <c r="A151" s="40"/>
      <c r="B151" s="40"/>
      <c r="C151" s="40"/>
      <c r="D151" s="40"/>
      <c r="E151" s="40"/>
      <c r="F151" s="40"/>
    </row>
    <row r="152" spans="1:6" x14ac:dyDescent="0.25">
      <c r="A152" s="40"/>
      <c r="B152" s="40"/>
      <c r="C152" s="40"/>
      <c r="D152" s="40"/>
      <c r="E152" s="40"/>
      <c r="F152" s="40"/>
    </row>
    <row r="153" spans="1:6" x14ac:dyDescent="0.25">
      <c r="A153" s="40"/>
      <c r="B153" s="40"/>
      <c r="C153" s="40"/>
      <c r="D153" s="40"/>
      <c r="E153" s="40"/>
      <c r="F153" s="40"/>
    </row>
    <row r="154" spans="1:6" x14ac:dyDescent="0.25">
      <c r="A154" s="40"/>
      <c r="B154" s="40"/>
      <c r="C154" s="40"/>
      <c r="D154" s="40"/>
      <c r="E154" s="40"/>
      <c r="F154" s="40"/>
    </row>
    <row r="155" spans="1:6" x14ac:dyDescent="0.25">
      <c r="A155" s="40"/>
      <c r="B155" s="40"/>
      <c r="C155" s="40"/>
      <c r="D155" s="40"/>
      <c r="E155" s="40"/>
      <c r="F155" s="40"/>
    </row>
    <row r="156" spans="1:6" x14ac:dyDescent="0.25">
      <c r="A156" s="40"/>
      <c r="B156" s="40"/>
      <c r="C156" s="40"/>
      <c r="D156" s="40"/>
      <c r="E156" s="40"/>
      <c r="F156" s="40"/>
    </row>
    <row r="157" spans="1:6" x14ac:dyDescent="0.25">
      <c r="A157" s="40"/>
      <c r="B157" s="40"/>
      <c r="C157" s="40"/>
      <c r="D157" s="40"/>
      <c r="E157" s="40"/>
      <c r="F157" s="40"/>
    </row>
    <row r="158" spans="1:6" x14ac:dyDescent="0.25">
      <c r="A158" s="40"/>
      <c r="B158" s="40"/>
      <c r="C158" s="40"/>
      <c r="D158" s="40"/>
      <c r="E158" s="40"/>
      <c r="F158" s="40"/>
    </row>
    <row r="159" spans="1:6" x14ac:dyDescent="0.25">
      <c r="A159" s="40"/>
      <c r="B159" s="40"/>
      <c r="C159" s="40"/>
      <c r="D159" s="40"/>
      <c r="E159" s="40"/>
      <c r="F159" s="40"/>
    </row>
    <row r="160" spans="1:6" x14ac:dyDescent="0.25">
      <c r="A160" s="40"/>
      <c r="B160" s="40"/>
      <c r="C160" s="40"/>
      <c r="D160" s="40"/>
      <c r="E160" s="40"/>
      <c r="F160" s="40"/>
    </row>
    <row r="161" spans="1:6" x14ac:dyDescent="0.25">
      <c r="A161" s="40"/>
      <c r="B161" s="40"/>
      <c r="C161" s="40"/>
      <c r="D161" s="40"/>
      <c r="E161" s="40"/>
      <c r="F161" s="40"/>
    </row>
    <row r="162" spans="1:6" x14ac:dyDescent="0.25">
      <c r="A162" s="40"/>
      <c r="B162" s="40"/>
      <c r="C162" s="40"/>
      <c r="D162" s="40"/>
      <c r="E162" s="40"/>
      <c r="F162" s="40"/>
    </row>
    <row r="163" spans="1:6" x14ac:dyDescent="0.25">
      <c r="A163" s="40"/>
      <c r="B163" s="40"/>
      <c r="C163" s="40"/>
      <c r="D163" s="40"/>
      <c r="E163" s="40"/>
      <c r="F163" s="40"/>
    </row>
    <row r="164" spans="1:6" x14ac:dyDescent="0.25">
      <c r="A164" s="40"/>
      <c r="B164" s="40"/>
      <c r="C164" s="40"/>
      <c r="D164" s="40"/>
      <c r="E164" s="40"/>
      <c r="F164" s="40"/>
    </row>
    <row r="165" spans="1:6" x14ac:dyDescent="0.25">
      <c r="A165" s="40"/>
      <c r="B165" s="40"/>
      <c r="C165" s="40"/>
      <c r="D165" s="40"/>
      <c r="E165" s="40"/>
      <c r="F165" s="40"/>
    </row>
    <row r="166" spans="1:6" x14ac:dyDescent="0.25">
      <c r="A166" s="40"/>
      <c r="B166" s="40"/>
      <c r="C166" s="40"/>
      <c r="D166" s="40"/>
      <c r="E166" s="40"/>
      <c r="F166" s="40"/>
    </row>
    <row r="167" spans="1:6" x14ac:dyDescent="0.25">
      <c r="A167" s="40"/>
      <c r="B167" s="40"/>
      <c r="C167" s="40"/>
      <c r="D167" s="40"/>
      <c r="E167" s="40"/>
      <c r="F167" s="40"/>
    </row>
    <row r="168" spans="1:6" x14ac:dyDescent="0.25">
      <c r="A168" s="40"/>
      <c r="B168" s="40"/>
      <c r="C168" s="40"/>
      <c r="D168" s="40"/>
      <c r="E168" s="40"/>
      <c r="F168" s="40"/>
    </row>
    <row r="169" spans="1:6" x14ac:dyDescent="0.25">
      <c r="A169" s="40"/>
      <c r="B169" s="40"/>
      <c r="C169" s="40"/>
      <c r="D169" s="40"/>
      <c r="E169" s="40"/>
      <c r="F169" s="40"/>
    </row>
    <row r="170" spans="1:6" x14ac:dyDescent="0.25">
      <c r="A170" s="40"/>
      <c r="B170" s="40"/>
      <c r="C170" s="40"/>
      <c r="D170" s="40"/>
      <c r="E170" s="40"/>
      <c r="F170" s="40"/>
    </row>
    <row r="171" spans="1:6" x14ac:dyDescent="0.25">
      <c r="A171" s="40"/>
      <c r="B171" s="40"/>
      <c r="C171" s="40"/>
      <c r="D171" s="40"/>
      <c r="E171" s="40"/>
      <c r="F171" s="40"/>
    </row>
    <row r="172" spans="1:6" x14ac:dyDescent="0.25">
      <c r="A172" s="40"/>
      <c r="B172" s="40"/>
      <c r="C172" s="40"/>
      <c r="D172" s="40"/>
      <c r="E172" s="40"/>
      <c r="F172" s="40"/>
    </row>
    <row r="173" spans="1:6" x14ac:dyDescent="0.25">
      <c r="A173" s="40"/>
      <c r="B173" s="40"/>
      <c r="C173" s="40"/>
      <c r="D173" s="40"/>
      <c r="E173" s="40"/>
      <c r="F173" s="40"/>
    </row>
    <row r="174" spans="1:6" x14ac:dyDescent="0.25">
      <c r="A174" s="40"/>
      <c r="B174" s="40"/>
      <c r="C174" s="40"/>
      <c r="D174" s="40"/>
      <c r="E174" s="40"/>
      <c r="F174" s="40"/>
    </row>
    <row r="175" spans="1:6" x14ac:dyDescent="0.25">
      <c r="A175" s="40"/>
      <c r="B175" s="40"/>
      <c r="C175" s="40"/>
      <c r="D175" s="40"/>
      <c r="E175" s="40"/>
      <c r="F175" s="40"/>
    </row>
    <row r="176" spans="1:6" x14ac:dyDescent="0.25">
      <c r="A176" s="40"/>
      <c r="B176" s="40"/>
      <c r="C176" s="40"/>
      <c r="D176" s="40"/>
      <c r="E176" s="40"/>
      <c r="F176" s="40"/>
    </row>
    <row r="177" spans="1:6" x14ac:dyDescent="0.25">
      <c r="A177" s="40"/>
      <c r="B177" s="40"/>
      <c r="C177" s="40"/>
      <c r="D177" s="40"/>
      <c r="E177" s="40"/>
      <c r="F177" s="40"/>
    </row>
  </sheetData>
  <mergeCells count="1">
    <mergeCell ref="A98:B98"/>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2020. évi 
költségvetésének címrendje&amp;R&amp;"Times New Roman,Félkövér dőlt"&amp;9
 &amp;12 1. melléklet a /2020. () 
önkormányzati rendelethez</oddHeader>
    <oddFooter>&amp;R
&amp;P</oddFooter>
  </headerFooter>
  <rowBreaks count="6" manualBreakCount="6">
    <brk id="17" max="5" man="1"/>
    <brk id="35" max="5" man="1"/>
    <brk id="52" max="5" man="1"/>
    <brk id="73" max="5" man="1"/>
    <brk id="86" max="5" man="1"/>
    <brk id="99" max="5"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Q2420"/>
  <sheetViews>
    <sheetView topLeftCell="I1" zoomScaleNormal="100" zoomScaleSheetLayoutView="100" workbookViewId="0">
      <selection activeCell="O5" sqref="O5"/>
    </sheetView>
  </sheetViews>
  <sheetFormatPr defaultRowHeight="13.2" x14ac:dyDescent="0.25"/>
  <cols>
    <col min="1" max="1" width="60.109375" hidden="1" customWidth="1"/>
    <col min="2" max="2" width="12.6640625" style="9" hidden="1" customWidth="1"/>
    <col min="3" max="3" width="14.6640625" style="9" hidden="1" customWidth="1"/>
    <col min="4" max="4" width="9.109375" style="320" hidden="1" customWidth="1"/>
    <col min="5" max="5" width="55.44140625" style="127" hidden="1" customWidth="1"/>
    <col min="6" max="6" width="55.33203125" hidden="1" customWidth="1"/>
    <col min="7" max="7" width="12.6640625" style="9" hidden="1" customWidth="1"/>
    <col min="8" max="8" width="12.5546875" style="9" hidden="1" customWidth="1"/>
    <col min="9" max="9" width="60" style="20" customWidth="1"/>
    <col min="10" max="10" width="12.6640625" style="9" customWidth="1"/>
    <col min="11" max="11" width="49.33203125" style="127" hidden="1" customWidth="1"/>
    <col min="12" max="12" width="14.6640625" style="103" hidden="1" customWidth="1"/>
    <col min="13" max="14" width="14.6640625" style="103" customWidth="1"/>
    <col min="15" max="15" width="15.109375" style="103" customWidth="1"/>
    <col min="17" max="19" width="13.109375" style="555" hidden="1" customWidth="1"/>
    <col min="20" max="28" width="9.109375" hidden="1" customWidth="1"/>
    <col min="29" max="29" width="9.88671875" hidden="1" customWidth="1"/>
    <col min="30" max="39" width="9.109375" hidden="1" customWidth="1"/>
    <col min="41" max="44" width="0" hidden="1" customWidth="1"/>
  </cols>
  <sheetData>
    <row r="1" spans="1:43" ht="26.4" x14ac:dyDescent="0.25">
      <c r="A1" s="2711"/>
      <c r="B1" s="553"/>
      <c r="C1" s="557"/>
      <c r="D1" s="556"/>
      <c r="E1" s="127" t="s">
        <v>22</v>
      </c>
      <c r="F1" s="2711"/>
      <c r="G1" s="127"/>
      <c r="H1" s="127"/>
      <c r="I1" s="2713" t="s">
        <v>22</v>
      </c>
      <c r="J1" s="2707" t="s">
        <v>2339</v>
      </c>
      <c r="K1" s="347" t="s">
        <v>818</v>
      </c>
      <c r="L1" s="554" t="s">
        <v>722</v>
      </c>
      <c r="M1" s="2707" t="s">
        <v>819</v>
      </c>
      <c r="N1" s="2707" t="s">
        <v>1062</v>
      </c>
      <c r="O1" s="2709" t="s">
        <v>2340</v>
      </c>
      <c r="Q1" s="558"/>
      <c r="R1" s="558"/>
      <c r="S1" s="558"/>
      <c r="AE1" t="s">
        <v>310</v>
      </c>
      <c r="AO1" t="s">
        <v>310</v>
      </c>
    </row>
    <row r="2" spans="1:43" ht="13.8" thickBot="1" x14ac:dyDescent="0.3">
      <c r="A2" s="2712"/>
      <c r="C2" s="557"/>
      <c r="D2" s="556"/>
      <c r="E2" s="127" t="s">
        <v>333</v>
      </c>
      <c r="F2" s="2712"/>
      <c r="G2" s="127"/>
      <c r="H2" s="127"/>
      <c r="I2" s="2714"/>
      <c r="J2" s="2708"/>
      <c r="K2" s="31"/>
      <c r="L2" s="348"/>
      <c r="M2" s="2708"/>
      <c r="N2" s="2708"/>
      <c r="O2" s="2710"/>
      <c r="Q2" s="558"/>
      <c r="R2" s="558"/>
      <c r="S2" s="558"/>
      <c r="AE2" t="s">
        <v>487</v>
      </c>
      <c r="AF2">
        <v>1</v>
      </c>
      <c r="AO2" t="s">
        <v>487</v>
      </c>
    </row>
    <row r="3" spans="1:43" ht="15" customHeight="1" thickBot="1" x14ac:dyDescent="0.3">
      <c r="A3" s="207" t="s">
        <v>333</v>
      </c>
      <c r="B3" s="80">
        <v>23918894</v>
      </c>
      <c r="C3" s="39">
        <v>27366638</v>
      </c>
      <c r="E3" s="127" t="s">
        <v>334</v>
      </c>
      <c r="F3" s="207" t="s">
        <v>333</v>
      </c>
      <c r="G3" s="80">
        <v>23918894</v>
      </c>
      <c r="H3" s="202">
        <f>H23</f>
        <v>20986787</v>
      </c>
      <c r="I3" s="559" t="s">
        <v>766</v>
      </c>
      <c r="J3" s="80">
        <f>SUM(J23+J50)</f>
        <v>30882104.600000001</v>
      </c>
      <c r="K3" s="80">
        <f t="shared" ref="K3:O3" si="0">SUM(K23+K50)</f>
        <v>22619719</v>
      </c>
      <c r="L3" s="80" t="e">
        <f t="shared" si="0"/>
        <v>#REF!</v>
      </c>
      <c r="M3" s="80">
        <f t="shared" si="0"/>
        <v>26197769.357699998</v>
      </c>
      <c r="N3" s="80">
        <f t="shared" si="0"/>
        <v>26316944.500688497</v>
      </c>
      <c r="O3" s="80">
        <f t="shared" si="0"/>
        <v>26582265.22934394</v>
      </c>
      <c r="AC3" s="560">
        <f>SUM(J3-AE3)</f>
        <v>3515466.6000000015</v>
      </c>
      <c r="AE3">
        <v>27366638</v>
      </c>
      <c r="AF3" t="s">
        <v>766</v>
      </c>
      <c r="AO3">
        <v>27404647</v>
      </c>
      <c r="AQ3" s="560">
        <f>SUM(J3-AO3)</f>
        <v>3477457.6000000015</v>
      </c>
    </row>
    <row r="4" spans="1:43" ht="15" customHeight="1" x14ac:dyDescent="0.25">
      <c r="A4" s="208" t="s">
        <v>334</v>
      </c>
      <c r="B4" s="4">
        <v>15609953</v>
      </c>
      <c r="C4" s="39">
        <v>15890554</v>
      </c>
      <c r="E4" s="127" t="s">
        <v>335</v>
      </c>
      <c r="F4" s="208" t="s">
        <v>334</v>
      </c>
      <c r="G4" s="4">
        <v>15609953</v>
      </c>
      <c r="H4" s="561">
        <f t="shared" ref="H4" si="1">SUM(H5:H9)</f>
        <v>15911743</v>
      </c>
      <c r="I4" s="457" t="s">
        <v>334</v>
      </c>
      <c r="J4" s="562">
        <f>SUM(J5:J9)</f>
        <v>17644725.600000001</v>
      </c>
      <c r="K4" s="562">
        <f t="shared" ref="K4:O4" si="2">SUM(K5:K9)</f>
        <v>13439934</v>
      </c>
      <c r="L4" s="562">
        <f t="shared" si="2"/>
        <v>15911743</v>
      </c>
      <c r="M4" s="562">
        <f t="shared" si="2"/>
        <v>17276070.357699998</v>
      </c>
      <c r="N4" s="562">
        <f t="shared" si="2"/>
        <v>17451434.500688497</v>
      </c>
      <c r="O4" s="563">
        <f t="shared" si="2"/>
        <v>17592526.22934394</v>
      </c>
      <c r="AC4" s="560">
        <f t="shared" ref="AC4:AC68" si="3">SUM(J4-AE4)</f>
        <v>1732982.6000000015</v>
      </c>
      <c r="AE4">
        <v>15911743</v>
      </c>
      <c r="AF4" t="s">
        <v>334</v>
      </c>
      <c r="AO4">
        <v>15949752</v>
      </c>
      <c r="AQ4" s="560">
        <f t="shared" ref="AQ4:AQ68" si="4">SUM(J4-AO4)</f>
        <v>1694973.6000000015</v>
      </c>
    </row>
    <row r="5" spans="1:43" ht="15" customHeight="1" x14ac:dyDescent="0.25">
      <c r="A5" s="210" t="s">
        <v>335</v>
      </c>
      <c r="B5" s="387">
        <v>4633350</v>
      </c>
      <c r="C5" s="39">
        <v>4833003</v>
      </c>
      <c r="E5" s="127" t="s">
        <v>336</v>
      </c>
      <c r="F5" s="210" t="s">
        <v>335</v>
      </c>
      <c r="G5" s="387">
        <v>4633350</v>
      </c>
      <c r="H5" s="564">
        <v>4833003</v>
      </c>
      <c r="I5" s="210" t="s">
        <v>335</v>
      </c>
      <c r="J5" s="38">
        <f>címrendösszesen!HE8</f>
        <v>5824366</v>
      </c>
      <c r="K5" s="38">
        <v>4833003</v>
      </c>
      <c r="L5" s="38">
        <v>4833003</v>
      </c>
      <c r="M5" s="387">
        <f>SUM($J$5*1.005)</f>
        <v>5853487.8299999991</v>
      </c>
      <c r="N5" s="387">
        <f>SUM(M5*1.005)</f>
        <v>5882755.2691499982</v>
      </c>
      <c r="O5" s="572">
        <f>SUM(N5*1.005)+1</f>
        <v>5912170.0454957476</v>
      </c>
      <c r="Q5" s="555">
        <v>1.03</v>
      </c>
      <c r="R5" s="555">
        <v>1</v>
      </c>
      <c r="S5" s="555">
        <v>1</v>
      </c>
      <c r="AC5" s="560">
        <f t="shared" si="3"/>
        <v>991363</v>
      </c>
      <c r="AE5">
        <v>4833003</v>
      </c>
      <c r="AF5" t="s">
        <v>335</v>
      </c>
      <c r="AO5">
        <v>4833003</v>
      </c>
      <c r="AQ5" s="560">
        <f t="shared" si="4"/>
        <v>991363</v>
      </c>
    </row>
    <row r="6" spans="1:43" ht="15" customHeight="1" x14ac:dyDescent="0.25">
      <c r="A6" s="210" t="s">
        <v>336</v>
      </c>
      <c r="B6" s="387">
        <v>1121063</v>
      </c>
      <c r="C6" s="39">
        <v>1044201</v>
      </c>
      <c r="E6" s="127" t="s">
        <v>337</v>
      </c>
      <c r="F6" s="210" t="s">
        <v>336</v>
      </c>
      <c r="G6" s="387">
        <v>1121063</v>
      </c>
      <c r="H6" s="564">
        <v>1044201</v>
      </c>
      <c r="I6" s="210" t="s">
        <v>336</v>
      </c>
      <c r="J6" s="38">
        <f>címrendösszesen!HE9</f>
        <v>1144427.6000000001</v>
      </c>
      <c r="K6" s="38">
        <v>1044201</v>
      </c>
      <c r="L6" s="38">
        <v>1044201</v>
      </c>
      <c r="M6" s="387">
        <f>M5*0.19</f>
        <v>1112162.6876999999</v>
      </c>
      <c r="N6" s="387">
        <f>N5*0.19</f>
        <v>1117723.5011384997</v>
      </c>
      <c r="O6" s="572">
        <f>O5*0.19</f>
        <v>1123312.3086441921</v>
      </c>
      <c r="Q6" s="555">
        <v>1.03</v>
      </c>
      <c r="R6" s="555">
        <v>1</v>
      </c>
      <c r="S6" s="555">
        <v>1</v>
      </c>
      <c r="AC6" s="560">
        <f t="shared" si="3"/>
        <v>100226.60000000009</v>
      </c>
      <c r="AE6">
        <v>1044201</v>
      </c>
      <c r="AF6" t="s">
        <v>336</v>
      </c>
      <c r="AO6">
        <v>1044201</v>
      </c>
      <c r="AQ6" s="560">
        <f t="shared" si="4"/>
        <v>100226.60000000009</v>
      </c>
    </row>
    <row r="7" spans="1:43" ht="15" customHeight="1" x14ac:dyDescent="0.25">
      <c r="A7" s="210" t="s">
        <v>337</v>
      </c>
      <c r="B7" s="387">
        <v>6860549</v>
      </c>
      <c r="C7" s="39">
        <v>7405603</v>
      </c>
      <c r="E7" s="127" t="s">
        <v>338</v>
      </c>
      <c r="F7" s="210" t="s">
        <v>337</v>
      </c>
      <c r="G7" s="387">
        <v>6860549</v>
      </c>
      <c r="H7" s="564">
        <v>7405603</v>
      </c>
      <c r="I7" s="210" t="s">
        <v>337</v>
      </c>
      <c r="J7" s="38">
        <f>címrendösszesen!HE10</f>
        <v>7956784</v>
      </c>
      <c r="K7" s="38">
        <v>7405603</v>
      </c>
      <c r="L7" s="38">
        <v>7405603</v>
      </c>
      <c r="M7" s="387">
        <f>SUM($J$7*1.005)-110000-103691-20130</f>
        <v>7762746.919999999</v>
      </c>
      <c r="N7" s="387">
        <f>M7*1.01</f>
        <v>7840374.3891999992</v>
      </c>
      <c r="O7" s="572">
        <f>N7*1.01</f>
        <v>7918778.1330919992</v>
      </c>
      <c r="Q7" s="555">
        <v>1</v>
      </c>
      <c r="R7" s="555">
        <v>1</v>
      </c>
      <c r="S7" s="555">
        <v>1</v>
      </c>
      <c r="AC7" s="560">
        <f t="shared" si="3"/>
        <v>551181</v>
      </c>
      <c r="AE7">
        <v>7405603</v>
      </c>
      <c r="AF7" t="s">
        <v>337</v>
      </c>
      <c r="AO7">
        <v>7405603</v>
      </c>
      <c r="AQ7" s="560">
        <f t="shared" si="4"/>
        <v>551181</v>
      </c>
    </row>
    <row r="8" spans="1:43" ht="15" customHeight="1" x14ac:dyDescent="0.25">
      <c r="A8" s="210" t="s">
        <v>338</v>
      </c>
      <c r="B8" s="387">
        <v>155730</v>
      </c>
      <c r="C8" s="39">
        <v>135938</v>
      </c>
      <c r="E8" s="127" t="s">
        <v>339</v>
      </c>
      <c r="F8" s="210" t="s">
        <v>338</v>
      </c>
      <c r="G8" s="387">
        <v>155730</v>
      </c>
      <c r="H8" s="564">
        <f>135938+21189</f>
        <v>157127</v>
      </c>
      <c r="I8" s="210" t="s">
        <v>338</v>
      </c>
      <c r="J8" s="38">
        <f>címrendösszesen!HE11</f>
        <v>119429</v>
      </c>
      <c r="K8" s="38">
        <v>157127</v>
      </c>
      <c r="L8" s="38">
        <v>157127</v>
      </c>
      <c r="M8" s="387">
        <f>SUM($J$8*1.2)</f>
        <v>143314.79999999999</v>
      </c>
      <c r="N8" s="387">
        <f>SUM($J$8*1.25)</f>
        <v>149286.25</v>
      </c>
      <c r="O8" s="572">
        <f>SUM($J$8*1.3)</f>
        <v>155257.70000000001</v>
      </c>
      <c r="Q8" s="555">
        <v>1.01</v>
      </c>
      <c r="R8" s="555">
        <v>1.01</v>
      </c>
      <c r="S8" s="555">
        <v>1.01</v>
      </c>
      <c r="AC8" s="560">
        <f t="shared" si="3"/>
        <v>-37698</v>
      </c>
      <c r="AE8">
        <v>157127</v>
      </c>
      <c r="AF8" t="s">
        <v>338</v>
      </c>
      <c r="AO8">
        <v>157127</v>
      </c>
      <c r="AQ8" s="560">
        <f t="shared" si="4"/>
        <v>-37698</v>
      </c>
    </row>
    <row r="9" spans="1:43" ht="15" customHeight="1" x14ac:dyDescent="0.25">
      <c r="A9" s="212" t="s">
        <v>339</v>
      </c>
      <c r="B9" s="38">
        <v>2839261</v>
      </c>
      <c r="C9" s="39">
        <v>2471809</v>
      </c>
      <c r="E9" s="127" t="s">
        <v>340</v>
      </c>
      <c r="F9" s="212" t="s">
        <v>339</v>
      </c>
      <c r="G9" s="38">
        <v>2839261</v>
      </c>
      <c r="H9" s="565">
        <f t="shared" ref="H9" si="5">SUM(H10:H14)</f>
        <v>2471809</v>
      </c>
      <c r="I9" s="212" t="s">
        <v>339</v>
      </c>
      <c r="J9" s="38">
        <f>SUM(J10:J14)</f>
        <v>2599719</v>
      </c>
      <c r="K9" s="38">
        <f t="shared" ref="K9:O9" si="6">SUM(K10:K14)</f>
        <v>0</v>
      </c>
      <c r="L9" s="38">
        <f t="shared" si="6"/>
        <v>2471809</v>
      </c>
      <c r="M9" s="38">
        <f>SUM(M10:M14)</f>
        <v>2404358.12</v>
      </c>
      <c r="N9" s="38">
        <f t="shared" si="6"/>
        <v>2461295.0912000001</v>
      </c>
      <c r="O9" s="230">
        <f t="shared" si="6"/>
        <v>2483008.0421120003</v>
      </c>
      <c r="AC9" s="560">
        <f t="shared" si="3"/>
        <v>127910</v>
      </c>
      <c r="AE9">
        <v>2471809</v>
      </c>
      <c r="AF9" t="s">
        <v>339</v>
      </c>
      <c r="AO9">
        <v>2509818</v>
      </c>
      <c r="AQ9" s="560">
        <f t="shared" si="4"/>
        <v>89901</v>
      </c>
    </row>
    <row r="10" spans="1:43" ht="15" customHeight="1" x14ac:dyDescent="0.25">
      <c r="A10" s="210" t="s">
        <v>340</v>
      </c>
      <c r="B10" s="387">
        <v>15758</v>
      </c>
      <c r="C10" s="39">
        <v>50726</v>
      </c>
      <c r="E10" s="127" t="s">
        <v>341</v>
      </c>
      <c r="F10" s="210" t="s">
        <v>340</v>
      </c>
      <c r="G10" s="387">
        <v>15758</v>
      </c>
      <c r="H10" s="564">
        <v>50726</v>
      </c>
      <c r="I10" s="210" t="s">
        <v>340</v>
      </c>
      <c r="J10" s="38">
        <f>címrendösszesen!HE13</f>
        <v>28717</v>
      </c>
      <c r="K10" s="10" t="s">
        <v>820</v>
      </c>
      <c r="L10" s="29">
        <v>50726</v>
      </c>
      <c r="M10" s="29">
        <v>30000</v>
      </c>
      <c r="N10" s="29">
        <v>30000</v>
      </c>
      <c r="O10" s="426">
        <v>30000</v>
      </c>
      <c r="Q10" s="555">
        <v>1</v>
      </c>
      <c r="R10" s="555">
        <v>1</v>
      </c>
      <c r="S10" s="555">
        <v>1</v>
      </c>
      <c r="AC10" s="560">
        <f t="shared" si="3"/>
        <v>-22009</v>
      </c>
      <c r="AE10">
        <v>50726</v>
      </c>
      <c r="AF10" t="s">
        <v>340</v>
      </c>
      <c r="AO10">
        <v>50726</v>
      </c>
      <c r="AQ10" s="560">
        <f t="shared" si="4"/>
        <v>-22009</v>
      </c>
    </row>
    <row r="11" spans="1:43" ht="15" customHeight="1" x14ac:dyDescent="0.25">
      <c r="A11" s="210" t="s">
        <v>341</v>
      </c>
      <c r="B11" s="387">
        <v>0</v>
      </c>
      <c r="C11" s="39">
        <v>0</v>
      </c>
      <c r="E11" s="127" t="s">
        <v>342</v>
      </c>
      <c r="F11" s="210" t="s">
        <v>341</v>
      </c>
      <c r="G11" s="387">
        <v>0</v>
      </c>
      <c r="H11" s="564">
        <v>0</v>
      </c>
      <c r="I11" s="210" t="s">
        <v>341</v>
      </c>
      <c r="J11" s="38">
        <f>címrendösszesen!HE14</f>
        <v>0</v>
      </c>
      <c r="K11" s="10"/>
      <c r="L11" s="29"/>
      <c r="M11" s="29">
        <v>0</v>
      </c>
      <c r="N11" s="29">
        <v>0</v>
      </c>
      <c r="O11" s="426">
        <v>0</v>
      </c>
      <c r="Q11" s="555">
        <v>1</v>
      </c>
      <c r="R11" s="555">
        <v>1</v>
      </c>
      <c r="S11" s="555">
        <v>1</v>
      </c>
      <c r="AC11" s="560">
        <f t="shared" si="3"/>
        <v>0</v>
      </c>
      <c r="AE11">
        <v>0</v>
      </c>
      <c r="AF11" t="s">
        <v>341</v>
      </c>
      <c r="AO11">
        <v>0</v>
      </c>
      <c r="AQ11" s="560">
        <f t="shared" si="4"/>
        <v>0</v>
      </c>
    </row>
    <row r="12" spans="1:43" ht="15" customHeight="1" x14ac:dyDescent="0.25">
      <c r="A12" s="210" t="s">
        <v>342</v>
      </c>
      <c r="B12" s="387">
        <v>153839</v>
      </c>
      <c r="C12" s="39">
        <v>120727</v>
      </c>
      <c r="E12" s="127" t="s">
        <v>343</v>
      </c>
      <c r="F12" s="210" t="s">
        <v>342</v>
      </c>
      <c r="G12" s="387">
        <v>153839</v>
      </c>
      <c r="H12" s="564">
        <v>120727</v>
      </c>
      <c r="I12" s="210" t="s">
        <v>342</v>
      </c>
      <c r="J12" s="38">
        <f>címrendösszesen!HE15</f>
        <v>158024</v>
      </c>
      <c r="K12" s="10"/>
      <c r="L12" s="38">
        <v>120727</v>
      </c>
      <c r="M12" s="29">
        <v>160000</v>
      </c>
      <c r="N12" s="29">
        <v>160000</v>
      </c>
      <c r="O12" s="426">
        <v>160000</v>
      </c>
      <c r="Q12" s="555">
        <v>1</v>
      </c>
      <c r="R12" s="555">
        <v>1</v>
      </c>
      <c r="S12" s="555">
        <v>1</v>
      </c>
      <c r="AC12" s="560">
        <f t="shared" si="3"/>
        <v>37297</v>
      </c>
      <c r="AE12">
        <v>120727</v>
      </c>
      <c r="AF12" t="s">
        <v>342</v>
      </c>
      <c r="AO12">
        <v>120727</v>
      </c>
      <c r="AQ12" s="560">
        <f t="shared" si="4"/>
        <v>37297</v>
      </c>
    </row>
    <row r="13" spans="1:43" ht="15" customHeight="1" x14ac:dyDescent="0.25">
      <c r="A13" s="210" t="s">
        <v>343</v>
      </c>
      <c r="B13" s="387">
        <v>1976347</v>
      </c>
      <c r="C13" s="39">
        <v>1928229</v>
      </c>
      <c r="E13" s="127" t="s">
        <v>344</v>
      </c>
      <c r="F13" s="210" t="s">
        <v>343</v>
      </c>
      <c r="G13" s="387">
        <v>1976347</v>
      </c>
      <c r="H13" s="564">
        <v>1928229</v>
      </c>
      <c r="I13" s="210" t="s">
        <v>343</v>
      </c>
      <c r="J13" s="38">
        <f>címrendösszesen!HE16</f>
        <v>2128512</v>
      </c>
      <c r="K13" s="10"/>
      <c r="L13" s="38">
        <v>1928229</v>
      </c>
      <c r="M13" s="29">
        <f>SUM(J13*1.01)</f>
        <v>2149797.12</v>
      </c>
      <c r="N13" s="29">
        <f>SUM(M13*1.01)</f>
        <v>2171295.0912000001</v>
      </c>
      <c r="O13" s="426">
        <f>SUM(N13*1.01)</f>
        <v>2193008.0421120003</v>
      </c>
      <c r="Q13" s="555">
        <v>1</v>
      </c>
      <c r="R13" s="555">
        <v>1</v>
      </c>
      <c r="S13" s="555">
        <v>1</v>
      </c>
      <c r="AC13" s="560">
        <f t="shared" si="3"/>
        <v>200283</v>
      </c>
      <c r="AE13">
        <v>1928229</v>
      </c>
      <c r="AF13" t="s">
        <v>343</v>
      </c>
      <c r="AO13">
        <v>1928229</v>
      </c>
      <c r="AQ13" s="560">
        <f t="shared" si="4"/>
        <v>200283</v>
      </c>
    </row>
    <row r="14" spans="1:43" ht="15" customHeight="1" x14ac:dyDescent="0.25">
      <c r="A14" s="210" t="s">
        <v>344</v>
      </c>
      <c r="B14" s="387">
        <v>693317</v>
      </c>
      <c r="C14" s="39">
        <v>372127</v>
      </c>
      <c r="E14" s="127" t="s">
        <v>345</v>
      </c>
      <c r="F14" s="210" t="s">
        <v>344</v>
      </c>
      <c r="G14" s="387">
        <v>693317</v>
      </c>
      <c r="H14" s="564">
        <v>372127</v>
      </c>
      <c r="I14" s="210" t="s">
        <v>344</v>
      </c>
      <c r="J14" s="38">
        <f>címrendösszesen!HE17</f>
        <v>284466</v>
      </c>
      <c r="K14" s="10"/>
      <c r="L14" s="29">
        <v>372127</v>
      </c>
      <c r="M14" s="29">
        <f>100000-35439</f>
        <v>64561</v>
      </c>
      <c r="N14" s="29">
        <v>100000</v>
      </c>
      <c r="O14" s="426">
        <v>100000</v>
      </c>
      <c r="AC14" s="560">
        <f t="shared" si="3"/>
        <v>-87661</v>
      </c>
      <c r="AE14">
        <v>372127</v>
      </c>
      <c r="AF14" t="s">
        <v>344</v>
      </c>
      <c r="AO14">
        <v>410136</v>
      </c>
      <c r="AQ14" s="560">
        <f t="shared" si="4"/>
        <v>-125670</v>
      </c>
    </row>
    <row r="15" spans="1:43" ht="15" customHeight="1" x14ac:dyDescent="0.25">
      <c r="A15" s="212" t="s">
        <v>345</v>
      </c>
      <c r="B15" s="38">
        <v>2614822</v>
      </c>
      <c r="C15" s="39">
        <v>5075044</v>
      </c>
      <c r="E15" s="127" t="s">
        <v>346</v>
      </c>
      <c r="F15" s="212" t="s">
        <v>345</v>
      </c>
      <c r="G15" s="38">
        <v>2614822</v>
      </c>
      <c r="H15" s="565">
        <f t="shared" ref="H15" si="7">SUM(H16:H18)</f>
        <v>5075044</v>
      </c>
      <c r="I15" s="212" t="s">
        <v>345</v>
      </c>
      <c r="J15" s="38">
        <f>SUM(J16+J17+J18)</f>
        <v>6318804</v>
      </c>
      <c r="K15" s="38">
        <f t="shared" ref="K15:O15" si="8">SUM(K16+K17+K18)</f>
        <v>2799934</v>
      </c>
      <c r="L15" s="38" t="e">
        <f t="shared" si="8"/>
        <v>#REF!</v>
      </c>
      <c r="M15" s="38">
        <f t="shared" si="8"/>
        <v>1981699</v>
      </c>
      <c r="N15" s="38">
        <f t="shared" si="8"/>
        <v>1856510</v>
      </c>
      <c r="O15" s="230">
        <f t="shared" si="8"/>
        <v>1911049</v>
      </c>
      <c r="AC15" s="560">
        <f t="shared" si="3"/>
        <v>1243760</v>
      </c>
      <c r="AE15">
        <v>5075044</v>
      </c>
      <c r="AF15" t="s">
        <v>345</v>
      </c>
      <c r="AO15">
        <v>5075044</v>
      </c>
      <c r="AQ15" s="560">
        <f t="shared" si="4"/>
        <v>1243760</v>
      </c>
    </row>
    <row r="16" spans="1:43" ht="15" customHeight="1" x14ac:dyDescent="0.25">
      <c r="A16" s="210" t="s">
        <v>346</v>
      </c>
      <c r="B16" s="387">
        <v>474804</v>
      </c>
      <c r="C16" s="39">
        <v>553793</v>
      </c>
      <c r="E16" s="127" t="s">
        <v>347</v>
      </c>
      <c r="F16" s="210" t="s">
        <v>346</v>
      </c>
      <c r="G16" s="387">
        <v>474804</v>
      </c>
      <c r="H16" s="564">
        <v>553793</v>
      </c>
      <c r="I16" s="210" t="s">
        <v>346</v>
      </c>
      <c r="J16" s="38">
        <f>címrendösszesen!HE19</f>
        <v>2541515</v>
      </c>
      <c r="K16" s="38">
        <v>553793</v>
      </c>
      <c r="L16" s="38">
        <v>553793</v>
      </c>
      <c r="M16" s="387">
        <v>100000</v>
      </c>
      <c r="N16" s="387">
        <v>100000</v>
      </c>
      <c r="O16" s="572">
        <v>100000</v>
      </c>
      <c r="Q16" s="555">
        <v>1</v>
      </c>
      <c r="R16" s="555">
        <v>1</v>
      </c>
      <c r="S16" s="555">
        <v>1</v>
      </c>
      <c r="AC16" s="560">
        <f t="shared" si="3"/>
        <v>1987722</v>
      </c>
      <c r="AE16">
        <v>553793</v>
      </c>
      <c r="AF16" t="s">
        <v>346</v>
      </c>
      <c r="AO16">
        <v>553793</v>
      </c>
      <c r="AQ16" s="560">
        <f t="shared" si="4"/>
        <v>1987722</v>
      </c>
    </row>
    <row r="17" spans="1:43" ht="15" customHeight="1" x14ac:dyDescent="0.25">
      <c r="A17" s="210" t="s">
        <v>347</v>
      </c>
      <c r="B17" s="387">
        <v>359531</v>
      </c>
      <c r="C17" s="39">
        <v>2246141</v>
      </c>
      <c r="E17" s="127" t="s">
        <v>348</v>
      </c>
      <c r="F17" s="210" t="s">
        <v>347</v>
      </c>
      <c r="G17" s="387">
        <v>359531</v>
      </c>
      <c r="H17" s="564">
        <v>2246141</v>
      </c>
      <c r="I17" s="210" t="s">
        <v>347</v>
      </c>
      <c r="J17" s="38">
        <f>címrendösszesen!HE20</f>
        <v>1971199</v>
      </c>
      <c r="K17" s="38">
        <v>2246141</v>
      </c>
      <c r="L17" s="38">
        <v>2246141</v>
      </c>
      <c r="M17" s="387">
        <f>935959-2260</f>
        <v>933699</v>
      </c>
      <c r="N17" s="387">
        <f>810793-2283</f>
        <v>808510</v>
      </c>
      <c r="O17" s="572">
        <f>865356-2307</f>
        <v>863049</v>
      </c>
      <c r="Q17" s="555">
        <v>1</v>
      </c>
      <c r="R17" s="555">
        <v>1</v>
      </c>
      <c r="S17" s="555">
        <v>1</v>
      </c>
      <c r="AC17" s="560">
        <f t="shared" si="3"/>
        <v>-274942</v>
      </c>
      <c r="AE17">
        <v>2246141</v>
      </c>
      <c r="AF17" t="s">
        <v>347</v>
      </c>
      <c r="AO17">
        <v>2225579</v>
      </c>
      <c r="AQ17" s="560">
        <f t="shared" si="4"/>
        <v>-254380</v>
      </c>
    </row>
    <row r="18" spans="1:43" ht="15" customHeight="1" x14ac:dyDescent="0.25">
      <c r="A18" s="212" t="s">
        <v>348</v>
      </c>
      <c r="B18" s="38">
        <v>1780487</v>
      </c>
      <c r="C18" s="39">
        <v>2275110</v>
      </c>
      <c r="E18" s="127" t="s">
        <v>349</v>
      </c>
      <c r="F18" s="212" t="s">
        <v>348</v>
      </c>
      <c r="G18" s="38">
        <v>1780487</v>
      </c>
      <c r="H18" s="565">
        <f t="shared" ref="H18" si="9">SUM(H19:H22)</f>
        <v>2275110</v>
      </c>
      <c r="I18" s="212" t="s">
        <v>348</v>
      </c>
      <c r="J18" s="38">
        <f>SUM(J19:J22)</f>
        <v>1806090</v>
      </c>
      <c r="K18" s="38">
        <f t="shared" ref="K18:O18" si="10">SUM(K19:K22)</f>
        <v>0</v>
      </c>
      <c r="L18" s="38" t="e">
        <f t="shared" si="10"/>
        <v>#REF!</v>
      </c>
      <c r="M18" s="38">
        <f t="shared" si="10"/>
        <v>948000</v>
      </c>
      <c r="N18" s="38">
        <f t="shared" si="10"/>
        <v>948000</v>
      </c>
      <c r="O18" s="230">
        <f t="shared" si="10"/>
        <v>948000</v>
      </c>
      <c r="AC18" s="560">
        <f t="shared" si="3"/>
        <v>-469020</v>
      </c>
      <c r="AE18">
        <v>2275110</v>
      </c>
      <c r="AF18" t="s">
        <v>348</v>
      </c>
      <c r="AO18">
        <v>2295672</v>
      </c>
      <c r="AQ18" s="560">
        <f t="shared" si="4"/>
        <v>-489582</v>
      </c>
    </row>
    <row r="19" spans="1:43" ht="15" customHeight="1" x14ac:dyDescent="0.25">
      <c r="A19" s="210" t="s">
        <v>349</v>
      </c>
      <c r="B19" s="387">
        <v>400000</v>
      </c>
      <c r="C19" s="39">
        <v>500000</v>
      </c>
      <c r="E19" s="127" t="s">
        <v>350</v>
      </c>
      <c r="F19" s="210" t="s">
        <v>349</v>
      </c>
      <c r="G19" s="387">
        <v>400000</v>
      </c>
      <c r="H19" s="564">
        <v>500000</v>
      </c>
      <c r="I19" s="210" t="s">
        <v>349</v>
      </c>
      <c r="J19" s="38">
        <f>címrendösszesen!HE22</f>
        <v>150000</v>
      </c>
      <c r="K19" s="10"/>
      <c r="L19" s="29">
        <f>SUM(J19)</f>
        <v>150000</v>
      </c>
      <c r="M19" s="29">
        <v>200000</v>
      </c>
      <c r="N19" s="29">
        <v>200000</v>
      </c>
      <c r="O19" s="426">
        <v>200000</v>
      </c>
      <c r="Q19" s="555">
        <v>1</v>
      </c>
      <c r="R19" s="555">
        <v>1</v>
      </c>
      <c r="S19" s="555">
        <v>1</v>
      </c>
      <c r="AC19" s="560">
        <f t="shared" si="3"/>
        <v>-350000</v>
      </c>
      <c r="AE19">
        <v>500000</v>
      </c>
      <c r="AF19" t="s">
        <v>349</v>
      </c>
      <c r="AO19">
        <v>500000</v>
      </c>
      <c r="AQ19" s="560">
        <f t="shared" si="4"/>
        <v>-350000</v>
      </c>
    </row>
    <row r="20" spans="1:43" ht="15" customHeight="1" x14ac:dyDescent="0.25">
      <c r="A20" s="210" t="s">
        <v>350</v>
      </c>
      <c r="B20" s="387">
        <v>15300</v>
      </c>
      <c r="C20" s="39">
        <v>15300</v>
      </c>
      <c r="E20" s="127" t="s">
        <v>351</v>
      </c>
      <c r="F20" s="210" t="s">
        <v>350</v>
      </c>
      <c r="G20" s="387">
        <v>15300</v>
      </c>
      <c r="H20" s="564">
        <v>15300</v>
      </c>
      <c r="I20" s="210" t="s">
        <v>350</v>
      </c>
      <c r="J20" s="38">
        <f>címrendösszesen!HE23</f>
        <v>15300</v>
      </c>
      <c r="K20" s="10"/>
      <c r="L20" s="387">
        <v>15300</v>
      </c>
      <c r="M20" s="29">
        <v>0</v>
      </c>
      <c r="N20" s="29">
        <v>0</v>
      </c>
      <c r="O20" s="426">
        <v>0</v>
      </c>
      <c r="Q20" s="555">
        <v>1</v>
      </c>
      <c r="R20" s="555">
        <v>1</v>
      </c>
      <c r="S20" s="555">
        <v>1</v>
      </c>
      <c r="AC20" s="560">
        <f t="shared" si="3"/>
        <v>0</v>
      </c>
      <c r="AE20">
        <v>15300</v>
      </c>
      <c r="AF20" t="s">
        <v>350</v>
      </c>
      <c r="AO20">
        <v>15300</v>
      </c>
      <c r="AQ20" s="560">
        <f t="shared" si="4"/>
        <v>0</v>
      </c>
    </row>
    <row r="21" spans="1:43" ht="15" customHeight="1" x14ac:dyDescent="0.25">
      <c r="A21" s="210" t="s">
        <v>351</v>
      </c>
      <c r="B21" s="387">
        <v>691565</v>
      </c>
      <c r="C21" s="39">
        <v>839673</v>
      </c>
      <c r="E21" s="127" t="s">
        <v>352</v>
      </c>
      <c r="F21" s="210" t="s">
        <v>351</v>
      </c>
      <c r="G21" s="387">
        <v>691565</v>
      </c>
      <c r="H21" s="564">
        <v>839673</v>
      </c>
      <c r="I21" s="210" t="s">
        <v>351</v>
      </c>
      <c r="J21" s="38">
        <f>címrendösszesen!HE24</f>
        <v>879754</v>
      </c>
      <c r="K21" s="10"/>
      <c r="L21" s="387">
        <v>839673</v>
      </c>
      <c r="M21" s="29">
        <v>100000</v>
      </c>
      <c r="N21" s="29">
        <v>100000</v>
      </c>
      <c r="O21" s="426">
        <v>100000</v>
      </c>
      <c r="Q21" s="555">
        <v>1</v>
      </c>
      <c r="R21" s="555">
        <v>1</v>
      </c>
      <c r="S21" s="555">
        <v>1</v>
      </c>
      <c r="AC21" s="560">
        <f t="shared" si="3"/>
        <v>40081</v>
      </c>
      <c r="AE21">
        <v>839673</v>
      </c>
      <c r="AF21" t="s">
        <v>351</v>
      </c>
      <c r="AO21">
        <v>862235</v>
      </c>
      <c r="AQ21" s="560">
        <f t="shared" si="4"/>
        <v>17519</v>
      </c>
    </row>
    <row r="22" spans="1:43" ht="15" customHeight="1" x14ac:dyDescent="0.25">
      <c r="A22" s="210" t="s">
        <v>352</v>
      </c>
      <c r="B22" s="387">
        <v>673622</v>
      </c>
      <c r="C22" s="39">
        <v>920137</v>
      </c>
      <c r="E22" s="127" t="s">
        <v>353</v>
      </c>
      <c r="F22" s="210" t="s">
        <v>352</v>
      </c>
      <c r="G22" s="387">
        <v>673622</v>
      </c>
      <c r="H22" s="564">
        <v>920137</v>
      </c>
      <c r="I22" s="210" t="s">
        <v>352</v>
      </c>
      <c r="J22" s="38">
        <f>címrendösszesen!HE25</f>
        <v>761036</v>
      </c>
      <c r="K22" s="10" t="s">
        <v>821</v>
      </c>
      <c r="L22" s="29" t="e">
        <f>SUM(#REF!)</f>
        <v>#REF!</v>
      </c>
      <c r="M22" s="29">
        <f>648000</f>
        <v>648000</v>
      </c>
      <c r="N22" s="29">
        <f t="shared" ref="N22:O22" si="11">648000</f>
        <v>648000</v>
      </c>
      <c r="O22" s="29">
        <f t="shared" si="11"/>
        <v>648000</v>
      </c>
      <c r="Q22" s="555">
        <v>1</v>
      </c>
      <c r="R22" s="555">
        <v>1</v>
      </c>
      <c r="S22" s="555">
        <v>1</v>
      </c>
      <c r="AC22" s="560">
        <f t="shared" si="3"/>
        <v>-159101</v>
      </c>
      <c r="AE22">
        <v>920137</v>
      </c>
      <c r="AF22" t="s">
        <v>352</v>
      </c>
      <c r="AO22">
        <v>918137</v>
      </c>
      <c r="AQ22" s="560">
        <f t="shared" si="4"/>
        <v>-157101</v>
      </c>
    </row>
    <row r="23" spans="1:43" ht="15" customHeight="1" thickBot="1" x14ac:dyDescent="0.3">
      <c r="A23" s="214" t="s">
        <v>353</v>
      </c>
      <c r="B23" s="81">
        <v>18224775</v>
      </c>
      <c r="C23" s="39">
        <v>20965598</v>
      </c>
      <c r="E23" s="127" t="s">
        <v>489</v>
      </c>
      <c r="F23" s="214" t="s">
        <v>353</v>
      </c>
      <c r="G23" s="81">
        <v>18224775</v>
      </c>
      <c r="H23" s="566">
        <f t="shared" ref="H23" si="12">SUM(H4+H15)</f>
        <v>20986787</v>
      </c>
      <c r="I23" s="567" t="s">
        <v>353</v>
      </c>
      <c r="J23" s="241">
        <f>SUM(J4+J15)</f>
        <v>23963529.600000001</v>
      </c>
      <c r="K23" s="241">
        <f t="shared" ref="K23:O23" si="13">SUM(K4+K15)</f>
        <v>16239868</v>
      </c>
      <c r="L23" s="241" t="e">
        <f t="shared" si="13"/>
        <v>#REF!</v>
      </c>
      <c r="M23" s="241">
        <f t="shared" si="13"/>
        <v>19257769.357699998</v>
      </c>
      <c r="N23" s="241">
        <f t="shared" si="13"/>
        <v>19307944.500688497</v>
      </c>
      <c r="O23" s="232">
        <f t="shared" si="13"/>
        <v>19503575.22934394</v>
      </c>
      <c r="AC23" s="560">
        <f t="shared" si="3"/>
        <v>2976742.6000000015</v>
      </c>
      <c r="AE23">
        <v>20986787</v>
      </c>
      <c r="AF23" t="s">
        <v>353</v>
      </c>
      <c r="AO23">
        <v>21024796</v>
      </c>
      <c r="AQ23" s="560">
        <f t="shared" si="4"/>
        <v>2938733.6000000015</v>
      </c>
    </row>
    <row r="24" spans="1:43" ht="15" customHeight="1" thickBot="1" x14ac:dyDescent="0.3">
      <c r="A24" s="207" t="s">
        <v>489</v>
      </c>
      <c r="B24" s="80">
        <v>23918894</v>
      </c>
      <c r="C24" s="39">
        <v>27366638</v>
      </c>
      <c r="E24" s="127" t="s">
        <v>354</v>
      </c>
      <c r="F24" s="207" t="s">
        <v>489</v>
      </c>
      <c r="G24" s="80">
        <v>23918894</v>
      </c>
      <c r="H24" s="202">
        <f t="shared" ref="H24" si="14">SUM(H49+H50)</f>
        <v>20986787</v>
      </c>
      <c r="I24" s="207" t="s">
        <v>489</v>
      </c>
      <c r="J24" s="80">
        <f>SUM(J49+J58)</f>
        <v>30882104.763999999</v>
      </c>
      <c r="K24" s="80" t="e">
        <f t="shared" ref="K24:O24" si="15">SUM(K49+K58)</f>
        <v>#VALUE!</v>
      </c>
      <c r="L24" s="80" t="e">
        <f t="shared" si="15"/>
        <v>#REF!</v>
      </c>
      <c r="M24" s="80">
        <f t="shared" si="15"/>
        <v>26194744.151640002</v>
      </c>
      <c r="N24" s="80">
        <f t="shared" si="15"/>
        <v>26313889.3199564</v>
      </c>
      <c r="O24" s="228">
        <f t="shared" si="15"/>
        <v>26579178.702291965</v>
      </c>
      <c r="AC24" s="560">
        <f t="shared" si="3"/>
        <v>3515466.7639999986</v>
      </c>
      <c r="AE24">
        <v>27366638</v>
      </c>
      <c r="AF24" t="s">
        <v>489</v>
      </c>
      <c r="AO24">
        <v>27404647</v>
      </c>
      <c r="AQ24" s="560">
        <f t="shared" si="4"/>
        <v>3477457.7639999986</v>
      </c>
    </row>
    <row r="25" spans="1:43" ht="15" customHeight="1" x14ac:dyDescent="0.25">
      <c r="A25" s="457" t="s">
        <v>354</v>
      </c>
      <c r="B25" s="562">
        <v>14896319</v>
      </c>
      <c r="C25" s="39">
        <v>14954722</v>
      </c>
      <c r="E25" s="127" t="s">
        <v>355</v>
      </c>
      <c r="F25" s="457" t="s">
        <v>354</v>
      </c>
      <c r="G25" s="562">
        <v>14896319</v>
      </c>
      <c r="H25" s="568">
        <f t="shared" ref="H25" si="16">SUM(H26+H32+H33+H34)</f>
        <v>14975911</v>
      </c>
      <c r="I25" s="457" t="s">
        <v>354</v>
      </c>
      <c r="J25" s="562">
        <f>SUM(J26+J32+J33+J34)</f>
        <v>17272754.763999999</v>
      </c>
      <c r="K25" s="562" t="e">
        <f t="shared" ref="K25:O25" si="17">SUM(K26+K32+K33+K34)</f>
        <v>#VALUE!</v>
      </c>
      <c r="L25" s="562" t="e">
        <f t="shared" si="17"/>
        <v>#REF!</v>
      </c>
      <c r="M25" s="562">
        <f t="shared" si="17"/>
        <v>17240785.151640002</v>
      </c>
      <c r="N25" s="562">
        <f t="shared" si="17"/>
        <v>17429168.3199564</v>
      </c>
      <c r="O25" s="563">
        <f t="shared" si="17"/>
        <v>17619767.702291965</v>
      </c>
      <c r="AC25" s="560">
        <f t="shared" si="3"/>
        <v>2296843.7639999986</v>
      </c>
      <c r="AE25">
        <v>14975911</v>
      </c>
      <c r="AF25" t="s">
        <v>354</v>
      </c>
      <c r="AO25">
        <v>15013920</v>
      </c>
      <c r="AQ25" s="560">
        <f t="shared" si="4"/>
        <v>2258834.7639999986</v>
      </c>
    </row>
    <row r="26" spans="1:43" ht="15" customHeight="1" x14ac:dyDescent="0.25">
      <c r="A26" s="219" t="s">
        <v>355</v>
      </c>
      <c r="B26" s="38">
        <v>3048920</v>
      </c>
      <c r="C26" s="39">
        <v>3371366</v>
      </c>
      <c r="E26" s="127" t="s">
        <v>356</v>
      </c>
      <c r="F26" s="219" t="s">
        <v>355</v>
      </c>
      <c r="G26" s="38">
        <v>3048920</v>
      </c>
      <c r="H26" s="565">
        <f t="shared" ref="H26" si="18">SUM(H27:H31)</f>
        <v>3371366</v>
      </c>
      <c r="I26" s="219" t="s">
        <v>355</v>
      </c>
      <c r="J26" s="38">
        <f>SUM(J27:J31)</f>
        <v>3631058.764</v>
      </c>
      <c r="K26" s="38">
        <f t="shared" ref="K26:O26" si="19">SUM(K27:K31)</f>
        <v>3371366</v>
      </c>
      <c r="L26" s="38">
        <f t="shared" si="19"/>
        <v>3371366</v>
      </c>
      <c r="M26" s="38">
        <f t="shared" si="19"/>
        <v>3683483.1916399999</v>
      </c>
      <c r="N26" s="38">
        <f t="shared" si="19"/>
        <v>3736754.1403564001</v>
      </c>
      <c r="O26" s="230">
        <f t="shared" si="19"/>
        <v>3790886.5208959635</v>
      </c>
      <c r="AC26" s="560">
        <f t="shared" si="3"/>
        <v>259692.76399999997</v>
      </c>
      <c r="AE26">
        <v>3371366</v>
      </c>
      <c r="AF26" t="s">
        <v>355</v>
      </c>
      <c r="AO26">
        <v>3409375</v>
      </c>
      <c r="AQ26" s="560">
        <f t="shared" si="4"/>
        <v>221683.76399999997</v>
      </c>
    </row>
    <row r="27" spans="1:43" ht="15" customHeight="1" x14ac:dyDescent="0.25">
      <c r="A27" s="218" t="s">
        <v>356</v>
      </c>
      <c r="B27" s="387">
        <v>1666212</v>
      </c>
      <c r="C27" s="39">
        <v>1666280</v>
      </c>
      <c r="E27" s="127" t="s">
        <v>357</v>
      </c>
      <c r="F27" s="218" t="s">
        <v>356</v>
      </c>
      <c r="G27" s="387">
        <v>1666212</v>
      </c>
      <c r="H27" s="564">
        <v>1666280</v>
      </c>
      <c r="I27" s="218" t="s">
        <v>356</v>
      </c>
      <c r="J27" s="38">
        <f>címrendösszesen!HE30</f>
        <v>2019674.764</v>
      </c>
      <c r="K27" s="38">
        <v>1666280</v>
      </c>
      <c r="L27" s="38">
        <v>1666280</v>
      </c>
      <c r="M27" s="387">
        <f>J27*1.01</f>
        <v>2039871.5116399999</v>
      </c>
      <c r="N27" s="387">
        <f>M27*1.01</f>
        <v>2060270.2267564</v>
      </c>
      <c r="O27" s="572">
        <f>N27*1.01</f>
        <v>2080872.9290239639</v>
      </c>
      <c r="Q27" s="555">
        <v>1</v>
      </c>
      <c r="R27" s="555">
        <v>1</v>
      </c>
      <c r="S27" s="555">
        <v>1</v>
      </c>
      <c r="AC27" s="560">
        <f t="shared" si="3"/>
        <v>353394.76399999997</v>
      </c>
      <c r="AE27">
        <v>1666280</v>
      </c>
      <c r="AF27" t="s">
        <v>356</v>
      </c>
      <c r="AO27">
        <v>1704289</v>
      </c>
      <c r="AQ27" s="560">
        <f t="shared" si="4"/>
        <v>315385.76399999997</v>
      </c>
    </row>
    <row r="28" spans="1:43" ht="15" customHeight="1" x14ac:dyDescent="0.25">
      <c r="A28" s="218" t="s">
        <v>357</v>
      </c>
      <c r="B28" s="387">
        <v>0</v>
      </c>
      <c r="C28" s="39">
        <v>0</v>
      </c>
      <c r="E28" s="127" t="s">
        <v>358</v>
      </c>
      <c r="F28" s="218" t="s">
        <v>357</v>
      </c>
      <c r="G28" s="387">
        <v>0</v>
      </c>
      <c r="H28" s="564">
        <v>0</v>
      </c>
      <c r="I28" s="218" t="s">
        <v>357</v>
      </c>
      <c r="J28" s="38">
        <f>címrendösszesen!HE31</f>
        <v>0</v>
      </c>
      <c r="K28" s="218"/>
      <c r="L28" s="29"/>
      <c r="M28" s="29"/>
      <c r="N28" s="29"/>
      <c r="O28" s="426"/>
      <c r="AC28" s="560">
        <f t="shared" si="3"/>
        <v>0</v>
      </c>
      <c r="AE28">
        <v>0</v>
      </c>
      <c r="AF28" t="s">
        <v>357</v>
      </c>
      <c r="AO28">
        <v>0</v>
      </c>
      <c r="AQ28" s="560">
        <f t="shared" si="4"/>
        <v>0</v>
      </c>
    </row>
    <row r="29" spans="1:43" ht="15" customHeight="1" x14ac:dyDescent="0.25">
      <c r="A29" s="218" t="s">
        <v>358</v>
      </c>
      <c r="B29" s="387">
        <v>0</v>
      </c>
      <c r="C29" s="39">
        <v>0</v>
      </c>
      <c r="E29" s="127" t="s">
        <v>359</v>
      </c>
      <c r="F29" s="218" t="s">
        <v>358</v>
      </c>
      <c r="G29" s="387">
        <v>0</v>
      </c>
      <c r="H29" s="564">
        <v>0</v>
      </c>
      <c r="I29" s="218" t="s">
        <v>358</v>
      </c>
      <c r="J29" s="38">
        <f>címrendösszesen!HE32</f>
        <v>0</v>
      </c>
      <c r="K29" s="218"/>
      <c r="L29" s="29"/>
      <c r="M29" s="29"/>
      <c r="N29" s="29"/>
      <c r="O29" s="426"/>
      <c r="AC29" s="560">
        <f t="shared" si="3"/>
        <v>0</v>
      </c>
      <c r="AE29">
        <v>0</v>
      </c>
      <c r="AF29" t="s">
        <v>358</v>
      </c>
      <c r="AO29">
        <v>0</v>
      </c>
      <c r="AQ29" s="560">
        <f t="shared" si="4"/>
        <v>0</v>
      </c>
    </row>
    <row r="30" spans="1:43" ht="15" customHeight="1" x14ac:dyDescent="0.25">
      <c r="A30" s="218" t="s">
        <v>359</v>
      </c>
      <c r="B30" s="387">
        <v>0</v>
      </c>
      <c r="C30" s="39">
        <v>0</v>
      </c>
      <c r="E30" s="127" t="s">
        <v>360</v>
      </c>
      <c r="F30" s="218" t="s">
        <v>359</v>
      </c>
      <c r="G30" s="387">
        <v>0</v>
      </c>
      <c r="H30" s="564">
        <v>0</v>
      </c>
      <c r="I30" s="218" t="s">
        <v>359</v>
      </c>
      <c r="J30" s="38">
        <f>címrendösszesen!HE33</f>
        <v>0</v>
      </c>
      <c r="K30" s="218"/>
      <c r="L30" s="29"/>
      <c r="M30" s="29"/>
      <c r="N30" s="29"/>
      <c r="O30" s="426"/>
      <c r="AC30" s="560">
        <f t="shared" si="3"/>
        <v>0</v>
      </c>
      <c r="AE30">
        <v>0</v>
      </c>
      <c r="AF30" t="s">
        <v>359</v>
      </c>
      <c r="AO30">
        <v>0</v>
      </c>
      <c r="AQ30" s="560">
        <f t="shared" si="4"/>
        <v>0</v>
      </c>
    </row>
    <row r="31" spans="1:43" ht="15" customHeight="1" x14ac:dyDescent="0.25">
      <c r="A31" s="218" t="s">
        <v>360</v>
      </c>
      <c r="B31" s="387">
        <v>1382708</v>
      </c>
      <c r="C31" s="39">
        <v>1705086</v>
      </c>
      <c r="E31" s="127" t="s">
        <v>361</v>
      </c>
      <c r="F31" s="218" t="s">
        <v>360</v>
      </c>
      <c r="G31" s="387">
        <v>1382708</v>
      </c>
      <c r="H31" s="564">
        <v>1705086</v>
      </c>
      <c r="I31" s="218" t="s">
        <v>360</v>
      </c>
      <c r="J31" s="38">
        <f>címrendösszesen!HE34</f>
        <v>1611384</v>
      </c>
      <c r="K31" s="38">
        <v>1705086</v>
      </c>
      <c r="L31" s="38">
        <v>1705086</v>
      </c>
      <c r="M31" s="387">
        <f>J31*1.02</f>
        <v>1643611.68</v>
      </c>
      <c r="N31" s="387">
        <f>M31*1.02</f>
        <v>1676483.9135999999</v>
      </c>
      <c r="O31" s="572">
        <f>N31*1.02</f>
        <v>1710013.5918719999</v>
      </c>
      <c r="Q31" s="555">
        <v>1</v>
      </c>
      <c r="R31" s="555">
        <v>1</v>
      </c>
      <c r="S31" s="555">
        <v>1</v>
      </c>
      <c r="AC31" s="560">
        <f t="shared" si="3"/>
        <v>-93702</v>
      </c>
      <c r="AE31">
        <v>1705086</v>
      </c>
      <c r="AF31" t="s">
        <v>360</v>
      </c>
      <c r="AO31">
        <v>1705086</v>
      </c>
      <c r="AQ31" s="560">
        <f t="shared" si="4"/>
        <v>-93702</v>
      </c>
    </row>
    <row r="32" spans="1:43" ht="15" customHeight="1" x14ac:dyDescent="0.25">
      <c r="A32" s="218" t="s">
        <v>361</v>
      </c>
      <c r="B32" s="387">
        <v>7591496</v>
      </c>
      <c r="C32" s="39">
        <v>7238925</v>
      </c>
      <c r="E32" s="127" t="s">
        <v>362</v>
      </c>
      <c r="F32" s="218" t="s">
        <v>361</v>
      </c>
      <c r="G32" s="387">
        <v>7591496</v>
      </c>
      <c r="H32" s="564">
        <v>7238925</v>
      </c>
      <c r="I32" s="218" t="s">
        <v>361</v>
      </c>
      <c r="J32" s="38">
        <f>címrendösszesen!HE35</f>
        <v>8873236</v>
      </c>
      <c r="K32" s="218" t="s">
        <v>131</v>
      </c>
      <c r="L32" s="29" t="e">
        <f>SUM(#REF!)</f>
        <v>#REF!</v>
      </c>
      <c r="M32" s="29">
        <f>8905606+18874+35000</f>
        <v>8959480</v>
      </c>
      <c r="N32" s="29">
        <f>8994662+35000+19252</f>
        <v>9048914</v>
      </c>
      <c r="O32" s="426">
        <f>9084609+35000+19637</f>
        <v>9139246</v>
      </c>
      <c r="Q32" s="555">
        <v>1.01</v>
      </c>
      <c r="R32" s="555">
        <v>1.01</v>
      </c>
      <c r="S32" s="555">
        <v>1.01</v>
      </c>
      <c r="AC32" s="560">
        <f t="shared" si="3"/>
        <v>1634311</v>
      </c>
      <c r="AE32">
        <v>7238925</v>
      </c>
      <c r="AF32" t="s">
        <v>361</v>
      </c>
      <c r="AO32">
        <v>7238925</v>
      </c>
      <c r="AQ32" s="560">
        <f t="shared" si="4"/>
        <v>1634311</v>
      </c>
    </row>
    <row r="33" spans="1:43" ht="15" customHeight="1" x14ac:dyDescent="0.25">
      <c r="A33" s="218" t="s">
        <v>362</v>
      </c>
      <c r="B33" s="387">
        <v>4050523</v>
      </c>
      <c r="C33" s="39">
        <v>4259431</v>
      </c>
      <c r="E33" s="127" t="s">
        <v>363</v>
      </c>
      <c r="F33" s="218" t="s">
        <v>362</v>
      </c>
      <c r="G33" s="387">
        <v>4050523</v>
      </c>
      <c r="H33" s="564">
        <f>4259431+21189</f>
        <v>4280620</v>
      </c>
      <c r="I33" s="218" t="s">
        <v>362</v>
      </c>
      <c r="J33" s="38">
        <f>címrendösszesen!HE36</f>
        <v>4522596</v>
      </c>
      <c r="K33" s="218" t="s">
        <v>133</v>
      </c>
      <c r="L33" s="29" t="e">
        <f>SUM(#REF!)+21189</f>
        <v>#REF!</v>
      </c>
      <c r="M33" s="29">
        <f>J33*1.01</f>
        <v>4567821.96</v>
      </c>
      <c r="N33" s="29">
        <f>M33*1.01</f>
        <v>4613500.1796000004</v>
      </c>
      <c r="O33" s="426">
        <f>N33*1.01</f>
        <v>4659635.1813960001</v>
      </c>
      <c r="Q33" s="555">
        <v>1.0089999999999999</v>
      </c>
      <c r="R33" s="555">
        <v>1.0089999999999999</v>
      </c>
      <c r="S33" s="555">
        <v>1.0089999999999999</v>
      </c>
      <c r="AC33" s="560">
        <f t="shared" si="3"/>
        <v>241976</v>
      </c>
      <c r="AE33">
        <v>4280620</v>
      </c>
      <c r="AF33" t="s">
        <v>362</v>
      </c>
      <c r="AO33">
        <v>4280620</v>
      </c>
      <c r="AQ33" s="560">
        <f t="shared" si="4"/>
        <v>241976</v>
      </c>
    </row>
    <row r="34" spans="1:43" ht="15" customHeight="1" x14ac:dyDescent="0.25">
      <c r="A34" s="219" t="s">
        <v>363</v>
      </c>
      <c r="B34" s="38">
        <v>205380</v>
      </c>
      <c r="C34" s="39">
        <v>85000</v>
      </c>
      <c r="E34" s="127" t="s">
        <v>364</v>
      </c>
      <c r="F34" s="219" t="s">
        <v>363</v>
      </c>
      <c r="G34" s="38">
        <v>205380</v>
      </c>
      <c r="H34" s="565">
        <v>85000</v>
      </c>
      <c r="I34" s="219" t="s">
        <v>363</v>
      </c>
      <c r="J34" s="38">
        <f>SUM(J35:J36)</f>
        <v>245864</v>
      </c>
      <c r="K34" s="38">
        <f t="shared" ref="K34:O34" si="20">SUM(K35:K36)</f>
        <v>0</v>
      </c>
      <c r="L34" s="38" t="e">
        <f t="shared" si="20"/>
        <v>#REF!</v>
      </c>
      <c r="M34" s="38">
        <f t="shared" si="20"/>
        <v>30000</v>
      </c>
      <c r="N34" s="38">
        <f t="shared" si="20"/>
        <v>30000</v>
      </c>
      <c r="O34" s="230">
        <f t="shared" si="20"/>
        <v>30000</v>
      </c>
      <c r="AC34" s="560">
        <f t="shared" si="3"/>
        <v>160864</v>
      </c>
      <c r="AE34">
        <v>85000</v>
      </c>
      <c r="AF34" t="s">
        <v>363</v>
      </c>
      <c r="AO34">
        <v>85000</v>
      </c>
      <c r="AQ34" s="560">
        <f t="shared" si="4"/>
        <v>160864</v>
      </c>
    </row>
    <row r="35" spans="1:43" ht="15" customHeight="1" x14ac:dyDescent="0.25">
      <c r="A35" s="218" t="s">
        <v>364</v>
      </c>
      <c r="B35" s="387">
        <v>0</v>
      </c>
      <c r="C35" s="39">
        <v>0</v>
      </c>
      <c r="E35" s="127" t="s">
        <v>365</v>
      </c>
      <c r="F35" s="218" t="s">
        <v>364</v>
      </c>
      <c r="G35" s="387">
        <v>0</v>
      </c>
      <c r="H35" s="564">
        <v>0</v>
      </c>
      <c r="I35" s="218" t="s">
        <v>364</v>
      </c>
      <c r="J35" s="38">
        <f>címrendösszesen!HE38</f>
        <v>0</v>
      </c>
      <c r="K35" s="218"/>
      <c r="L35" s="29"/>
      <c r="M35" s="29"/>
      <c r="N35" s="29"/>
      <c r="O35" s="426"/>
      <c r="AC35" s="560">
        <f t="shared" si="3"/>
        <v>0</v>
      </c>
      <c r="AE35">
        <v>0</v>
      </c>
      <c r="AF35" t="s">
        <v>364</v>
      </c>
      <c r="AO35">
        <v>0</v>
      </c>
      <c r="AQ35" s="560">
        <f t="shared" si="4"/>
        <v>0</v>
      </c>
    </row>
    <row r="36" spans="1:43" ht="15" customHeight="1" x14ac:dyDescent="0.25">
      <c r="A36" s="218" t="s">
        <v>365</v>
      </c>
      <c r="B36" s="387">
        <v>205380</v>
      </c>
      <c r="C36" s="39">
        <v>85000</v>
      </c>
      <c r="E36" s="127" t="s">
        <v>366</v>
      </c>
      <c r="F36" s="218" t="s">
        <v>365</v>
      </c>
      <c r="G36" s="387">
        <v>205380</v>
      </c>
      <c r="H36" s="564">
        <v>85000</v>
      </c>
      <c r="I36" s="218" t="s">
        <v>365</v>
      </c>
      <c r="J36" s="38">
        <f>címrendösszesen!HE39</f>
        <v>245864</v>
      </c>
      <c r="K36" s="218" t="s">
        <v>822</v>
      </c>
      <c r="L36" s="29" t="e">
        <f>SUM(#REF!)</f>
        <v>#REF!</v>
      </c>
      <c r="M36" s="29">
        <v>30000</v>
      </c>
      <c r="N36" s="29">
        <v>30000</v>
      </c>
      <c r="O36" s="426">
        <v>30000</v>
      </c>
      <c r="Q36" s="555">
        <v>1</v>
      </c>
      <c r="R36" s="555">
        <v>1</v>
      </c>
      <c r="S36" s="555">
        <v>1</v>
      </c>
      <c r="AC36" s="560">
        <f t="shared" si="3"/>
        <v>160864</v>
      </c>
      <c r="AE36">
        <v>85000</v>
      </c>
      <c r="AF36" t="s">
        <v>365</v>
      </c>
      <c r="AO36">
        <v>85000</v>
      </c>
      <c r="AQ36" s="560">
        <f t="shared" si="4"/>
        <v>160864</v>
      </c>
    </row>
    <row r="37" spans="1:43" ht="15" customHeight="1" x14ac:dyDescent="0.25">
      <c r="A37" s="219" t="s">
        <v>366</v>
      </c>
      <c r="B37" s="38">
        <v>2148775</v>
      </c>
      <c r="C37" s="39">
        <v>3080900</v>
      </c>
      <c r="E37" s="127" t="s">
        <v>367</v>
      </c>
      <c r="F37" s="219" t="s">
        <v>366</v>
      </c>
      <c r="G37" s="38">
        <v>2148775</v>
      </c>
      <c r="H37" s="565">
        <f t="shared" ref="H37" si="21">SUM(H38+H43+H44+H45+H46)</f>
        <v>3080900</v>
      </c>
      <c r="I37" s="219" t="s">
        <v>366</v>
      </c>
      <c r="J37" s="38">
        <f>SUM(J38+J43+J44+J45+J46)</f>
        <v>1142150</v>
      </c>
      <c r="K37" s="38" t="e">
        <f t="shared" ref="K37:O37" si="22">SUM(K38+K43+K44+K45+K46)</f>
        <v>#VALUE!</v>
      </c>
      <c r="L37" s="38" t="e">
        <f t="shared" si="22"/>
        <v>#REF!</v>
      </c>
      <c r="M37" s="38">
        <f t="shared" si="22"/>
        <v>1100000</v>
      </c>
      <c r="N37" s="38">
        <f t="shared" si="22"/>
        <v>950000</v>
      </c>
      <c r="O37" s="230">
        <f t="shared" si="22"/>
        <v>950000</v>
      </c>
      <c r="AC37" s="560">
        <f t="shared" si="3"/>
        <v>-1938750</v>
      </c>
      <c r="AE37">
        <v>3080900</v>
      </c>
      <c r="AF37" t="s">
        <v>366</v>
      </c>
      <c r="AO37">
        <v>3080900</v>
      </c>
      <c r="AQ37" s="560">
        <f t="shared" si="4"/>
        <v>-1938750</v>
      </c>
    </row>
    <row r="38" spans="1:43" ht="15" customHeight="1" x14ac:dyDescent="0.25">
      <c r="A38" s="219" t="s">
        <v>367</v>
      </c>
      <c r="B38" s="38">
        <v>0</v>
      </c>
      <c r="C38" s="39">
        <v>431530</v>
      </c>
      <c r="E38" s="127" t="s">
        <v>368</v>
      </c>
      <c r="F38" s="219" t="s">
        <v>367</v>
      </c>
      <c r="G38" s="38">
        <v>0</v>
      </c>
      <c r="H38" s="565">
        <f t="shared" ref="H38" si="23">SUM(H39:H42)</f>
        <v>431530</v>
      </c>
      <c r="I38" s="219" t="s">
        <v>367</v>
      </c>
      <c r="J38" s="38">
        <f>SUM(J39:J42)</f>
        <v>0</v>
      </c>
      <c r="K38" s="38">
        <f t="shared" ref="K38:O38" si="24">SUM(K39:K42)</f>
        <v>431530</v>
      </c>
      <c r="L38" s="38">
        <f t="shared" si="24"/>
        <v>431530</v>
      </c>
      <c r="M38" s="38">
        <f t="shared" si="24"/>
        <v>300000</v>
      </c>
      <c r="N38" s="38">
        <f t="shared" si="24"/>
        <v>300000</v>
      </c>
      <c r="O38" s="230">
        <f t="shared" si="24"/>
        <v>300000</v>
      </c>
      <c r="AC38" s="560">
        <f t="shared" si="3"/>
        <v>-431530</v>
      </c>
      <c r="AE38">
        <v>431530</v>
      </c>
      <c r="AF38" t="s">
        <v>367</v>
      </c>
      <c r="AO38">
        <v>431530</v>
      </c>
      <c r="AQ38" s="560">
        <f t="shared" si="4"/>
        <v>-431530</v>
      </c>
    </row>
    <row r="39" spans="1:43" ht="15" customHeight="1" x14ac:dyDescent="0.25">
      <c r="A39" s="218" t="s">
        <v>368</v>
      </c>
      <c r="B39" s="387">
        <v>0</v>
      </c>
      <c r="C39" s="39">
        <v>0</v>
      </c>
      <c r="E39" s="127" t="s">
        <v>369</v>
      </c>
      <c r="F39" s="218" t="s">
        <v>368</v>
      </c>
      <c r="G39" s="387">
        <v>0</v>
      </c>
      <c r="H39" s="564">
        <v>0</v>
      </c>
      <c r="I39" s="218" t="s">
        <v>368</v>
      </c>
      <c r="J39" s="38">
        <f>címrendösszesen!HE42</f>
        <v>0</v>
      </c>
      <c r="K39" s="219"/>
      <c r="L39" s="29"/>
      <c r="M39" s="29"/>
      <c r="N39" s="29"/>
      <c r="O39" s="426"/>
      <c r="AC39" s="560">
        <f t="shared" si="3"/>
        <v>0</v>
      </c>
      <c r="AE39">
        <v>0</v>
      </c>
      <c r="AF39" t="s">
        <v>368</v>
      </c>
      <c r="AO39">
        <v>0</v>
      </c>
      <c r="AQ39" s="560">
        <f t="shared" si="4"/>
        <v>0</v>
      </c>
    </row>
    <row r="40" spans="1:43" ht="15" customHeight="1" x14ac:dyDescent="0.25">
      <c r="A40" s="218" t="s">
        <v>369</v>
      </c>
      <c r="B40" s="387">
        <v>0</v>
      </c>
      <c r="C40" s="39">
        <v>0</v>
      </c>
      <c r="E40" s="127" t="s">
        <v>370</v>
      </c>
      <c r="F40" s="218" t="s">
        <v>369</v>
      </c>
      <c r="G40" s="387">
        <v>0</v>
      </c>
      <c r="H40" s="564">
        <v>0</v>
      </c>
      <c r="I40" s="218" t="s">
        <v>369</v>
      </c>
      <c r="J40" s="38">
        <f>címrendösszesen!HE43</f>
        <v>0</v>
      </c>
      <c r="K40" s="219"/>
      <c r="L40" s="29"/>
      <c r="M40" s="29"/>
      <c r="N40" s="29"/>
      <c r="O40" s="426"/>
      <c r="X40">
        <v>420602</v>
      </c>
      <c r="AC40" s="560">
        <f t="shared" si="3"/>
        <v>0</v>
      </c>
      <c r="AE40">
        <v>0</v>
      </c>
      <c r="AF40" t="s">
        <v>369</v>
      </c>
      <c r="AO40">
        <v>0</v>
      </c>
      <c r="AQ40" s="560">
        <f t="shared" si="4"/>
        <v>0</v>
      </c>
    </row>
    <row r="41" spans="1:43" ht="15" customHeight="1" x14ac:dyDescent="0.25">
      <c r="A41" s="218" t="s">
        <v>370</v>
      </c>
      <c r="B41" s="387">
        <v>0</v>
      </c>
      <c r="C41" s="39">
        <v>0</v>
      </c>
      <c r="E41" s="127" t="s">
        <v>371</v>
      </c>
      <c r="F41" s="218" t="s">
        <v>370</v>
      </c>
      <c r="G41" s="387">
        <v>0</v>
      </c>
      <c r="H41" s="564">
        <v>0</v>
      </c>
      <c r="I41" s="218" t="s">
        <v>370</v>
      </c>
      <c r="J41" s="38">
        <f>címrendösszesen!HE44</f>
        <v>0</v>
      </c>
      <c r="K41" s="219"/>
      <c r="L41" s="29"/>
      <c r="M41" s="29"/>
      <c r="N41" s="29"/>
      <c r="O41" s="426"/>
      <c r="AC41" s="560">
        <f t="shared" si="3"/>
        <v>0</v>
      </c>
      <c r="AE41">
        <v>0</v>
      </c>
      <c r="AF41" t="s">
        <v>370</v>
      </c>
      <c r="AO41">
        <v>0</v>
      </c>
      <c r="AQ41" s="560">
        <f t="shared" si="4"/>
        <v>0</v>
      </c>
    </row>
    <row r="42" spans="1:43" ht="15" customHeight="1" x14ac:dyDescent="0.25">
      <c r="A42" s="218" t="s">
        <v>371</v>
      </c>
      <c r="B42" s="387">
        <v>0</v>
      </c>
      <c r="C42" s="39">
        <v>431530</v>
      </c>
      <c r="E42" s="127" t="s">
        <v>372</v>
      </c>
      <c r="F42" s="218" t="s">
        <v>371</v>
      </c>
      <c r="G42" s="387">
        <v>0</v>
      </c>
      <c r="H42" s="564">
        <v>431530</v>
      </c>
      <c r="I42" s="218" t="s">
        <v>371</v>
      </c>
      <c r="J42" s="38">
        <f>címrendösszesen!HE45</f>
        <v>0</v>
      </c>
      <c r="K42" s="38">
        <v>431530</v>
      </c>
      <c r="L42" s="38">
        <v>431530</v>
      </c>
      <c r="M42" s="387">
        <v>300000</v>
      </c>
      <c r="N42" s="387">
        <v>300000</v>
      </c>
      <c r="O42" s="572">
        <v>300000</v>
      </c>
      <c r="Q42" s="555">
        <v>1</v>
      </c>
      <c r="R42" s="555">
        <v>1</v>
      </c>
      <c r="S42" s="555">
        <v>1</v>
      </c>
      <c r="AC42" s="560">
        <f t="shared" si="3"/>
        <v>-431530</v>
      </c>
      <c r="AE42">
        <v>431530</v>
      </c>
      <c r="AF42" t="s">
        <v>371</v>
      </c>
      <c r="AO42">
        <v>431530</v>
      </c>
      <c r="AQ42" s="560">
        <f t="shared" si="4"/>
        <v>-431530</v>
      </c>
    </row>
    <row r="43" spans="1:43" ht="15" customHeight="1" x14ac:dyDescent="0.25">
      <c r="A43" s="218" t="s">
        <v>372</v>
      </c>
      <c r="B43" s="387">
        <v>2058225</v>
      </c>
      <c r="C43" s="39">
        <v>2508870</v>
      </c>
      <c r="E43" s="127" t="s">
        <v>373</v>
      </c>
      <c r="F43" s="218" t="s">
        <v>372</v>
      </c>
      <c r="G43" s="387">
        <v>2058225</v>
      </c>
      <c r="H43" s="564">
        <v>2508870</v>
      </c>
      <c r="I43" s="218" t="s">
        <v>372</v>
      </c>
      <c r="J43" s="38">
        <f>címrendösszesen!HE46</f>
        <v>791850</v>
      </c>
      <c r="K43" s="218" t="s">
        <v>144</v>
      </c>
      <c r="L43" s="29" t="e">
        <f>SUM(#REF!)</f>
        <v>#REF!</v>
      </c>
      <c r="M43" s="29">
        <v>500000</v>
      </c>
      <c r="N43" s="29">
        <v>500000</v>
      </c>
      <c r="O43" s="426">
        <v>500000</v>
      </c>
      <c r="Q43" s="555">
        <v>1.05</v>
      </c>
      <c r="R43" s="555">
        <v>1.05</v>
      </c>
      <c r="S43" s="555">
        <v>1.05</v>
      </c>
      <c r="AC43" s="560">
        <f t="shared" si="3"/>
        <v>-1717020</v>
      </c>
      <c r="AE43">
        <v>2508870</v>
      </c>
      <c r="AF43" t="s">
        <v>372</v>
      </c>
      <c r="AO43">
        <v>2508870</v>
      </c>
      <c r="AQ43" s="560">
        <f t="shared" si="4"/>
        <v>-1717020</v>
      </c>
    </row>
    <row r="44" spans="1:43" ht="15" customHeight="1" x14ac:dyDescent="0.25">
      <c r="A44" s="218" t="s">
        <v>373</v>
      </c>
      <c r="B44" s="387">
        <v>0</v>
      </c>
      <c r="C44" s="39">
        <v>0</v>
      </c>
      <c r="E44" s="127" t="s">
        <v>374</v>
      </c>
      <c r="F44" s="218" t="s">
        <v>373</v>
      </c>
      <c r="G44" s="387">
        <v>0</v>
      </c>
      <c r="H44" s="564">
        <v>0</v>
      </c>
      <c r="I44" s="218" t="s">
        <v>373</v>
      </c>
      <c r="J44" s="38">
        <f>címrendösszesen!HE47</f>
        <v>0</v>
      </c>
      <c r="K44" s="218" t="s">
        <v>823</v>
      </c>
      <c r="L44" s="29"/>
      <c r="M44" s="29"/>
      <c r="N44" s="29"/>
      <c r="O44" s="426"/>
      <c r="AC44" s="560">
        <f t="shared" si="3"/>
        <v>0</v>
      </c>
      <c r="AE44">
        <v>0</v>
      </c>
      <c r="AF44" t="s">
        <v>373</v>
      </c>
      <c r="AO44">
        <v>0</v>
      </c>
      <c r="AQ44" s="560">
        <f t="shared" si="4"/>
        <v>0</v>
      </c>
    </row>
    <row r="45" spans="1:43" ht="15" customHeight="1" x14ac:dyDescent="0.25">
      <c r="A45" s="218" t="s">
        <v>374</v>
      </c>
      <c r="B45" s="387">
        <v>0</v>
      </c>
      <c r="C45" s="39">
        <v>0</v>
      </c>
      <c r="E45" s="127" t="s">
        <v>375</v>
      </c>
      <c r="F45" s="218" t="s">
        <v>374</v>
      </c>
      <c r="G45" s="387">
        <v>0</v>
      </c>
      <c r="H45" s="564">
        <v>0</v>
      </c>
      <c r="I45" s="218" t="s">
        <v>374</v>
      </c>
      <c r="J45" s="38">
        <v>0</v>
      </c>
      <c r="K45" s="218" t="s">
        <v>824</v>
      </c>
      <c r="L45" s="29"/>
      <c r="M45" s="29"/>
      <c r="N45" s="29"/>
      <c r="O45" s="426"/>
      <c r="AC45" s="560">
        <f t="shared" si="3"/>
        <v>0</v>
      </c>
      <c r="AE45">
        <v>0</v>
      </c>
      <c r="AF45" t="s">
        <v>374</v>
      </c>
      <c r="AO45">
        <v>0</v>
      </c>
      <c r="AQ45" s="560">
        <f t="shared" si="4"/>
        <v>0</v>
      </c>
    </row>
    <row r="46" spans="1:43" ht="15" customHeight="1" x14ac:dyDescent="0.25">
      <c r="A46" s="219" t="s">
        <v>375</v>
      </c>
      <c r="B46" s="38">
        <v>90550</v>
      </c>
      <c r="C46" s="39">
        <v>140500</v>
      </c>
      <c r="E46" s="127" t="s">
        <v>376</v>
      </c>
      <c r="F46" s="219" t="s">
        <v>375</v>
      </c>
      <c r="G46" s="38">
        <v>90550</v>
      </c>
      <c r="H46" s="565">
        <f t="shared" ref="H46" si="25">SUM(H47:H48)</f>
        <v>140500</v>
      </c>
      <c r="I46" s="219" t="s">
        <v>375</v>
      </c>
      <c r="J46" s="38">
        <f>SUM(J47:J48)</f>
        <v>350300</v>
      </c>
      <c r="K46" s="38">
        <f t="shared" ref="K46:O46" si="26">SUM(K47:K48)</f>
        <v>0</v>
      </c>
      <c r="L46" s="38" t="e">
        <f t="shared" si="26"/>
        <v>#REF!</v>
      </c>
      <c r="M46" s="38">
        <f t="shared" si="26"/>
        <v>300000</v>
      </c>
      <c r="N46" s="38">
        <f t="shared" si="26"/>
        <v>150000</v>
      </c>
      <c r="O46" s="230">
        <f t="shared" si="26"/>
        <v>150000</v>
      </c>
      <c r="Y46" s="560">
        <f>SUM(M42-N42)</f>
        <v>0</v>
      </c>
      <c r="AC46" s="560">
        <f t="shared" si="3"/>
        <v>209800</v>
      </c>
      <c r="AE46">
        <v>140500</v>
      </c>
      <c r="AF46" t="s">
        <v>375</v>
      </c>
      <c r="AO46">
        <v>140500</v>
      </c>
      <c r="AQ46" s="560">
        <f t="shared" si="4"/>
        <v>209800</v>
      </c>
    </row>
    <row r="47" spans="1:43" ht="15" customHeight="1" x14ac:dyDescent="0.25">
      <c r="A47" s="218" t="s">
        <v>376</v>
      </c>
      <c r="B47" s="387">
        <v>90550</v>
      </c>
      <c r="C47" s="39">
        <v>140500</v>
      </c>
      <c r="E47" s="127" t="s">
        <v>377</v>
      </c>
      <c r="F47" s="218" t="s">
        <v>376</v>
      </c>
      <c r="G47" s="387">
        <v>90550</v>
      </c>
      <c r="H47" s="564">
        <v>140500</v>
      </c>
      <c r="I47" s="218" t="s">
        <v>376</v>
      </c>
      <c r="J47" s="38">
        <f>címrendösszesen!HE50</f>
        <v>350300</v>
      </c>
      <c r="K47" s="218" t="s">
        <v>825</v>
      </c>
      <c r="L47" s="29" t="e">
        <f>SUM(#REF!)</f>
        <v>#REF!</v>
      </c>
      <c r="M47" s="29">
        <v>300000</v>
      </c>
      <c r="N47" s="29">
        <v>150000</v>
      </c>
      <c r="O47" s="426">
        <v>150000</v>
      </c>
      <c r="Q47" s="555">
        <v>1</v>
      </c>
      <c r="R47" s="555">
        <v>1</v>
      </c>
      <c r="S47" s="555">
        <v>1</v>
      </c>
      <c r="AC47" s="560">
        <f t="shared" si="3"/>
        <v>209800</v>
      </c>
      <c r="AE47">
        <v>140500</v>
      </c>
      <c r="AF47" t="s">
        <v>376</v>
      </c>
      <c r="AO47">
        <v>140500</v>
      </c>
      <c r="AQ47" s="560">
        <f t="shared" si="4"/>
        <v>209800</v>
      </c>
    </row>
    <row r="48" spans="1:43" ht="15" customHeight="1" x14ac:dyDescent="0.25">
      <c r="A48" s="218" t="s">
        <v>377</v>
      </c>
      <c r="B48" s="387">
        <v>0</v>
      </c>
      <c r="C48" s="39">
        <v>0</v>
      </c>
      <c r="E48" s="127" t="s">
        <v>378</v>
      </c>
      <c r="F48" s="218" t="s">
        <v>377</v>
      </c>
      <c r="G48" s="387">
        <v>0</v>
      </c>
      <c r="H48" s="564">
        <v>0</v>
      </c>
      <c r="I48" s="218" t="s">
        <v>377</v>
      </c>
      <c r="J48" s="38">
        <f>címrendösszesen!HE51</f>
        <v>0</v>
      </c>
      <c r="K48" s="218"/>
      <c r="L48" s="29"/>
      <c r="M48" s="29"/>
      <c r="N48" s="29"/>
      <c r="O48" s="426"/>
      <c r="Y48" s="560">
        <f>SUM(N42-O42)</f>
        <v>0</v>
      </c>
      <c r="AC48" s="560">
        <f t="shared" si="3"/>
        <v>0</v>
      </c>
      <c r="AE48">
        <v>0</v>
      </c>
      <c r="AF48" t="s">
        <v>377</v>
      </c>
      <c r="AO48">
        <v>0</v>
      </c>
      <c r="AQ48" s="560">
        <f t="shared" si="4"/>
        <v>0</v>
      </c>
    </row>
    <row r="49" spans="1:43" ht="15" customHeight="1" x14ac:dyDescent="0.25">
      <c r="A49" s="219" t="s">
        <v>378</v>
      </c>
      <c r="B49" s="38">
        <v>17045094</v>
      </c>
      <c r="C49" s="39">
        <v>18035622</v>
      </c>
      <c r="E49" s="127" t="s">
        <v>379</v>
      </c>
      <c r="F49" s="219" t="s">
        <v>378</v>
      </c>
      <c r="G49" s="38">
        <v>17045094</v>
      </c>
      <c r="H49" s="565">
        <f t="shared" ref="H49" si="27">SUM(H25+H37)</f>
        <v>18056811</v>
      </c>
      <c r="I49" s="219" t="s">
        <v>378</v>
      </c>
      <c r="J49" s="38">
        <f>SUM(J25+J37)</f>
        <v>18414904.763999999</v>
      </c>
      <c r="K49" s="38" t="e">
        <f t="shared" ref="K49:O49" si="28">SUM(K25+K37)</f>
        <v>#VALUE!</v>
      </c>
      <c r="L49" s="38" t="e">
        <f t="shared" si="28"/>
        <v>#REF!</v>
      </c>
      <c r="M49" s="38">
        <f t="shared" si="28"/>
        <v>18340785.151640002</v>
      </c>
      <c r="N49" s="38">
        <f t="shared" si="28"/>
        <v>18379168.3199564</v>
      </c>
      <c r="O49" s="230">
        <f t="shared" si="28"/>
        <v>18569767.702291965</v>
      </c>
      <c r="Q49" s="555">
        <v>1.0108428057846912</v>
      </c>
      <c r="R49" s="555">
        <v>1.0108587783909273</v>
      </c>
      <c r="S49" s="555">
        <v>1.0108754953224897</v>
      </c>
      <c r="Y49" s="560">
        <f>SUM(J42-M42)</f>
        <v>-300000</v>
      </c>
      <c r="AC49" s="560">
        <f t="shared" si="3"/>
        <v>358093.76399999857</v>
      </c>
      <c r="AE49">
        <v>18056811</v>
      </c>
      <c r="AF49" t="s">
        <v>378</v>
      </c>
      <c r="AO49">
        <v>18094820</v>
      </c>
      <c r="AQ49" s="560">
        <f t="shared" si="4"/>
        <v>320084.76399999857</v>
      </c>
    </row>
    <row r="50" spans="1:43" ht="15" customHeight="1" x14ac:dyDescent="0.25">
      <c r="A50" s="219" t="s">
        <v>379</v>
      </c>
      <c r="B50" s="38">
        <v>5694119</v>
      </c>
      <c r="C50" s="39">
        <v>6401040</v>
      </c>
      <c r="E50" s="127" t="s">
        <v>380</v>
      </c>
      <c r="F50" s="219" t="s">
        <v>387</v>
      </c>
      <c r="G50" s="38">
        <v>6873800</v>
      </c>
      <c r="H50" s="565">
        <f t="shared" ref="H50" si="29">SUM(H51+H53)</f>
        <v>2929976</v>
      </c>
      <c r="I50" s="219" t="s">
        <v>379</v>
      </c>
      <c r="J50" s="38">
        <f>SUM(J51+J55)</f>
        <v>6918575</v>
      </c>
      <c r="K50" s="38">
        <f t="shared" ref="K50:O50" si="30">SUM(K51+K55)</f>
        <v>6379851</v>
      </c>
      <c r="L50" s="38">
        <f t="shared" si="30"/>
        <v>6379851</v>
      </c>
      <c r="M50" s="38">
        <f t="shared" si="30"/>
        <v>6940000</v>
      </c>
      <c r="N50" s="38">
        <f t="shared" si="30"/>
        <v>7009000</v>
      </c>
      <c r="O50" s="230">
        <f t="shared" si="30"/>
        <v>7078690</v>
      </c>
      <c r="Y50" s="560">
        <f>SUM(M42-N42)</f>
        <v>0</v>
      </c>
      <c r="AC50" s="560">
        <f t="shared" si="3"/>
        <v>538724</v>
      </c>
      <c r="AE50">
        <v>6379851</v>
      </c>
      <c r="AF50" t="s">
        <v>379</v>
      </c>
      <c r="AO50">
        <v>6379851</v>
      </c>
      <c r="AQ50" s="560">
        <f t="shared" si="4"/>
        <v>538724</v>
      </c>
    </row>
    <row r="51" spans="1:43" ht="15" customHeight="1" x14ac:dyDescent="0.25">
      <c r="A51" s="219" t="s">
        <v>380</v>
      </c>
      <c r="B51" s="38">
        <v>5683415</v>
      </c>
      <c r="C51" s="39">
        <v>6303336</v>
      </c>
      <c r="E51" s="127" t="s">
        <v>381</v>
      </c>
      <c r="F51" s="219" t="s">
        <v>826</v>
      </c>
      <c r="G51" s="38">
        <v>6863096</v>
      </c>
      <c r="H51" s="565">
        <f t="shared" ref="H51" si="31">SUM(H52:H52)</f>
        <v>935832</v>
      </c>
      <c r="I51" s="219" t="s">
        <v>380</v>
      </c>
      <c r="J51" s="38">
        <f>SUM(J52:J54)</f>
        <v>6849654</v>
      </c>
      <c r="K51" s="38">
        <f t="shared" ref="K51:O51" si="32">SUM(K52:K54)</f>
        <v>6282147</v>
      </c>
      <c r="L51" s="38">
        <f t="shared" si="32"/>
        <v>6282147</v>
      </c>
      <c r="M51" s="38">
        <f t="shared" si="32"/>
        <v>6900000</v>
      </c>
      <c r="N51" s="38">
        <f t="shared" si="32"/>
        <v>6969000</v>
      </c>
      <c r="O51" s="230">
        <f t="shared" si="32"/>
        <v>7038690</v>
      </c>
      <c r="AC51" s="560">
        <f t="shared" si="3"/>
        <v>567507</v>
      </c>
      <c r="AE51">
        <v>6282147</v>
      </c>
      <c r="AF51" t="s">
        <v>380</v>
      </c>
      <c r="AO51">
        <v>6282147</v>
      </c>
      <c r="AQ51" s="560">
        <f t="shared" si="4"/>
        <v>567507</v>
      </c>
    </row>
    <row r="52" spans="1:43" ht="15" customHeight="1" x14ac:dyDescent="0.25">
      <c r="A52" s="218" t="s">
        <v>381</v>
      </c>
      <c r="B52" s="387">
        <v>0</v>
      </c>
      <c r="C52" s="39">
        <v>0</v>
      </c>
      <c r="E52" s="127" t="s">
        <v>382</v>
      </c>
      <c r="F52" s="218" t="s">
        <v>392</v>
      </c>
      <c r="G52" s="387">
        <v>1179681</v>
      </c>
      <c r="H52" s="564">
        <v>935832</v>
      </c>
      <c r="I52" s="218" t="s">
        <v>381</v>
      </c>
      <c r="J52" s="38">
        <f>címrendösszesen!HE55</f>
        <v>0</v>
      </c>
      <c r="K52" s="38"/>
      <c r="L52" s="38"/>
      <c r="M52" s="38"/>
      <c r="N52" s="38"/>
      <c r="O52" s="230"/>
      <c r="AC52" s="560">
        <f t="shared" si="3"/>
        <v>0</v>
      </c>
      <c r="AE52">
        <v>0</v>
      </c>
      <c r="AF52" t="s">
        <v>381</v>
      </c>
      <c r="AO52">
        <v>0</v>
      </c>
      <c r="AQ52" s="560">
        <f t="shared" si="4"/>
        <v>0</v>
      </c>
    </row>
    <row r="53" spans="1:43" ht="15" customHeight="1" x14ac:dyDescent="0.25">
      <c r="A53" s="218" t="s">
        <v>382</v>
      </c>
      <c r="B53" s="387">
        <v>0</v>
      </c>
      <c r="C53" s="39">
        <v>0</v>
      </c>
      <c r="E53" s="127" t="s">
        <v>383</v>
      </c>
      <c r="F53" s="219" t="s">
        <v>827</v>
      </c>
      <c r="G53" s="38">
        <v>10704</v>
      </c>
      <c r="H53" s="565">
        <f t="shared" ref="H53" si="33">SUM(H54:H54)</f>
        <v>1994144</v>
      </c>
      <c r="I53" s="218" t="s">
        <v>382</v>
      </c>
      <c r="J53" s="38">
        <f>címrendösszesen!HE56</f>
        <v>0</v>
      </c>
      <c r="K53" s="38"/>
      <c r="L53" s="38"/>
      <c r="M53" s="38"/>
      <c r="N53" s="38"/>
      <c r="O53" s="230"/>
      <c r="AC53" s="560">
        <f t="shared" si="3"/>
        <v>0</v>
      </c>
      <c r="AE53">
        <v>0</v>
      </c>
      <c r="AF53" t="s">
        <v>382</v>
      </c>
      <c r="AO53">
        <v>0</v>
      </c>
      <c r="AQ53" s="560">
        <f t="shared" si="4"/>
        <v>0</v>
      </c>
    </row>
    <row r="54" spans="1:43" ht="15" customHeight="1" thickBot="1" x14ac:dyDescent="0.3">
      <c r="A54" s="220" t="s">
        <v>383</v>
      </c>
      <c r="B54" s="387">
        <v>5683415</v>
      </c>
      <c r="C54" s="39">
        <v>6303336</v>
      </c>
      <c r="E54" s="127" t="s">
        <v>384</v>
      </c>
      <c r="F54" s="222" t="s">
        <v>395</v>
      </c>
      <c r="G54" s="389">
        <v>0</v>
      </c>
      <c r="H54" s="569">
        <v>1994144</v>
      </c>
      <c r="I54" s="220" t="s">
        <v>383</v>
      </c>
      <c r="J54" s="38">
        <f>címrendösszesen!HE57</f>
        <v>6849654</v>
      </c>
      <c r="K54" s="38">
        <v>6282147</v>
      </c>
      <c r="L54" s="38">
        <v>6282147</v>
      </c>
      <c r="M54" s="387">
        <v>6900000</v>
      </c>
      <c r="N54" s="387">
        <f>M54*1.01</f>
        <v>6969000</v>
      </c>
      <c r="O54" s="572">
        <f>N54*1.01</f>
        <v>7038690</v>
      </c>
      <c r="AC54" s="560">
        <f t="shared" si="3"/>
        <v>567507</v>
      </c>
      <c r="AE54">
        <v>6282147</v>
      </c>
      <c r="AF54" t="s">
        <v>383</v>
      </c>
      <c r="AO54">
        <v>6282147</v>
      </c>
      <c r="AQ54" s="560">
        <f t="shared" si="4"/>
        <v>567507</v>
      </c>
    </row>
    <row r="55" spans="1:43" ht="15" customHeight="1" thickBot="1" x14ac:dyDescent="0.3">
      <c r="A55" s="219" t="s">
        <v>384</v>
      </c>
      <c r="B55" s="38">
        <v>10704</v>
      </c>
      <c r="C55" s="39">
        <v>97704</v>
      </c>
      <c r="E55" s="127" t="s">
        <v>385</v>
      </c>
      <c r="F55" s="570" t="s">
        <v>828</v>
      </c>
      <c r="G55" s="571"/>
      <c r="H55" s="571"/>
      <c r="I55" s="219" t="s">
        <v>384</v>
      </c>
      <c r="J55" s="38">
        <f>SUM(J56:J57)</f>
        <v>68921</v>
      </c>
      <c r="K55" s="38">
        <f t="shared" ref="K55:O55" si="34">SUM(K56:K57)</f>
        <v>97704</v>
      </c>
      <c r="L55" s="38">
        <f t="shared" si="34"/>
        <v>97704</v>
      </c>
      <c r="M55" s="38">
        <f t="shared" si="34"/>
        <v>40000</v>
      </c>
      <c r="N55" s="38">
        <f t="shared" si="34"/>
        <v>40000</v>
      </c>
      <c r="O55" s="230">
        <f t="shared" si="34"/>
        <v>40000</v>
      </c>
      <c r="AC55" s="560">
        <f t="shared" si="3"/>
        <v>-28783</v>
      </c>
      <c r="AE55">
        <v>97704</v>
      </c>
      <c r="AF55" t="s">
        <v>384</v>
      </c>
      <c r="AO55">
        <v>97704</v>
      </c>
      <c r="AQ55" s="560">
        <f t="shared" si="4"/>
        <v>-28783</v>
      </c>
    </row>
    <row r="56" spans="1:43" ht="15" customHeight="1" x14ac:dyDescent="0.25">
      <c r="A56" s="220" t="s">
        <v>385</v>
      </c>
      <c r="B56" s="387">
        <v>10704</v>
      </c>
      <c r="C56" s="39">
        <v>97704</v>
      </c>
      <c r="E56" s="127" t="s">
        <v>386</v>
      </c>
      <c r="H56" s="17">
        <f>SUM(H3-H24)</f>
        <v>0</v>
      </c>
      <c r="I56" s="220" t="s">
        <v>385</v>
      </c>
      <c r="J56" s="38">
        <f>címrendösszesen!HE59</f>
        <v>68921</v>
      </c>
      <c r="K56" s="38">
        <v>97704</v>
      </c>
      <c r="L56" s="38">
        <v>97704</v>
      </c>
      <c r="M56" s="387">
        <v>40000</v>
      </c>
      <c r="N56" s="387">
        <v>40000</v>
      </c>
      <c r="O56" s="572">
        <v>40000</v>
      </c>
      <c r="AC56" s="560">
        <f t="shared" si="3"/>
        <v>-28783</v>
      </c>
      <c r="AE56">
        <v>97704</v>
      </c>
      <c r="AF56" t="s">
        <v>385</v>
      </c>
      <c r="AO56">
        <v>97704</v>
      </c>
      <c r="AQ56" s="560">
        <f t="shared" si="4"/>
        <v>-28783</v>
      </c>
    </row>
    <row r="57" spans="1:43" ht="15" customHeight="1" x14ac:dyDescent="0.25">
      <c r="A57" s="218" t="s">
        <v>386</v>
      </c>
      <c r="B57" s="387">
        <v>0</v>
      </c>
      <c r="C57" s="39">
        <v>0</v>
      </c>
      <c r="E57" s="127" t="s">
        <v>387</v>
      </c>
      <c r="I57" s="218" t="s">
        <v>386</v>
      </c>
      <c r="J57" s="38">
        <f>címrendösszesen!HE60</f>
        <v>0</v>
      </c>
      <c r="K57" s="38"/>
      <c r="L57" s="38"/>
      <c r="M57" s="38"/>
      <c r="N57" s="38"/>
      <c r="O57" s="230"/>
      <c r="AC57" s="560">
        <f t="shared" si="3"/>
        <v>0</v>
      </c>
      <c r="AE57">
        <v>0</v>
      </c>
      <c r="AF57" t="s">
        <v>386</v>
      </c>
      <c r="AO57">
        <v>0</v>
      </c>
      <c r="AQ57" s="560">
        <f t="shared" si="4"/>
        <v>0</v>
      </c>
    </row>
    <row r="58" spans="1:43" ht="15" customHeight="1" x14ac:dyDescent="0.25">
      <c r="A58" s="219" t="s">
        <v>387</v>
      </c>
      <c r="B58" s="38">
        <v>6873800</v>
      </c>
      <c r="C58" s="39">
        <v>9331016</v>
      </c>
      <c r="E58" s="127" t="s">
        <v>388</v>
      </c>
      <c r="I58" s="219" t="s">
        <v>387</v>
      </c>
      <c r="J58" s="38">
        <f>SUM(J59+J64)</f>
        <v>12467200</v>
      </c>
      <c r="K58" s="38">
        <f t="shared" ref="K58:O58" si="35">SUM(K59+K64)</f>
        <v>6477555</v>
      </c>
      <c r="L58" s="38" t="e">
        <f t="shared" si="35"/>
        <v>#REF!</v>
      </c>
      <c r="M58" s="38">
        <f t="shared" si="35"/>
        <v>7853959</v>
      </c>
      <c r="N58" s="38">
        <f t="shared" si="35"/>
        <v>7934721</v>
      </c>
      <c r="O58" s="230">
        <f t="shared" si="35"/>
        <v>8009411</v>
      </c>
      <c r="Q58" s="555">
        <v>1.0055780335972333</v>
      </c>
      <c r="R58" s="555">
        <v>1.0179548335315323</v>
      </c>
      <c r="S58" s="555">
        <v>1.0180676950974916</v>
      </c>
      <c r="AC58" s="560">
        <f t="shared" si="3"/>
        <v>3157373</v>
      </c>
      <c r="AE58">
        <v>9309827</v>
      </c>
      <c r="AF58" t="s">
        <v>387</v>
      </c>
      <c r="AO58">
        <v>9309827</v>
      </c>
      <c r="AQ58" s="560">
        <f t="shared" si="4"/>
        <v>3157373</v>
      </c>
    </row>
    <row r="59" spans="1:43" ht="15" customHeight="1" x14ac:dyDescent="0.25">
      <c r="A59" s="219" t="s">
        <v>388</v>
      </c>
      <c r="B59" s="38">
        <v>6863096</v>
      </c>
      <c r="C59" s="39">
        <v>7239168</v>
      </c>
      <c r="E59" s="127" t="s">
        <v>389</v>
      </c>
      <c r="I59" s="219" t="s">
        <v>388</v>
      </c>
      <c r="J59" s="38">
        <f>SUM(J60:J63)</f>
        <v>7937886</v>
      </c>
      <c r="K59" s="38">
        <f t="shared" ref="K59:O59" si="36">SUM(K60:K63)</f>
        <v>6379851</v>
      </c>
      <c r="L59" s="38" t="e">
        <f t="shared" si="36"/>
        <v>#REF!</v>
      </c>
      <c r="M59" s="38">
        <f t="shared" si="36"/>
        <v>7165959</v>
      </c>
      <c r="N59" s="38">
        <f t="shared" si="36"/>
        <v>7246721</v>
      </c>
      <c r="O59" s="230">
        <f t="shared" si="36"/>
        <v>7321411</v>
      </c>
      <c r="AC59" s="560">
        <f t="shared" si="3"/>
        <v>719907</v>
      </c>
      <c r="AE59">
        <v>7217979</v>
      </c>
      <c r="AF59" t="s">
        <v>388</v>
      </c>
      <c r="AO59">
        <v>7217979</v>
      </c>
      <c r="AQ59" s="560">
        <f t="shared" si="4"/>
        <v>719907</v>
      </c>
    </row>
    <row r="60" spans="1:43" ht="15" customHeight="1" x14ac:dyDescent="0.25">
      <c r="A60" s="220" t="s">
        <v>389</v>
      </c>
      <c r="B60" s="387">
        <v>5683415</v>
      </c>
      <c r="C60" s="39">
        <v>6303336</v>
      </c>
      <c r="E60" s="127" t="s">
        <v>390</v>
      </c>
      <c r="I60" s="220" t="s">
        <v>389</v>
      </c>
      <c r="J60" s="38">
        <f>címrendösszesen!HE63</f>
        <v>6849654</v>
      </c>
      <c r="K60" s="38">
        <v>6282147</v>
      </c>
      <c r="L60" s="38">
        <v>6282147</v>
      </c>
      <c r="M60" s="387">
        <v>6900000</v>
      </c>
      <c r="N60" s="387">
        <v>6969000</v>
      </c>
      <c r="O60" s="572">
        <v>7038690</v>
      </c>
      <c r="AC60" s="560">
        <f t="shared" si="3"/>
        <v>567507</v>
      </c>
      <c r="AE60">
        <v>6282147</v>
      </c>
      <c r="AF60" t="s">
        <v>389</v>
      </c>
      <c r="AO60">
        <v>6282147</v>
      </c>
      <c r="AQ60" s="560">
        <f t="shared" si="4"/>
        <v>567507</v>
      </c>
    </row>
    <row r="61" spans="1:43" ht="15" customHeight="1" x14ac:dyDescent="0.25">
      <c r="A61" s="218" t="s">
        <v>390</v>
      </c>
      <c r="B61" s="387">
        <v>0</v>
      </c>
      <c r="C61" s="39">
        <v>0</v>
      </c>
      <c r="E61" s="127" t="s">
        <v>391</v>
      </c>
      <c r="I61" s="218" t="s">
        <v>390</v>
      </c>
      <c r="J61" s="38">
        <f>címrendösszesen!HE64</f>
        <v>0</v>
      </c>
      <c r="K61" s="38"/>
      <c r="L61" s="38"/>
      <c r="M61" s="38"/>
      <c r="N61" s="38"/>
      <c r="O61" s="230"/>
      <c r="AC61" s="560">
        <f t="shared" si="3"/>
        <v>0</v>
      </c>
      <c r="AE61">
        <v>0</v>
      </c>
      <c r="AF61" t="s">
        <v>390</v>
      </c>
      <c r="AO61">
        <v>0</v>
      </c>
      <c r="AQ61" s="560">
        <f t="shared" si="4"/>
        <v>0</v>
      </c>
    </row>
    <row r="62" spans="1:43" ht="15" customHeight="1" x14ac:dyDescent="0.25">
      <c r="A62" s="218" t="s">
        <v>391</v>
      </c>
      <c r="B62" s="387">
        <v>0</v>
      </c>
      <c r="C62" s="39">
        <v>0</v>
      </c>
      <c r="E62" s="127" t="s">
        <v>392</v>
      </c>
      <c r="G62" s="23"/>
      <c r="H62" s="23"/>
      <c r="I62" s="218" t="s">
        <v>391</v>
      </c>
      <c r="J62" s="38">
        <f>címrendösszesen!HE65</f>
        <v>0</v>
      </c>
      <c r="K62" s="38"/>
      <c r="L62" s="38"/>
      <c r="M62" s="38">
        <v>265959</v>
      </c>
      <c r="N62" s="38">
        <v>277721</v>
      </c>
      <c r="O62" s="230">
        <v>282721</v>
      </c>
      <c r="AC62" s="560">
        <f t="shared" si="3"/>
        <v>0</v>
      </c>
      <c r="AE62">
        <v>0</v>
      </c>
      <c r="AF62" t="s">
        <v>391</v>
      </c>
      <c r="AO62">
        <v>0</v>
      </c>
      <c r="AQ62" s="560">
        <f t="shared" si="4"/>
        <v>0</v>
      </c>
    </row>
    <row r="63" spans="1:43" ht="15" customHeight="1" x14ac:dyDescent="0.25">
      <c r="A63" s="218" t="s">
        <v>392</v>
      </c>
      <c r="B63" s="387">
        <v>1179681</v>
      </c>
      <c r="C63" s="39">
        <v>935832</v>
      </c>
      <c r="E63" s="127" t="s">
        <v>393</v>
      </c>
      <c r="I63" s="218" t="s">
        <v>392</v>
      </c>
      <c r="J63" s="38">
        <f>címrendösszesen!HE66</f>
        <v>1088232</v>
      </c>
      <c r="K63" s="38">
        <f t="shared" ref="K63:L63" si="37">SUM(K64)</f>
        <v>97704</v>
      </c>
      <c r="L63" s="38" t="e">
        <f t="shared" si="37"/>
        <v>#REF!</v>
      </c>
      <c r="M63" s="387"/>
      <c r="N63" s="387"/>
      <c r="O63" s="572"/>
      <c r="AC63" s="560">
        <f t="shared" si="3"/>
        <v>152400</v>
      </c>
      <c r="AE63">
        <v>935832</v>
      </c>
      <c r="AF63" t="s">
        <v>392</v>
      </c>
      <c r="AO63">
        <v>935832</v>
      </c>
      <c r="AQ63" s="560">
        <f t="shared" si="4"/>
        <v>152400</v>
      </c>
    </row>
    <row r="64" spans="1:43" ht="15" customHeight="1" x14ac:dyDescent="0.25">
      <c r="A64" s="219" t="s">
        <v>393</v>
      </c>
      <c r="B64" s="38">
        <v>10704</v>
      </c>
      <c r="C64" s="39">
        <v>2091848</v>
      </c>
      <c r="E64" s="127" t="s">
        <v>394</v>
      </c>
      <c r="I64" s="219" t="s">
        <v>393</v>
      </c>
      <c r="J64" s="38">
        <f t="shared" ref="J64:O64" si="38">SUM(J65:J67)</f>
        <v>4529314</v>
      </c>
      <c r="K64" s="38">
        <f t="shared" si="38"/>
        <v>97704</v>
      </c>
      <c r="L64" s="38" t="e">
        <f t="shared" si="38"/>
        <v>#REF!</v>
      </c>
      <c r="M64" s="38">
        <f t="shared" si="38"/>
        <v>688000</v>
      </c>
      <c r="N64" s="38">
        <f t="shared" si="38"/>
        <v>688000</v>
      </c>
      <c r="O64" s="230">
        <f t="shared" si="38"/>
        <v>688000</v>
      </c>
      <c r="AC64" s="560">
        <f t="shared" si="3"/>
        <v>2437466</v>
      </c>
      <c r="AE64">
        <v>2091848</v>
      </c>
      <c r="AF64" t="s">
        <v>393</v>
      </c>
      <c r="AO64">
        <v>2091848</v>
      </c>
      <c r="AQ64" s="560">
        <f t="shared" si="4"/>
        <v>2437466</v>
      </c>
    </row>
    <row r="65" spans="1:43" ht="15" customHeight="1" x14ac:dyDescent="0.25">
      <c r="A65" s="220" t="s">
        <v>394</v>
      </c>
      <c r="B65" s="387">
        <v>10704</v>
      </c>
      <c r="C65" s="39">
        <v>97704</v>
      </c>
      <c r="E65" s="127" t="s">
        <v>395</v>
      </c>
      <c r="I65" s="220" t="s">
        <v>394</v>
      </c>
      <c r="J65" s="38">
        <f>címrendösszesen!HE68</f>
        <v>68921</v>
      </c>
      <c r="K65" s="38">
        <v>97704</v>
      </c>
      <c r="L65" s="38">
        <v>97704</v>
      </c>
      <c r="M65" s="387">
        <v>40000</v>
      </c>
      <c r="N65" s="387">
        <v>40000</v>
      </c>
      <c r="O65" s="572">
        <v>40000</v>
      </c>
      <c r="AC65" s="560">
        <f t="shared" si="3"/>
        <v>-28783</v>
      </c>
      <c r="AE65">
        <v>97704</v>
      </c>
      <c r="AF65" t="s">
        <v>394</v>
      </c>
      <c r="AO65">
        <v>97704</v>
      </c>
      <c r="AQ65" s="560">
        <f t="shared" si="4"/>
        <v>-28783</v>
      </c>
    </row>
    <row r="66" spans="1:43" s="887" customFormat="1" ht="15" customHeight="1" x14ac:dyDescent="0.25">
      <c r="A66" s="877"/>
      <c r="B66" s="884"/>
      <c r="C66" s="885"/>
      <c r="D66" s="886"/>
      <c r="E66" s="332"/>
      <c r="G66" s="888"/>
      <c r="H66" s="888"/>
      <c r="I66" s="859" t="s">
        <v>1124</v>
      </c>
      <c r="J66" s="889">
        <f>SUM(címrendösszesen!HE69)</f>
        <v>0</v>
      </c>
      <c r="K66" s="889"/>
      <c r="L66" s="889"/>
      <c r="M66" s="884"/>
      <c r="N66" s="884"/>
      <c r="O66" s="890"/>
      <c r="Q66" s="891"/>
      <c r="R66" s="891"/>
      <c r="S66" s="891"/>
      <c r="AC66" s="892"/>
      <c r="AQ66" s="892"/>
    </row>
    <row r="67" spans="1:43" ht="15" customHeight="1" thickBot="1" x14ac:dyDescent="0.3">
      <c r="A67" s="222" t="s">
        <v>395</v>
      </c>
      <c r="B67" s="389">
        <v>0</v>
      </c>
      <c r="C67" s="39">
        <v>1994144</v>
      </c>
      <c r="I67" s="222" t="s">
        <v>395</v>
      </c>
      <c r="J67" s="241">
        <f>címrendösszesen!HE70</f>
        <v>4460393</v>
      </c>
      <c r="K67" s="19" t="s">
        <v>829</v>
      </c>
      <c r="L67" s="573" t="e">
        <f>SUM(#REF!)</f>
        <v>#REF!</v>
      </c>
      <c r="M67" s="573">
        <v>648000</v>
      </c>
      <c r="N67" s="573">
        <v>648000</v>
      </c>
      <c r="O67" s="574">
        <v>648000</v>
      </c>
      <c r="AC67" s="560">
        <f t="shared" si="3"/>
        <v>2466249</v>
      </c>
      <c r="AE67">
        <v>1994144</v>
      </c>
      <c r="AF67" t="s">
        <v>395</v>
      </c>
      <c r="AO67">
        <v>1994144</v>
      </c>
      <c r="AQ67" s="560">
        <f t="shared" si="4"/>
        <v>2466249</v>
      </c>
    </row>
    <row r="68" spans="1:43" ht="15" customHeight="1" thickBot="1" x14ac:dyDescent="0.3">
      <c r="A68" s="575" t="s">
        <v>830</v>
      </c>
      <c r="C68" s="29">
        <v>6401040</v>
      </c>
      <c r="G68" s="23"/>
      <c r="H68" s="23"/>
      <c r="I68" s="23"/>
      <c r="Q68" s="576" t="s">
        <v>831</v>
      </c>
      <c r="R68" s="577"/>
      <c r="S68" s="577"/>
      <c r="T68" s="577"/>
      <c r="U68" s="577"/>
      <c r="V68" s="577"/>
      <c r="W68" s="577"/>
      <c r="AC68" s="560">
        <f t="shared" si="3"/>
        <v>0</v>
      </c>
      <c r="AQ68" s="560">
        <f t="shared" si="4"/>
        <v>0</v>
      </c>
    </row>
    <row r="69" spans="1:43" ht="15" customHeight="1" thickBot="1" x14ac:dyDescent="0.3">
      <c r="C69" s="190">
        <v>20965598</v>
      </c>
      <c r="G69" s="23"/>
      <c r="H69" s="23"/>
      <c r="I69" s="23" t="s">
        <v>884</v>
      </c>
      <c r="J69" s="21">
        <f t="shared" ref="J69:O69" si="39">SUM(J23+J50)</f>
        <v>30882104.600000001</v>
      </c>
      <c r="K69" s="21">
        <f t="shared" si="39"/>
        <v>22619719</v>
      </c>
      <c r="L69" s="21" t="e">
        <f t="shared" si="39"/>
        <v>#REF!</v>
      </c>
      <c r="M69" s="21">
        <f t="shared" si="39"/>
        <v>26197769.357699998</v>
      </c>
      <c r="N69" s="21">
        <f t="shared" si="39"/>
        <v>26316944.500688497</v>
      </c>
      <c r="O69" s="21">
        <f t="shared" si="39"/>
        <v>26582265.22934394</v>
      </c>
      <c r="Q69" s="578" t="s">
        <v>832</v>
      </c>
      <c r="R69" s="579" t="s">
        <v>833</v>
      </c>
      <c r="S69" s="579" t="s">
        <v>834</v>
      </c>
      <c r="T69" s="579" t="s">
        <v>835</v>
      </c>
      <c r="U69" s="579" t="s">
        <v>836</v>
      </c>
      <c r="V69" s="579" t="s">
        <v>837</v>
      </c>
      <c r="W69" s="579" t="s">
        <v>838</v>
      </c>
      <c r="AC69" s="560">
        <f t="shared" ref="AC69:AC132" si="40">SUM(J69-AE69)</f>
        <v>3515466.6000000015</v>
      </c>
      <c r="AE69">
        <v>27366638</v>
      </c>
      <c r="AO69">
        <v>27404647</v>
      </c>
      <c r="AQ69" s="560">
        <f t="shared" ref="AQ69:AQ132" si="41">SUM(J69-AO69)</f>
        <v>3477457.6000000015</v>
      </c>
    </row>
    <row r="70" spans="1:43" ht="15" customHeight="1" thickBot="1" x14ac:dyDescent="0.3">
      <c r="C70" s="29">
        <v>-935832</v>
      </c>
      <c r="I70" s="9" t="s">
        <v>2341</v>
      </c>
      <c r="J70" s="21">
        <f t="shared" ref="J70:O70" si="42">SUM(J49+J58)</f>
        <v>30882104.763999999</v>
      </c>
      <c r="K70" s="21" t="e">
        <f t="shared" si="42"/>
        <v>#VALUE!</v>
      </c>
      <c r="L70" s="21" t="e">
        <f t="shared" si="42"/>
        <v>#REF!</v>
      </c>
      <c r="M70" s="21">
        <f t="shared" si="42"/>
        <v>26194744.151640002</v>
      </c>
      <c r="N70" s="21">
        <f t="shared" si="42"/>
        <v>26313889.3199564</v>
      </c>
      <c r="O70" s="21">
        <f t="shared" si="42"/>
        <v>26579178.702291965</v>
      </c>
      <c r="Q70" s="580" t="s">
        <v>679</v>
      </c>
      <c r="R70" s="581">
        <v>10000</v>
      </c>
      <c r="S70" s="582">
        <v>60000</v>
      </c>
      <c r="T70" s="582">
        <v>60000</v>
      </c>
      <c r="U70" s="582">
        <v>60000</v>
      </c>
      <c r="V70" s="581">
        <v>10000</v>
      </c>
      <c r="W70" s="582">
        <f t="shared" ref="W70:W75" si="43">SUM(T70:V70)</f>
        <v>130000</v>
      </c>
      <c r="AC70" s="560">
        <f t="shared" si="40"/>
        <v>3515466.7639999986</v>
      </c>
      <c r="AE70">
        <v>27366638</v>
      </c>
      <c r="AO70">
        <v>27404647</v>
      </c>
      <c r="AQ70" s="560">
        <f t="shared" si="41"/>
        <v>3477457.7639999986</v>
      </c>
    </row>
    <row r="71" spans="1:43" ht="15" customHeight="1" thickBot="1" x14ac:dyDescent="0.3">
      <c r="C71" s="29">
        <v>-1994144</v>
      </c>
      <c r="I71" s="9"/>
      <c r="J71" s="21">
        <f>SUM(J69-J70)</f>
        <v>-0.16399999707937241</v>
      </c>
      <c r="K71" s="21" t="e">
        <f t="shared" ref="K71:O71" si="44">SUM(K69-K70)</f>
        <v>#VALUE!</v>
      </c>
      <c r="L71" s="21" t="e">
        <f t="shared" si="44"/>
        <v>#REF!</v>
      </c>
      <c r="M71" s="21">
        <f>SUM(M69-M70)</f>
        <v>3025.2060599960387</v>
      </c>
      <c r="N71" s="21">
        <f t="shared" si="44"/>
        <v>3055.1807320974767</v>
      </c>
      <c r="O71" s="21">
        <f t="shared" si="44"/>
        <v>3086.527051974088</v>
      </c>
      <c r="Q71" s="580" t="s">
        <v>839</v>
      </c>
      <c r="R71" s="581">
        <f>65000*1.2</f>
        <v>78000</v>
      </c>
      <c r="S71" s="582">
        <v>0</v>
      </c>
      <c r="T71" s="582">
        <v>0</v>
      </c>
      <c r="U71" s="582">
        <v>0</v>
      </c>
      <c r="V71" s="582">
        <v>0</v>
      </c>
      <c r="W71" s="582">
        <f t="shared" si="43"/>
        <v>0</v>
      </c>
      <c r="AC71" s="560">
        <f t="shared" si="40"/>
        <v>-0.16399999707937241</v>
      </c>
      <c r="AE71">
        <v>0</v>
      </c>
      <c r="AO71">
        <v>0</v>
      </c>
      <c r="AQ71" s="560">
        <f t="shared" si="41"/>
        <v>-0.16399999707937241</v>
      </c>
    </row>
    <row r="72" spans="1:43" ht="15" customHeight="1" thickBot="1" x14ac:dyDescent="0.3">
      <c r="C72" s="190">
        <v>-2929976</v>
      </c>
      <c r="I72" s="9"/>
      <c r="K72" s="9"/>
      <c r="L72" s="9"/>
      <c r="M72" s="9"/>
      <c r="N72" s="9"/>
      <c r="O72" s="9"/>
      <c r="Q72" s="580" t="s">
        <v>840</v>
      </c>
      <c r="R72" s="582">
        <v>2500</v>
      </c>
      <c r="S72" s="582">
        <v>5000</v>
      </c>
      <c r="T72" s="582">
        <v>5000</v>
      </c>
      <c r="U72" s="582">
        <v>2500</v>
      </c>
      <c r="V72" s="582">
        <v>0</v>
      </c>
      <c r="W72" s="582">
        <f t="shared" si="43"/>
        <v>7500</v>
      </c>
      <c r="AC72" s="560">
        <f t="shared" si="40"/>
        <v>0</v>
      </c>
      <c r="AQ72" s="560">
        <f t="shared" si="41"/>
        <v>0</v>
      </c>
    </row>
    <row r="73" spans="1:43" ht="15" customHeight="1" thickBot="1" x14ac:dyDescent="0.3">
      <c r="C73" s="29">
        <v>0</v>
      </c>
      <c r="I73" s="9"/>
      <c r="J73" s="560">
        <f t="shared" ref="J73:O73" si="45">SUM(J4-J25++J51-J59)</f>
        <v>-716261.16399999708</v>
      </c>
      <c r="K73" s="560" t="e">
        <f t="shared" si="45"/>
        <v>#VALUE!</v>
      </c>
      <c r="L73" s="560" t="e">
        <f t="shared" si="45"/>
        <v>#REF!</v>
      </c>
      <c r="M73" s="560">
        <f t="shared" si="45"/>
        <v>-230673.79394000396</v>
      </c>
      <c r="N73" s="560">
        <f t="shared" si="45"/>
        <v>-255454.81926790252</v>
      </c>
      <c r="O73" s="560">
        <f t="shared" si="45"/>
        <v>-309962.47294802591</v>
      </c>
      <c r="Q73" s="580" t="s">
        <v>841</v>
      </c>
      <c r="R73" s="582">
        <v>0</v>
      </c>
      <c r="S73" s="582">
        <f>5000+2500</f>
        <v>7500</v>
      </c>
      <c r="T73" s="582">
        <f>5000+2500</f>
        <v>7500</v>
      </c>
      <c r="U73" s="582">
        <f>5000+2500</f>
        <v>7500</v>
      </c>
      <c r="V73" s="582">
        <v>0</v>
      </c>
      <c r="W73" s="582">
        <f t="shared" si="43"/>
        <v>15000</v>
      </c>
      <c r="AC73" s="560">
        <f t="shared" si="40"/>
        <v>-716261.16399999708</v>
      </c>
      <c r="AE73">
        <v>0</v>
      </c>
      <c r="AO73">
        <v>0</v>
      </c>
      <c r="AQ73" s="560">
        <f t="shared" si="41"/>
        <v>-716261.16399999708</v>
      </c>
    </row>
    <row r="74" spans="1:43" ht="15" customHeight="1" thickBot="1" x14ac:dyDescent="0.3">
      <c r="C74" s="29">
        <v>0</v>
      </c>
      <c r="I74" s="9"/>
      <c r="J74" s="560">
        <f t="shared" ref="J74:O74" si="46">SUM(J15-J37+J55-J64)</f>
        <v>716261</v>
      </c>
      <c r="K74" s="560" t="e">
        <f t="shared" si="46"/>
        <v>#VALUE!</v>
      </c>
      <c r="L74" s="560" t="e">
        <f t="shared" si="46"/>
        <v>#REF!</v>
      </c>
      <c r="M74" s="560">
        <f t="shared" si="46"/>
        <v>233699</v>
      </c>
      <c r="N74" s="560">
        <f t="shared" si="46"/>
        <v>258510</v>
      </c>
      <c r="O74" s="560">
        <f t="shared" si="46"/>
        <v>313049</v>
      </c>
      <c r="Q74" s="580" t="s">
        <v>842</v>
      </c>
      <c r="R74" s="582">
        <v>0</v>
      </c>
      <c r="S74" s="582">
        <v>10000</v>
      </c>
      <c r="T74" s="582">
        <v>10000</v>
      </c>
      <c r="U74" s="582">
        <v>10000</v>
      </c>
      <c r="V74" s="582">
        <v>0</v>
      </c>
      <c r="W74" s="582">
        <f t="shared" si="43"/>
        <v>20000</v>
      </c>
      <c r="AC74" s="560">
        <f t="shared" si="40"/>
        <v>716261</v>
      </c>
      <c r="AE74">
        <v>0</v>
      </c>
      <c r="AO74">
        <v>0</v>
      </c>
      <c r="AQ74" s="560">
        <f t="shared" si="41"/>
        <v>716261</v>
      </c>
    </row>
    <row r="75" spans="1:43" ht="15" customHeight="1" thickBot="1" x14ac:dyDescent="0.3">
      <c r="B75" s="23"/>
      <c r="C75" s="573">
        <v>0</v>
      </c>
      <c r="I75" s="9"/>
      <c r="Q75" s="580" t="s">
        <v>843</v>
      </c>
      <c r="R75" s="582">
        <v>0</v>
      </c>
      <c r="S75" s="582">
        <v>5000</v>
      </c>
      <c r="T75" s="582">
        <v>10000</v>
      </c>
      <c r="U75" s="582">
        <v>10000</v>
      </c>
      <c r="V75" s="582">
        <v>0</v>
      </c>
      <c r="W75" s="582">
        <f t="shared" si="43"/>
        <v>20000</v>
      </c>
      <c r="AC75" s="560">
        <f t="shared" si="40"/>
        <v>0</v>
      </c>
      <c r="AQ75" s="560">
        <f t="shared" si="41"/>
        <v>0</v>
      </c>
    </row>
    <row r="76" spans="1:43" ht="15" customHeight="1" thickBot="1" x14ac:dyDescent="0.3">
      <c r="I76" s="9"/>
      <c r="Q76" s="583" t="s">
        <v>844</v>
      </c>
      <c r="R76" s="581">
        <v>10000</v>
      </c>
      <c r="S76" s="582">
        <v>0</v>
      </c>
      <c r="T76" s="582">
        <v>0</v>
      </c>
      <c r="U76" s="582">
        <v>0</v>
      </c>
      <c r="V76" s="582">
        <v>0</v>
      </c>
      <c r="W76" s="582">
        <v>0</v>
      </c>
      <c r="AC76" s="560">
        <f t="shared" si="40"/>
        <v>0</v>
      </c>
      <c r="AQ76" s="560">
        <f t="shared" si="41"/>
        <v>0</v>
      </c>
    </row>
    <row r="77" spans="1:43" ht="15" customHeight="1" thickBot="1" x14ac:dyDescent="0.3">
      <c r="I77" s="9"/>
      <c r="Q77" s="584" t="s">
        <v>581</v>
      </c>
      <c r="R77" s="585">
        <f>SUM(R70:R76)</f>
        <v>100500</v>
      </c>
      <c r="S77" s="585">
        <f t="shared" ref="S77:W77" si="47">SUM(S70:S76)</f>
        <v>87500</v>
      </c>
      <c r="T77" s="585">
        <f t="shared" si="47"/>
        <v>92500</v>
      </c>
      <c r="U77" s="585">
        <f t="shared" si="47"/>
        <v>90000</v>
      </c>
      <c r="V77" s="585">
        <f t="shared" si="47"/>
        <v>10000</v>
      </c>
      <c r="W77" s="585">
        <f t="shared" si="47"/>
        <v>192500</v>
      </c>
      <c r="AC77" s="560">
        <f t="shared" si="40"/>
        <v>0</v>
      </c>
      <c r="AQ77" s="560">
        <f t="shared" si="41"/>
        <v>0</v>
      </c>
    </row>
    <row r="78" spans="1:43" ht="15" customHeight="1" x14ac:dyDescent="0.25">
      <c r="C78" s="29"/>
      <c r="Q78"/>
      <c r="R78"/>
      <c r="S78"/>
      <c r="AC78" s="560">
        <f t="shared" si="40"/>
        <v>0</v>
      </c>
      <c r="AQ78" s="560">
        <f t="shared" si="41"/>
        <v>0</v>
      </c>
    </row>
    <row r="79" spans="1:43" ht="15" customHeight="1" x14ac:dyDescent="0.25">
      <c r="C79" s="29"/>
      <c r="G79" s="23"/>
      <c r="H79" s="23"/>
      <c r="J79" s="23"/>
      <c r="Q79" t="s">
        <v>845</v>
      </c>
      <c r="R79" s="17">
        <f>SUM(R70+R73+R74+R75)+R72+R76</f>
        <v>22500</v>
      </c>
      <c r="S79" s="17">
        <f t="shared" ref="S79:W79" si="48">SUM(S70+S73+S74+S75)+S72+S76</f>
        <v>87500</v>
      </c>
      <c r="T79" s="17">
        <f t="shared" si="48"/>
        <v>92500</v>
      </c>
      <c r="U79" s="17">
        <f t="shared" si="48"/>
        <v>90000</v>
      </c>
      <c r="V79" s="17">
        <f t="shared" si="48"/>
        <v>10000</v>
      </c>
      <c r="W79" s="17">
        <f t="shared" si="48"/>
        <v>192500</v>
      </c>
      <c r="AC79" s="560">
        <f t="shared" si="40"/>
        <v>0</v>
      </c>
      <c r="AQ79" s="560">
        <f t="shared" si="41"/>
        <v>0</v>
      </c>
    </row>
    <row r="80" spans="1:43" ht="15" customHeight="1" x14ac:dyDescent="0.25">
      <c r="B80" s="23"/>
      <c r="C80" s="17"/>
      <c r="J80" s="23"/>
      <c r="K80" s="23"/>
      <c r="L80" s="23"/>
      <c r="M80" s="23"/>
      <c r="N80" s="23"/>
      <c r="O80" s="23"/>
      <c r="P80" s="20"/>
      <c r="Q80" s="555" t="s">
        <v>846</v>
      </c>
      <c r="R80" s="17">
        <f>SUM(R71)</f>
        <v>78000</v>
      </c>
      <c r="S80" s="17">
        <f t="shared" ref="S80:W80" si="49">SUM(S71)</f>
        <v>0</v>
      </c>
      <c r="T80" s="17">
        <f t="shared" si="49"/>
        <v>0</v>
      </c>
      <c r="U80" s="17">
        <f t="shared" si="49"/>
        <v>0</v>
      </c>
      <c r="V80" s="17">
        <f t="shared" si="49"/>
        <v>0</v>
      </c>
      <c r="W80" s="17">
        <f t="shared" si="49"/>
        <v>0</v>
      </c>
      <c r="AC80" s="560">
        <f t="shared" si="40"/>
        <v>0</v>
      </c>
      <c r="AQ80" s="560">
        <f t="shared" si="41"/>
        <v>0</v>
      </c>
    </row>
    <row r="81" spans="2:43" ht="15" customHeight="1" x14ac:dyDescent="0.25">
      <c r="B81" s="23"/>
      <c r="C81" s="29">
        <f>C73+C78</f>
        <v>0</v>
      </c>
      <c r="J81" s="23"/>
      <c r="K81" s="23"/>
      <c r="L81" s="23"/>
      <c r="M81" s="23"/>
      <c r="N81" s="23"/>
      <c r="O81" s="23"/>
      <c r="P81" s="20"/>
      <c r="Q81" s="555" t="s">
        <v>575</v>
      </c>
      <c r="R81" s="17">
        <f>SUM(R79:R80)</f>
        <v>100500</v>
      </c>
      <c r="S81" s="17">
        <f t="shared" ref="S81:W81" si="50">SUM(S79:S80)</f>
        <v>87500</v>
      </c>
      <c r="T81" s="17">
        <f t="shared" si="50"/>
        <v>92500</v>
      </c>
      <c r="U81" s="17">
        <f t="shared" si="50"/>
        <v>90000</v>
      </c>
      <c r="V81" s="17">
        <f t="shared" si="50"/>
        <v>10000</v>
      </c>
      <c r="W81" s="17">
        <f t="shared" si="50"/>
        <v>192500</v>
      </c>
      <c r="AC81" s="560">
        <f t="shared" si="40"/>
        <v>0</v>
      </c>
      <c r="AQ81" s="560">
        <f t="shared" si="41"/>
        <v>0</v>
      </c>
    </row>
    <row r="82" spans="2:43" ht="15" customHeight="1" x14ac:dyDescent="0.25">
      <c r="C82" s="29">
        <f>C74+C79</f>
        <v>0</v>
      </c>
      <c r="G82" s="21"/>
      <c r="H82" s="21"/>
      <c r="K82" s="9"/>
      <c r="L82" s="9"/>
      <c r="M82" s="9"/>
      <c r="N82" s="9"/>
      <c r="O82" s="9"/>
      <c r="P82" s="20"/>
      <c r="R82" s="586">
        <f>SUM(R77-R81)</f>
        <v>0</v>
      </c>
      <c r="S82" s="586">
        <f t="shared" ref="S82:W82" si="51">SUM(S77-S81)</f>
        <v>0</v>
      </c>
      <c r="T82" s="586">
        <f t="shared" si="51"/>
        <v>0</v>
      </c>
      <c r="U82" s="586">
        <f t="shared" si="51"/>
        <v>0</v>
      </c>
      <c r="V82" s="586">
        <f t="shared" si="51"/>
        <v>0</v>
      </c>
      <c r="W82" s="586">
        <f t="shared" si="51"/>
        <v>0</v>
      </c>
      <c r="X82" s="586"/>
      <c r="AC82" s="560">
        <f t="shared" si="40"/>
        <v>0</v>
      </c>
      <c r="AQ82" s="560">
        <f t="shared" si="41"/>
        <v>0</v>
      </c>
    </row>
    <row r="83" spans="2:43" ht="15" customHeight="1" x14ac:dyDescent="0.25">
      <c r="C83" s="17"/>
      <c r="G83" s="21"/>
      <c r="H83" s="21"/>
      <c r="I83" s="24"/>
      <c r="K83" s="9"/>
      <c r="L83" s="9"/>
      <c r="M83" s="9"/>
      <c r="N83" s="9"/>
      <c r="O83" s="9"/>
      <c r="P83" s="20"/>
      <c r="AC83" s="560">
        <f t="shared" si="40"/>
        <v>0</v>
      </c>
      <c r="AQ83" s="560">
        <f t="shared" si="41"/>
        <v>0</v>
      </c>
    </row>
    <row r="84" spans="2:43" ht="15" customHeight="1" x14ac:dyDescent="0.25">
      <c r="C84" s="385"/>
      <c r="G84" s="21"/>
      <c r="H84" s="21"/>
      <c r="K84" s="9"/>
      <c r="L84" s="9"/>
      <c r="M84" s="9"/>
      <c r="N84" s="9"/>
      <c r="O84" s="9"/>
      <c r="P84" s="24"/>
      <c r="AC84" s="560">
        <f t="shared" si="40"/>
        <v>0</v>
      </c>
      <c r="AQ84" s="560">
        <f t="shared" si="41"/>
        <v>0</v>
      </c>
    </row>
    <row r="85" spans="2:43" ht="15" customHeight="1" x14ac:dyDescent="0.25">
      <c r="C85" s="385"/>
      <c r="G85" s="21"/>
      <c r="H85" s="21"/>
      <c r="K85" s="9"/>
      <c r="L85" s="9"/>
      <c r="M85" s="9"/>
      <c r="N85" s="9"/>
      <c r="O85" s="9"/>
      <c r="P85" s="24"/>
      <c r="Q85" s="555" t="s">
        <v>847</v>
      </c>
      <c r="R85" s="586">
        <v>19860</v>
      </c>
      <c r="AC85" s="560">
        <f t="shared" si="40"/>
        <v>0</v>
      </c>
      <c r="AQ85" s="560">
        <f t="shared" si="41"/>
        <v>0</v>
      </c>
    </row>
    <row r="86" spans="2:43" ht="15" customHeight="1" x14ac:dyDescent="0.25">
      <c r="G86" s="21"/>
      <c r="H86" s="21"/>
      <c r="K86" s="9"/>
      <c r="L86" s="9"/>
      <c r="M86" s="9"/>
      <c r="N86" s="9"/>
      <c r="O86" s="9"/>
      <c r="P86" s="20"/>
      <c r="AC86" s="560">
        <f t="shared" si="40"/>
        <v>0</v>
      </c>
      <c r="AQ86" s="560">
        <f t="shared" si="41"/>
        <v>0</v>
      </c>
    </row>
    <row r="87" spans="2:43" ht="15" customHeight="1" x14ac:dyDescent="0.25">
      <c r="G87" s="21"/>
      <c r="H87" s="21"/>
      <c r="K87" s="9"/>
      <c r="L87" s="9"/>
      <c r="M87" s="9"/>
      <c r="N87" s="9"/>
      <c r="P87" s="20"/>
      <c r="AC87" s="560">
        <f t="shared" si="40"/>
        <v>0</v>
      </c>
      <c r="AQ87" s="560">
        <f t="shared" si="41"/>
        <v>0</v>
      </c>
    </row>
    <row r="88" spans="2:43" ht="15" customHeight="1" x14ac:dyDescent="0.25">
      <c r="G88" s="21"/>
      <c r="H88" s="21"/>
      <c r="K88" s="9"/>
      <c r="L88" s="9"/>
      <c r="M88" s="9"/>
      <c r="N88" s="9"/>
      <c r="P88" s="20"/>
      <c r="AC88" s="560">
        <f t="shared" si="40"/>
        <v>0</v>
      </c>
      <c r="AQ88" s="560">
        <f t="shared" si="41"/>
        <v>0</v>
      </c>
    </row>
    <row r="89" spans="2:43" ht="15" customHeight="1" x14ac:dyDescent="0.25">
      <c r="G89" s="21"/>
      <c r="H89" s="21"/>
      <c r="K89" s="9"/>
      <c r="L89" s="9"/>
      <c r="M89" s="9"/>
      <c r="N89" s="9"/>
      <c r="P89" s="20"/>
      <c r="AC89" s="560">
        <f t="shared" si="40"/>
        <v>0</v>
      </c>
      <c r="AQ89" s="560">
        <f t="shared" si="41"/>
        <v>0</v>
      </c>
    </row>
    <row r="90" spans="2:43" ht="15" customHeight="1" x14ac:dyDescent="0.25">
      <c r="G90" s="21"/>
      <c r="H90" s="21"/>
      <c r="J90" s="555"/>
      <c r="K90" s="555"/>
      <c r="L90" s="555"/>
      <c r="M90"/>
      <c r="N90"/>
      <c r="O90"/>
      <c r="AC90" s="560">
        <f t="shared" si="40"/>
        <v>0</v>
      </c>
      <c r="AQ90" s="560">
        <f t="shared" si="41"/>
        <v>0</v>
      </c>
    </row>
    <row r="91" spans="2:43" ht="15" customHeight="1" x14ac:dyDescent="0.25">
      <c r="B91" s="23"/>
      <c r="G91" s="21"/>
      <c r="H91" s="21"/>
      <c r="J91" s="555"/>
      <c r="K91" s="555"/>
      <c r="L91" s="555"/>
      <c r="M91"/>
      <c r="N91"/>
      <c r="O91"/>
      <c r="AC91" s="560">
        <f t="shared" si="40"/>
        <v>0</v>
      </c>
      <c r="AQ91" s="560">
        <f t="shared" si="41"/>
        <v>0</v>
      </c>
    </row>
    <row r="92" spans="2:43" ht="15" customHeight="1" x14ac:dyDescent="0.25">
      <c r="G92" s="21"/>
      <c r="H92" s="21"/>
      <c r="AC92" s="560">
        <f t="shared" si="40"/>
        <v>0</v>
      </c>
      <c r="AQ92" s="560">
        <f t="shared" si="41"/>
        <v>0</v>
      </c>
    </row>
    <row r="93" spans="2:43" ht="15" customHeight="1" x14ac:dyDescent="0.25">
      <c r="G93" s="21"/>
      <c r="H93" s="21"/>
      <c r="AC93" s="560">
        <f t="shared" si="40"/>
        <v>0</v>
      </c>
      <c r="AQ93" s="560">
        <f t="shared" si="41"/>
        <v>0</v>
      </c>
    </row>
    <row r="94" spans="2:43" ht="15" customHeight="1" x14ac:dyDescent="0.25">
      <c r="B94" s="21"/>
      <c r="G94" s="21"/>
      <c r="H94" s="21"/>
      <c r="AC94" s="560">
        <f t="shared" si="40"/>
        <v>0</v>
      </c>
      <c r="AQ94" s="560">
        <f t="shared" si="41"/>
        <v>0</v>
      </c>
    </row>
    <row r="95" spans="2:43" ht="15" customHeight="1" x14ac:dyDescent="0.25">
      <c r="B95" s="21"/>
      <c r="C95" s="23"/>
      <c r="G95" s="21"/>
      <c r="H95" s="21"/>
      <c r="J95" s="23"/>
      <c r="AC95" s="560">
        <f t="shared" si="40"/>
        <v>0</v>
      </c>
      <c r="AQ95" s="560">
        <f t="shared" si="41"/>
        <v>0</v>
      </c>
    </row>
    <row r="96" spans="2:43" ht="15" customHeight="1" x14ac:dyDescent="0.25">
      <c r="B96" s="21"/>
      <c r="G96" s="21"/>
      <c r="H96" s="21"/>
      <c r="AC96" s="560">
        <f t="shared" si="40"/>
        <v>0</v>
      </c>
      <c r="AQ96" s="560">
        <f t="shared" si="41"/>
        <v>0</v>
      </c>
    </row>
    <row r="97" spans="2:43" ht="15" customHeight="1" x14ac:dyDescent="0.25">
      <c r="B97" s="21"/>
      <c r="G97" s="21"/>
      <c r="H97" s="21"/>
      <c r="AC97" s="560">
        <f t="shared" si="40"/>
        <v>0</v>
      </c>
      <c r="AQ97" s="560">
        <f t="shared" si="41"/>
        <v>0</v>
      </c>
    </row>
    <row r="98" spans="2:43" ht="15" customHeight="1" x14ac:dyDescent="0.25">
      <c r="B98" s="21"/>
      <c r="G98" s="21"/>
      <c r="H98" s="21"/>
      <c r="J98" s="21"/>
      <c r="AC98" s="560">
        <f t="shared" si="40"/>
        <v>0</v>
      </c>
      <c r="AQ98" s="560">
        <f t="shared" si="41"/>
        <v>0</v>
      </c>
    </row>
    <row r="99" spans="2:43" ht="15" customHeight="1" x14ac:dyDescent="0.25">
      <c r="B99" s="21"/>
      <c r="G99" s="21"/>
      <c r="H99" s="21"/>
      <c r="J99" s="21"/>
      <c r="AC99" s="560">
        <f t="shared" si="40"/>
        <v>0</v>
      </c>
      <c r="AQ99" s="560">
        <f t="shared" si="41"/>
        <v>0</v>
      </c>
    </row>
    <row r="100" spans="2:43" ht="15" customHeight="1" x14ac:dyDescent="0.25">
      <c r="B100" s="21"/>
      <c r="G100" s="21"/>
      <c r="H100" s="21"/>
      <c r="J100" s="21"/>
      <c r="AC100" s="560">
        <f t="shared" si="40"/>
        <v>0</v>
      </c>
      <c r="AQ100" s="560">
        <f t="shared" si="41"/>
        <v>0</v>
      </c>
    </row>
    <row r="101" spans="2:43" ht="15" customHeight="1" x14ac:dyDescent="0.25">
      <c r="B101" s="21"/>
      <c r="G101" s="21"/>
      <c r="H101" s="21"/>
      <c r="J101" s="21"/>
      <c r="AC101" s="560">
        <f t="shared" si="40"/>
        <v>0</v>
      </c>
      <c r="AQ101" s="560">
        <f t="shared" si="41"/>
        <v>0</v>
      </c>
    </row>
    <row r="102" spans="2:43" ht="15" customHeight="1" x14ac:dyDescent="0.25">
      <c r="B102" s="21"/>
      <c r="G102" s="21"/>
      <c r="H102" s="21"/>
      <c r="J102" s="21"/>
      <c r="AC102" s="560">
        <f t="shared" si="40"/>
        <v>0</v>
      </c>
      <c r="AQ102" s="560">
        <f t="shared" si="41"/>
        <v>0</v>
      </c>
    </row>
    <row r="103" spans="2:43" ht="15" customHeight="1" x14ac:dyDescent="0.25">
      <c r="B103" s="21"/>
      <c r="G103" s="21"/>
      <c r="H103" s="21"/>
      <c r="J103" s="21"/>
      <c r="AC103" s="560">
        <f t="shared" si="40"/>
        <v>0</v>
      </c>
      <c r="AQ103" s="560">
        <f t="shared" si="41"/>
        <v>0</v>
      </c>
    </row>
    <row r="104" spans="2:43" ht="15" customHeight="1" x14ac:dyDescent="0.25">
      <c r="B104" s="21"/>
      <c r="G104" s="21"/>
      <c r="H104" s="21"/>
      <c r="J104" s="21"/>
      <c r="AC104" s="560">
        <f t="shared" si="40"/>
        <v>0</v>
      </c>
      <c r="AQ104" s="560">
        <f t="shared" si="41"/>
        <v>0</v>
      </c>
    </row>
    <row r="105" spans="2:43" ht="15" customHeight="1" x14ac:dyDescent="0.25">
      <c r="B105" s="21"/>
      <c r="G105" s="21"/>
      <c r="H105" s="21"/>
      <c r="J105" s="21"/>
      <c r="AC105" s="560">
        <f t="shared" si="40"/>
        <v>0</v>
      </c>
      <c r="AQ105" s="560">
        <f t="shared" si="41"/>
        <v>0</v>
      </c>
    </row>
    <row r="106" spans="2:43" ht="15" customHeight="1" x14ac:dyDescent="0.25">
      <c r="B106" s="21"/>
      <c r="G106" s="21"/>
      <c r="H106" s="21"/>
      <c r="J106" s="21"/>
      <c r="AC106" s="560">
        <f t="shared" si="40"/>
        <v>0</v>
      </c>
      <c r="AQ106" s="560">
        <f t="shared" si="41"/>
        <v>0</v>
      </c>
    </row>
    <row r="107" spans="2:43" ht="15" customHeight="1" x14ac:dyDescent="0.25">
      <c r="B107" s="21"/>
      <c r="G107" s="21"/>
      <c r="H107" s="21"/>
      <c r="J107" s="21"/>
      <c r="AC107" s="560">
        <f t="shared" si="40"/>
        <v>0</v>
      </c>
      <c r="AQ107" s="560">
        <f t="shared" si="41"/>
        <v>0</v>
      </c>
    </row>
    <row r="108" spans="2:43" ht="15" customHeight="1" x14ac:dyDescent="0.25">
      <c r="B108" s="21"/>
      <c r="G108" s="21"/>
      <c r="H108" s="21"/>
      <c r="J108" s="21"/>
      <c r="AC108" s="560">
        <f t="shared" si="40"/>
        <v>0</v>
      </c>
      <c r="AQ108" s="560">
        <f t="shared" si="41"/>
        <v>0</v>
      </c>
    </row>
    <row r="109" spans="2:43" ht="15" customHeight="1" x14ac:dyDescent="0.25">
      <c r="B109" s="21"/>
      <c r="G109" s="21"/>
      <c r="H109" s="21"/>
      <c r="J109" s="21"/>
      <c r="AC109" s="560">
        <f t="shared" si="40"/>
        <v>0</v>
      </c>
      <c r="AQ109" s="560">
        <f t="shared" si="41"/>
        <v>0</v>
      </c>
    </row>
    <row r="110" spans="2:43" ht="15" customHeight="1" x14ac:dyDescent="0.25">
      <c r="B110" s="21"/>
      <c r="G110" s="21"/>
      <c r="H110" s="21"/>
      <c r="J110" s="21"/>
      <c r="AC110" s="560">
        <f t="shared" si="40"/>
        <v>0</v>
      </c>
      <c r="AQ110" s="560">
        <f t="shared" si="41"/>
        <v>0</v>
      </c>
    </row>
    <row r="111" spans="2:43" ht="15" customHeight="1" x14ac:dyDescent="0.25">
      <c r="B111" s="21"/>
      <c r="G111" s="21"/>
      <c r="H111" s="21"/>
      <c r="J111" s="21"/>
      <c r="AC111" s="560">
        <f t="shared" si="40"/>
        <v>0</v>
      </c>
      <c r="AQ111" s="560">
        <f t="shared" si="41"/>
        <v>0</v>
      </c>
    </row>
    <row r="112" spans="2:43" ht="15" customHeight="1" x14ac:dyDescent="0.25">
      <c r="B112" s="21"/>
      <c r="G112" s="21"/>
      <c r="H112" s="21"/>
      <c r="J112" s="21"/>
      <c r="AC112" s="560">
        <f t="shared" si="40"/>
        <v>0</v>
      </c>
      <c r="AQ112" s="560">
        <f t="shared" si="41"/>
        <v>0</v>
      </c>
    </row>
    <row r="113" spans="2:43" ht="15" customHeight="1" x14ac:dyDescent="0.25">
      <c r="B113" s="21"/>
      <c r="G113" s="21"/>
      <c r="H113" s="21"/>
      <c r="J113" s="21"/>
      <c r="AC113" s="560">
        <f t="shared" si="40"/>
        <v>0</v>
      </c>
      <c r="AQ113" s="560">
        <f t="shared" si="41"/>
        <v>0</v>
      </c>
    </row>
    <row r="114" spans="2:43" ht="15" customHeight="1" x14ac:dyDescent="0.25">
      <c r="B114" s="21"/>
      <c r="G114" s="21"/>
      <c r="H114" s="21"/>
      <c r="J114" s="21"/>
      <c r="AC114" s="560">
        <f t="shared" si="40"/>
        <v>0</v>
      </c>
      <c r="AQ114" s="560">
        <f t="shared" si="41"/>
        <v>0</v>
      </c>
    </row>
    <row r="115" spans="2:43" ht="15" customHeight="1" x14ac:dyDescent="0.25">
      <c r="B115" s="21"/>
      <c r="G115" s="21"/>
      <c r="H115" s="21"/>
      <c r="J115" s="21"/>
      <c r="AC115" s="560">
        <f t="shared" si="40"/>
        <v>0</v>
      </c>
      <c r="AQ115" s="560">
        <f t="shared" si="41"/>
        <v>0</v>
      </c>
    </row>
    <row r="116" spans="2:43" ht="15" customHeight="1" x14ac:dyDescent="0.25">
      <c r="B116" s="21"/>
      <c r="G116" s="21"/>
      <c r="H116" s="21"/>
      <c r="J116" s="21"/>
      <c r="AC116" s="560">
        <f t="shared" si="40"/>
        <v>0</v>
      </c>
      <c r="AQ116" s="560">
        <f t="shared" si="41"/>
        <v>0</v>
      </c>
    </row>
    <row r="117" spans="2:43" ht="15" customHeight="1" x14ac:dyDescent="0.25">
      <c r="B117" s="21"/>
      <c r="G117" s="21"/>
      <c r="H117" s="21"/>
      <c r="J117" s="21"/>
      <c r="AC117" s="560">
        <f t="shared" si="40"/>
        <v>0</v>
      </c>
      <c r="AQ117" s="560">
        <f t="shared" si="41"/>
        <v>0</v>
      </c>
    </row>
    <row r="118" spans="2:43" ht="15" customHeight="1" x14ac:dyDescent="0.25">
      <c r="B118" s="21"/>
      <c r="G118" s="21"/>
      <c r="H118" s="21"/>
      <c r="J118" s="21"/>
      <c r="AC118" s="560">
        <f t="shared" si="40"/>
        <v>0</v>
      </c>
      <c r="AQ118" s="560">
        <f t="shared" si="41"/>
        <v>0</v>
      </c>
    </row>
    <row r="119" spans="2:43" ht="15" customHeight="1" x14ac:dyDescent="0.25">
      <c r="B119" s="21"/>
      <c r="G119" s="21"/>
      <c r="H119" s="21"/>
      <c r="J119" s="21"/>
      <c r="AC119" s="560">
        <f t="shared" si="40"/>
        <v>0</v>
      </c>
      <c r="AQ119" s="560">
        <f t="shared" si="41"/>
        <v>0</v>
      </c>
    </row>
    <row r="120" spans="2:43" ht="15" customHeight="1" x14ac:dyDescent="0.25">
      <c r="B120" s="21"/>
      <c r="G120" s="21"/>
      <c r="H120" s="21"/>
      <c r="J120" s="21"/>
      <c r="AC120" s="560">
        <f t="shared" si="40"/>
        <v>0</v>
      </c>
      <c r="AQ120" s="560">
        <f t="shared" si="41"/>
        <v>0</v>
      </c>
    </row>
    <row r="121" spans="2:43" ht="15" customHeight="1" x14ac:dyDescent="0.25">
      <c r="B121" s="21"/>
      <c r="G121" s="21"/>
      <c r="H121" s="21"/>
      <c r="J121" s="21"/>
      <c r="AC121" s="560">
        <f t="shared" si="40"/>
        <v>0</v>
      </c>
      <c r="AQ121" s="560">
        <f t="shared" si="41"/>
        <v>0</v>
      </c>
    </row>
    <row r="122" spans="2:43" ht="15" customHeight="1" x14ac:dyDescent="0.25">
      <c r="B122" s="21"/>
      <c r="G122" s="21"/>
      <c r="H122" s="21"/>
      <c r="J122" s="21"/>
      <c r="AC122" s="560">
        <f t="shared" si="40"/>
        <v>0</v>
      </c>
      <c r="AQ122" s="560">
        <f t="shared" si="41"/>
        <v>0</v>
      </c>
    </row>
    <row r="123" spans="2:43" ht="15" customHeight="1" x14ac:dyDescent="0.25">
      <c r="B123" s="21"/>
      <c r="G123" s="21"/>
      <c r="H123" s="21"/>
      <c r="J123" s="21"/>
      <c r="AC123" s="560">
        <f t="shared" si="40"/>
        <v>0</v>
      </c>
      <c r="AQ123" s="560">
        <f t="shared" si="41"/>
        <v>0</v>
      </c>
    </row>
    <row r="124" spans="2:43" ht="15" customHeight="1" x14ac:dyDescent="0.25">
      <c r="B124" s="21"/>
      <c r="G124" s="21"/>
      <c r="H124" s="21"/>
      <c r="J124" s="21"/>
      <c r="AC124" s="560">
        <f t="shared" si="40"/>
        <v>0</v>
      </c>
      <c r="AQ124" s="560">
        <f t="shared" si="41"/>
        <v>0</v>
      </c>
    </row>
    <row r="125" spans="2:43" ht="15" customHeight="1" x14ac:dyDescent="0.25">
      <c r="B125" s="21"/>
      <c r="G125" s="21"/>
      <c r="H125" s="21"/>
      <c r="J125" s="21"/>
      <c r="AC125" s="560">
        <f t="shared" si="40"/>
        <v>0</v>
      </c>
      <c r="AQ125" s="560">
        <f t="shared" si="41"/>
        <v>0</v>
      </c>
    </row>
    <row r="126" spans="2:43" ht="15" customHeight="1" x14ac:dyDescent="0.25">
      <c r="B126" s="21"/>
      <c r="G126" s="21"/>
      <c r="H126" s="21"/>
      <c r="J126" s="21"/>
      <c r="AC126" s="560">
        <f t="shared" si="40"/>
        <v>0</v>
      </c>
      <c r="AQ126" s="560">
        <f t="shared" si="41"/>
        <v>0</v>
      </c>
    </row>
    <row r="127" spans="2:43" ht="15" customHeight="1" x14ac:dyDescent="0.25">
      <c r="B127" s="21"/>
      <c r="G127" s="21"/>
      <c r="H127" s="21"/>
      <c r="J127" s="21"/>
      <c r="AC127" s="560">
        <f t="shared" si="40"/>
        <v>0</v>
      </c>
      <c r="AQ127" s="560">
        <f t="shared" si="41"/>
        <v>0</v>
      </c>
    </row>
    <row r="128" spans="2:43" ht="15" customHeight="1" x14ac:dyDescent="0.25">
      <c r="B128" s="21"/>
      <c r="G128" s="21"/>
      <c r="H128" s="21"/>
      <c r="J128" s="21"/>
      <c r="AC128" s="560">
        <f t="shared" si="40"/>
        <v>0</v>
      </c>
      <c r="AQ128" s="560">
        <f t="shared" si="41"/>
        <v>0</v>
      </c>
    </row>
    <row r="129" spans="2:43" x14ac:dyDescent="0.25">
      <c r="B129" s="21"/>
      <c r="G129" s="21"/>
      <c r="H129" s="21"/>
      <c r="J129" s="21"/>
      <c r="AC129" s="560">
        <f t="shared" si="40"/>
        <v>0</v>
      </c>
      <c r="AQ129" s="560">
        <f t="shared" si="41"/>
        <v>0</v>
      </c>
    </row>
    <row r="130" spans="2:43" x14ac:dyDescent="0.25">
      <c r="B130" s="21"/>
      <c r="G130" s="21"/>
      <c r="H130" s="21"/>
      <c r="J130" s="21"/>
      <c r="AC130" s="560">
        <f t="shared" si="40"/>
        <v>0</v>
      </c>
      <c r="AQ130" s="560">
        <f t="shared" si="41"/>
        <v>0</v>
      </c>
    </row>
    <row r="131" spans="2:43" x14ac:dyDescent="0.25">
      <c r="B131" s="21"/>
      <c r="G131" s="21"/>
      <c r="H131" s="21"/>
      <c r="J131" s="21"/>
      <c r="AC131" s="560">
        <f t="shared" si="40"/>
        <v>0</v>
      </c>
      <c r="AQ131" s="560">
        <f t="shared" si="41"/>
        <v>0</v>
      </c>
    </row>
    <row r="132" spans="2:43" x14ac:dyDescent="0.25">
      <c r="B132" s="21"/>
      <c r="G132" s="21"/>
      <c r="H132" s="21"/>
      <c r="J132" s="21"/>
      <c r="AC132" s="560">
        <f t="shared" si="40"/>
        <v>0</v>
      </c>
      <c r="AQ132" s="560">
        <f t="shared" si="41"/>
        <v>0</v>
      </c>
    </row>
    <row r="133" spans="2:43" x14ac:dyDescent="0.25">
      <c r="B133" s="21"/>
      <c r="G133" s="21"/>
      <c r="H133" s="21"/>
      <c r="J133" s="21"/>
      <c r="AC133" s="560">
        <f t="shared" ref="AC133:AC156" si="52">SUM(J133-AE133)</f>
        <v>0</v>
      </c>
      <c r="AQ133" s="560">
        <f t="shared" ref="AQ133:AQ174" si="53">SUM(J133-AO133)</f>
        <v>0</v>
      </c>
    </row>
    <row r="134" spans="2:43" x14ac:dyDescent="0.25">
      <c r="B134" s="21"/>
      <c r="G134" s="21"/>
      <c r="H134" s="21"/>
      <c r="J134" s="21"/>
      <c r="AC134" s="560">
        <f t="shared" si="52"/>
        <v>0</v>
      </c>
      <c r="AQ134" s="560">
        <f t="shared" si="53"/>
        <v>0</v>
      </c>
    </row>
    <row r="135" spans="2:43" x14ac:dyDescent="0.25">
      <c r="B135" s="21"/>
      <c r="G135" s="21"/>
      <c r="H135" s="21"/>
      <c r="J135" s="21"/>
      <c r="AC135" s="560">
        <f t="shared" si="52"/>
        <v>0</v>
      </c>
      <c r="AQ135" s="560">
        <f t="shared" si="53"/>
        <v>0</v>
      </c>
    </row>
    <row r="136" spans="2:43" x14ac:dyDescent="0.25">
      <c r="B136" s="21"/>
      <c r="G136" s="21"/>
      <c r="H136" s="21"/>
      <c r="J136" s="21"/>
      <c r="AC136" s="560">
        <f t="shared" si="52"/>
        <v>0</v>
      </c>
      <c r="AQ136" s="560">
        <f t="shared" si="53"/>
        <v>0</v>
      </c>
    </row>
    <row r="137" spans="2:43" x14ac:dyDescent="0.25">
      <c r="B137" s="21"/>
      <c r="G137" s="21"/>
      <c r="H137" s="21"/>
      <c r="J137" s="21"/>
      <c r="AC137" s="560">
        <f t="shared" si="52"/>
        <v>0</v>
      </c>
      <c r="AQ137" s="560">
        <f t="shared" si="53"/>
        <v>0</v>
      </c>
    </row>
    <row r="138" spans="2:43" x14ac:dyDescent="0.25">
      <c r="B138" s="21"/>
      <c r="G138" s="21"/>
      <c r="H138" s="21"/>
      <c r="J138" s="21"/>
      <c r="AC138" s="560">
        <f t="shared" si="52"/>
        <v>0</v>
      </c>
      <c r="AQ138" s="560">
        <f t="shared" si="53"/>
        <v>0</v>
      </c>
    </row>
    <row r="139" spans="2:43" x14ac:dyDescent="0.25">
      <c r="B139" s="21"/>
      <c r="G139" s="21"/>
      <c r="H139" s="21"/>
      <c r="J139" s="21"/>
      <c r="AC139" s="560">
        <f t="shared" si="52"/>
        <v>0</v>
      </c>
      <c r="AQ139" s="560">
        <f t="shared" si="53"/>
        <v>0</v>
      </c>
    </row>
    <row r="140" spans="2:43" x14ac:dyDescent="0.25">
      <c r="B140" s="21"/>
      <c r="G140" s="21"/>
      <c r="H140" s="21"/>
      <c r="J140" s="21"/>
      <c r="AC140" s="560">
        <f t="shared" si="52"/>
        <v>0</v>
      </c>
      <c r="AQ140" s="560">
        <f t="shared" si="53"/>
        <v>0</v>
      </c>
    </row>
    <row r="141" spans="2:43" x14ac:dyDescent="0.25">
      <c r="B141" s="21"/>
      <c r="G141" s="21"/>
      <c r="H141" s="21"/>
      <c r="J141" s="21"/>
      <c r="AC141" s="560">
        <f t="shared" si="52"/>
        <v>0</v>
      </c>
      <c r="AQ141" s="560">
        <f t="shared" si="53"/>
        <v>0</v>
      </c>
    </row>
    <row r="142" spans="2:43" x14ac:dyDescent="0.25">
      <c r="B142" s="21"/>
      <c r="G142" s="21"/>
      <c r="H142" s="21"/>
      <c r="J142" s="21"/>
      <c r="AC142" s="560">
        <f t="shared" si="52"/>
        <v>0</v>
      </c>
      <c r="AQ142" s="560">
        <f t="shared" si="53"/>
        <v>0</v>
      </c>
    </row>
    <row r="143" spans="2:43" x14ac:dyDescent="0.25">
      <c r="B143" s="21"/>
      <c r="G143" s="21"/>
      <c r="H143" s="21"/>
      <c r="J143" s="21"/>
      <c r="AC143" s="560">
        <f t="shared" si="52"/>
        <v>0</v>
      </c>
      <c r="AQ143" s="560">
        <f t="shared" si="53"/>
        <v>0</v>
      </c>
    </row>
    <row r="144" spans="2:43" x14ac:dyDescent="0.25">
      <c r="B144" s="21"/>
      <c r="G144" s="21"/>
      <c r="H144" s="21"/>
      <c r="J144" s="21"/>
      <c r="AC144" s="560">
        <f t="shared" si="52"/>
        <v>0</v>
      </c>
      <c r="AQ144" s="560">
        <f t="shared" si="53"/>
        <v>0</v>
      </c>
    </row>
    <row r="145" spans="2:43" x14ac:dyDescent="0.25">
      <c r="B145" s="21"/>
      <c r="G145" s="21"/>
      <c r="H145" s="21"/>
      <c r="J145" s="21"/>
      <c r="AC145" s="560">
        <f t="shared" si="52"/>
        <v>0</v>
      </c>
      <c r="AQ145" s="560">
        <f t="shared" si="53"/>
        <v>0</v>
      </c>
    </row>
    <row r="146" spans="2:43" x14ac:dyDescent="0.25">
      <c r="B146" s="21"/>
      <c r="G146" s="21"/>
      <c r="H146" s="21"/>
      <c r="J146" s="21"/>
      <c r="AC146" s="560">
        <f t="shared" si="52"/>
        <v>0</v>
      </c>
      <c r="AQ146" s="560">
        <f t="shared" si="53"/>
        <v>0</v>
      </c>
    </row>
    <row r="147" spans="2:43" x14ac:dyDescent="0.25">
      <c r="B147" s="21"/>
      <c r="G147" s="21"/>
      <c r="H147" s="21"/>
      <c r="J147" s="21"/>
      <c r="AC147" s="560">
        <f t="shared" si="52"/>
        <v>0</v>
      </c>
      <c r="AQ147" s="560">
        <f t="shared" si="53"/>
        <v>0</v>
      </c>
    </row>
    <row r="148" spans="2:43" x14ac:dyDescent="0.25">
      <c r="B148" s="21"/>
      <c r="G148" s="21"/>
      <c r="H148" s="21"/>
      <c r="J148" s="21"/>
      <c r="AC148" s="560">
        <f t="shared" si="52"/>
        <v>0</v>
      </c>
      <c r="AQ148" s="560">
        <f t="shared" si="53"/>
        <v>0</v>
      </c>
    </row>
    <row r="149" spans="2:43" x14ac:dyDescent="0.25">
      <c r="B149" s="21"/>
      <c r="G149" s="21"/>
      <c r="H149" s="21"/>
      <c r="J149" s="21"/>
      <c r="AC149" s="560">
        <f t="shared" si="52"/>
        <v>0</v>
      </c>
      <c r="AQ149" s="560">
        <f t="shared" si="53"/>
        <v>0</v>
      </c>
    </row>
    <row r="150" spans="2:43" x14ac:dyDescent="0.25">
      <c r="B150" s="21"/>
      <c r="G150" s="21"/>
      <c r="H150" s="21"/>
      <c r="J150" s="21"/>
      <c r="AC150" s="560">
        <f t="shared" si="52"/>
        <v>0</v>
      </c>
      <c r="AQ150" s="560">
        <f t="shared" si="53"/>
        <v>0</v>
      </c>
    </row>
    <row r="151" spans="2:43" x14ac:dyDescent="0.25">
      <c r="B151" s="21"/>
      <c r="G151" s="21"/>
      <c r="H151" s="21"/>
      <c r="J151" s="21"/>
      <c r="AC151" s="560">
        <f t="shared" si="52"/>
        <v>0</v>
      </c>
      <c r="AQ151" s="560">
        <f t="shared" si="53"/>
        <v>0</v>
      </c>
    </row>
    <row r="152" spans="2:43" x14ac:dyDescent="0.25">
      <c r="B152" s="21"/>
      <c r="G152" s="21"/>
      <c r="H152" s="21"/>
      <c r="J152" s="21"/>
      <c r="AC152" s="560">
        <f t="shared" si="52"/>
        <v>0</v>
      </c>
      <c r="AQ152" s="560">
        <f t="shared" si="53"/>
        <v>0</v>
      </c>
    </row>
    <row r="153" spans="2:43" x14ac:dyDescent="0.25">
      <c r="B153" s="21"/>
      <c r="G153" s="21"/>
      <c r="H153" s="21"/>
      <c r="J153" s="21"/>
      <c r="AC153" s="560">
        <f t="shared" si="52"/>
        <v>0</v>
      </c>
      <c r="AQ153" s="560">
        <f t="shared" si="53"/>
        <v>0</v>
      </c>
    </row>
    <row r="154" spans="2:43" x14ac:dyDescent="0.25">
      <c r="B154" s="21"/>
      <c r="G154" s="21"/>
      <c r="H154" s="21"/>
      <c r="J154" s="21"/>
      <c r="AC154" s="560">
        <f t="shared" si="52"/>
        <v>0</v>
      </c>
      <c r="AQ154" s="560">
        <f t="shared" si="53"/>
        <v>0</v>
      </c>
    </row>
    <row r="155" spans="2:43" x14ac:dyDescent="0.25">
      <c r="B155" s="21"/>
      <c r="G155" s="21"/>
      <c r="H155" s="21"/>
      <c r="J155" s="21"/>
      <c r="AC155" s="560">
        <f t="shared" si="52"/>
        <v>0</v>
      </c>
      <c r="AQ155" s="560">
        <f t="shared" si="53"/>
        <v>0</v>
      </c>
    </row>
    <row r="156" spans="2:43" x14ac:dyDescent="0.25">
      <c r="B156" s="21"/>
      <c r="G156" s="21"/>
      <c r="H156" s="21"/>
      <c r="J156" s="21"/>
      <c r="AC156" s="560">
        <f t="shared" si="52"/>
        <v>0</v>
      </c>
      <c r="AQ156" s="560">
        <f t="shared" si="53"/>
        <v>0</v>
      </c>
    </row>
    <row r="157" spans="2:43" x14ac:dyDescent="0.25">
      <c r="B157" s="21"/>
      <c r="G157" s="21"/>
      <c r="H157" s="21"/>
      <c r="J157" s="21"/>
      <c r="AQ157" s="560">
        <f t="shared" si="53"/>
        <v>0</v>
      </c>
    </row>
    <row r="158" spans="2:43" x14ac:dyDescent="0.25">
      <c r="B158" s="21"/>
      <c r="G158" s="21"/>
      <c r="H158" s="21"/>
      <c r="J158" s="21"/>
      <c r="AQ158" s="560">
        <f t="shared" si="53"/>
        <v>0</v>
      </c>
    </row>
    <row r="159" spans="2:43" x14ac:dyDescent="0.25">
      <c r="B159" s="21"/>
      <c r="G159" s="21"/>
      <c r="H159" s="21"/>
      <c r="J159" s="21"/>
      <c r="AQ159" s="560">
        <f t="shared" si="53"/>
        <v>0</v>
      </c>
    </row>
    <row r="160" spans="2:43" x14ac:dyDescent="0.25">
      <c r="B160" s="21"/>
      <c r="G160" s="21"/>
      <c r="H160" s="21"/>
      <c r="J160" s="21"/>
      <c r="AQ160" s="560">
        <f t="shared" si="53"/>
        <v>0</v>
      </c>
    </row>
    <row r="161" spans="2:43" x14ac:dyDescent="0.25">
      <c r="B161" s="21"/>
      <c r="G161" s="21"/>
      <c r="H161" s="21"/>
      <c r="J161" s="21"/>
      <c r="AQ161" s="560">
        <f t="shared" si="53"/>
        <v>0</v>
      </c>
    </row>
    <row r="162" spans="2:43" x14ac:dyDescent="0.25">
      <c r="B162" s="21"/>
      <c r="G162" s="21"/>
      <c r="H162" s="21"/>
      <c r="J162" s="21"/>
      <c r="AQ162" s="560">
        <f t="shared" si="53"/>
        <v>0</v>
      </c>
    </row>
    <row r="163" spans="2:43" x14ac:dyDescent="0.25">
      <c r="B163" s="21"/>
      <c r="G163" s="21"/>
      <c r="H163" s="21"/>
      <c r="J163" s="21"/>
      <c r="AQ163" s="560">
        <f t="shared" si="53"/>
        <v>0</v>
      </c>
    </row>
    <row r="164" spans="2:43" x14ac:dyDescent="0.25">
      <c r="B164" s="21"/>
      <c r="G164" s="21"/>
      <c r="H164" s="21"/>
      <c r="J164" s="21"/>
      <c r="AQ164" s="560">
        <f t="shared" si="53"/>
        <v>0</v>
      </c>
    </row>
    <row r="165" spans="2:43" x14ac:dyDescent="0.25">
      <c r="B165" s="21"/>
      <c r="G165" s="21"/>
      <c r="H165" s="21"/>
      <c r="J165" s="21"/>
      <c r="AQ165" s="560">
        <f t="shared" si="53"/>
        <v>0</v>
      </c>
    </row>
    <row r="166" spans="2:43" x14ac:dyDescent="0.25">
      <c r="B166" s="21"/>
      <c r="G166" s="21"/>
      <c r="H166" s="21"/>
      <c r="J166" s="21"/>
      <c r="AQ166" s="560">
        <f t="shared" si="53"/>
        <v>0</v>
      </c>
    </row>
    <row r="167" spans="2:43" x14ac:dyDescent="0.25">
      <c r="B167" s="21"/>
      <c r="G167" s="21"/>
      <c r="H167" s="21"/>
      <c r="J167" s="21"/>
      <c r="AQ167" s="560">
        <f t="shared" si="53"/>
        <v>0</v>
      </c>
    </row>
    <row r="168" spans="2:43" x14ac:dyDescent="0.25">
      <c r="B168" s="21"/>
      <c r="G168" s="21"/>
      <c r="H168" s="21"/>
      <c r="J168" s="21"/>
      <c r="AQ168" s="560">
        <f t="shared" si="53"/>
        <v>0</v>
      </c>
    </row>
    <row r="169" spans="2:43" x14ac:dyDescent="0.25">
      <c r="B169" s="21"/>
      <c r="G169" s="21"/>
      <c r="H169" s="21"/>
      <c r="J169" s="21"/>
      <c r="AQ169" s="560">
        <f t="shared" si="53"/>
        <v>0</v>
      </c>
    </row>
    <row r="170" spans="2:43" x14ac:dyDescent="0.25">
      <c r="B170" s="21"/>
      <c r="G170" s="21"/>
      <c r="H170" s="21"/>
      <c r="J170" s="21"/>
      <c r="AQ170" s="560">
        <f t="shared" si="53"/>
        <v>0</v>
      </c>
    </row>
    <row r="171" spans="2:43" x14ac:dyDescent="0.25">
      <c r="B171" s="21"/>
      <c r="G171" s="21"/>
      <c r="H171" s="21"/>
      <c r="J171" s="21"/>
      <c r="AQ171" s="560">
        <f t="shared" si="53"/>
        <v>0</v>
      </c>
    </row>
    <row r="172" spans="2:43" x14ac:dyDescent="0.25">
      <c r="B172" s="21"/>
      <c r="G172" s="21"/>
      <c r="H172" s="21"/>
      <c r="J172" s="21"/>
      <c r="AQ172" s="560">
        <f t="shared" si="53"/>
        <v>0</v>
      </c>
    </row>
    <row r="173" spans="2:43" x14ac:dyDescent="0.25">
      <c r="B173" s="21"/>
      <c r="G173" s="21"/>
      <c r="H173" s="21"/>
      <c r="J173" s="21"/>
      <c r="AQ173" s="560">
        <f t="shared" si="53"/>
        <v>0</v>
      </c>
    </row>
    <row r="174" spans="2:43" x14ac:dyDescent="0.25">
      <c r="B174" s="21"/>
      <c r="G174" s="21"/>
      <c r="H174" s="21"/>
      <c r="J174" s="21"/>
      <c r="AQ174" s="560">
        <f t="shared" si="53"/>
        <v>0</v>
      </c>
    </row>
    <row r="175" spans="2:43" x14ac:dyDescent="0.25">
      <c r="B175" s="21"/>
      <c r="G175" s="21"/>
      <c r="H175" s="21"/>
      <c r="J175" s="21"/>
    </row>
    <row r="176" spans="2:43" x14ac:dyDescent="0.25">
      <c r="B176" s="21"/>
      <c r="G176" s="21"/>
      <c r="H176" s="21"/>
      <c r="J176" s="21"/>
    </row>
    <row r="177" spans="2:10" x14ac:dyDescent="0.25">
      <c r="B177" s="21"/>
      <c r="G177" s="21"/>
      <c r="H177" s="21"/>
      <c r="J177" s="21"/>
    </row>
    <row r="178" spans="2:10" x14ac:dyDescent="0.25">
      <c r="B178" s="21"/>
      <c r="G178" s="21"/>
      <c r="H178" s="21"/>
      <c r="J178" s="21"/>
    </row>
    <row r="179" spans="2:10" x14ac:dyDescent="0.25">
      <c r="B179" s="21"/>
      <c r="G179" s="21"/>
      <c r="H179" s="21"/>
      <c r="J179" s="21"/>
    </row>
    <row r="180" spans="2:10" x14ac:dyDescent="0.25">
      <c r="B180" s="21"/>
      <c r="G180" s="21"/>
      <c r="H180" s="21"/>
      <c r="J180" s="21"/>
    </row>
    <row r="181" spans="2:10" x14ac:dyDescent="0.25">
      <c r="B181" s="21"/>
      <c r="G181" s="21"/>
      <c r="H181" s="21"/>
      <c r="J181" s="21"/>
    </row>
    <row r="182" spans="2:10" x14ac:dyDescent="0.25">
      <c r="B182" s="21"/>
      <c r="G182" s="21"/>
      <c r="H182" s="21"/>
      <c r="J182" s="21"/>
    </row>
    <row r="183" spans="2:10" x14ac:dyDescent="0.25">
      <c r="B183" s="21"/>
      <c r="G183" s="21"/>
      <c r="H183" s="21"/>
      <c r="J183" s="21"/>
    </row>
    <row r="184" spans="2:10" x14ac:dyDescent="0.25">
      <c r="B184" s="21"/>
      <c r="G184" s="21"/>
      <c r="H184" s="21"/>
      <c r="J184" s="21"/>
    </row>
    <row r="185" spans="2:10" x14ac:dyDescent="0.25">
      <c r="B185" s="21"/>
      <c r="G185" s="21"/>
      <c r="H185" s="21"/>
      <c r="J185" s="21"/>
    </row>
    <row r="186" spans="2:10" x14ac:dyDescent="0.25">
      <c r="B186" s="21"/>
      <c r="G186" s="21"/>
      <c r="H186" s="21"/>
      <c r="J186" s="21"/>
    </row>
    <row r="187" spans="2:10" x14ac:dyDescent="0.25">
      <c r="B187" s="21"/>
      <c r="G187" s="21"/>
      <c r="H187" s="21"/>
      <c r="J187" s="21"/>
    </row>
    <row r="188" spans="2:10" x14ac:dyDescent="0.25">
      <c r="B188" s="21"/>
      <c r="G188" s="21"/>
      <c r="H188" s="21"/>
      <c r="J188" s="21"/>
    </row>
    <row r="189" spans="2:10" x14ac:dyDescent="0.25">
      <c r="B189" s="21"/>
      <c r="G189" s="21"/>
      <c r="H189" s="21"/>
      <c r="J189" s="21"/>
    </row>
    <row r="190" spans="2:10" x14ac:dyDescent="0.25">
      <c r="B190" s="21"/>
      <c r="G190" s="21"/>
      <c r="H190" s="21"/>
      <c r="J190" s="21"/>
    </row>
    <row r="191" spans="2:10" x14ac:dyDescent="0.25">
      <c r="B191" s="21"/>
      <c r="G191" s="21"/>
      <c r="H191" s="21"/>
      <c r="J191" s="21"/>
    </row>
    <row r="192" spans="2:10" x14ac:dyDescent="0.25">
      <c r="B192" s="21"/>
      <c r="G192" s="21"/>
      <c r="H192" s="21"/>
      <c r="J192" s="21"/>
    </row>
    <row r="193" spans="2:10" x14ac:dyDescent="0.25">
      <c r="B193" s="21"/>
      <c r="G193" s="21"/>
      <c r="H193" s="21"/>
      <c r="J193" s="21"/>
    </row>
    <row r="194" spans="2:10" x14ac:dyDescent="0.25">
      <c r="B194" s="21"/>
      <c r="G194" s="21"/>
      <c r="H194" s="21"/>
      <c r="J194" s="21"/>
    </row>
    <row r="195" spans="2:10" x14ac:dyDescent="0.25">
      <c r="B195" s="21"/>
      <c r="G195" s="21"/>
      <c r="H195" s="21"/>
      <c r="J195" s="21"/>
    </row>
    <row r="196" spans="2:10" x14ac:dyDescent="0.25">
      <c r="B196" s="21"/>
      <c r="G196" s="21"/>
      <c r="H196" s="21"/>
      <c r="J196" s="21"/>
    </row>
    <row r="197" spans="2:10" x14ac:dyDescent="0.25">
      <c r="B197" s="21"/>
      <c r="G197" s="21"/>
      <c r="H197" s="21"/>
      <c r="J197" s="21"/>
    </row>
    <row r="198" spans="2:10" x14ac:dyDescent="0.25">
      <c r="B198" s="21"/>
      <c r="G198" s="21"/>
      <c r="H198" s="21"/>
      <c r="J198" s="21"/>
    </row>
    <row r="199" spans="2:10" x14ac:dyDescent="0.25">
      <c r="B199" s="21"/>
      <c r="G199" s="21"/>
      <c r="H199" s="21"/>
      <c r="J199" s="21"/>
    </row>
    <row r="200" spans="2:10" x14ac:dyDescent="0.25">
      <c r="B200" s="21"/>
      <c r="G200" s="21"/>
      <c r="H200" s="21"/>
      <c r="J200" s="21"/>
    </row>
    <row r="201" spans="2:10" x14ac:dyDescent="0.25">
      <c r="B201" s="21"/>
      <c r="G201" s="21"/>
      <c r="H201" s="21"/>
      <c r="J201" s="21"/>
    </row>
    <row r="202" spans="2:10" x14ac:dyDescent="0.25">
      <c r="B202" s="21"/>
      <c r="G202" s="21"/>
      <c r="H202" s="21"/>
      <c r="J202" s="21"/>
    </row>
    <row r="203" spans="2:10" x14ac:dyDescent="0.25">
      <c r="B203" s="21"/>
      <c r="G203" s="21"/>
      <c r="H203" s="21"/>
      <c r="J203" s="21"/>
    </row>
    <row r="204" spans="2:10" x14ac:dyDescent="0.25">
      <c r="B204" s="21"/>
      <c r="G204" s="21"/>
      <c r="H204" s="21"/>
      <c r="J204" s="21"/>
    </row>
    <row r="205" spans="2:10" x14ac:dyDescent="0.25">
      <c r="B205" s="21"/>
      <c r="G205" s="21"/>
      <c r="H205" s="21"/>
      <c r="J205" s="21"/>
    </row>
    <row r="206" spans="2:10" x14ac:dyDescent="0.25">
      <c r="B206" s="21"/>
      <c r="G206" s="21"/>
      <c r="H206" s="21"/>
      <c r="J206" s="21"/>
    </row>
    <row r="207" spans="2:10" x14ac:dyDescent="0.25">
      <c r="B207" s="21"/>
      <c r="G207" s="21"/>
      <c r="H207" s="21"/>
      <c r="J207" s="21"/>
    </row>
    <row r="208" spans="2:10" x14ac:dyDescent="0.25">
      <c r="B208" s="21"/>
      <c r="G208" s="21"/>
      <c r="H208" s="21"/>
      <c r="J208" s="21"/>
    </row>
    <row r="209" spans="2:10" x14ac:dyDescent="0.25">
      <c r="B209" s="21"/>
      <c r="G209" s="21"/>
      <c r="H209" s="21"/>
      <c r="J209" s="21"/>
    </row>
    <row r="210" spans="2:10" x14ac:dyDescent="0.25">
      <c r="B210" s="21"/>
      <c r="G210" s="21"/>
      <c r="H210" s="21"/>
      <c r="J210" s="21"/>
    </row>
    <row r="211" spans="2:10" x14ac:dyDescent="0.25">
      <c r="B211" s="21"/>
      <c r="G211" s="21"/>
      <c r="H211" s="21"/>
      <c r="J211" s="21"/>
    </row>
    <row r="212" spans="2:10" x14ac:dyDescent="0.25">
      <c r="B212" s="21"/>
      <c r="G212" s="21"/>
      <c r="H212" s="21"/>
      <c r="J212" s="21"/>
    </row>
    <row r="213" spans="2:10" x14ac:dyDescent="0.25">
      <c r="B213" s="21"/>
      <c r="G213" s="21"/>
      <c r="H213" s="21"/>
      <c r="J213" s="21"/>
    </row>
    <row r="214" spans="2:10" x14ac:dyDescent="0.25">
      <c r="B214" s="21"/>
      <c r="G214" s="21"/>
      <c r="H214" s="21"/>
      <c r="J214" s="21"/>
    </row>
    <row r="215" spans="2:10" x14ac:dyDescent="0.25">
      <c r="B215" s="21"/>
      <c r="G215" s="21"/>
      <c r="H215" s="21"/>
      <c r="J215" s="21"/>
    </row>
    <row r="216" spans="2:10" x14ac:dyDescent="0.25">
      <c r="B216" s="21"/>
      <c r="G216" s="21"/>
      <c r="H216" s="21"/>
      <c r="J216" s="21"/>
    </row>
    <row r="217" spans="2:10" x14ac:dyDescent="0.25">
      <c r="B217" s="21"/>
      <c r="G217" s="21"/>
      <c r="H217" s="21"/>
      <c r="J217" s="21"/>
    </row>
    <row r="218" spans="2:10" x14ac:dyDescent="0.25">
      <c r="B218" s="21"/>
      <c r="G218" s="21"/>
      <c r="H218" s="21"/>
      <c r="J218" s="21"/>
    </row>
    <row r="219" spans="2:10" x14ac:dyDescent="0.25">
      <c r="B219" s="21"/>
      <c r="G219" s="21"/>
      <c r="H219" s="21"/>
      <c r="J219" s="21"/>
    </row>
    <row r="220" spans="2:10" x14ac:dyDescent="0.25">
      <c r="B220" s="21"/>
      <c r="G220" s="21"/>
      <c r="H220" s="21"/>
      <c r="J220" s="21"/>
    </row>
    <row r="221" spans="2:10" x14ac:dyDescent="0.25">
      <c r="B221" s="21"/>
      <c r="G221" s="21"/>
      <c r="H221" s="21"/>
      <c r="J221" s="21"/>
    </row>
    <row r="222" spans="2:10" x14ac:dyDescent="0.25">
      <c r="B222" s="21"/>
      <c r="G222" s="21"/>
      <c r="H222" s="21"/>
      <c r="J222" s="21"/>
    </row>
    <row r="223" spans="2:10" x14ac:dyDescent="0.25">
      <c r="B223" s="21"/>
      <c r="G223" s="21"/>
      <c r="H223" s="21"/>
      <c r="J223" s="21"/>
    </row>
    <row r="224" spans="2:10" x14ac:dyDescent="0.25">
      <c r="B224" s="21"/>
      <c r="G224" s="21"/>
      <c r="H224" s="21"/>
      <c r="J224" s="21"/>
    </row>
    <row r="225" spans="2:10" x14ac:dyDescent="0.25">
      <c r="B225" s="21"/>
      <c r="G225" s="21"/>
      <c r="H225" s="21"/>
      <c r="J225" s="21"/>
    </row>
    <row r="226" spans="2:10" x14ac:dyDescent="0.25">
      <c r="B226" s="21"/>
      <c r="G226" s="21"/>
      <c r="H226" s="21"/>
      <c r="J226" s="21"/>
    </row>
    <row r="227" spans="2:10" x14ac:dyDescent="0.25">
      <c r="B227" s="21"/>
      <c r="G227" s="21"/>
      <c r="H227" s="21"/>
      <c r="J227" s="21"/>
    </row>
    <row r="228" spans="2:10" x14ac:dyDescent="0.25">
      <c r="B228" s="21"/>
      <c r="G228" s="21"/>
      <c r="H228" s="21"/>
      <c r="J228" s="21"/>
    </row>
    <row r="229" spans="2:10" x14ac:dyDescent="0.25">
      <c r="B229" s="21"/>
      <c r="G229" s="21"/>
      <c r="H229" s="21"/>
      <c r="J229" s="21"/>
    </row>
    <row r="230" spans="2:10" x14ac:dyDescent="0.25">
      <c r="B230" s="21"/>
      <c r="G230" s="21"/>
      <c r="H230" s="21"/>
      <c r="J230" s="21"/>
    </row>
    <row r="231" spans="2:10" x14ac:dyDescent="0.25">
      <c r="B231" s="21"/>
      <c r="G231" s="21"/>
      <c r="H231" s="21"/>
      <c r="J231" s="21"/>
    </row>
    <row r="232" spans="2:10" x14ac:dyDescent="0.25">
      <c r="B232" s="21"/>
      <c r="G232" s="21"/>
      <c r="H232" s="21"/>
      <c r="J232" s="21"/>
    </row>
    <row r="233" spans="2:10" x14ac:dyDescent="0.25">
      <c r="B233" s="21"/>
      <c r="G233" s="21"/>
      <c r="H233" s="21"/>
      <c r="J233" s="21"/>
    </row>
    <row r="234" spans="2:10" x14ac:dyDescent="0.25">
      <c r="B234" s="21"/>
      <c r="G234" s="21"/>
      <c r="H234" s="21"/>
      <c r="J234" s="21"/>
    </row>
    <row r="235" spans="2:10" x14ac:dyDescent="0.25">
      <c r="B235" s="21"/>
      <c r="G235" s="21"/>
      <c r="H235" s="21"/>
      <c r="J235" s="21"/>
    </row>
    <row r="236" spans="2:10" x14ac:dyDescent="0.25">
      <c r="B236" s="21"/>
      <c r="G236" s="21"/>
      <c r="H236" s="21"/>
      <c r="J236" s="21"/>
    </row>
    <row r="237" spans="2:10" x14ac:dyDescent="0.25">
      <c r="B237" s="21"/>
      <c r="G237" s="21"/>
      <c r="H237" s="21"/>
      <c r="J237" s="21"/>
    </row>
    <row r="238" spans="2:10" x14ac:dyDescent="0.25">
      <c r="B238" s="21"/>
      <c r="G238" s="21"/>
      <c r="H238" s="21"/>
      <c r="J238" s="21"/>
    </row>
    <row r="239" spans="2:10" x14ac:dyDescent="0.25">
      <c r="B239" s="21"/>
      <c r="G239" s="21"/>
      <c r="H239" s="21"/>
      <c r="J239" s="21"/>
    </row>
    <row r="240" spans="2:10" x14ac:dyDescent="0.25">
      <c r="B240" s="21"/>
      <c r="G240" s="21"/>
      <c r="H240" s="21"/>
      <c r="J240" s="21"/>
    </row>
    <row r="241" spans="2:10" x14ac:dyDescent="0.25">
      <c r="B241" s="21"/>
      <c r="G241" s="21"/>
      <c r="H241" s="21"/>
      <c r="J241" s="21"/>
    </row>
    <row r="242" spans="2:10" x14ac:dyDescent="0.25">
      <c r="B242" s="21"/>
      <c r="G242" s="21"/>
      <c r="H242" s="21"/>
      <c r="J242" s="21"/>
    </row>
    <row r="243" spans="2:10" x14ac:dyDescent="0.25">
      <c r="B243" s="21"/>
      <c r="G243" s="21"/>
      <c r="H243" s="21"/>
      <c r="J243" s="21"/>
    </row>
    <row r="244" spans="2:10" x14ac:dyDescent="0.25">
      <c r="B244" s="21"/>
      <c r="G244" s="21"/>
      <c r="H244" s="21"/>
      <c r="J244" s="21"/>
    </row>
    <row r="245" spans="2:10" x14ac:dyDescent="0.25">
      <c r="B245" s="21"/>
      <c r="G245" s="21"/>
      <c r="H245" s="21"/>
      <c r="J245" s="21"/>
    </row>
    <row r="246" spans="2:10" x14ac:dyDescent="0.25">
      <c r="B246" s="21"/>
      <c r="G246" s="21"/>
      <c r="H246" s="21"/>
      <c r="J246" s="21"/>
    </row>
    <row r="247" spans="2:10" x14ac:dyDescent="0.25">
      <c r="B247" s="21"/>
      <c r="G247" s="21"/>
      <c r="H247" s="21"/>
      <c r="J247" s="21"/>
    </row>
    <row r="248" spans="2:10" x14ac:dyDescent="0.25">
      <c r="B248" s="21"/>
      <c r="G248" s="21"/>
      <c r="H248" s="21"/>
      <c r="J248" s="21"/>
    </row>
    <row r="249" spans="2:10" x14ac:dyDescent="0.25">
      <c r="B249" s="21"/>
      <c r="G249" s="21"/>
      <c r="H249" s="21"/>
      <c r="J249" s="21"/>
    </row>
    <row r="250" spans="2:10" x14ac:dyDescent="0.25">
      <c r="B250" s="21"/>
      <c r="G250" s="21"/>
      <c r="H250" s="21"/>
      <c r="J250" s="21"/>
    </row>
    <row r="251" spans="2:10" x14ac:dyDescent="0.25">
      <c r="B251" s="21"/>
      <c r="G251" s="21"/>
      <c r="H251" s="21"/>
      <c r="J251" s="21"/>
    </row>
    <row r="252" spans="2:10" x14ac:dyDescent="0.25">
      <c r="B252" s="21"/>
      <c r="G252" s="21"/>
      <c r="H252" s="21"/>
      <c r="J252" s="21"/>
    </row>
    <row r="253" spans="2:10" x14ac:dyDescent="0.25">
      <c r="B253" s="21"/>
      <c r="G253" s="21"/>
      <c r="H253" s="21"/>
      <c r="J253" s="21"/>
    </row>
    <row r="254" spans="2:10" x14ac:dyDescent="0.25">
      <c r="B254" s="21"/>
      <c r="G254" s="21"/>
      <c r="H254" s="21"/>
      <c r="J254" s="21"/>
    </row>
    <row r="255" spans="2:10" x14ac:dyDescent="0.25">
      <c r="B255" s="21"/>
      <c r="G255" s="21"/>
      <c r="H255" s="21"/>
      <c r="J255" s="21"/>
    </row>
    <row r="256" spans="2:10" x14ac:dyDescent="0.25">
      <c r="B256" s="21"/>
      <c r="G256" s="21"/>
      <c r="H256" s="21"/>
      <c r="J256" s="21"/>
    </row>
    <row r="257" spans="2:10" x14ac:dyDescent="0.25">
      <c r="B257" s="21"/>
      <c r="G257" s="21"/>
      <c r="H257" s="21"/>
      <c r="J257" s="21"/>
    </row>
    <row r="258" spans="2:10" x14ac:dyDescent="0.25">
      <c r="B258" s="21"/>
      <c r="G258" s="21"/>
      <c r="H258" s="21"/>
      <c r="J258" s="21"/>
    </row>
    <row r="259" spans="2:10" x14ac:dyDescent="0.25">
      <c r="B259" s="21"/>
      <c r="G259" s="21"/>
      <c r="H259" s="21"/>
      <c r="J259" s="21"/>
    </row>
    <row r="260" spans="2:10" x14ac:dyDescent="0.25">
      <c r="B260" s="21"/>
      <c r="G260" s="21"/>
      <c r="H260" s="21"/>
      <c r="J260" s="21"/>
    </row>
    <row r="261" spans="2:10" x14ac:dyDescent="0.25">
      <c r="B261" s="21"/>
      <c r="G261" s="21"/>
      <c r="H261" s="21"/>
      <c r="J261" s="21"/>
    </row>
    <row r="262" spans="2:10" x14ac:dyDescent="0.25">
      <c r="B262" s="21"/>
      <c r="G262" s="21"/>
      <c r="H262" s="21"/>
      <c r="J262" s="21"/>
    </row>
    <row r="263" spans="2:10" x14ac:dyDescent="0.25">
      <c r="B263" s="21"/>
      <c r="G263" s="21"/>
      <c r="H263" s="21"/>
      <c r="J263" s="21"/>
    </row>
    <row r="264" spans="2:10" x14ac:dyDescent="0.25">
      <c r="B264" s="21"/>
      <c r="G264" s="21"/>
      <c r="H264" s="21"/>
      <c r="J264" s="21"/>
    </row>
    <row r="265" spans="2:10" x14ac:dyDescent="0.25">
      <c r="B265" s="21"/>
      <c r="G265" s="21"/>
      <c r="H265" s="21"/>
      <c r="J265" s="21"/>
    </row>
    <row r="266" spans="2:10" x14ac:dyDescent="0.25">
      <c r="B266" s="21"/>
      <c r="G266" s="21"/>
      <c r="H266" s="21"/>
      <c r="J266" s="21"/>
    </row>
    <row r="267" spans="2:10" x14ac:dyDescent="0.25">
      <c r="B267" s="21"/>
      <c r="G267" s="21"/>
      <c r="H267" s="21"/>
      <c r="J267" s="21"/>
    </row>
    <row r="268" spans="2:10" x14ac:dyDescent="0.25">
      <c r="B268" s="21"/>
      <c r="G268" s="21"/>
      <c r="H268" s="21"/>
      <c r="J268" s="21"/>
    </row>
    <row r="269" spans="2:10" x14ac:dyDescent="0.25">
      <c r="B269" s="21"/>
      <c r="G269" s="21"/>
      <c r="H269" s="21"/>
      <c r="J269" s="21"/>
    </row>
    <row r="270" spans="2:10" x14ac:dyDescent="0.25">
      <c r="B270" s="21"/>
      <c r="G270" s="21"/>
      <c r="H270" s="21"/>
      <c r="J270" s="21"/>
    </row>
    <row r="271" spans="2:10" x14ac:dyDescent="0.25">
      <c r="B271" s="21"/>
      <c r="G271" s="21"/>
      <c r="H271" s="21"/>
      <c r="J271" s="21"/>
    </row>
    <row r="272" spans="2:10" x14ac:dyDescent="0.25">
      <c r="B272" s="21"/>
      <c r="G272" s="21"/>
      <c r="H272" s="21"/>
      <c r="J272" s="21"/>
    </row>
    <row r="273" spans="2:10" x14ac:dyDescent="0.25">
      <c r="B273" s="21"/>
      <c r="G273" s="21"/>
      <c r="H273" s="21"/>
      <c r="J273" s="21"/>
    </row>
    <row r="274" spans="2:10" x14ac:dyDescent="0.25">
      <c r="B274" s="21"/>
      <c r="G274" s="21"/>
      <c r="H274" s="21"/>
      <c r="J274" s="21"/>
    </row>
    <row r="275" spans="2:10" x14ac:dyDescent="0.25">
      <c r="B275" s="21"/>
      <c r="G275" s="21"/>
      <c r="H275" s="21"/>
      <c r="J275" s="21"/>
    </row>
    <row r="276" spans="2:10" x14ac:dyDescent="0.25">
      <c r="B276" s="21"/>
      <c r="G276" s="21"/>
      <c r="H276" s="21"/>
      <c r="J276" s="21"/>
    </row>
    <row r="277" spans="2:10" x14ac:dyDescent="0.25">
      <c r="B277" s="21"/>
      <c r="G277" s="21"/>
      <c r="H277" s="21"/>
      <c r="J277" s="21"/>
    </row>
    <row r="278" spans="2:10" x14ac:dyDescent="0.25">
      <c r="B278" s="21"/>
      <c r="G278" s="21"/>
      <c r="H278" s="21"/>
      <c r="J278" s="21"/>
    </row>
    <row r="279" spans="2:10" x14ac:dyDescent="0.25">
      <c r="B279" s="21"/>
      <c r="G279" s="21"/>
      <c r="H279" s="21"/>
      <c r="J279" s="21"/>
    </row>
    <row r="280" spans="2:10" x14ac:dyDescent="0.25">
      <c r="B280" s="21"/>
      <c r="G280" s="21"/>
      <c r="H280" s="21"/>
      <c r="J280" s="21"/>
    </row>
    <row r="281" spans="2:10" x14ac:dyDescent="0.25">
      <c r="B281" s="21"/>
      <c r="G281" s="21"/>
      <c r="H281" s="21"/>
      <c r="J281" s="21"/>
    </row>
    <row r="282" spans="2:10" x14ac:dyDescent="0.25">
      <c r="B282" s="21"/>
      <c r="G282" s="21"/>
      <c r="H282" s="21"/>
      <c r="J282" s="21"/>
    </row>
    <row r="283" spans="2:10" x14ac:dyDescent="0.25">
      <c r="B283" s="21"/>
      <c r="G283" s="21"/>
      <c r="H283" s="21"/>
      <c r="J283" s="21"/>
    </row>
    <row r="284" spans="2:10" x14ac:dyDescent="0.25">
      <c r="B284" s="21"/>
      <c r="G284" s="21"/>
      <c r="H284" s="21"/>
      <c r="J284" s="21"/>
    </row>
    <row r="285" spans="2:10" x14ac:dyDescent="0.25">
      <c r="B285" s="21"/>
      <c r="G285" s="21"/>
      <c r="H285" s="21"/>
      <c r="J285" s="21"/>
    </row>
    <row r="286" spans="2:10" x14ac:dyDescent="0.25">
      <c r="B286" s="21"/>
      <c r="G286" s="21"/>
      <c r="H286" s="21"/>
      <c r="J286" s="21"/>
    </row>
    <row r="287" spans="2:10" x14ac:dyDescent="0.25">
      <c r="B287" s="21"/>
      <c r="G287" s="21"/>
      <c r="H287" s="21"/>
      <c r="J287" s="21"/>
    </row>
    <row r="288" spans="2:10" x14ac:dyDescent="0.25">
      <c r="B288" s="21"/>
      <c r="G288" s="21"/>
      <c r="H288" s="21"/>
      <c r="J288" s="21"/>
    </row>
    <row r="289" spans="2:10" x14ac:dyDescent="0.25">
      <c r="B289" s="21"/>
      <c r="G289" s="21"/>
      <c r="H289" s="21"/>
      <c r="J289" s="21"/>
    </row>
    <row r="290" spans="2:10" x14ac:dyDescent="0.25">
      <c r="B290" s="21"/>
      <c r="G290" s="21"/>
      <c r="H290" s="21"/>
      <c r="J290" s="21"/>
    </row>
    <row r="291" spans="2:10" x14ac:dyDescent="0.25">
      <c r="B291" s="21"/>
      <c r="G291" s="21"/>
      <c r="H291" s="21"/>
      <c r="J291" s="21"/>
    </row>
    <row r="292" spans="2:10" x14ac:dyDescent="0.25">
      <c r="B292" s="21"/>
      <c r="G292" s="21"/>
      <c r="H292" s="21"/>
      <c r="J292" s="21"/>
    </row>
    <row r="293" spans="2:10" x14ac:dyDescent="0.25">
      <c r="B293" s="21"/>
      <c r="G293" s="21"/>
      <c r="H293" s="21"/>
      <c r="J293" s="21"/>
    </row>
    <row r="294" spans="2:10" x14ac:dyDescent="0.25">
      <c r="B294" s="21"/>
      <c r="G294" s="21"/>
      <c r="H294" s="21"/>
      <c r="J294" s="21"/>
    </row>
    <row r="295" spans="2:10" x14ac:dyDescent="0.25">
      <c r="B295" s="21"/>
      <c r="G295" s="21"/>
      <c r="H295" s="21"/>
      <c r="J295" s="21"/>
    </row>
    <row r="296" spans="2:10" x14ac:dyDescent="0.25">
      <c r="B296" s="21"/>
      <c r="G296" s="21"/>
      <c r="H296" s="21"/>
      <c r="J296" s="21"/>
    </row>
    <row r="297" spans="2:10" x14ac:dyDescent="0.25">
      <c r="B297" s="21"/>
      <c r="G297" s="21"/>
      <c r="H297" s="21"/>
      <c r="J297" s="21"/>
    </row>
    <row r="298" spans="2:10" x14ac:dyDescent="0.25">
      <c r="B298" s="21"/>
      <c r="G298" s="21"/>
      <c r="H298" s="21"/>
      <c r="J298" s="21"/>
    </row>
    <row r="299" spans="2:10" x14ac:dyDescent="0.25">
      <c r="B299" s="21"/>
      <c r="G299" s="21"/>
      <c r="H299" s="21"/>
      <c r="J299" s="21"/>
    </row>
    <row r="300" spans="2:10" x14ac:dyDescent="0.25">
      <c r="B300" s="21"/>
      <c r="G300" s="21"/>
      <c r="H300" s="21"/>
      <c r="J300" s="21"/>
    </row>
    <row r="301" spans="2:10" x14ac:dyDescent="0.25">
      <c r="B301" s="21"/>
      <c r="G301" s="21"/>
      <c r="H301" s="21"/>
      <c r="J301" s="21"/>
    </row>
    <row r="302" spans="2:10" x14ac:dyDescent="0.25">
      <c r="B302" s="21"/>
      <c r="G302" s="21"/>
      <c r="H302" s="21"/>
      <c r="J302" s="21"/>
    </row>
    <row r="303" spans="2:10" x14ac:dyDescent="0.25">
      <c r="B303" s="21"/>
      <c r="G303" s="21"/>
      <c r="H303" s="21"/>
      <c r="J303" s="21"/>
    </row>
    <row r="304" spans="2:10" x14ac:dyDescent="0.25">
      <c r="B304" s="21"/>
      <c r="G304" s="21"/>
      <c r="H304" s="21"/>
      <c r="J304" s="21"/>
    </row>
    <row r="305" spans="2:10" x14ac:dyDescent="0.25">
      <c r="B305" s="21"/>
      <c r="G305" s="21"/>
      <c r="H305" s="21"/>
      <c r="J305" s="21"/>
    </row>
    <row r="306" spans="2:10" x14ac:dyDescent="0.25">
      <c r="B306" s="21"/>
      <c r="G306" s="21"/>
      <c r="H306" s="21"/>
      <c r="J306" s="21"/>
    </row>
    <row r="307" spans="2:10" x14ac:dyDescent="0.25">
      <c r="B307" s="21"/>
      <c r="G307" s="21"/>
      <c r="H307" s="21"/>
      <c r="J307" s="21"/>
    </row>
    <row r="308" spans="2:10" x14ac:dyDescent="0.25">
      <c r="B308" s="21"/>
      <c r="G308" s="21"/>
      <c r="H308" s="21"/>
      <c r="J308" s="21"/>
    </row>
    <row r="309" spans="2:10" x14ac:dyDescent="0.25">
      <c r="B309" s="21"/>
      <c r="G309" s="21"/>
      <c r="H309" s="21"/>
      <c r="J309" s="21"/>
    </row>
    <row r="310" spans="2:10" x14ac:dyDescent="0.25">
      <c r="B310" s="21"/>
      <c r="G310" s="21"/>
      <c r="H310" s="21"/>
      <c r="J310" s="21"/>
    </row>
    <row r="311" spans="2:10" x14ac:dyDescent="0.25">
      <c r="B311" s="21"/>
      <c r="G311" s="21"/>
      <c r="H311" s="21"/>
      <c r="J311" s="21"/>
    </row>
    <row r="312" spans="2:10" x14ac:dyDescent="0.25">
      <c r="B312" s="21"/>
      <c r="G312" s="21"/>
      <c r="H312" s="21"/>
      <c r="J312" s="21"/>
    </row>
    <row r="313" spans="2:10" x14ac:dyDescent="0.25">
      <c r="B313" s="21"/>
      <c r="G313" s="21"/>
      <c r="H313" s="21"/>
      <c r="J313" s="21"/>
    </row>
    <row r="314" spans="2:10" x14ac:dyDescent="0.25">
      <c r="B314" s="21"/>
      <c r="G314" s="21"/>
      <c r="H314" s="21"/>
      <c r="J314" s="21"/>
    </row>
    <row r="315" spans="2:10" x14ac:dyDescent="0.25">
      <c r="B315" s="21"/>
      <c r="G315" s="21"/>
      <c r="H315" s="21"/>
      <c r="J315" s="21"/>
    </row>
    <row r="316" spans="2:10" x14ac:dyDescent="0.25">
      <c r="B316" s="21"/>
      <c r="G316" s="21"/>
      <c r="H316" s="21"/>
      <c r="J316" s="21"/>
    </row>
    <row r="317" spans="2:10" x14ac:dyDescent="0.25">
      <c r="B317" s="21"/>
      <c r="G317" s="21"/>
      <c r="H317" s="21"/>
      <c r="J317" s="21"/>
    </row>
    <row r="318" spans="2:10" x14ac:dyDescent="0.25">
      <c r="B318" s="21"/>
      <c r="G318" s="21"/>
      <c r="H318" s="21"/>
      <c r="J318" s="21"/>
    </row>
    <row r="319" spans="2:10" x14ac:dyDescent="0.25">
      <c r="B319" s="21"/>
      <c r="G319" s="21"/>
      <c r="H319" s="21"/>
      <c r="J319" s="21"/>
    </row>
    <row r="320" spans="2:10" x14ac:dyDescent="0.25">
      <c r="B320" s="21"/>
      <c r="G320" s="21"/>
      <c r="H320" s="21"/>
      <c r="J320" s="21"/>
    </row>
    <row r="321" spans="2:10" x14ac:dyDescent="0.25">
      <c r="B321" s="21"/>
      <c r="G321" s="21"/>
      <c r="H321" s="21"/>
      <c r="J321" s="21"/>
    </row>
    <row r="322" spans="2:10" x14ac:dyDescent="0.25">
      <c r="B322" s="21"/>
      <c r="G322" s="21"/>
      <c r="H322" s="21"/>
      <c r="J322" s="21"/>
    </row>
    <row r="323" spans="2:10" x14ac:dyDescent="0.25">
      <c r="B323" s="21"/>
      <c r="G323" s="21"/>
      <c r="H323" s="21"/>
      <c r="J323" s="21"/>
    </row>
    <row r="324" spans="2:10" x14ac:dyDescent="0.25">
      <c r="B324" s="21"/>
      <c r="G324" s="21"/>
      <c r="H324" s="21"/>
      <c r="J324" s="21"/>
    </row>
    <row r="325" spans="2:10" x14ac:dyDescent="0.25">
      <c r="B325" s="21"/>
      <c r="G325" s="21"/>
      <c r="H325" s="21"/>
      <c r="J325" s="21"/>
    </row>
    <row r="326" spans="2:10" x14ac:dyDescent="0.25">
      <c r="B326" s="21"/>
      <c r="G326" s="21"/>
      <c r="H326" s="21"/>
      <c r="J326" s="21"/>
    </row>
    <row r="327" spans="2:10" x14ac:dyDescent="0.25">
      <c r="B327" s="21"/>
      <c r="G327" s="21"/>
      <c r="H327" s="21"/>
      <c r="J327" s="21"/>
    </row>
    <row r="328" spans="2:10" x14ac:dyDescent="0.25">
      <c r="B328" s="21"/>
      <c r="G328" s="21"/>
      <c r="H328" s="21"/>
      <c r="J328" s="21"/>
    </row>
    <row r="329" spans="2:10" x14ac:dyDescent="0.25">
      <c r="B329" s="21"/>
      <c r="G329" s="21"/>
      <c r="H329" s="21"/>
      <c r="J329" s="21"/>
    </row>
    <row r="330" spans="2:10" x14ac:dyDescent="0.25">
      <c r="B330" s="21"/>
      <c r="G330" s="21"/>
      <c r="H330" s="21"/>
      <c r="J330" s="21"/>
    </row>
    <row r="331" spans="2:10" x14ac:dyDescent="0.25">
      <c r="B331" s="21"/>
      <c r="G331" s="21"/>
      <c r="H331" s="21"/>
      <c r="J331" s="21"/>
    </row>
    <row r="332" spans="2:10" x14ac:dyDescent="0.25">
      <c r="B332" s="21"/>
      <c r="G332" s="21"/>
      <c r="H332" s="21"/>
      <c r="J332" s="21"/>
    </row>
    <row r="333" spans="2:10" x14ac:dyDescent="0.25">
      <c r="B333" s="21"/>
      <c r="G333" s="21"/>
      <c r="H333" s="21"/>
      <c r="J333" s="21"/>
    </row>
    <row r="334" spans="2:10" x14ac:dyDescent="0.25">
      <c r="B334" s="21"/>
      <c r="G334" s="21"/>
      <c r="H334" s="21"/>
      <c r="J334" s="21"/>
    </row>
    <row r="335" spans="2:10" x14ac:dyDescent="0.25">
      <c r="B335" s="21"/>
      <c r="G335" s="21"/>
      <c r="H335" s="21"/>
      <c r="J335" s="21"/>
    </row>
    <row r="336" spans="2:10" x14ac:dyDescent="0.25">
      <c r="B336" s="21"/>
      <c r="G336" s="21"/>
      <c r="H336" s="21"/>
      <c r="J336" s="21"/>
    </row>
    <row r="337" spans="2:10" x14ac:dyDescent="0.25">
      <c r="B337" s="21"/>
      <c r="G337" s="21"/>
      <c r="H337" s="21"/>
      <c r="J337" s="21"/>
    </row>
    <row r="338" spans="2:10" x14ac:dyDescent="0.25">
      <c r="B338" s="21"/>
      <c r="G338" s="21"/>
      <c r="H338" s="21"/>
      <c r="J338" s="21"/>
    </row>
    <row r="339" spans="2:10" x14ac:dyDescent="0.25">
      <c r="B339" s="21"/>
      <c r="G339" s="21"/>
      <c r="H339" s="21"/>
      <c r="J339" s="21"/>
    </row>
    <row r="340" spans="2:10" x14ac:dyDescent="0.25">
      <c r="B340" s="21"/>
      <c r="G340" s="21"/>
      <c r="H340" s="21"/>
      <c r="J340" s="21"/>
    </row>
    <row r="341" spans="2:10" x14ac:dyDescent="0.25">
      <c r="B341" s="21"/>
      <c r="G341" s="21"/>
      <c r="H341" s="21"/>
      <c r="J341" s="21"/>
    </row>
    <row r="342" spans="2:10" x14ac:dyDescent="0.25">
      <c r="B342" s="21"/>
      <c r="G342" s="21"/>
      <c r="H342" s="21"/>
      <c r="J342" s="21"/>
    </row>
    <row r="343" spans="2:10" x14ac:dyDescent="0.25">
      <c r="B343" s="21"/>
      <c r="G343" s="21"/>
      <c r="H343" s="21"/>
      <c r="J343" s="21"/>
    </row>
    <row r="344" spans="2:10" x14ac:dyDescent="0.25">
      <c r="B344" s="21"/>
      <c r="G344" s="21"/>
      <c r="H344" s="21"/>
      <c r="J344" s="21"/>
    </row>
    <row r="345" spans="2:10" x14ac:dyDescent="0.25">
      <c r="B345" s="21"/>
      <c r="G345" s="21"/>
      <c r="H345" s="21"/>
      <c r="J345" s="21"/>
    </row>
    <row r="346" spans="2:10" x14ac:dyDescent="0.25">
      <c r="B346" s="21"/>
      <c r="G346" s="21"/>
      <c r="H346" s="21"/>
      <c r="J346" s="21"/>
    </row>
    <row r="347" spans="2:10" x14ac:dyDescent="0.25">
      <c r="B347" s="21"/>
      <c r="G347" s="21"/>
      <c r="H347" s="21"/>
      <c r="J347" s="21"/>
    </row>
    <row r="348" spans="2:10" x14ac:dyDescent="0.25">
      <c r="B348" s="21"/>
      <c r="G348" s="21"/>
      <c r="H348" s="21"/>
      <c r="J348" s="21"/>
    </row>
    <row r="349" spans="2:10" x14ac:dyDescent="0.25">
      <c r="B349" s="21"/>
      <c r="G349" s="21"/>
      <c r="H349" s="21"/>
      <c r="J349" s="21"/>
    </row>
    <row r="350" spans="2:10" x14ac:dyDescent="0.25">
      <c r="B350" s="21"/>
      <c r="G350" s="21"/>
      <c r="H350" s="21"/>
      <c r="J350" s="21"/>
    </row>
    <row r="351" spans="2:10" x14ac:dyDescent="0.25">
      <c r="B351" s="21"/>
      <c r="G351" s="21"/>
      <c r="H351" s="21"/>
      <c r="J351" s="21"/>
    </row>
    <row r="352" spans="2:10" x14ac:dyDescent="0.25">
      <c r="B352" s="21"/>
      <c r="G352" s="21"/>
      <c r="H352" s="21"/>
      <c r="J352" s="21"/>
    </row>
    <row r="353" spans="2:10" x14ac:dyDescent="0.25">
      <c r="B353" s="21"/>
      <c r="G353" s="21"/>
      <c r="H353" s="21"/>
      <c r="J353" s="21"/>
    </row>
    <row r="354" spans="2:10" x14ac:dyDescent="0.25">
      <c r="B354" s="21"/>
      <c r="G354" s="21"/>
      <c r="H354" s="21"/>
      <c r="J354" s="21"/>
    </row>
    <row r="355" spans="2:10" x14ac:dyDescent="0.25">
      <c r="B355" s="21"/>
      <c r="G355" s="21"/>
      <c r="H355" s="21"/>
      <c r="J355" s="21"/>
    </row>
    <row r="356" spans="2:10" x14ac:dyDescent="0.25">
      <c r="B356" s="21"/>
      <c r="G356" s="21"/>
      <c r="H356" s="21"/>
      <c r="J356" s="21"/>
    </row>
    <row r="357" spans="2:10" x14ac:dyDescent="0.25">
      <c r="B357" s="21"/>
      <c r="G357" s="21"/>
      <c r="H357" s="21"/>
      <c r="J357" s="21"/>
    </row>
    <row r="358" spans="2:10" x14ac:dyDescent="0.25">
      <c r="B358" s="21"/>
      <c r="G358" s="21"/>
      <c r="H358" s="21"/>
      <c r="J358" s="21"/>
    </row>
    <row r="359" spans="2:10" x14ac:dyDescent="0.25">
      <c r="B359" s="21"/>
      <c r="G359" s="21"/>
      <c r="H359" s="21"/>
      <c r="J359" s="21"/>
    </row>
    <row r="360" spans="2:10" x14ac:dyDescent="0.25">
      <c r="B360" s="21"/>
      <c r="G360" s="21"/>
      <c r="H360" s="21"/>
      <c r="J360" s="21"/>
    </row>
    <row r="361" spans="2:10" x14ac:dyDescent="0.25">
      <c r="B361" s="21"/>
      <c r="G361" s="21"/>
      <c r="H361" s="21"/>
      <c r="J361" s="21"/>
    </row>
    <row r="362" spans="2:10" x14ac:dyDescent="0.25">
      <c r="B362" s="21"/>
      <c r="G362" s="21"/>
      <c r="H362" s="21"/>
      <c r="J362" s="21"/>
    </row>
    <row r="363" spans="2:10" x14ac:dyDescent="0.25">
      <c r="B363" s="21"/>
      <c r="G363" s="21"/>
      <c r="H363" s="21"/>
      <c r="J363" s="21"/>
    </row>
    <row r="364" spans="2:10" x14ac:dyDescent="0.25">
      <c r="B364" s="21"/>
      <c r="G364" s="21"/>
      <c r="H364" s="21"/>
      <c r="J364" s="21"/>
    </row>
    <row r="365" spans="2:10" x14ac:dyDescent="0.25">
      <c r="B365" s="21"/>
      <c r="G365" s="21"/>
      <c r="H365" s="21"/>
      <c r="J365" s="21"/>
    </row>
    <row r="366" spans="2:10" x14ac:dyDescent="0.25">
      <c r="B366" s="21"/>
      <c r="G366" s="21"/>
      <c r="H366" s="21"/>
      <c r="J366" s="21"/>
    </row>
    <row r="367" spans="2:10" x14ac:dyDescent="0.25">
      <c r="B367" s="21"/>
      <c r="G367" s="21"/>
      <c r="H367" s="21"/>
      <c r="J367" s="21"/>
    </row>
    <row r="368" spans="2:10" x14ac:dyDescent="0.25">
      <c r="B368" s="21"/>
      <c r="G368" s="21"/>
      <c r="H368" s="21"/>
      <c r="J368" s="21"/>
    </row>
    <row r="369" spans="2:10" x14ac:dyDescent="0.25">
      <c r="B369" s="21"/>
      <c r="G369" s="21"/>
      <c r="H369" s="21"/>
      <c r="J369" s="21"/>
    </row>
    <row r="370" spans="2:10" x14ac:dyDescent="0.25">
      <c r="B370" s="21"/>
      <c r="G370" s="21"/>
      <c r="H370" s="21"/>
      <c r="J370" s="21"/>
    </row>
    <row r="371" spans="2:10" x14ac:dyDescent="0.25">
      <c r="B371" s="21"/>
      <c r="G371" s="21"/>
      <c r="H371" s="21"/>
      <c r="J371" s="21"/>
    </row>
    <row r="372" spans="2:10" x14ac:dyDescent="0.25">
      <c r="B372" s="21"/>
      <c r="G372" s="21"/>
      <c r="H372" s="21"/>
      <c r="J372" s="21"/>
    </row>
    <row r="373" spans="2:10" x14ac:dyDescent="0.25">
      <c r="B373" s="21"/>
      <c r="G373" s="21"/>
      <c r="H373" s="21"/>
      <c r="J373" s="21"/>
    </row>
    <row r="374" spans="2:10" x14ac:dyDescent="0.25">
      <c r="B374" s="21"/>
      <c r="G374" s="21"/>
      <c r="H374" s="21"/>
      <c r="J374" s="21"/>
    </row>
    <row r="375" spans="2:10" x14ac:dyDescent="0.25">
      <c r="B375" s="21"/>
      <c r="G375" s="21"/>
      <c r="H375" s="21"/>
      <c r="J375" s="21"/>
    </row>
    <row r="376" spans="2:10" x14ac:dyDescent="0.25">
      <c r="B376" s="21"/>
      <c r="G376" s="21"/>
      <c r="H376" s="21"/>
      <c r="J376" s="21"/>
    </row>
    <row r="377" spans="2:10" x14ac:dyDescent="0.25">
      <c r="B377" s="21"/>
      <c r="G377" s="21"/>
      <c r="H377" s="21"/>
      <c r="J377" s="21"/>
    </row>
    <row r="378" spans="2:10" x14ac:dyDescent="0.25">
      <c r="B378" s="21"/>
      <c r="G378" s="21"/>
      <c r="H378" s="21"/>
      <c r="J378" s="21"/>
    </row>
    <row r="379" spans="2:10" x14ac:dyDescent="0.25">
      <c r="B379" s="21"/>
      <c r="G379" s="21"/>
      <c r="H379" s="21"/>
      <c r="J379" s="21"/>
    </row>
    <row r="380" spans="2:10" x14ac:dyDescent="0.25">
      <c r="B380" s="21"/>
      <c r="G380" s="21"/>
      <c r="H380" s="21"/>
      <c r="J380" s="21"/>
    </row>
    <row r="381" spans="2:10" x14ac:dyDescent="0.25">
      <c r="B381" s="21"/>
      <c r="G381" s="21"/>
      <c r="H381" s="21"/>
      <c r="J381" s="21"/>
    </row>
    <row r="382" spans="2:10" x14ac:dyDescent="0.25">
      <c r="B382" s="21"/>
      <c r="G382" s="21"/>
      <c r="H382" s="21"/>
      <c r="J382" s="21"/>
    </row>
    <row r="383" spans="2:10" x14ac:dyDescent="0.25">
      <c r="B383" s="21"/>
      <c r="G383" s="21"/>
      <c r="H383" s="21"/>
      <c r="J383" s="21"/>
    </row>
    <row r="384" spans="2:10" x14ac:dyDescent="0.25">
      <c r="B384" s="21"/>
      <c r="G384" s="21"/>
      <c r="H384" s="21"/>
      <c r="J384" s="21"/>
    </row>
    <row r="385" spans="2:10" x14ac:dyDescent="0.25">
      <c r="B385" s="21"/>
      <c r="G385" s="21"/>
      <c r="H385" s="21"/>
      <c r="J385" s="21"/>
    </row>
    <row r="386" spans="2:10" x14ac:dyDescent="0.25">
      <c r="B386" s="21"/>
      <c r="G386" s="21"/>
      <c r="H386" s="21"/>
      <c r="J386" s="21"/>
    </row>
    <row r="387" spans="2:10" x14ac:dyDescent="0.25">
      <c r="B387" s="21"/>
      <c r="G387" s="21"/>
      <c r="H387" s="21"/>
      <c r="J387" s="21"/>
    </row>
    <row r="388" spans="2:10" x14ac:dyDescent="0.25">
      <c r="B388" s="21"/>
      <c r="G388" s="21"/>
      <c r="H388" s="21"/>
      <c r="J388" s="21"/>
    </row>
    <row r="389" spans="2:10" x14ac:dyDescent="0.25">
      <c r="B389" s="21"/>
      <c r="G389" s="21"/>
      <c r="H389" s="21"/>
      <c r="J389" s="21"/>
    </row>
    <row r="390" spans="2:10" x14ac:dyDescent="0.25">
      <c r="B390" s="21"/>
      <c r="G390" s="21"/>
      <c r="H390" s="21"/>
      <c r="J390" s="21"/>
    </row>
    <row r="391" spans="2:10" x14ac:dyDescent="0.25">
      <c r="B391" s="21"/>
      <c r="G391" s="21"/>
      <c r="H391" s="21"/>
      <c r="J391" s="21"/>
    </row>
    <row r="392" spans="2:10" x14ac:dyDescent="0.25">
      <c r="B392" s="21"/>
      <c r="G392" s="21"/>
      <c r="H392" s="21"/>
      <c r="J392" s="21"/>
    </row>
    <row r="393" spans="2:10" x14ac:dyDescent="0.25">
      <c r="B393" s="21"/>
      <c r="G393" s="21"/>
      <c r="H393" s="21"/>
      <c r="J393" s="21"/>
    </row>
    <row r="394" spans="2:10" x14ac:dyDescent="0.25">
      <c r="B394" s="21"/>
      <c r="G394" s="21"/>
      <c r="H394" s="21"/>
      <c r="J394" s="21"/>
    </row>
    <row r="395" spans="2:10" x14ac:dyDescent="0.25">
      <c r="B395" s="21"/>
      <c r="G395" s="21"/>
      <c r="H395" s="21"/>
      <c r="J395" s="21"/>
    </row>
    <row r="396" spans="2:10" x14ac:dyDescent="0.25">
      <c r="B396" s="21"/>
      <c r="G396" s="21"/>
      <c r="H396" s="21"/>
      <c r="J396" s="21"/>
    </row>
    <row r="397" spans="2:10" x14ac:dyDescent="0.25">
      <c r="B397" s="21"/>
      <c r="G397" s="21"/>
      <c r="H397" s="21"/>
      <c r="J397" s="21"/>
    </row>
    <row r="398" spans="2:10" x14ac:dyDescent="0.25">
      <c r="B398" s="21"/>
      <c r="G398" s="21"/>
      <c r="H398" s="21"/>
      <c r="J398" s="21"/>
    </row>
    <row r="399" spans="2:10" x14ac:dyDescent="0.25">
      <c r="B399" s="21"/>
      <c r="G399" s="21"/>
      <c r="H399" s="21"/>
      <c r="J399" s="21"/>
    </row>
    <row r="400" spans="2:10" x14ac:dyDescent="0.25">
      <c r="B400" s="21"/>
      <c r="G400" s="21"/>
      <c r="H400" s="21"/>
      <c r="J400" s="21"/>
    </row>
    <row r="401" spans="2:10" x14ac:dyDescent="0.25">
      <c r="B401" s="21"/>
      <c r="G401" s="21"/>
      <c r="H401" s="21"/>
      <c r="J401" s="21"/>
    </row>
    <row r="402" spans="2:10" x14ac:dyDescent="0.25">
      <c r="B402" s="21"/>
      <c r="G402" s="21"/>
      <c r="H402" s="21"/>
      <c r="J402" s="21"/>
    </row>
    <row r="403" spans="2:10" x14ac:dyDescent="0.25">
      <c r="B403" s="21"/>
      <c r="G403" s="21"/>
      <c r="H403" s="21"/>
      <c r="J403" s="21"/>
    </row>
    <row r="404" spans="2:10" x14ac:dyDescent="0.25">
      <c r="B404" s="21"/>
      <c r="G404" s="21"/>
      <c r="H404" s="21"/>
      <c r="J404" s="21"/>
    </row>
    <row r="405" spans="2:10" x14ac:dyDescent="0.25">
      <c r="B405" s="21"/>
      <c r="G405" s="21"/>
      <c r="H405" s="21"/>
      <c r="J405" s="21"/>
    </row>
    <row r="406" spans="2:10" x14ac:dyDescent="0.25">
      <c r="B406" s="21"/>
      <c r="G406" s="21"/>
      <c r="H406" s="21"/>
      <c r="J406" s="21"/>
    </row>
    <row r="407" spans="2:10" x14ac:dyDescent="0.25">
      <c r="B407" s="21"/>
      <c r="G407" s="21"/>
      <c r="H407" s="21"/>
      <c r="J407" s="21"/>
    </row>
    <row r="408" spans="2:10" x14ac:dyDescent="0.25">
      <c r="B408" s="21"/>
      <c r="G408" s="21"/>
      <c r="H408" s="21"/>
      <c r="J408" s="21"/>
    </row>
    <row r="409" spans="2:10" x14ac:dyDescent="0.25">
      <c r="B409" s="21"/>
      <c r="G409" s="21"/>
      <c r="H409" s="21"/>
      <c r="J409" s="21"/>
    </row>
    <row r="410" spans="2:10" x14ac:dyDescent="0.25">
      <c r="B410" s="21"/>
      <c r="G410" s="21"/>
      <c r="H410" s="21"/>
      <c r="J410" s="21"/>
    </row>
    <row r="411" spans="2:10" x14ac:dyDescent="0.25">
      <c r="B411" s="21"/>
      <c r="G411" s="21"/>
      <c r="H411" s="21"/>
      <c r="J411" s="21"/>
    </row>
    <row r="412" spans="2:10" x14ac:dyDescent="0.25">
      <c r="B412" s="21"/>
      <c r="G412" s="21"/>
      <c r="H412" s="21"/>
      <c r="J412" s="21"/>
    </row>
    <row r="413" spans="2:10" x14ac:dyDescent="0.25">
      <c r="B413" s="21"/>
      <c r="G413" s="21"/>
      <c r="H413" s="21"/>
      <c r="J413" s="21"/>
    </row>
    <row r="414" spans="2:10" x14ac:dyDescent="0.25">
      <c r="B414" s="21"/>
      <c r="G414" s="21"/>
      <c r="H414" s="21"/>
      <c r="J414" s="21"/>
    </row>
    <row r="415" spans="2:10" x14ac:dyDescent="0.25">
      <c r="B415" s="21"/>
      <c r="G415" s="21"/>
      <c r="H415" s="21"/>
      <c r="J415" s="21"/>
    </row>
    <row r="416" spans="2:10" x14ac:dyDescent="0.25">
      <c r="B416" s="21"/>
      <c r="G416" s="21"/>
      <c r="H416" s="21"/>
      <c r="J416" s="21"/>
    </row>
    <row r="417" spans="2:10" x14ac:dyDescent="0.25">
      <c r="B417" s="21"/>
      <c r="G417" s="21"/>
      <c r="H417" s="21"/>
      <c r="J417" s="21"/>
    </row>
    <row r="418" spans="2:10" x14ac:dyDescent="0.25">
      <c r="B418" s="21"/>
      <c r="G418" s="21"/>
      <c r="H418" s="21"/>
      <c r="J418" s="21"/>
    </row>
    <row r="419" spans="2:10" x14ac:dyDescent="0.25">
      <c r="B419" s="21"/>
      <c r="G419" s="21"/>
      <c r="H419" s="21"/>
      <c r="J419" s="21"/>
    </row>
    <row r="420" spans="2:10" x14ac:dyDescent="0.25">
      <c r="B420" s="21"/>
      <c r="G420" s="21"/>
      <c r="H420" s="21"/>
      <c r="J420" s="21"/>
    </row>
    <row r="421" spans="2:10" x14ac:dyDescent="0.25">
      <c r="B421" s="21"/>
      <c r="G421" s="21"/>
      <c r="H421" s="21"/>
      <c r="J421" s="21"/>
    </row>
    <row r="422" spans="2:10" x14ac:dyDescent="0.25">
      <c r="B422" s="21"/>
      <c r="G422" s="21"/>
      <c r="H422" s="21"/>
      <c r="J422" s="21"/>
    </row>
    <row r="423" spans="2:10" x14ac:dyDescent="0.25">
      <c r="B423" s="21"/>
      <c r="G423" s="21"/>
      <c r="H423" s="21"/>
      <c r="J423" s="21"/>
    </row>
    <row r="424" spans="2:10" x14ac:dyDescent="0.25">
      <c r="B424" s="21"/>
      <c r="G424" s="21"/>
      <c r="H424" s="21"/>
      <c r="J424" s="21"/>
    </row>
    <row r="425" spans="2:10" x14ac:dyDescent="0.25">
      <c r="B425" s="21"/>
      <c r="G425" s="21"/>
      <c r="H425" s="21"/>
      <c r="J425" s="21"/>
    </row>
    <row r="426" spans="2:10" x14ac:dyDescent="0.25">
      <c r="B426" s="21"/>
      <c r="G426" s="21"/>
      <c r="H426" s="21"/>
      <c r="J426" s="21"/>
    </row>
    <row r="427" spans="2:10" x14ac:dyDescent="0.25">
      <c r="B427" s="21"/>
      <c r="G427" s="21"/>
      <c r="H427" s="21"/>
      <c r="J427" s="21"/>
    </row>
    <row r="428" spans="2:10" x14ac:dyDescent="0.25">
      <c r="B428" s="21"/>
      <c r="G428" s="21"/>
      <c r="H428" s="21"/>
      <c r="J428" s="21"/>
    </row>
    <row r="429" spans="2:10" x14ac:dyDescent="0.25">
      <c r="B429" s="21"/>
      <c r="G429" s="21"/>
      <c r="H429" s="21"/>
      <c r="J429" s="21"/>
    </row>
    <row r="430" spans="2:10" x14ac:dyDescent="0.25">
      <c r="B430" s="21"/>
      <c r="G430" s="21"/>
      <c r="H430" s="21"/>
      <c r="J430" s="21"/>
    </row>
    <row r="431" spans="2:10" x14ac:dyDescent="0.25">
      <c r="B431" s="21"/>
      <c r="G431" s="21"/>
      <c r="H431" s="21"/>
      <c r="J431" s="21"/>
    </row>
    <row r="432" spans="2:10" x14ac:dyDescent="0.25">
      <c r="B432" s="21"/>
      <c r="G432" s="21"/>
      <c r="H432" s="21"/>
      <c r="J432" s="21"/>
    </row>
    <row r="433" spans="2:10" x14ac:dyDescent="0.25">
      <c r="B433" s="21"/>
      <c r="G433" s="21"/>
      <c r="H433" s="21"/>
      <c r="J433" s="21"/>
    </row>
    <row r="434" spans="2:10" x14ac:dyDescent="0.25">
      <c r="B434" s="21"/>
      <c r="G434" s="21"/>
      <c r="H434" s="21"/>
      <c r="J434" s="21"/>
    </row>
    <row r="435" spans="2:10" x14ac:dyDescent="0.25">
      <c r="B435" s="21"/>
      <c r="G435" s="21"/>
      <c r="H435" s="21"/>
      <c r="J435" s="21"/>
    </row>
    <row r="436" spans="2:10" x14ac:dyDescent="0.25">
      <c r="B436" s="21"/>
      <c r="G436" s="21"/>
      <c r="H436" s="21"/>
      <c r="J436" s="21"/>
    </row>
    <row r="437" spans="2:10" x14ac:dyDescent="0.25">
      <c r="B437" s="21"/>
      <c r="G437" s="21"/>
      <c r="H437" s="21"/>
      <c r="J437" s="21"/>
    </row>
    <row r="438" spans="2:10" x14ac:dyDescent="0.25">
      <c r="B438" s="21"/>
      <c r="G438" s="21"/>
      <c r="H438" s="21"/>
      <c r="J438" s="21"/>
    </row>
    <row r="439" spans="2:10" x14ac:dyDescent="0.25">
      <c r="B439" s="21"/>
      <c r="G439" s="21"/>
      <c r="H439" s="21"/>
      <c r="J439" s="21"/>
    </row>
    <row r="440" spans="2:10" x14ac:dyDescent="0.25">
      <c r="B440" s="21"/>
      <c r="G440" s="21"/>
      <c r="H440" s="21"/>
      <c r="J440" s="21"/>
    </row>
    <row r="441" spans="2:10" x14ac:dyDescent="0.25">
      <c r="B441" s="21"/>
      <c r="G441" s="21"/>
      <c r="H441" s="21"/>
      <c r="J441" s="21"/>
    </row>
    <row r="442" spans="2:10" x14ac:dyDescent="0.25">
      <c r="B442" s="21"/>
      <c r="G442" s="21"/>
      <c r="H442" s="21"/>
      <c r="J442" s="21"/>
    </row>
    <row r="443" spans="2:10" x14ac:dyDescent="0.25">
      <c r="B443" s="21"/>
      <c r="G443" s="21"/>
      <c r="H443" s="21"/>
      <c r="J443" s="21"/>
    </row>
    <row r="444" spans="2:10" x14ac:dyDescent="0.25">
      <c r="B444" s="21"/>
      <c r="G444" s="21"/>
      <c r="H444" s="21"/>
      <c r="J444" s="21"/>
    </row>
    <row r="445" spans="2:10" x14ac:dyDescent="0.25">
      <c r="B445" s="21"/>
      <c r="G445" s="21"/>
      <c r="H445" s="21"/>
      <c r="J445" s="21"/>
    </row>
    <row r="446" spans="2:10" x14ac:dyDescent="0.25">
      <c r="B446" s="21"/>
      <c r="G446" s="21"/>
      <c r="H446" s="21"/>
      <c r="J446" s="21"/>
    </row>
    <row r="447" spans="2:10" x14ac:dyDescent="0.25">
      <c r="B447" s="21"/>
      <c r="G447" s="21"/>
      <c r="H447" s="21"/>
      <c r="J447" s="21"/>
    </row>
    <row r="448" spans="2:10" x14ac:dyDescent="0.25">
      <c r="B448" s="21"/>
      <c r="G448" s="21"/>
      <c r="H448" s="21"/>
      <c r="J448" s="21"/>
    </row>
    <row r="449" spans="2:10" x14ac:dyDescent="0.25">
      <c r="B449" s="21"/>
      <c r="G449" s="21"/>
      <c r="H449" s="21"/>
      <c r="J449" s="21"/>
    </row>
    <row r="450" spans="2:10" x14ac:dyDescent="0.25">
      <c r="B450" s="21"/>
      <c r="G450" s="21"/>
      <c r="H450" s="21"/>
      <c r="J450" s="21"/>
    </row>
    <row r="451" spans="2:10" x14ac:dyDescent="0.25">
      <c r="B451" s="21"/>
      <c r="G451" s="21"/>
      <c r="H451" s="21"/>
      <c r="J451" s="21"/>
    </row>
    <row r="452" spans="2:10" x14ac:dyDescent="0.25">
      <c r="B452" s="21"/>
      <c r="G452" s="21"/>
      <c r="H452" s="21"/>
      <c r="J452" s="21"/>
    </row>
    <row r="453" spans="2:10" x14ac:dyDescent="0.25">
      <c r="B453" s="21"/>
      <c r="G453" s="21"/>
      <c r="H453" s="21"/>
      <c r="J453" s="21"/>
    </row>
    <row r="454" spans="2:10" x14ac:dyDescent="0.25">
      <c r="B454" s="21"/>
      <c r="G454" s="21"/>
      <c r="H454" s="21"/>
      <c r="J454" s="21"/>
    </row>
    <row r="455" spans="2:10" x14ac:dyDescent="0.25">
      <c r="B455" s="21"/>
      <c r="G455" s="21"/>
      <c r="H455" s="21"/>
      <c r="J455" s="21"/>
    </row>
    <row r="456" spans="2:10" x14ac:dyDescent="0.25">
      <c r="B456" s="21"/>
      <c r="G456" s="21"/>
      <c r="H456" s="21"/>
      <c r="J456" s="21"/>
    </row>
    <row r="457" spans="2:10" x14ac:dyDescent="0.25">
      <c r="B457" s="21"/>
      <c r="G457" s="21"/>
      <c r="H457" s="21"/>
      <c r="J457" s="21"/>
    </row>
    <row r="458" spans="2:10" x14ac:dyDescent="0.25">
      <c r="B458" s="21"/>
      <c r="G458" s="21"/>
      <c r="H458" s="21"/>
      <c r="J458" s="21"/>
    </row>
    <row r="459" spans="2:10" x14ac:dyDescent="0.25">
      <c r="B459" s="21"/>
      <c r="G459" s="21"/>
      <c r="H459" s="21"/>
      <c r="J459" s="21"/>
    </row>
    <row r="460" spans="2:10" x14ac:dyDescent="0.25">
      <c r="B460" s="21"/>
      <c r="G460" s="21"/>
      <c r="H460" s="21"/>
      <c r="J460" s="21"/>
    </row>
    <row r="461" spans="2:10" x14ac:dyDescent="0.25">
      <c r="B461" s="21"/>
      <c r="G461" s="21"/>
      <c r="H461" s="21"/>
      <c r="J461" s="21"/>
    </row>
    <row r="462" spans="2:10" x14ac:dyDescent="0.25">
      <c r="B462" s="21"/>
      <c r="G462" s="21"/>
      <c r="H462" s="21"/>
      <c r="J462" s="21"/>
    </row>
    <row r="463" spans="2:10" x14ac:dyDescent="0.25">
      <c r="B463" s="21"/>
      <c r="G463" s="21"/>
      <c r="H463" s="21"/>
      <c r="J463" s="21"/>
    </row>
    <row r="464" spans="2:10" x14ac:dyDescent="0.25">
      <c r="B464" s="21"/>
      <c r="G464" s="21"/>
      <c r="H464" s="21"/>
      <c r="J464" s="21"/>
    </row>
    <row r="465" spans="2:10" x14ac:dyDescent="0.25">
      <c r="B465" s="21"/>
      <c r="G465" s="21"/>
      <c r="H465" s="21"/>
      <c r="J465" s="21"/>
    </row>
    <row r="466" spans="2:10" x14ac:dyDescent="0.25">
      <c r="B466" s="21"/>
      <c r="G466" s="21"/>
      <c r="H466" s="21"/>
      <c r="J466" s="21"/>
    </row>
    <row r="467" spans="2:10" x14ac:dyDescent="0.25">
      <c r="B467" s="21"/>
      <c r="G467" s="21"/>
      <c r="H467" s="21"/>
      <c r="J467" s="21"/>
    </row>
    <row r="468" spans="2:10" x14ac:dyDescent="0.25">
      <c r="B468" s="21"/>
      <c r="G468" s="21"/>
      <c r="H468" s="21"/>
      <c r="J468" s="21"/>
    </row>
    <row r="469" spans="2:10" x14ac:dyDescent="0.25">
      <c r="B469" s="21"/>
      <c r="G469" s="21"/>
      <c r="H469" s="21"/>
      <c r="J469" s="21"/>
    </row>
    <row r="470" spans="2:10" x14ac:dyDescent="0.25">
      <c r="B470" s="21"/>
      <c r="G470" s="21"/>
      <c r="H470" s="21"/>
      <c r="J470" s="21"/>
    </row>
    <row r="471" spans="2:10" x14ac:dyDescent="0.25">
      <c r="B471" s="21"/>
      <c r="G471" s="21"/>
      <c r="H471" s="21"/>
      <c r="J471" s="21"/>
    </row>
    <row r="472" spans="2:10" x14ac:dyDescent="0.25">
      <c r="B472" s="21"/>
      <c r="G472" s="21"/>
      <c r="H472" s="21"/>
      <c r="J472" s="21"/>
    </row>
    <row r="473" spans="2:10" x14ac:dyDescent="0.25">
      <c r="B473" s="21"/>
      <c r="G473" s="21"/>
      <c r="H473" s="21"/>
      <c r="J473" s="21"/>
    </row>
    <row r="474" spans="2:10" x14ac:dyDescent="0.25">
      <c r="B474" s="21"/>
      <c r="G474" s="21"/>
      <c r="H474" s="21"/>
      <c r="J474" s="21"/>
    </row>
    <row r="475" spans="2:10" x14ac:dyDescent="0.25">
      <c r="B475" s="21"/>
      <c r="G475" s="21"/>
      <c r="H475" s="21"/>
      <c r="J475" s="21"/>
    </row>
    <row r="476" spans="2:10" x14ac:dyDescent="0.25">
      <c r="B476" s="21"/>
      <c r="G476" s="21"/>
      <c r="H476" s="21"/>
      <c r="J476" s="21"/>
    </row>
    <row r="477" spans="2:10" x14ac:dyDescent="0.25">
      <c r="B477" s="21"/>
      <c r="G477" s="21"/>
      <c r="H477" s="21"/>
      <c r="J477" s="21"/>
    </row>
    <row r="478" spans="2:10" x14ac:dyDescent="0.25">
      <c r="B478" s="21"/>
      <c r="G478" s="21"/>
      <c r="H478" s="21"/>
      <c r="J478" s="21"/>
    </row>
    <row r="479" spans="2:10" x14ac:dyDescent="0.25">
      <c r="B479" s="21"/>
      <c r="G479" s="21"/>
      <c r="H479" s="21"/>
      <c r="J479" s="21"/>
    </row>
    <row r="480" spans="2:10" x14ac:dyDescent="0.25">
      <c r="B480" s="21"/>
      <c r="G480" s="21"/>
      <c r="H480" s="21"/>
      <c r="J480" s="21"/>
    </row>
    <row r="481" spans="2:10" x14ac:dyDescent="0.25">
      <c r="B481" s="21"/>
      <c r="G481" s="21"/>
      <c r="H481" s="21"/>
      <c r="J481" s="21"/>
    </row>
    <row r="482" spans="2:10" x14ac:dyDescent="0.25">
      <c r="B482" s="21"/>
      <c r="G482" s="21"/>
      <c r="H482" s="21"/>
      <c r="J482" s="21"/>
    </row>
    <row r="483" spans="2:10" x14ac:dyDescent="0.25">
      <c r="B483" s="21"/>
      <c r="G483" s="21"/>
      <c r="H483" s="21"/>
      <c r="J483" s="21"/>
    </row>
    <row r="484" spans="2:10" x14ac:dyDescent="0.25">
      <c r="B484" s="21"/>
      <c r="G484" s="21"/>
      <c r="H484" s="21"/>
      <c r="J484" s="21"/>
    </row>
    <row r="485" spans="2:10" x14ac:dyDescent="0.25">
      <c r="B485" s="21"/>
      <c r="G485" s="21"/>
      <c r="H485" s="21"/>
      <c r="J485" s="21"/>
    </row>
    <row r="486" spans="2:10" x14ac:dyDescent="0.25">
      <c r="B486" s="21"/>
      <c r="G486" s="21"/>
      <c r="H486" s="21"/>
      <c r="J486" s="21"/>
    </row>
    <row r="487" spans="2:10" x14ac:dyDescent="0.25">
      <c r="B487" s="21"/>
      <c r="G487" s="21"/>
      <c r="H487" s="21"/>
      <c r="J487" s="21"/>
    </row>
    <row r="488" spans="2:10" x14ac:dyDescent="0.25">
      <c r="B488" s="21"/>
      <c r="G488" s="21"/>
      <c r="H488" s="21"/>
      <c r="J488" s="21"/>
    </row>
    <row r="489" spans="2:10" x14ac:dyDescent="0.25">
      <c r="B489" s="21"/>
      <c r="G489" s="21"/>
      <c r="H489" s="21"/>
      <c r="J489" s="21"/>
    </row>
    <row r="490" spans="2:10" x14ac:dyDescent="0.25">
      <c r="B490" s="21"/>
      <c r="G490" s="21"/>
      <c r="H490" s="21"/>
      <c r="J490" s="21"/>
    </row>
    <row r="491" spans="2:10" x14ac:dyDescent="0.25">
      <c r="B491" s="21"/>
      <c r="G491" s="21"/>
      <c r="H491" s="21"/>
      <c r="J491" s="21"/>
    </row>
    <row r="492" spans="2:10" x14ac:dyDescent="0.25">
      <c r="B492" s="21"/>
      <c r="G492" s="21"/>
      <c r="H492" s="21"/>
      <c r="J492" s="21"/>
    </row>
    <row r="493" spans="2:10" x14ac:dyDescent="0.25">
      <c r="B493" s="21"/>
      <c r="G493" s="21"/>
      <c r="H493" s="21"/>
      <c r="J493" s="21"/>
    </row>
    <row r="494" spans="2:10" x14ac:dyDescent="0.25">
      <c r="B494" s="21"/>
      <c r="G494" s="21"/>
      <c r="H494" s="21"/>
      <c r="J494" s="21"/>
    </row>
    <row r="495" spans="2:10" x14ac:dyDescent="0.25">
      <c r="B495" s="21"/>
      <c r="G495" s="21"/>
      <c r="H495" s="21"/>
      <c r="J495" s="21"/>
    </row>
    <row r="496" spans="2:10" x14ac:dyDescent="0.25">
      <c r="B496" s="21"/>
      <c r="G496" s="21"/>
      <c r="H496" s="21"/>
      <c r="J496" s="21"/>
    </row>
    <row r="497" spans="2:10" x14ac:dyDescent="0.25">
      <c r="B497" s="21"/>
      <c r="G497" s="21"/>
      <c r="H497" s="21"/>
      <c r="J497" s="21"/>
    </row>
    <row r="498" spans="2:10" x14ac:dyDescent="0.25">
      <c r="B498" s="21"/>
      <c r="G498" s="21"/>
      <c r="H498" s="21"/>
      <c r="J498" s="21"/>
    </row>
    <row r="499" spans="2:10" x14ac:dyDescent="0.25">
      <c r="B499" s="21"/>
      <c r="G499" s="21"/>
      <c r="H499" s="21"/>
      <c r="J499" s="21"/>
    </row>
    <row r="500" spans="2:10" x14ac:dyDescent="0.25">
      <c r="B500" s="21"/>
      <c r="G500" s="21"/>
      <c r="H500" s="21"/>
      <c r="J500" s="21"/>
    </row>
    <row r="501" spans="2:10" x14ac:dyDescent="0.25">
      <c r="B501" s="21"/>
      <c r="G501" s="21"/>
      <c r="H501" s="21"/>
      <c r="J501" s="21"/>
    </row>
    <row r="502" spans="2:10" x14ac:dyDescent="0.25">
      <c r="B502" s="21"/>
      <c r="G502" s="21"/>
      <c r="H502" s="21"/>
      <c r="J502" s="21"/>
    </row>
    <row r="503" spans="2:10" x14ac:dyDescent="0.25">
      <c r="B503" s="21"/>
      <c r="G503" s="21"/>
      <c r="H503" s="21"/>
      <c r="J503" s="21"/>
    </row>
    <row r="504" spans="2:10" x14ac:dyDescent="0.25">
      <c r="B504" s="21"/>
      <c r="G504" s="21"/>
      <c r="H504" s="21"/>
      <c r="J504" s="21"/>
    </row>
    <row r="505" spans="2:10" x14ac:dyDescent="0.25">
      <c r="B505" s="21"/>
      <c r="G505" s="21"/>
      <c r="H505" s="21"/>
      <c r="J505" s="21"/>
    </row>
    <row r="506" spans="2:10" x14ac:dyDescent="0.25">
      <c r="B506" s="21"/>
      <c r="G506" s="21"/>
      <c r="H506" s="21"/>
      <c r="J506" s="21"/>
    </row>
    <row r="507" spans="2:10" x14ac:dyDescent="0.25">
      <c r="B507" s="21"/>
      <c r="G507" s="21"/>
      <c r="H507" s="21"/>
      <c r="J507" s="21"/>
    </row>
    <row r="508" spans="2:10" x14ac:dyDescent="0.25">
      <c r="B508" s="21"/>
      <c r="G508" s="21"/>
      <c r="H508" s="21"/>
      <c r="J508" s="21"/>
    </row>
    <row r="509" spans="2:10" x14ac:dyDescent="0.25">
      <c r="B509" s="21"/>
      <c r="G509" s="21"/>
      <c r="H509" s="21"/>
      <c r="J509" s="21"/>
    </row>
    <row r="510" spans="2:10" x14ac:dyDescent="0.25">
      <c r="B510" s="21"/>
      <c r="G510" s="21"/>
      <c r="H510" s="21"/>
      <c r="J510" s="21"/>
    </row>
    <row r="511" spans="2:10" x14ac:dyDescent="0.25">
      <c r="B511" s="21"/>
      <c r="G511" s="21"/>
      <c r="H511" s="21"/>
      <c r="J511" s="21"/>
    </row>
    <row r="512" spans="2:10" x14ac:dyDescent="0.25">
      <c r="B512" s="21"/>
      <c r="G512" s="21"/>
      <c r="H512" s="21"/>
      <c r="J512" s="21"/>
    </row>
    <row r="513" spans="2:10" x14ac:dyDescent="0.25">
      <c r="B513" s="21"/>
      <c r="G513" s="21"/>
      <c r="H513" s="21"/>
      <c r="J513" s="21"/>
    </row>
    <row r="514" spans="2:10" x14ac:dyDescent="0.25">
      <c r="B514" s="21"/>
      <c r="G514" s="21"/>
      <c r="H514" s="21"/>
      <c r="J514" s="21"/>
    </row>
    <row r="515" spans="2:10" x14ac:dyDescent="0.25">
      <c r="B515" s="21"/>
      <c r="G515" s="21"/>
      <c r="H515" s="21"/>
      <c r="J515" s="21"/>
    </row>
    <row r="516" spans="2:10" x14ac:dyDescent="0.25">
      <c r="B516" s="21"/>
      <c r="G516" s="21"/>
      <c r="H516" s="21"/>
      <c r="J516" s="21"/>
    </row>
    <row r="517" spans="2:10" x14ac:dyDescent="0.25">
      <c r="B517" s="21"/>
      <c r="G517" s="21"/>
      <c r="H517" s="21"/>
      <c r="J517" s="21"/>
    </row>
    <row r="518" spans="2:10" x14ac:dyDescent="0.25">
      <c r="B518" s="21"/>
      <c r="G518" s="21"/>
      <c r="H518" s="21"/>
      <c r="J518" s="21"/>
    </row>
    <row r="519" spans="2:10" x14ac:dyDescent="0.25">
      <c r="B519" s="21"/>
      <c r="G519" s="21"/>
      <c r="H519" s="21"/>
      <c r="J519" s="21"/>
    </row>
    <row r="520" spans="2:10" x14ac:dyDescent="0.25">
      <c r="B520" s="21"/>
      <c r="G520" s="21"/>
      <c r="H520" s="21"/>
      <c r="J520" s="21"/>
    </row>
    <row r="521" spans="2:10" x14ac:dyDescent="0.25">
      <c r="B521" s="21"/>
      <c r="G521" s="21"/>
      <c r="H521" s="21"/>
      <c r="J521" s="21"/>
    </row>
    <row r="522" spans="2:10" x14ac:dyDescent="0.25">
      <c r="B522" s="21"/>
      <c r="G522" s="21"/>
      <c r="H522" s="21"/>
      <c r="J522" s="21"/>
    </row>
    <row r="523" spans="2:10" x14ac:dyDescent="0.25">
      <c r="B523" s="21"/>
      <c r="G523" s="21"/>
      <c r="H523" s="21"/>
      <c r="J523" s="21"/>
    </row>
    <row r="524" spans="2:10" x14ac:dyDescent="0.25">
      <c r="B524" s="21"/>
      <c r="G524" s="21"/>
      <c r="H524" s="21"/>
      <c r="J524" s="21"/>
    </row>
    <row r="525" spans="2:10" x14ac:dyDescent="0.25">
      <c r="B525" s="21"/>
      <c r="G525" s="21"/>
      <c r="H525" s="21"/>
      <c r="J525" s="21"/>
    </row>
    <row r="526" spans="2:10" x14ac:dyDescent="0.25">
      <c r="B526" s="21"/>
      <c r="G526" s="21"/>
      <c r="H526" s="21"/>
      <c r="J526" s="21"/>
    </row>
    <row r="527" spans="2:10" x14ac:dyDescent="0.25">
      <c r="B527" s="21"/>
      <c r="G527" s="21"/>
      <c r="H527" s="21"/>
      <c r="J527" s="21"/>
    </row>
    <row r="528" spans="2:10" x14ac:dyDescent="0.25">
      <c r="B528" s="21"/>
      <c r="G528" s="21"/>
      <c r="H528" s="21"/>
      <c r="J528" s="21"/>
    </row>
    <row r="529" spans="2:10" x14ac:dyDescent="0.25">
      <c r="B529" s="21"/>
      <c r="G529" s="21"/>
      <c r="H529" s="21"/>
      <c r="J529" s="21"/>
    </row>
    <row r="530" spans="2:10" x14ac:dyDescent="0.25">
      <c r="B530" s="21"/>
      <c r="G530" s="21"/>
      <c r="H530" s="21"/>
      <c r="J530" s="21"/>
    </row>
    <row r="531" spans="2:10" x14ac:dyDescent="0.25">
      <c r="B531" s="21"/>
      <c r="G531" s="21"/>
      <c r="H531" s="21"/>
      <c r="J531" s="21"/>
    </row>
    <row r="532" spans="2:10" x14ac:dyDescent="0.25">
      <c r="B532" s="21"/>
      <c r="G532" s="21"/>
      <c r="H532" s="21"/>
      <c r="J532" s="21"/>
    </row>
    <row r="533" spans="2:10" x14ac:dyDescent="0.25">
      <c r="B533" s="21"/>
      <c r="G533" s="21"/>
      <c r="H533" s="21"/>
      <c r="J533" s="21"/>
    </row>
    <row r="534" spans="2:10" x14ac:dyDescent="0.25">
      <c r="B534" s="21"/>
      <c r="G534" s="21"/>
      <c r="H534" s="21"/>
      <c r="J534" s="21"/>
    </row>
    <row r="535" spans="2:10" x14ac:dyDescent="0.25">
      <c r="B535" s="21"/>
      <c r="G535" s="21"/>
      <c r="H535" s="21"/>
      <c r="J535" s="21"/>
    </row>
    <row r="536" spans="2:10" x14ac:dyDescent="0.25">
      <c r="B536" s="21"/>
      <c r="G536" s="21"/>
      <c r="H536" s="21"/>
      <c r="J536" s="21"/>
    </row>
    <row r="537" spans="2:10" x14ac:dyDescent="0.25">
      <c r="B537" s="21"/>
      <c r="G537" s="21"/>
      <c r="H537" s="21"/>
      <c r="J537" s="21"/>
    </row>
    <row r="538" spans="2:10" x14ac:dyDescent="0.25">
      <c r="B538" s="21"/>
      <c r="G538" s="21"/>
      <c r="H538" s="21"/>
      <c r="J538" s="21"/>
    </row>
    <row r="539" spans="2:10" x14ac:dyDescent="0.25">
      <c r="B539" s="21"/>
      <c r="G539" s="21"/>
      <c r="H539" s="21"/>
      <c r="J539" s="21"/>
    </row>
    <row r="540" spans="2:10" x14ac:dyDescent="0.25">
      <c r="B540" s="21"/>
      <c r="G540" s="21"/>
      <c r="H540" s="21"/>
      <c r="J540" s="21"/>
    </row>
    <row r="541" spans="2:10" x14ac:dyDescent="0.25">
      <c r="B541" s="21"/>
      <c r="G541" s="21"/>
      <c r="H541" s="21"/>
      <c r="J541" s="21"/>
    </row>
    <row r="542" spans="2:10" x14ac:dyDescent="0.25">
      <c r="B542" s="21"/>
      <c r="G542" s="21"/>
      <c r="H542" s="21"/>
      <c r="J542" s="21"/>
    </row>
    <row r="543" spans="2:10" x14ac:dyDescent="0.25">
      <c r="B543" s="21"/>
      <c r="G543" s="21"/>
      <c r="H543" s="21"/>
      <c r="J543" s="21"/>
    </row>
    <row r="544" spans="2:10" x14ac:dyDescent="0.25">
      <c r="B544" s="21"/>
      <c r="G544" s="21"/>
      <c r="H544" s="21"/>
      <c r="J544" s="21"/>
    </row>
    <row r="545" spans="2:10" x14ac:dyDescent="0.25">
      <c r="B545" s="21"/>
      <c r="G545" s="21"/>
      <c r="H545" s="21"/>
      <c r="J545" s="21"/>
    </row>
    <row r="546" spans="2:10" x14ac:dyDescent="0.25">
      <c r="B546" s="21"/>
      <c r="G546" s="21"/>
      <c r="H546" s="21"/>
      <c r="J546" s="21"/>
    </row>
    <row r="547" spans="2:10" x14ac:dyDescent="0.25">
      <c r="B547" s="21"/>
      <c r="G547" s="21"/>
      <c r="H547" s="21"/>
      <c r="J547" s="21"/>
    </row>
    <row r="548" spans="2:10" x14ac:dyDescent="0.25">
      <c r="B548" s="21"/>
      <c r="G548" s="21"/>
      <c r="H548" s="21"/>
      <c r="J548" s="21"/>
    </row>
    <row r="549" spans="2:10" x14ac:dyDescent="0.25">
      <c r="B549" s="21"/>
      <c r="G549" s="21"/>
      <c r="H549" s="21"/>
      <c r="J549" s="21"/>
    </row>
    <row r="550" spans="2:10" x14ac:dyDescent="0.25">
      <c r="B550" s="21"/>
      <c r="G550" s="21"/>
      <c r="H550" s="21"/>
      <c r="J550" s="21"/>
    </row>
    <row r="551" spans="2:10" x14ac:dyDescent="0.25">
      <c r="B551" s="21"/>
      <c r="G551" s="21"/>
      <c r="H551" s="21"/>
      <c r="J551" s="21"/>
    </row>
    <row r="552" spans="2:10" x14ac:dyDescent="0.25">
      <c r="B552" s="21"/>
      <c r="G552" s="21"/>
      <c r="H552" s="21"/>
      <c r="J552" s="21"/>
    </row>
    <row r="553" spans="2:10" x14ac:dyDescent="0.25">
      <c r="B553" s="21"/>
      <c r="G553" s="21"/>
      <c r="H553" s="21"/>
      <c r="J553" s="21"/>
    </row>
    <row r="554" spans="2:10" x14ac:dyDescent="0.25">
      <c r="B554" s="21"/>
      <c r="G554" s="21"/>
      <c r="H554" s="21"/>
      <c r="J554" s="21"/>
    </row>
    <row r="555" spans="2:10" x14ac:dyDescent="0.25">
      <c r="B555" s="21"/>
      <c r="G555" s="21"/>
      <c r="H555" s="21"/>
      <c r="J555" s="21"/>
    </row>
    <row r="556" spans="2:10" x14ac:dyDescent="0.25">
      <c r="B556" s="21"/>
      <c r="G556" s="21"/>
      <c r="H556" s="21"/>
      <c r="J556" s="21"/>
    </row>
    <row r="557" spans="2:10" x14ac:dyDescent="0.25">
      <c r="B557" s="21"/>
      <c r="G557" s="21"/>
      <c r="H557" s="21"/>
      <c r="J557" s="21"/>
    </row>
    <row r="558" spans="2:10" x14ac:dyDescent="0.25">
      <c r="B558" s="21"/>
      <c r="G558" s="21"/>
      <c r="H558" s="21"/>
      <c r="J558" s="21"/>
    </row>
    <row r="559" spans="2:10" x14ac:dyDescent="0.25">
      <c r="B559" s="21"/>
      <c r="G559" s="21"/>
      <c r="H559" s="21"/>
      <c r="J559" s="21"/>
    </row>
    <row r="560" spans="2:10" x14ac:dyDescent="0.25">
      <c r="B560" s="21"/>
      <c r="G560" s="21"/>
      <c r="H560" s="21"/>
      <c r="J560" s="21"/>
    </row>
    <row r="561" spans="2:10" x14ac:dyDescent="0.25">
      <c r="B561" s="21"/>
      <c r="G561" s="21"/>
      <c r="H561" s="21"/>
      <c r="J561" s="21"/>
    </row>
    <row r="562" spans="2:10" x14ac:dyDescent="0.25">
      <c r="B562" s="21"/>
      <c r="G562" s="21"/>
      <c r="H562" s="21"/>
      <c r="J562" s="21"/>
    </row>
    <row r="563" spans="2:10" x14ac:dyDescent="0.25">
      <c r="B563" s="21"/>
      <c r="G563" s="21"/>
      <c r="H563" s="21"/>
      <c r="J563" s="21"/>
    </row>
    <row r="564" spans="2:10" x14ac:dyDescent="0.25">
      <c r="B564" s="21"/>
      <c r="G564" s="21"/>
      <c r="H564" s="21"/>
      <c r="J564" s="21"/>
    </row>
    <row r="565" spans="2:10" x14ac:dyDescent="0.25">
      <c r="B565" s="21"/>
      <c r="G565" s="21"/>
      <c r="H565" s="21"/>
      <c r="J565" s="21"/>
    </row>
    <row r="566" spans="2:10" x14ac:dyDescent="0.25">
      <c r="B566" s="21"/>
      <c r="G566" s="21"/>
      <c r="H566" s="21"/>
      <c r="J566" s="21"/>
    </row>
    <row r="567" spans="2:10" x14ac:dyDescent="0.25">
      <c r="B567" s="21"/>
      <c r="G567" s="21"/>
      <c r="H567" s="21"/>
      <c r="J567" s="21"/>
    </row>
    <row r="568" spans="2:10" x14ac:dyDescent="0.25">
      <c r="B568" s="21"/>
      <c r="G568" s="21"/>
      <c r="H568" s="21"/>
      <c r="J568" s="21"/>
    </row>
    <row r="569" spans="2:10" x14ac:dyDescent="0.25">
      <c r="B569" s="21"/>
      <c r="G569" s="21"/>
      <c r="H569" s="21"/>
      <c r="J569" s="21"/>
    </row>
    <row r="570" spans="2:10" x14ac:dyDescent="0.25">
      <c r="B570" s="21"/>
      <c r="G570" s="21"/>
      <c r="H570" s="21"/>
      <c r="J570" s="21"/>
    </row>
    <row r="571" spans="2:10" x14ac:dyDescent="0.25">
      <c r="B571" s="21"/>
      <c r="G571" s="21"/>
      <c r="H571" s="21"/>
      <c r="J571" s="21"/>
    </row>
    <row r="572" spans="2:10" x14ac:dyDescent="0.25">
      <c r="B572" s="21"/>
      <c r="G572" s="21"/>
      <c r="H572" s="21"/>
      <c r="J572" s="21"/>
    </row>
    <row r="573" spans="2:10" x14ac:dyDescent="0.25">
      <c r="B573" s="21"/>
      <c r="G573" s="21"/>
      <c r="H573" s="21"/>
      <c r="J573" s="21"/>
    </row>
    <row r="574" spans="2:10" x14ac:dyDescent="0.25">
      <c r="B574" s="21"/>
      <c r="G574" s="21"/>
      <c r="H574" s="21"/>
      <c r="J574" s="21"/>
    </row>
    <row r="575" spans="2:10" x14ac:dyDescent="0.25">
      <c r="B575" s="21"/>
      <c r="G575" s="21"/>
      <c r="H575" s="21"/>
      <c r="J575" s="21"/>
    </row>
    <row r="576" spans="2:10" x14ac:dyDescent="0.25">
      <c r="B576" s="21"/>
      <c r="G576" s="21"/>
      <c r="H576" s="21"/>
      <c r="J576" s="21"/>
    </row>
    <row r="577" spans="2:10" x14ac:dyDescent="0.25">
      <c r="B577" s="21"/>
      <c r="G577" s="21"/>
      <c r="H577" s="21"/>
      <c r="J577" s="21"/>
    </row>
    <row r="578" spans="2:10" x14ac:dyDescent="0.25">
      <c r="B578" s="21"/>
      <c r="G578" s="21"/>
      <c r="H578" s="21"/>
      <c r="J578" s="21"/>
    </row>
    <row r="579" spans="2:10" x14ac:dyDescent="0.25">
      <c r="B579" s="21"/>
      <c r="G579" s="21"/>
      <c r="H579" s="21"/>
      <c r="J579" s="21"/>
    </row>
    <row r="580" spans="2:10" x14ac:dyDescent="0.25">
      <c r="B580" s="21"/>
      <c r="G580" s="21"/>
      <c r="H580" s="21"/>
      <c r="J580" s="21"/>
    </row>
    <row r="581" spans="2:10" x14ac:dyDescent="0.25">
      <c r="B581" s="21"/>
      <c r="G581" s="21"/>
      <c r="H581" s="21"/>
      <c r="J581" s="21"/>
    </row>
    <row r="582" spans="2:10" x14ac:dyDescent="0.25">
      <c r="B582" s="21"/>
      <c r="G582" s="21"/>
      <c r="H582" s="21"/>
      <c r="J582" s="21"/>
    </row>
    <row r="583" spans="2:10" x14ac:dyDescent="0.25">
      <c r="B583" s="21"/>
      <c r="G583" s="21"/>
      <c r="H583" s="21"/>
      <c r="J583" s="21"/>
    </row>
    <row r="584" spans="2:10" x14ac:dyDescent="0.25">
      <c r="B584" s="21"/>
      <c r="G584" s="21"/>
      <c r="H584" s="21"/>
      <c r="J584" s="21"/>
    </row>
    <row r="585" spans="2:10" x14ac:dyDescent="0.25">
      <c r="B585" s="21"/>
      <c r="G585" s="21"/>
      <c r="H585" s="21"/>
      <c r="J585" s="21"/>
    </row>
    <row r="586" spans="2:10" x14ac:dyDescent="0.25">
      <c r="B586" s="21"/>
      <c r="G586" s="21"/>
      <c r="H586" s="21"/>
      <c r="J586" s="21"/>
    </row>
    <row r="587" spans="2:10" x14ac:dyDescent="0.25">
      <c r="B587" s="21"/>
      <c r="G587" s="21"/>
      <c r="H587" s="21"/>
      <c r="J587" s="21"/>
    </row>
    <row r="588" spans="2:10" x14ac:dyDescent="0.25">
      <c r="B588" s="21"/>
      <c r="G588" s="21"/>
      <c r="H588" s="21"/>
      <c r="J588" s="21"/>
    </row>
    <row r="589" spans="2:10" x14ac:dyDescent="0.25">
      <c r="B589" s="21"/>
      <c r="G589" s="21"/>
      <c r="H589" s="21"/>
      <c r="J589" s="21"/>
    </row>
    <row r="590" spans="2:10" x14ac:dyDescent="0.25">
      <c r="B590" s="21"/>
      <c r="G590" s="21"/>
      <c r="H590" s="21"/>
      <c r="J590" s="21"/>
    </row>
    <row r="591" spans="2:10" x14ac:dyDescent="0.25">
      <c r="B591" s="21"/>
      <c r="G591" s="21"/>
      <c r="H591" s="21"/>
      <c r="J591" s="21"/>
    </row>
    <row r="592" spans="2:10" x14ac:dyDescent="0.25">
      <c r="B592" s="21"/>
      <c r="G592" s="21"/>
      <c r="H592" s="21"/>
      <c r="J592" s="21"/>
    </row>
    <row r="593" spans="2:10" x14ac:dyDescent="0.25">
      <c r="B593" s="21"/>
      <c r="G593" s="21"/>
      <c r="H593" s="21"/>
      <c r="J593" s="21"/>
    </row>
    <row r="594" spans="2:10" x14ac:dyDescent="0.25">
      <c r="B594" s="21"/>
      <c r="G594" s="21"/>
      <c r="H594" s="21"/>
      <c r="J594" s="21"/>
    </row>
    <row r="595" spans="2:10" x14ac:dyDescent="0.25">
      <c r="B595" s="21"/>
      <c r="G595" s="21"/>
      <c r="H595" s="21"/>
      <c r="J595" s="21"/>
    </row>
    <row r="596" spans="2:10" x14ac:dyDescent="0.25">
      <c r="B596" s="21"/>
      <c r="G596" s="21"/>
      <c r="H596" s="21"/>
      <c r="J596" s="21"/>
    </row>
    <row r="597" spans="2:10" x14ac:dyDescent="0.25">
      <c r="B597" s="21"/>
      <c r="G597" s="21"/>
      <c r="H597" s="21"/>
      <c r="J597" s="21"/>
    </row>
    <row r="598" spans="2:10" x14ac:dyDescent="0.25">
      <c r="B598" s="21"/>
      <c r="G598" s="21"/>
      <c r="H598" s="21"/>
      <c r="J598" s="21"/>
    </row>
    <row r="599" spans="2:10" x14ac:dyDescent="0.25">
      <c r="B599" s="21"/>
      <c r="G599" s="21"/>
      <c r="H599" s="21"/>
      <c r="J599" s="21"/>
    </row>
    <row r="600" spans="2:10" x14ac:dyDescent="0.25">
      <c r="B600" s="21"/>
      <c r="G600" s="21"/>
      <c r="H600" s="21"/>
      <c r="J600" s="21"/>
    </row>
    <row r="601" spans="2:10" x14ac:dyDescent="0.25">
      <c r="B601" s="21"/>
      <c r="G601" s="21"/>
      <c r="H601" s="21"/>
      <c r="J601" s="21"/>
    </row>
    <row r="602" spans="2:10" x14ac:dyDescent="0.25">
      <c r="B602" s="21"/>
      <c r="G602" s="21"/>
      <c r="H602" s="21"/>
      <c r="J602" s="21"/>
    </row>
    <row r="603" spans="2:10" x14ac:dyDescent="0.25">
      <c r="B603" s="21"/>
      <c r="G603" s="21"/>
      <c r="H603" s="21"/>
      <c r="J603" s="21"/>
    </row>
    <row r="604" spans="2:10" x14ac:dyDescent="0.25">
      <c r="B604" s="21"/>
      <c r="G604" s="21"/>
      <c r="H604" s="21"/>
      <c r="J604" s="21"/>
    </row>
    <row r="605" spans="2:10" x14ac:dyDescent="0.25">
      <c r="B605" s="21"/>
      <c r="G605" s="21"/>
      <c r="H605" s="21"/>
      <c r="J605" s="21"/>
    </row>
    <row r="606" spans="2:10" x14ac:dyDescent="0.25">
      <c r="B606" s="21"/>
      <c r="G606" s="21"/>
      <c r="H606" s="21"/>
      <c r="J606" s="21"/>
    </row>
    <row r="607" spans="2:10" x14ac:dyDescent="0.25">
      <c r="B607" s="21"/>
      <c r="G607" s="21"/>
      <c r="H607" s="21"/>
      <c r="J607" s="21"/>
    </row>
    <row r="608" spans="2:10" x14ac:dyDescent="0.25">
      <c r="B608" s="21"/>
      <c r="G608" s="21"/>
      <c r="H608" s="21"/>
      <c r="J608" s="21"/>
    </row>
    <row r="609" spans="2:10" x14ac:dyDescent="0.25">
      <c r="B609" s="21"/>
      <c r="G609" s="21"/>
      <c r="H609" s="21"/>
      <c r="J609" s="21"/>
    </row>
    <row r="610" spans="2:10" x14ac:dyDescent="0.25">
      <c r="B610" s="21"/>
      <c r="G610" s="21"/>
      <c r="H610" s="21"/>
      <c r="J610" s="21"/>
    </row>
    <row r="611" spans="2:10" x14ac:dyDescent="0.25">
      <c r="B611" s="21"/>
      <c r="G611" s="21"/>
      <c r="H611" s="21"/>
      <c r="J611" s="21"/>
    </row>
    <row r="612" spans="2:10" x14ac:dyDescent="0.25">
      <c r="B612" s="21"/>
      <c r="G612" s="21"/>
      <c r="H612" s="21"/>
      <c r="J612" s="21"/>
    </row>
    <row r="613" spans="2:10" x14ac:dyDescent="0.25">
      <c r="B613" s="21"/>
      <c r="G613" s="21"/>
      <c r="H613" s="21"/>
      <c r="J613" s="21"/>
    </row>
    <row r="614" spans="2:10" x14ac:dyDescent="0.25">
      <c r="B614" s="21"/>
      <c r="G614" s="21"/>
      <c r="H614" s="21"/>
      <c r="J614" s="21"/>
    </row>
    <row r="615" spans="2:10" x14ac:dyDescent="0.25">
      <c r="B615" s="21"/>
      <c r="G615" s="21"/>
      <c r="H615" s="21"/>
      <c r="J615" s="21"/>
    </row>
    <row r="616" spans="2:10" x14ac:dyDescent="0.25">
      <c r="B616" s="21"/>
      <c r="G616" s="21"/>
      <c r="H616" s="21"/>
      <c r="J616" s="21"/>
    </row>
    <row r="617" spans="2:10" x14ac:dyDescent="0.25">
      <c r="B617" s="21"/>
      <c r="G617" s="21"/>
      <c r="H617" s="21"/>
      <c r="J617" s="21"/>
    </row>
    <row r="618" spans="2:10" x14ac:dyDescent="0.25">
      <c r="B618" s="21"/>
      <c r="G618" s="21"/>
      <c r="H618" s="21"/>
      <c r="J618" s="21"/>
    </row>
    <row r="619" spans="2:10" x14ac:dyDescent="0.25">
      <c r="B619" s="21"/>
      <c r="G619" s="21"/>
      <c r="H619" s="21"/>
      <c r="J619" s="21"/>
    </row>
    <row r="620" spans="2:10" x14ac:dyDescent="0.25">
      <c r="B620" s="21"/>
      <c r="G620" s="21"/>
      <c r="H620" s="21"/>
      <c r="J620" s="21"/>
    </row>
    <row r="621" spans="2:10" x14ac:dyDescent="0.25">
      <c r="B621" s="21"/>
      <c r="G621" s="21"/>
      <c r="H621" s="21"/>
      <c r="J621" s="21"/>
    </row>
    <row r="622" spans="2:10" x14ac:dyDescent="0.25">
      <c r="B622" s="21"/>
      <c r="G622" s="21"/>
      <c r="H622" s="21"/>
      <c r="J622" s="21"/>
    </row>
    <row r="623" spans="2:10" x14ac:dyDescent="0.25">
      <c r="B623" s="21"/>
      <c r="G623" s="21"/>
      <c r="H623" s="21"/>
      <c r="J623" s="21"/>
    </row>
    <row r="624" spans="2:10" x14ac:dyDescent="0.25">
      <c r="B624" s="21"/>
      <c r="G624" s="21"/>
      <c r="H624" s="21"/>
      <c r="J624" s="21"/>
    </row>
    <row r="625" spans="2:10" x14ac:dyDescent="0.25">
      <c r="B625" s="21"/>
      <c r="G625" s="21"/>
      <c r="H625" s="21"/>
      <c r="J625" s="21"/>
    </row>
    <row r="626" spans="2:10" x14ac:dyDescent="0.25">
      <c r="B626" s="21"/>
      <c r="G626" s="21"/>
      <c r="H626" s="21"/>
      <c r="J626" s="21"/>
    </row>
    <row r="627" spans="2:10" x14ac:dyDescent="0.25">
      <c r="B627" s="21"/>
      <c r="G627" s="21"/>
      <c r="H627" s="21"/>
      <c r="J627" s="21"/>
    </row>
    <row r="628" spans="2:10" x14ac:dyDescent="0.25">
      <c r="B628" s="21"/>
      <c r="G628" s="21"/>
      <c r="H628" s="21"/>
      <c r="J628" s="21"/>
    </row>
    <row r="629" spans="2:10" x14ac:dyDescent="0.25">
      <c r="B629" s="21"/>
      <c r="G629" s="21"/>
      <c r="H629" s="21"/>
      <c r="J629" s="21"/>
    </row>
    <row r="630" spans="2:10" x14ac:dyDescent="0.25">
      <c r="B630" s="21"/>
      <c r="G630" s="21"/>
      <c r="H630" s="21"/>
      <c r="J630" s="21"/>
    </row>
    <row r="631" spans="2:10" x14ac:dyDescent="0.25">
      <c r="B631" s="21"/>
      <c r="G631" s="21"/>
      <c r="H631" s="21"/>
      <c r="J631" s="21"/>
    </row>
    <row r="632" spans="2:10" x14ac:dyDescent="0.25">
      <c r="B632" s="21"/>
      <c r="G632" s="21"/>
      <c r="H632" s="21"/>
      <c r="J632" s="21"/>
    </row>
    <row r="633" spans="2:10" x14ac:dyDescent="0.25">
      <c r="B633" s="21"/>
      <c r="G633" s="21"/>
      <c r="H633" s="21"/>
      <c r="J633" s="21"/>
    </row>
    <row r="634" spans="2:10" x14ac:dyDescent="0.25">
      <c r="B634" s="21"/>
      <c r="G634" s="21"/>
      <c r="H634" s="21"/>
      <c r="J634" s="21"/>
    </row>
    <row r="635" spans="2:10" x14ac:dyDescent="0.25">
      <c r="B635" s="21"/>
      <c r="G635" s="21"/>
      <c r="H635" s="21"/>
      <c r="J635" s="21"/>
    </row>
    <row r="636" spans="2:10" x14ac:dyDescent="0.25">
      <c r="B636" s="21"/>
      <c r="G636" s="21"/>
      <c r="H636" s="21"/>
      <c r="J636" s="21"/>
    </row>
    <row r="637" spans="2:10" x14ac:dyDescent="0.25">
      <c r="B637" s="21"/>
      <c r="G637" s="21"/>
      <c r="H637" s="21"/>
      <c r="J637" s="21"/>
    </row>
    <row r="638" spans="2:10" x14ac:dyDescent="0.25">
      <c r="B638" s="21"/>
      <c r="G638" s="21"/>
      <c r="H638" s="21"/>
      <c r="J638" s="21"/>
    </row>
    <row r="639" spans="2:10" x14ac:dyDescent="0.25">
      <c r="B639" s="21"/>
      <c r="G639" s="21"/>
      <c r="H639" s="21"/>
      <c r="J639" s="21"/>
    </row>
    <row r="640" spans="2:10" x14ac:dyDescent="0.25">
      <c r="B640" s="21"/>
      <c r="G640" s="21"/>
      <c r="H640" s="21"/>
      <c r="J640" s="21"/>
    </row>
    <row r="641" spans="2:10" x14ac:dyDescent="0.25">
      <c r="B641" s="21"/>
      <c r="G641" s="21"/>
      <c r="H641" s="21"/>
      <c r="J641" s="21"/>
    </row>
    <row r="642" spans="2:10" x14ac:dyDescent="0.25">
      <c r="B642" s="21"/>
      <c r="G642" s="21"/>
      <c r="H642" s="21"/>
      <c r="J642" s="21"/>
    </row>
    <row r="643" spans="2:10" x14ac:dyDescent="0.25">
      <c r="B643" s="21"/>
      <c r="G643" s="21"/>
      <c r="H643" s="21"/>
      <c r="J643" s="21"/>
    </row>
    <row r="644" spans="2:10" x14ac:dyDescent="0.25">
      <c r="B644" s="21"/>
      <c r="G644" s="21"/>
      <c r="H644" s="21"/>
      <c r="J644" s="21"/>
    </row>
    <row r="645" spans="2:10" x14ac:dyDescent="0.25">
      <c r="B645" s="21"/>
      <c r="G645" s="21"/>
      <c r="H645" s="21"/>
      <c r="J645" s="21"/>
    </row>
    <row r="646" spans="2:10" x14ac:dyDescent="0.25">
      <c r="B646" s="21"/>
      <c r="G646" s="21"/>
      <c r="H646" s="21"/>
      <c r="J646" s="21"/>
    </row>
    <row r="647" spans="2:10" x14ac:dyDescent="0.25">
      <c r="B647" s="21"/>
      <c r="G647" s="21"/>
      <c r="H647" s="21"/>
      <c r="J647" s="21"/>
    </row>
    <row r="648" spans="2:10" x14ac:dyDescent="0.25">
      <c r="B648" s="21"/>
      <c r="G648" s="21"/>
      <c r="H648" s="21"/>
      <c r="J648" s="21"/>
    </row>
    <row r="649" spans="2:10" x14ac:dyDescent="0.25">
      <c r="B649" s="21"/>
      <c r="G649" s="21"/>
      <c r="H649" s="21"/>
      <c r="J649" s="21"/>
    </row>
    <row r="650" spans="2:10" x14ac:dyDescent="0.25">
      <c r="B650" s="21"/>
      <c r="G650" s="21"/>
      <c r="H650" s="21"/>
      <c r="J650" s="21"/>
    </row>
    <row r="651" spans="2:10" x14ac:dyDescent="0.25">
      <c r="B651" s="21"/>
      <c r="G651" s="21"/>
      <c r="H651" s="21"/>
      <c r="J651" s="21"/>
    </row>
    <row r="652" spans="2:10" x14ac:dyDescent="0.25">
      <c r="B652" s="21"/>
      <c r="G652" s="21"/>
      <c r="H652" s="21"/>
      <c r="J652" s="21"/>
    </row>
    <row r="653" spans="2:10" x14ac:dyDescent="0.25">
      <c r="B653" s="21"/>
      <c r="G653" s="21"/>
      <c r="H653" s="21"/>
      <c r="J653" s="21"/>
    </row>
    <row r="654" spans="2:10" x14ac:dyDescent="0.25">
      <c r="B654" s="21"/>
      <c r="G654" s="21"/>
      <c r="H654" s="21"/>
      <c r="J654" s="21"/>
    </row>
    <row r="655" spans="2:10" x14ac:dyDescent="0.25">
      <c r="B655" s="21"/>
      <c r="G655" s="21"/>
      <c r="H655" s="21"/>
      <c r="J655" s="21"/>
    </row>
    <row r="656" spans="2:10" x14ac:dyDescent="0.25">
      <c r="B656" s="21"/>
      <c r="G656" s="21"/>
      <c r="H656" s="21"/>
      <c r="J656" s="21"/>
    </row>
    <row r="657" spans="2:10" x14ac:dyDescent="0.25">
      <c r="B657" s="21"/>
      <c r="G657" s="21"/>
      <c r="H657" s="21"/>
      <c r="J657" s="21"/>
    </row>
    <row r="658" spans="2:10" x14ac:dyDescent="0.25">
      <c r="B658" s="21"/>
      <c r="G658" s="21"/>
      <c r="H658" s="21"/>
      <c r="J658" s="21"/>
    </row>
    <row r="659" spans="2:10" x14ac:dyDescent="0.25">
      <c r="B659" s="21"/>
      <c r="G659" s="21"/>
      <c r="H659" s="21"/>
      <c r="J659" s="21"/>
    </row>
    <row r="660" spans="2:10" x14ac:dyDescent="0.25">
      <c r="B660" s="21"/>
      <c r="G660" s="21"/>
      <c r="H660" s="21"/>
      <c r="J660" s="21"/>
    </row>
    <row r="661" spans="2:10" x14ac:dyDescent="0.25">
      <c r="B661" s="21"/>
      <c r="G661" s="21"/>
      <c r="H661" s="21"/>
      <c r="J661" s="21"/>
    </row>
    <row r="662" spans="2:10" x14ac:dyDescent="0.25">
      <c r="B662" s="21"/>
      <c r="G662" s="21"/>
      <c r="H662" s="21"/>
      <c r="J662" s="21"/>
    </row>
    <row r="663" spans="2:10" x14ac:dyDescent="0.25">
      <c r="B663" s="21"/>
      <c r="G663" s="21"/>
      <c r="H663" s="21"/>
      <c r="J663" s="21"/>
    </row>
    <row r="664" spans="2:10" x14ac:dyDescent="0.25">
      <c r="B664" s="21"/>
      <c r="G664" s="21"/>
      <c r="H664" s="21"/>
      <c r="J664" s="21"/>
    </row>
    <row r="665" spans="2:10" x14ac:dyDescent="0.25">
      <c r="B665" s="21"/>
      <c r="G665" s="21"/>
      <c r="H665" s="21"/>
      <c r="J665" s="21"/>
    </row>
    <row r="666" spans="2:10" x14ac:dyDescent="0.25">
      <c r="B666" s="21"/>
      <c r="G666" s="21"/>
      <c r="H666" s="21"/>
      <c r="J666" s="21"/>
    </row>
    <row r="667" spans="2:10" x14ac:dyDescent="0.25">
      <c r="B667" s="21"/>
      <c r="G667" s="21"/>
      <c r="H667" s="21"/>
      <c r="J667" s="21"/>
    </row>
    <row r="668" spans="2:10" x14ac:dyDescent="0.25">
      <c r="B668" s="21"/>
      <c r="G668" s="21"/>
      <c r="H668" s="21"/>
      <c r="J668" s="21"/>
    </row>
    <row r="669" spans="2:10" x14ac:dyDescent="0.25">
      <c r="B669" s="21"/>
      <c r="G669" s="21"/>
      <c r="H669" s="21"/>
      <c r="J669" s="21"/>
    </row>
    <row r="670" spans="2:10" x14ac:dyDescent="0.25">
      <c r="B670" s="21"/>
      <c r="G670" s="21"/>
      <c r="H670" s="21"/>
      <c r="J670" s="21"/>
    </row>
    <row r="671" spans="2:10" x14ac:dyDescent="0.25">
      <c r="B671" s="21"/>
      <c r="G671" s="21"/>
      <c r="H671" s="21"/>
      <c r="J671" s="21"/>
    </row>
    <row r="672" spans="2:10" x14ac:dyDescent="0.25">
      <c r="B672" s="21"/>
      <c r="G672" s="21"/>
      <c r="H672" s="21"/>
      <c r="J672" s="21"/>
    </row>
    <row r="673" spans="2:10" x14ac:dyDescent="0.25">
      <c r="B673" s="21"/>
      <c r="G673" s="21"/>
      <c r="H673" s="21"/>
      <c r="J673" s="21"/>
    </row>
    <row r="674" spans="2:10" x14ac:dyDescent="0.25">
      <c r="B674" s="21"/>
      <c r="G674" s="21"/>
      <c r="H674" s="21"/>
      <c r="J674" s="21"/>
    </row>
    <row r="675" spans="2:10" x14ac:dyDescent="0.25">
      <c r="B675" s="21"/>
      <c r="G675" s="21"/>
      <c r="H675" s="21"/>
      <c r="J675" s="21"/>
    </row>
    <row r="676" spans="2:10" x14ac:dyDescent="0.25">
      <c r="B676" s="21"/>
      <c r="G676" s="21"/>
      <c r="H676" s="21"/>
      <c r="J676" s="21"/>
    </row>
    <row r="677" spans="2:10" x14ac:dyDescent="0.25">
      <c r="B677" s="21"/>
      <c r="G677" s="21"/>
      <c r="H677" s="21"/>
      <c r="J677" s="21"/>
    </row>
    <row r="678" spans="2:10" x14ac:dyDescent="0.25">
      <c r="B678" s="21"/>
      <c r="G678" s="21"/>
      <c r="H678" s="21"/>
      <c r="J678" s="21"/>
    </row>
    <row r="679" spans="2:10" x14ac:dyDescent="0.25">
      <c r="B679" s="21"/>
      <c r="G679" s="21"/>
      <c r="H679" s="21"/>
      <c r="J679" s="21"/>
    </row>
    <row r="680" spans="2:10" x14ac:dyDescent="0.25">
      <c r="B680" s="21"/>
      <c r="G680" s="21"/>
      <c r="H680" s="21"/>
      <c r="J680" s="21"/>
    </row>
    <row r="681" spans="2:10" x14ac:dyDescent="0.25">
      <c r="B681" s="21"/>
      <c r="G681" s="21"/>
      <c r="H681" s="21"/>
      <c r="J681" s="21"/>
    </row>
    <row r="682" spans="2:10" x14ac:dyDescent="0.25">
      <c r="B682" s="21"/>
      <c r="G682" s="21"/>
      <c r="H682" s="21"/>
      <c r="J682" s="21"/>
    </row>
    <row r="683" spans="2:10" x14ac:dyDescent="0.25">
      <c r="B683" s="21"/>
      <c r="G683" s="21"/>
      <c r="H683" s="21"/>
      <c r="J683" s="21"/>
    </row>
    <row r="684" spans="2:10" x14ac:dyDescent="0.25">
      <c r="B684" s="21"/>
      <c r="G684" s="21"/>
      <c r="H684" s="21"/>
      <c r="J684" s="21"/>
    </row>
    <row r="685" spans="2:10" x14ac:dyDescent="0.25">
      <c r="B685" s="21"/>
      <c r="G685" s="21"/>
      <c r="H685" s="21"/>
      <c r="J685" s="21"/>
    </row>
    <row r="686" spans="2:10" x14ac:dyDescent="0.25">
      <c r="B686" s="21"/>
      <c r="G686" s="21"/>
      <c r="H686" s="21"/>
      <c r="J686" s="21"/>
    </row>
    <row r="687" spans="2:10" x14ac:dyDescent="0.25">
      <c r="B687" s="21"/>
      <c r="G687" s="21"/>
      <c r="H687" s="21"/>
      <c r="J687" s="21"/>
    </row>
    <row r="688" spans="2:10" x14ac:dyDescent="0.25">
      <c r="B688" s="21"/>
      <c r="G688" s="21"/>
      <c r="H688" s="21"/>
      <c r="J688" s="21"/>
    </row>
    <row r="689" spans="2:10" x14ac:dyDescent="0.25">
      <c r="B689" s="21"/>
      <c r="G689" s="21"/>
      <c r="H689" s="21"/>
      <c r="J689" s="21"/>
    </row>
    <row r="690" spans="2:10" x14ac:dyDescent="0.25">
      <c r="B690" s="21"/>
      <c r="G690" s="21"/>
      <c r="H690" s="21"/>
      <c r="J690" s="21"/>
    </row>
    <row r="691" spans="2:10" x14ac:dyDescent="0.25">
      <c r="B691" s="21"/>
      <c r="G691" s="21"/>
      <c r="H691" s="21"/>
      <c r="J691" s="21"/>
    </row>
    <row r="692" spans="2:10" x14ac:dyDescent="0.25">
      <c r="B692" s="21"/>
      <c r="G692" s="21"/>
      <c r="H692" s="21"/>
      <c r="J692" s="21"/>
    </row>
    <row r="693" spans="2:10" x14ac:dyDescent="0.25">
      <c r="B693" s="21"/>
      <c r="G693" s="21"/>
      <c r="H693" s="21"/>
      <c r="J693" s="21"/>
    </row>
    <row r="694" spans="2:10" x14ac:dyDescent="0.25">
      <c r="B694" s="21"/>
      <c r="G694" s="21"/>
      <c r="H694" s="21"/>
      <c r="J694" s="21"/>
    </row>
    <row r="695" spans="2:10" x14ac:dyDescent="0.25">
      <c r="B695" s="21"/>
      <c r="G695" s="21"/>
      <c r="H695" s="21"/>
      <c r="J695" s="21"/>
    </row>
    <row r="696" spans="2:10" x14ac:dyDescent="0.25">
      <c r="B696" s="21"/>
      <c r="G696" s="21"/>
      <c r="H696" s="21"/>
      <c r="J696" s="21"/>
    </row>
    <row r="697" spans="2:10" x14ac:dyDescent="0.25">
      <c r="B697" s="21"/>
      <c r="G697" s="21"/>
      <c r="H697" s="21"/>
      <c r="J697" s="21"/>
    </row>
    <row r="698" spans="2:10" x14ac:dyDescent="0.25">
      <c r="B698" s="21"/>
      <c r="G698" s="21"/>
      <c r="H698" s="21"/>
      <c r="J698" s="21"/>
    </row>
    <row r="699" spans="2:10" x14ac:dyDescent="0.25">
      <c r="B699" s="21"/>
      <c r="G699" s="21"/>
      <c r="H699" s="21"/>
      <c r="J699" s="21"/>
    </row>
    <row r="700" spans="2:10" x14ac:dyDescent="0.25">
      <c r="B700" s="21"/>
      <c r="G700" s="21"/>
      <c r="H700" s="21"/>
      <c r="J700" s="21"/>
    </row>
    <row r="701" spans="2:10" x14ac:dyDescent="0.25">
      <c r="B701" s="21"/>
      <c r="G701" s="21"/>
      <c r="H701" s="21"/>
      <c r="J701" s="21"/>
    </row>
    <row r="702" spans="2:10" x14ac:dyDescent="0.25">
      <c r="B702" s="21"/>
      <c r="G702" s="21"/>
      <c r="H702" s="21"/>
      <c r="J702" s="21"/>
    </row>
    <row r="703" spans="2:10" x14ac:dyDescent="0.25">
      <c r="B703" s="21"/>
      <c r="G703" s="21"/>
      <c r="H703" s="21"/>
      <c r="J703" s="21"/>
    </row>
    <row r="704" spans="2:10" x14ac:dyDescent="0.25">
      <c r="B704" s="21"/>
      <c r="G704" s="21"/>
      <c r="H704" s="21"/>
      <c r="J704" s="21"/>
    </row>
    <row r="705" spans="2:10" x14ac:dyDescent="0.25">
      <c r="B705" s="21"/>
      <c r="G705" s="21"/>
      <c r="H705" s="21"/>
      <c r="J705" s="21"/>
    </row>
    <row r="706" spans="2:10" x14ac:dyDescent="0.25">
      <c r="B706" s="21"/>
      <c r="G706" s="21"/>
      <c r="H706" s="21"/>
      <c r="J706" s="21"/>
    </row>
    <row r="707" spans="2:10" x14ac:dyDescent="0.25">
      <c r="B707" s="21"/>
      <c r="G707" s="21"/>
      <c r="H707" s="21"/>
      <c r="J707" s="21"/>
    </row>
    <row r="708" spans="2:10" x14ac:dyDescent="0.25">
      <c r="B708" s="21"/>
      <c r="G708" s="21"/>
      <c r="H708" s="21"/>
      <c r="J708" s="21"/>
    </row>
    <row r="709" spans="2:10" x14ac:dyDescent="0.25">
      <c r="B709" s="21"/>
      <c r="G709" s="21"/>
      <c r="H709" s="21"/>
      <c r="J709" s="21"/>
    </row>
    <row r="710" spans="2:10" x14ac:dyDescent="0.25">
      <c r="B710" s="21"/>
      <c r="G710" s="21"/>
      <c r="H710" s="21"/>
      <c r="J710" s="21"/>
    </row>
    <row r="711" spans="2:10" x14ac:dyDescent="0.25">
      <c r="B711" s="21"/>
      <c r="G711" s="21"/>
      <c r="H711" s="21"/>
      <c r="J711" s="21"/>
    </row>
    <row r="712" spans="2:10" x14ac:dyDescent="0.25">
      <c r="B712" s="21"/>
      <c r="G712" s="21"/>
      <c r="H712" s="21"/>
      <c r="J712" s="21"/>
    </row>
    <row r="713" spans="2:10" x14ac:dyDescent="0.25">
      <c r="B713" s="21"/>
      <c r="G713" s="21"/>
      <c r="H713" s="21"/>
      <c r="J713" s="21"/>
    </row>
    <row r="714" spans="2:10" x14ac:dyDescent="0.25">
      <c r="B714" s="21"/>
      <c r="G714" s="21"/>
      <c r="H714" s="21"/>
      <c r="J714" s="21"/>
    </row>
    <row r="715" spans="2:10" x14ac:dyDescent="0.25">
      <c r="B715" s="21"/>
      <c r="G715" s="21"/>
      <c r="H715" s="21"/>
      <c r="J715" s="21"/>
    </row>
    <row r="716" spans="2:10" x14ac:dyDescent="0.25">
      <c r="B716" s="21"/>
      <c r="G716" s="21"/>
      <c r="H716" s="21"/>
      <c r="J716" s="21"/>
    </row>
    <row r="717" spans="2:10" x14ac:dyDescent="0.25">
      <c r="B717" s="21"/>
      <c r="G717" s="21"/>
      <c r="H717" s="21"/>
      <c r="J717" s="21"/>
    </row>
    <row r="718" spans="2:10" x14ac:dyDescent="0.25">
      <c r="B718" s="21"/>
      <c r="G718" s="21"/>
      <c r="H718" s="21"/>
      <c r="J718" s="21"/>
    </row>
    <row r="719" spans="2:10" x14ac:dyDescent="0.25">
      <c r="B719" s="21"/>
      <c r="G719" s="21"/>
      <c r="H719" s="21"/>
      <c r="J719" s="21"/>
    </row>
    <row r="720" spans="2:10" x14ac:dyDescent="0.25">
      <c r="B720" s="21"/>
      <c r="G720" s="21"/>
      <c r="H720" s="21"/>
      <c r="J720" s="21"/>
    </row>
    <row r="721" spans="2:10" x14ac:dyDescent="0.25">
      <c r="B721" s="21"/>
      <c r="G721" s="21"/>
      <c r="H721" s="21"/>
      <c r="J721" s="21"/>
    </row>
    <row r="722" spans="2:10" x14ac:dyDescent="0.25">
      <c r="B722" s="21"/>
      <c r="G722" s="21"/>
      <c r="H722" s="21"/>
      <c r="J722" s="21"/>
    </row>
    <row r="723" spans="2:10" x14ac:dyDescent="0.25">
      <c r="B723" s="21"/>
      <c r="G723" s="21"/>
      <c r="H723" s="21"/>
      <c r="J723" s="21"/>
    </row>
    <row r="724" spans="2:10" x14ac:dyDescent="0.25">
      <c r="B724" s="21"/>
      <c r="G724" s="21"/>
      <c r="H724" s="21"/>
      <c r="J724" s="21"/>
    </row>
    <row r="725" spans="2:10" x14ac:dyDescent="0.25">
      <c r="B725" s="21"/>
      <c r="G725" s="21"/>
      <c r="H725" s="21"/>
      <c r="J725" s="21"/>
    </row>
    <row r="726" spans="2:10" x14ac:dyDescent="0.25">
      <c r="B726" s="21"/>
      <c r="G726" s="21"/>
      <c r="H726" s="21"/>
      <c r="J726" s="21"/>
    </row>
    <row r="727" spans="2:10" x14ac:dyDescent="0.25">
      <c r="B727" s="21"/>
      <c r="G727" s="21"/>
      <c r="H727" s="21"/>
      <c r="J727" s="21"/>
    </row>
    <row r="728" spans="2:10" x14ac:dyDescent="0.25">
      <c r="B728" s="21"/>
      <c r="G728" s="21"/>
      <c r="H728" s="21"/>
      <c r="J728" s="21"/>
    </row>
    <row r="729" spans="2:10" x14ac:dyDescent="0.25">
      <c r="B729" s="21"/>
      <c r="G729" s="21"/>
      <c r="H729" s="21"/>
      <c r="J729" s="21"/>
    </row>
    <row r="730" spans="2:10" x14ac:dyDescent="0.25">
      <c r="B730" s="21"/>
      <c r="G730" s="21"/>
      <c r="H730" s="21"/>
      <c r="J730" s="21"/>
    </row>
    <row r="731" spans="2:10" x14ac:dyDescent="0.25">
      <c r="B731" s="21"/>
      <c r="G731" s="21"/>
      <c r="H731" s="21"/>
      <c r="J731" s="21"/>
    </row>
    <row r="732" spans="2:10" x14ac:dyDescent="0.25">
      <c r="B732" s="21"/>
      <c r="G732" s="21"/>
      <c r="H732" s="21"/>
      <c r="J732" s="21"/>
    </row>
    <row r="733" spans="2:10" x14ac:dyDescent="0.25">
      <c r="B733" s="21"/>
      <c r="G733" s="21"/>
      <c r="H733" s="21"/>
      <c r="J733" s="21"/>
    </row>
    <row r="734" spans="2:10" x14ac:dyDescent="0.25">
      <c r="B734" s="21"/>
      <c r="G734" s="21"/>
      <c r="H734" s="21"/>
      <c r="J734" s="21"/>
    </row>
    <row r="735" spans="2:10" x14ac:dyDescent="0.25">
      <c r="B735" s="21"/>
      <c r="G735" s="21"/>
      <c r="H735" s="21"/>
      <c r="J735" s="21"/>
    </row>
    <row r="736" spans="2:10" x14ac:dyDescent="0.25">
      <c r="B736" s="21"/>
      <c r="G736" s="21"/>
      <c r="H736" s="21"/>
      <c r="J736" s="21"/>
    </row>
    <row r="737" spans="2:10" x14ac:dyDescent="0.25">
      <c r="B737" s="21"/>
      <c r="G737" s="21"/>
      <c r="H737" s="21"/>
      <c r="J737" s="21"/>
    </row>
    <row r="738" spans="2:10" x14ac:dyDescent="0.25">
      <c r="B738" s="21"/>
      <c r="G738" s="21"/>
      <c r="H738" s="21"/>
      <c r="J738" s="21"/>
    </row>
    <row r="739" spans="2:10" x14ac:dyDescent="0.25">
      <c r="B739" s="21"/>
      <c r="G739" s="21"/>
      <c r="H739" s="21"/>
      <c r="J739" s="21"/>
    </row>
    <row r="740" spans="2:10" x14ac:dyDescent="0.25">
      <c r="B740" s="21"/>
      <c r="G740" s="21"/>
      <c r="H740" s="21"/>
      <c r="J740" s="21"/>
    </row>
    <row r="741" spans="2:10" x14ac:dyDescent="0.25">
      <c r="B741" s="21"/>
      <c r="G741" s="21"/>
      <c r="H741" s="21"/>
      <c r="J741" s="21"/>
    </row>
    <row r="742" spans="2:10" x14ac:dyDescent="0.25">
      <c r="B742" s="21"/>
      <c r="G742" s="21"/>
      <c r="H742" s="21"/>
      <c r="J742" s="21"/>
    </row>
    <row r="743" spans="2:10" x14ac:dyDescent="0.25">
      <c r="B743" s="21"/>
      <c r="G743" s="21"/>
      <c r="H743" s="21"/>
      <c r="J743" s="21"/>
    </row>
    <row r="744" spans="2:10" x14ac:dyDescent="0.25">
      <c r="B744" s="21"/>
      <c r="G744" s="21"/>
      <c r="H744" s="21"/>
      <c r="J744" s="21"/>
    </row>
    <row r="745" spans="2:10" x14ac:dyDescent="0.25">
      <c r="B745" s="21"/>
      <c r="G745" s="21"/>
      <c r="H745" s="21"/>
      <c r="J745" s="21"/>
    </row>
    <row r="746" spans="2:10" x14ac:dyDescent="0.25">
      <c r="B746" s="21"/>
      <c r="G746" s="21"/>
      <c r="H746" s="21"/>
      <c r="J746" s="21"/>
    </row>
    <row r="747" spans="2:10" x14ac:dyDescent="0.25">
      <c r="B747" s="21"/>
      <c r="G747" s="21"/>
      <c r="H747" s="21"/>
      <c r="J747" s="21"/>
    </row>
    <row r="748" spans="2:10" x14ac:dyDescent="0.25">
      <c r="B748" s="21"/>
      <c r="G748" s="21"/>
      <c r="H748" s="21"/>
      <c r="J748" s="21"/>
    </row>
    <row r="749" spans="2:10" x14ac:dyDescent="0.25">
      <c r="B749" s="21"/>
      <c r="G749" s="21"/>
      <c r="H749" s="21"/>
      <c r="J749" s="21"/>
    </row>
    <row r="750" spans="2:10" x14ac:dyDescent="0.25">
      <c r="B750" s="21"/>
      <c r="G750" s="21"/>
      <c r="H750" s="21"/>
      <c r="J750" s="21"/>
    </row>
    <row r="751" spans="2:10" x14ac:dyDescent="0.25">
      <c r="B751" s="21"/>
      <c r="G751" s="21"/>
      <c r="H751" s="21"/>
      <c r="J751" s="21"/>
    </row>
    <row r="752" spans="2:10" x14ac:dyDescent="0.25">
      <c r="B752" s="21"/>
      <c r="G752" s="21"/>
      <c r="H752" s="21"/>
      <c r="J752" s="21"/>
    </row>
    <row r="753" spans="2:10" x14ac:dyDescent="0.25">
      <c r="B753" s="21"/>
      <c r="G753" s="21"/>
      <c r="H753" s="21"/>
      <c r="J753" s="21"/>
    </row>
    <row r="754" spans="2:10" x14ac:dyDescent="0.25">
      <c r="B754" s="21"/>
      <c r="G754" s="21"/>
      <c r="H754" s="21"/>
      <c r="J754" s="21"/>
    </row>
    <row r="755" spans="2:10" x14ac:dyDescent="0.25">
      <c r="B755" s="21"/>
      <c r="G755" s="21"/>
      <c r="H755" s="21"/>
      <c r="J755" s="21"/>
    </row>
    <row r="756" spans="2:10" x14ac:dyDescent="0.25">
      <c r="B756" s="21"/>
      <c r="G756" s="21"/>
      <c r="H756" s="21"/>
      <c r="J756" s="21"/>
    </row>
    <row r="757" spans="2:10" x14ac:dyDescent="0.25">
      <c r="B757" s="21"/>
      <c r="G757" s="21"/>
      <c r="H757" s="21"/>
      <c r="J757" s="21"/>
    </row>
    <row r="758" spans="2:10" x14ac:dyDescent="0.25">
      <c r="B758" s="21"/>
      <c r="G758" s="21"/>
      <c r="H758" s="21"/>
      <c r="J758" s="21"/>
    </row>
    <row r="759" spans="2:10" x14ac:dyDescent="0.25">
      <c r="B759" s="21"/>
      <c r="G759" s="21"/>
      <c r="H759" s="21"/>
      <c r="J759" s="21"/>
    </row>
    <row r="760" spans="2:10" x14ac:dyDescent="0.25">
      <c r="B760" s="21"/>
      <c r="G760" s="21"/>
      <c r="H760" s="21"/>
      <c r="J760" s="21"/>
    </row>
    <row r="761" spans="2:10" x14ac:dyDescent="0.25">
      <c r="B761" s="21"/>
      <c r="G761" s="21"/>
      <c r="H761" s="21"/>
      <c r="J761" s="21"/>
    </row>
    <row r="762" spans="2:10" x14ac:dyDescent="0.25">
      <c r="B762" s="21"/>
      <c r="G762" s="21"/>
      <c r="H762" s="21"/>
      <c r="J762" s="21"/>
    </row>
    <row r="763" spans="2:10" x14ac:dyDescent="0.25">
      <c r="B763" s="21"/>
      <c r="G763" s="21"/>
      <c r="H763" s="21"/>
      <c r="J763" s="21"/>
    </row>
    <row r="764" spans="2:10" x14ac:dyDescent="0.25">
      <c r="B764" s="21"/>
      <c r="G764" s="21"/>
      <c r="H764" s="21"/>
      <c r="J764" s="21"/>
    </row>
    <row r="765" spans="2:10" x14ac:dyDescent="0.25">
      <c r="B765" s="21"/>
      <c r="G765" s="21"/>
      <c r="H765" s="21"/>
      <c r="J765" s="21"/>
    </row>
    <row r="766" spans="2:10" x14ac:dyDescent="0.25">
      <c r="B766" s="21"/>
      <c r="G766" s="21"/>
      <c r="H766" s="21"/>
      <c r="J766" s="21"/>
    </row>
    <row r="767" spans="2:10" x14ac:dyDescent="0.25">
      <c r="B767" s="21"/>
      <c r="G767" s="21"/>
      <c r="H767" s="21"/>
      <c r="J767" s="21"/>
    </row>
    <row r="768" spans="2:10" x14ac:dyDescent="0.25">
      <c r="B768" s="21"/>
      <c r="G768" s="21"/>
      <c r="H768" s="21"/>
      <c r="J768" s="21"/>
    </row>
    <row r="769" spans="2:10" x14ac:dyDescent="0.25">
      <c r="B769" s="21"/>
      <c r="G769" s="21"/>
      <c r="H769" s="21"/>
      <c r="J769" s="21"/>
    </row>
    <row r="770" spans="2:10" x14ac:dyDescent="0.25">
      <c r="B770" s="21"/>
      <c r="G770" s="21"/>
      <c r="H770" s="21"/>
      <c r="J770" s="21"/>
    </row>
    <row r="771" spans="2:10" x14ac:dyDescent="0.25">
      <c r="B771" s="21"/>
      <c r="G771" s="21"/>
      <c r="H771" s="21"/>
      <c r="J771" s="21"/>
    </row>
    <row r="772" spans="2:10" x14ac:dyDescent="0.25">
      <c r="B772" s="21"/>
      <c r="G772" s="21"/>
      <c r="H772" s="21"/>
      <c r="J772" s="21"/>
    </row>
    <row r="773" spans="2:10" x14ac:dyDescent="0.25">
      <c r="B773" s="21"/>
      <c r="G773" s="21"/>
      <c r="H773" s="21"/>
      <c r="J773" s="21"/>
    </row>
    <row r="774" spans="2:10" x14ac:dyDescent="0.25">
      <c r="B774" s="21"/>
      <c r="G774" s="21"/>
      <c r="H774" s="21"/>
      <c r="J774" s="21"/>
    </row>
    <row r="775" spans="2:10" x14ac:dyDescent="0.25">
      <c r="B775" s="21"/>
      <c r="G775" s="21"/>
      <c r="H775" s="21"/>
      <c r="J775" s="21"/>
    </row>
    <row r="776" spans="2:10" x14ac:dyDescent="0.25">
      <c r="B776" s="21"/>
      <c r="G776" s="21"/>
      <c r="H776" s="21"/>
      <c r="J776" s="21"/>
    </row>
    <row r="777" spans="2:10" x14ac:dyDescent="0.25">
      <c r="B777" s="21"/>
      <c r="G777" s="21"/>
      <c r="H777" s="21"/>
      <c r="J777" s="21"/>
    </row>
    <row r="778" spans="2:10" x14ac:dyDescent="0.25">
      <c r="B778" s="21"/>
      <c r="G778" s="21"/>
      <c r="H778" s="21"/>
      <c r="J778" s="21"/>
    </row>
    <row r="779" spans="2:10" x14ac:dyDescent="0.25">
      <c r="B779" s="21"/>
      <c r="G779" s="21"/>
      <c r="H779" s="21"/>
      <c r="J779" s="21"/>
    </row>
    <row r="780" spans="2:10" x14ac:dyDescent="0.25">
      <c r="B780" s="21"/>
      <c r="G780" s="21"/>
      <c r="H780" s="21"/>
      <c r="J780" s="21"/>
    </row>
    <row r="781" spans="2:10" x14ac:dyDescent="0.25">
      <c r="B781" s="21"/>
      <c r="G781" s="21"/>
      <c r="H781" s="21"/>
      <c r="J781" s="21"/>
    </row>
    <row r="782" spans="2:10" x14ac:dyDescent="0.25">
      <c r="B782" s="21"/>
      <c r="G782" s="21"/>
      <c r="H782" s="21"/>
      <c r="J782" s="21"/>
    </row>
    <row r="783" spans="2:10" x14ac:dyDescent="0.25">
      <c r="B783" s="21"/>
      <c r="G783" s="21"/>
      <c r="H783" s="21"/>
      <c r="J783" s="21"/>
    </row>
    <row r="784" spans="2:10" x14ac:dyDescent="0.25">
      <c r="B784" s="21"/>
      <c r="G784" s="21"/>
      <c r="H784" s="21"/>
      <c r="J784" s="21"/>
    </row>
    <row r="785" spans="2:10" x14ac:dyDescent="0.25">
      <c r="B785" s="21"/>
      <c r="G785" s="21"/>
      <c r="H785" s="21"/>
      <c r="J785" s="21"/>
    </row>
    <row r="786" spans="2:10" x14ac:dyDescent="0.25">
      <c r="B786" s="21"/>
      <c r="G786" s="21"/>
      <c r="H786" s="21"/>
      <c r="J786" s="21"/>
    </row>
    <row r="787" spans="2:10" x14ac:dyDescent="0.25">
      <c r="B787" s="21"/>
      <c r="G787" s="21"/>
      <c r="H787" s="21"/>
      <c r="J787" s="21"/>
    </row>
    <row r="788" spans="2:10" x14ac:dyDescent="0.25">
      <c r="B788" s="21"/>
      <c r="G788" s="21"/>
      <c r="H788" s="21"/>
      <c r="J788" s="21"/>
    </row>
    <row r="789" spans="2:10" x14ac:dyDescent="0.25">
      <c r="B789" s="21"/>
      <c r="G789" s="21"/>
      <c r="H789" s="21"/>
      <c r="J789" s="21"/>
    </row>
    <row r="790" spans="2:10" x14ac:dyDescent="0.25">
      <c r="B790" s="21"/>
      <c r="G790" s="21"/>
      <c r="H790" s="21"/>
      <c r="J790" s="21"/>
    </row>
    <row r="791" spans="2:10" x14ac:dyDescent="0.25">
      <c r="B791" s="21"/>
      <c r="G791" s="21"/>
      <c r="H791" s="21"/>
      <c r="J791" s="21"/>
    </row>
    <row r="792" spans="2:10" x14ac:dyDescent="0.25">
      <c r="B792" s="21"/>
      <c r="G792" s="21"/>
      <c r="H792" s="21"/>
      <c r="J792" s="21"/>
    </row>
    <row r="793" spans="2:10" x14ac:dyDescent="0.25">
      <c r="B793" s="21"/>
      <c r="G793" s="21"/>
      <c r="H793" s="21"/>
      <c r="J793" s="21"/>
    </row>
    <row r="794" spans="2:10" x14ac:dyDescent="0.25">
      <c r="B794" s="21"/>
      <c r="G794" s="21"/>
      <c r="H794" s="21"/>
      <c r="J794" s="21"/>
    </row>
    <row r="795" spans="2:10" x14ac:dyDescent="0.25">
      <c r="B795" s="21"/>
      <c r="G795" s="21"/>
      <c r="H795" s="21"/>
      <c r="J795" s="21"/>
    </row>
    <row r="796" spans="2:10" x14ac:dyDescent="0.25">
      <c r="B796" s="21"/>
      <c r="G796" s="21"/>
      <c r="H796" s="21"/>
      <c r="J796" s="21"/>
    </row>
    <row r="797" spans="2:10" x14ac:dyDescent="0.25">
      <c r="B797" s="21"/>
      <c r="G797" s="21"/>
      <c r="H797" s="21"/>
      <c r="J797" s="21"/>
    </row>
    <row r="798" spans="2:10" x14ac:dyDescent="0.25">
      <c r="B798" s="21"/>
      <c r="G798" s="21"/>
      <c r="H798" s="21"/>
      <c r="J798" s="21"/>
    </row>
    <row r="799" spans="2:10" x14ac:dyDescent="0.25">
      <c r="B799" s="21"/>
      <c r="G799" s="21"/>
      <c r="H799" s="21"/>
      <c r="J799" s="21"/>
    </row>
    <row r="800" spans="2:10" x14ac:dyDescent="0.25">
      <c r="B800" s="21"/>
      <c r="G800" s="21"/>
      <c r="H800" s="21"/>
      <c r="J800" s="21"/>
    </row>
    <row r="801" spans="2:10" x14ac:dyDescent="0.25">
      <c r="B801" s="21"/>
      <c r="G801" s="21"/>
      <c r="H801" s="21"/>
      <c r="J801" s="21"/>
    </row>
    <row r="802" spans="2:10" x14ac:dyDescent="0.25">
      <c r="B802" s="21"/>
      <c r="G802" s="21"/>
      <c r="H802" s="21"/>
      <c r="J802" s="21"/>
    </row>
    <row r="803" spans="2:10" x14ac:dyDescent="0.25">
      <c r="B803" s="21"/>
      <c r="G803" s="21"/>
      <c r="H803" s="21"/>
      <c r="J803" s="21"/>
    </row>
    <row r="804" spans="2:10" x14ac:dyDescent="0.25">
      <c r="B804" s="21"/>
      <c r="G804" s="21"/>
      <c r="H804" s="21"/>
      <c r="J804" s="21"/>
    </row>
    <row r="805" spans="2:10" x14ac:dyDescent="0.25">
      <c r="B805" s="21"/>
      <c r="G805" s="21"/>
      <c r="H805" s="21"/>
      <c r="J805" s="21"/>
    </row>
    <row r="806" spans="2:10" x14ac:dyDescent="0.25">
      <c r="B806" s="21"/>
      <c r="G806" s="21"/>
      <c r="H806" s="21"/>
      <c r="J806" s="21"/>
    </row>
    <row r="807" spans="2:10" x14ac:dyDescent="0.25">
      <c r="B807" s="21"/>
      <c r="G807" s="21"/>
      <c r="H807" s="21"/>
      <c r="J807" s="21"/>
    </row>
    <row r="808" spans="2:10" x14ac:dyDescent="0.25">
      <c r="B808" s="21"/>
      <c r="G808" s="21"/>
      <c r="H808" s="21"/>
      <c r="J808" s="21"/>
    </row>
    <row r="809" spans="2:10" x14ac:dyDescent="0.25">
      <c r="B809" s="21"/>
      <c r="G809" s="21"/>
      <c r="H809" s="21"/>
      <c r="J809" s="21"/>
    </row>
    <row r="810" spans="2:10" x14ac:dyDescent="0.25">
      <c r="B810" s="21"/>
      <c r="G810" s="21"/>
      <c r="H810" s="21"/>
      <c r="J810" s="21"/>
    </row>
    <row r="811" spans="2:10" x14ac:dyDescent="0.25">
      <c r="B811" s="21"/>
      <c r="G811" s="21"/>
      <c r="H811" s="21"/>
      <c r="J811" s="21"/>
    </row>
    <row r="812" spans="2:10" x14ac:dyDescent="0.25">
      <c r="B812" s="21"/>
      <c r="G812" s="21"/>
      <c r="H812" s="21"/>
      <c r="J812" s="21"/>
    </row>
    <row r="813" spans="2:10" x14ac:dyDescent="0.25">
      <c r="B813" s="21"/>
      <c r="G813" s="21"/>
      <c r="H813" s="21"/>
      <c r="J813" s="21"/>
    </row>
    <row r="814" spans="2:10" x14ac:dyDescent="0.25">
      <c r="B814" s="21"/>
      <c r="G814" s="21"/>
      <c r="H814" s="21"/>
      <c r="J814" s="21"/>
    </row>
    <row r="815" spans="2:10" x14ac:dyDescent="0.25">
      <c r="B815" s="21"/>
      <c r="G815" s="21"/>
      <c r="H815" s="21"/>
      <c r="J815" s="21"/>
    </row>
    <row r="816" spans="2:10" x14ac:dyDescent="0.25">
      <c r="B816" s="21"/>
      <c r="G816" s="21"/>
      <c r="H816" s="21"/>
      <c r="J816" s="21"/>
    </row>
    <row r="817" spans="2:10" x14ac:dyDescent="0.25">
      <c r="B817" s="21"/>
      <c r="G817" s="21"/>
      <c r="H817" s="21"/>
      <c r="J817" s="21"/>
    </row>
    <row r="818" spans="2:10" x14ac:dyDescent="0.25">
      <c r="B818" s="21"/>
      <c r="G818" s="21"/>
      <c r="H818" s="21"/>
      <c r="J818" s="21"/>
    </row>
    <row r="819" spans="2:10" x14ac:dyDescent="0.25">
      <c r="B819" s="21"/>
      <c r="G819" s="21"/>
      <c r="H819" s="21"/>
      <c r="J819" s="21"/>
    </row>
    <row r="820" spans="2:10" x14ac:dyDescent="0.25">
      <c r="B820" s="21"/>
      <c r="G820" s="21"/>
      <c r="H820" s="21"/>
      <c r="J820" s="21"/>
    </row>
    <row r="821" spans="2:10" x14ac:dyDescent="0.25">
      <c r="B821" s="21"/>
      <c r="G821" s="21"/>
      <c r="H821" s="21"/>
      <c r="J821" s="21"/>
    </row>
    <row r="822" spans="2:10" x14ac:dyDescent="0.25">
      <c r="B822" s="21"/>
      <c r="G822" s="21"/>
      <c r="H822" s="21"/>
      <c r="J822" s="21"/>
    </row>
    <row r="823" spans="2:10" x14ac:dyDescent="0.25">
      <c r="B823" s="21"/>
      <c r="G823" s="21"/>
      <c r="H823" s="21"/>
      <c r="J823" s="21"/>
    </row>
    <row r="824" spans="2:10" x14ac:dyDescent="0.25">
      <c r="B824" s="21"/>
      <c r="G824" s="21"/>
      <c r="H824" s="21"/>
      <c r="J824" s="21"/>
    </row>
    <row r="825" spans="2:10" x14ac:dyDescent="0.25">
      <c r="B825" s="21"/>
      <c r="G825" s="21"/>
      <c r="H825" s="21"/>
      <c r="J825" s="21"/>
    </row>
    <row r="826" spans="2:10" x14ac:dyDescent="0.25">
      <c r="B826" s="21"/>
      <c r="G826" s="21"/>
      <c r="H826" s="21"/>
      <c r="J826" s="21"/>
    </row>
    <row r="827" spans="2:10" x14ac:dyDescent="0.25">
      <c r="B827" s="21"/>
      <c r="G827" s="21"/>
      <c r="H827" s="21"/>
      <c r="J827" s="21"/>
    </row>
    <row r="828" spans="2:10" x14ac:dyDescent="0.25">
      <c r="B828" s="21"/>
      <c r="G828" s="21"/>
      <c r="H828" s="21"/>
      <c r="J828" s="21"/>
    </row>
    <row r="829" spans="2:10" x14ac:dyDescent="0.25">
      <c r="B829" s="21"/>
      <c r="G829" s="21"/>
      <c r="H829" s="21"/>
      <c r="J829" s="21"/>
    </row>
    <row r="830" spans="2:10" x14ac:dyDescent="0.25">
      <c r="B830" s="21"/>
      <c r="G830" s="21"/>
      <c r="H830" s="21"/>
      <c r="J830" s="21"/>
    </row>
    <row r="831" spans="2:10" x14ac:dyDescent="0.25">
      <c r="B831" s="21"/>
      <c r="G831" s="21"/>
      <c r="H831" s="21"/>
      <c r="J831" s="21"/>
    </row>
    <row r="832" spans="2:10" x14ac:dyDescent="0.25">
      <c r="B832" s="21"/>
      <c r="G832" s="21"/>
      <c r="H832" s="21"/>
      <c r="J832" s="21"/>
    </row>
    <row r="833" spans="2:10" x14ac:dyDescent="0.25">
      <c r="B833" s="21"/>
      <c r="G833" s="21"/>
      <c r="H833" s="21"/>
      <c r="J833" s="21"/>
    </row>
    <row r="834" spans="2:10" x14ac:dyDescent="0.25">
      <c r="B834" s="21"/>
      <c r="G834" s="21"/>
      <c r="H834" s="21"/>
      <c r="J834" s="21"/>
    </row>
    <row r="835" spans="2:10" x14ac:dyDescent="0.25">
      <c r="B835" s="21"/>
      <c r="G835" s="21"/>
      <c r="H835" s="21"/>
      <c r="J835" s="21"/>
    </row>
    <row r="836" spans="2:10" x14ac:dyDescent="0.25">
      <c r="B836" s="21"/>
      <c r="G836" s="21"/>
      <c r="H836" s="21"/>
      <c r="J836" s="21"/>
    </row>
    <row r="837" spans="2:10" x14ac:dyDescent="0.25">
      <c r="B837" s="21"/>
      <c r="G837" s="21"/>
      <c r="H837" s="21"/>
      <c r="J837" s="21"/>
    </row>
    <row r="838" spans="2:10" x14ac:dyDescent="0.25">
      <c r="B838" s="21"/>
      <c r="G838" s="21"/>
      <c r="H838" s="21"/>
      <c r="J838" s="21"/>
    </row>
    <row r="839" spans="2:10" x14ac:dyDescent="0.25">
      <c r="B839" s="21"/>
      <c r="G839" s="21"/>
      <c r="H839" s="21"/>
      <c r="J839" s="21"/>
    </row>
    <row r="840" spans="2:10" x14ac:dyDescent="0.25">
      <c r="B840" s="21"/>
      <c r="G840" s="21"/>
      <c r="H840" s="21"/>
      <c r="J840" s="21"/>
    </row>
    <row r="841" spans="2:10" x14ac:dyDescent="0.25">
      <c r="B841" s="21"/>
      <c r="G841" s="21"/>
      <c r="H841" s="21"/>
      <c r="J841" s="21"/>
    </row>
    <row r="842" spans="2:10" x14ac:dyDescent="0.25">
      <c r="B842" s="21"/>
      <c r="G842" s="21"/>
      <c r="H842" s="21"/>
      <c r="J842" s="21"/>
    </row>
    <row r="843" spans="2:10" x14ac:dyDescent="0.25">
      <c r="B843" s="21"/>
      <c r="G843" s="21"/>
      <c r="H843" s="21"/>
      <c r="J843" s="21"/>
    </row>
    <row r="844" spans="2:10" x14ac:dyDescent="0.25">
      <c r="B844" s="21"/>
      <c r="G844" s="21"/>
      <c r="H844" s="21"/>
      <c r="J844" s="21"/>
    </row>
    <row r="845" spans="2:10" x14ac:dyDescent="0.25">
      <c r="B845" s="21"/>
      <c r="G845" s="21"/>
      <c r="H845" s="21"/>
      <c r="J845" s="21"/>
    </row>
    <row r="846" spans="2:10" x14ac:dyDescent="0.25">
      <c r="B846" s="21"/>
      <c r="G846" s="21"/>
      <c r="H846" s="21"/>
      <c r="J846" s="21"/>
    </row>
    <row r="847" spans="2:10" x14ac:dyDescent="0.25">
      <c r="B847" s="21"/>
      <c r="G847" s="21"/>
      <c r="H847" s="21"/>
      <c r="J847" s="21"/>
    </row>
    <row r="848" spans="2:10" x14ac:dyDescent="0.25">
      <c r="B848" s="21"/>
      <c r="G848" s="21"/>
      <c r="H848" s="21"/>
      <c r="J848" s="21"/>
    </row>
    <row r="849" spans="2:10" x14ac:dyDescent="0.25">
      <c r="B849" s="21"/>
      <c r="G849" s="21"/>
      <c r="H849" s="21"/>
      <c r="J849" s="21"/>
    </row>
    <row r="850" spans="2:10" x14ac:dyDescent="0.25">
      <c r="B850" s="21"/>
      <c r="G850" s="21"/>
      <c r="H850" s="21"/>
      <c r="J850" s="21"/>
    </row>
    <row r="851" spans="2:10" x14ac:dyDescent="0.25">
      <c r="B851" s="21"/>
      <c r="G851" s="21"/>
      <c r="H851" s="21"/>
      <c r="J851" s="21"/>
    </row>
    <row r="852" spans="2:10" x14ac:dyDescent="0.25">
      <c r="B852" s="21"/>
      <c r="G852" s="21"/>
      <c r="H852" s="21"/>
      <c r="J852" s="21"/>
    </row>
    <row r="853" spans="2:10" x14ac:dyDescent="0.25">
      <c r="B853" s="21"/>
      <c r="G853" s="21"/>
      <c r="H853" s="21"/>
      <c r="J853" s="21"/>
    </row>
    <row r="854" spans="2:10" x14ac:dyDescent="0.25">
      <c r="B854" s="21"/>
      <c r="G854" s="21"/>
      <c r="H854" s="21"/>
      <c r="J854" s="21"/>
    </row>
    <row r="855" spans="2:10" x14ac:dyDescent="0.25">
      <c r="B855" s="21"/>
      <c r="G855" s="21"/>
      <c r="H855" s="21"/>
      <c r="J855" s="21"/>
    </row>
    <row r="856" spans="2:10" x14ac:dyDescent="0.25">
      <c r="B856" s="21"/>
      <c r="G856" s="21"/>
      <c r="H856" s="21"/>
      <c r="J856" s="21"/>
    </row>
    <row r="857" spans="2:10" x14ac:dyDescent="0.25">
      <c r="B857" s="21"/>
      <c r="G857" s="21"/>
      <c r="H857" s="21"/>
      <c r="J857" s="21"/>
    </row>
    <row r="858" spans="2:10" x14ac:dyDescent="0.25">
      <c r="B858" s="21"/>
      <c r="G858" s="21"/>
      <c r="H858" s="21"/>
      <c r="J858" s="21"/>
    </row>
    <row r="859" spans="2:10" x14ac:dyDescent="0.25">
      <c r="B859" s="21"/>
      <c r="G859" s="21"/>
      <c r="H859" s="21"/>
      <c r="J859" s="21"/>
    </row>
    <row r="860" spans="2:10" x14ac:dyDescent="0.25">
      <c r="B860" s="21"/>
      <c r="G860" s="21"/>
      <c r="H860" s="21"/>
      <c r="J860" s="21"/>
    </row>
    <row r="861" spans="2:10" x14ac:dyDescent="0.25">
      <c r="B861" s="21"/>
      <c r="G861" s="21"/>
      <c r="H861" s="21"/>
      <c r="J861" s="21"/>
    </row>
    <row r="862" spans="2:10" x14ac:dyDescent="0.25">
      <c r="B862" s="21"/>
      <c r="G862" s="21"/>
      <c r="H862" s="21"/>
      <c r="J862" s="21"/>
    </row>
    <row r="863" spans="2:10" x14ac:dyDescent="0.25">
      <c r="B863" s="21"/>
      <c r="G863" s="21"/>
      <c r="H863" s="21"/>
      <c r="J863" s="21"/>
    </row>
    <row r="864" spans="2:10" x14ac:dyDescent="0.25">
      <c r="B864" s="21"/>
      <c r="G864" s="21"/>
      <c r="H864" s="21"/>
      <c r="J864" s="21"/>
    </row>
    <row r="865" spans="2:10" x14ac:dyDescent="0.25">
      <c r="B865" s="21"/>
      <c r="G865" s="21"/>
      <c r="H865" s="21"/>
      <c r="J865" s="21"/>
    </row>
    <row r="866" spans="2:10" x14ac:dyDescent="0.25">
      <c r="B866" s="21"/>
      <c r="G866" s="21"/>
      <c r="H866" s="21"/>
      <c r="J866" s="21"/>
    </row>
    <row r="867" spans="2:10" x14ac:dyDescent="0.25">
      <c r="B867" s="21"/>
      <c r="G867" s="21"/>
      <c r="H867" s="21"/>
      <c r="J867" s="21"/>
    </row>
    <row r="868" spans="2:10" x14ac:dyDescent="0.25">
      <c r="B868" s="21"/>
      <c r="G868" s="21"/>
      <c r="H868" s="21"/>
      <c r="J868" s="21"/>
    </row>
    <row r="869" spans="2:10" x14ac:dyDescent="0.25">
      <c r="B869" s="21"/>
      <c r="G869" s="21"/>
      <c r="H869" s="21"/>
      <c r="J869" s="21"/>
    </row>
    <row r="870" spans="2:10" x14ac:dyDescent="0.25">
      <c r="B870" s="21"/>
      <c r="G870" s="21"/>
      <c r="H870" s="21"/>
      <c r="J870" s="21"/>
    </row>
    <row r="871" spans="2:10" x14ac:dyDescent="0.25">
      <c r="B871" s="21"/>
      <c r="G871" s="21"/>
      <c r="H871" s="21"/>
      <c r="J871" s="21"/>
    </row>
    <row r="872" spans="2:10" x14ac:dyDescent="0.25">
      <c r="B872" s="21"/>
      <c r="G872" s="21"/>
      <c r="H872" s="21"/>
      <c r="J872" s="21"/>
    </row>
    <row r="873" spans="2:10" x14ac:dyDescent="0.25">
      <c r="B873" s="21"/>
      <c r="G873" s="21"/>
      <c r="H873" s="21"/>
      <c r="J873" s="21"/>
    </row>
    <row r="874" spans="2:10" x14ac:dyDescent="0.25">
      <c r="B874" s="21"/>
      <c r="G874" s="21"/>
      <c r="H874" s="21"/>
      <c r="J874" s="21"/>
    </row>
    <row r="875" spans="2:10" x14ac:dyDescent="0.25">
      <c r="B875" s="21"/>
      <c r="G875" s="21"/>
      <c r="H875" s="21"/>
      <c r="J875" s="21"/>
    </row>
    <row r="876" spans="2:10" x14ac:dyDescent="0.25">
      <c r="B876" s="21"/>
      <c r="G876" s="21"/>
      <c r="H876" s="21"/>
      <c r="J876" s="21"/>
    </row>
    <row r="877" spans="2:10" x14ac:dyDescent="0.25">
      <c r="B877" s="21"/>
      <c r="G877" s="21"/>
      <c r="H877" s="21"/>
      <c r="J877" s="21"/>
    </row>
    <row r="878" spans="2:10" x14ac:dyDescent="0.25">
      <c r="B878" s="21"/>
      <c r="G878" s="21"/>
      <c r="H878" s="21"/>
      <c r="J878" s="21"/>
    </row>
    <row r="879" spans="2:10" x14ac:dyDescent="0.25">
      <c r="B879" s="21"/>
      <c r="G879" s="21"/>
      <c r="H879" s="21"/>
      <c r="J879" s="21"/>
    </row>
    <row r="880" spans="2:10" x14ac:dyDescent="0.25">
      <c r="B880" s="21"/>
      <c r="G880" s="21"/>
      <c r="H880" s="21"/>
      <c r="J880" s="21"/>
    </row>
    <row r="881" spans="2:10" x14ac:dyDescent="0.25">
      <c r="B881" s="21"/>
      <c r="G881" s="21"/>
      <c r="H881" s="21"/>
      <c r="J881" s="21"/>
    </row>
    <row r="882" spans="2:10" x14ac:dyDescent="0.25">
      <c r="B882" s="21"/>
      <c r="G882" s="21"/>
      <c r="H882" s="21"/>
      <c r="J882" s="21"/>
    </row>
    <row r="883" spans="2:10" x14ac:dyDescent="0.25">
      <c r="B883" s="21"/>
      <c r="G883" s="21"/>
      <c r="H883" s="21"/>
      <c r="J883" s="21"/>
    </row>
    <row r="884" spans="2:10" x14ac:dyDescent="0.25">
      <c r="B884" s="21"/>
      <c r="G884" s="21"/>
      <c r="H884" s="21"/>
      <c r="J884" s="21"/>
    </row>
    <row r="885" spans="2:10" x14ac:dyDescent="0.25">
      <c r="B885" s="21"/>
      <c r="G885" s="21"/>
      <c r="H885" s="21"/>
      <c r="J885" s="21"/>
    </row>
    <row r="886" spans="2:10" x14ac:dyDescent="0.25">
      <c r="B886" s="21"/>
      <c r="G886" s="21"/>
      <c r="H886" s="21"/>
      <c r="J886" s="21"/>
    </row>
    <row r="887" spans="2:10" x14ac:dyDescent="0.25">
      <c r="B887" s="21"/>
      <c r="G887" s="21"/>
      <c r="H887" s="21"/>
      <c r="J887" s="21"/>
    </row>
    <row r="888" spans="2:10" x14ac:dyDescent="0.25">
      <c r="B888" s="21"/>
      <c r="G888" s="21"/>
      <c r="H888" s="21"/>
      <c r="J888" s="21"/>
    </row>
    <row r="889" spans="2:10" x14ac:dyDescent="0.25">
      <c r="B889" s="21"/>
      <c r="G889" s="21"/>
      <c r="H889" s="21"/>
      <c r="J889" s="21"/>
    </row>
    <row r="890" spans="2:10" x14ac:dyDescent="0.25">
      <c r="B890" s="21"/>
      <c r="G890" s="21"/>
      <c r="H890" s="21"/>
      <c r="J890" s="21"/>
    </row>
    <row r="891" spans="2:10" x14ac:dyDescent="0.25">
      <c r="B891" s="21"/>
      <c r="G891" s="21"/>
      <c r="H891" s="21"/>
      <c r="J891" s="21"/>
    </row>
    <row r="892" spans="2:10" x14ac:dyDescent="0.25">
      <c r="B892" s="21"/>
      <c r="G892" s="21"/>
      <c r="H892" s="21"/>
      <c r="J892" s="21"/>
    </row>
    <row r="893" spans="2:10" x14ac:dyDescent="0.25">
      <c r="B893" s="21"/>
      <c r="G893" s="21"/>
      <c r="H893" s="21"/>
      <c r="J893" s="21"/>
    </row>
    <row r="894" spans="2:10" x14ac:dyDescent="0.25">
      <c r="B894" s="21"/>
      <c r="G894" s="21"/>
      <c r="H894" s="21"/>
      <c r="J894" s="21"/>
    </row>
    <row r="895" spans="2:10" x14ac:dyDescent="0.25">
      <c r="B895" s="21"/>
      <c r="G895" s="21"/>
      <c r="H895" s="21"/>
      <c r="J895" s="21"/>
    </row>
    <row r="896" spans="2:10" x14ac:dyDescent="0.25">
      <c r="B896" s="21"/>
      <c r="G896" s="21"/>
      <c r="H896" s="21"/>
      <c r="J896" s="21"/>
    </row>
    <row r="897" spans="2:10" x14ac:dyDescent="0.25">
      <c r="B897" s="21"/>
      <c r="G897" s="21"/>
      <c r="H897" s="21"/>
      <c r="J897" s="21"/>
    </row>
    <row r="898" spans="2:10" x14ac:dyDescent="0.25">
      <c r="B898" s="21"/>
      <c r="G898" s="21"/>
      <c r="H898" s="21"/>
      <c r="J898" s="21"/>
    </row>
    <row r="899" spans="2:10" x14ac:dyDescent="0.25">
      <c r="B899" s="21"/>
      <c r="G899" s="21"/>
      <c r="H899" s="21"/>
      <c r="J899" s="21"/>
    </row>
    <row r="900" spans="2:10" x14ac:dyDescent="0.25">
      <c r="B900" s="21"/>
      <c r="G900" s="21"/>
      <c r="H900" s="21"/>
      <c r="J900" s="21"/>
    </row>
    <row r="901" spans="2:10" x14ac:dyDescent="0.25">
      <c r="B901" s="21"/>
      <c r="G901" s="21"/>
      <c r="H901" s="21"/>
      <c r="J901" s="21"/>
    </row>
    <row r="902" spans="2:10" x14ac:dyDescent="0.25">
      <c r="B902" s="21"/>
      <c r="G902" s="21"/>
      <c r="H902" s="21"/>
      <c r="J902" s="21"/>
    </row>
    <row r="903" spans="2:10" x14ac:dyDescent="0.25">
      <c r="B903" s="21"/>
      <c r="G903" s="21"/>
      <c r="H903" s="21"/>
      <c r="J903" s="21"/>
    </row>
    <row r="904" spans="2:10" x14ac:dyDescent="0.25">
      <c r="B904" s="21"/>
      <c r="G904" s="21"/>
      <c r="H904" s="21"/>
      <c r="J904" s="21"/>
    </row>
    <row r="905" spans="2:10" x14ac:dyDescent="0.25">
      <c r="B905" s="21"/>
      <c r="G905" s="21"/>
      <c r="H905" s="21"/>
      <c r="J905" s="21"/>
    </row>
    <row r="906" spans="2:10" x14ac:dyDescent="0.25">
      <c r="B906" s="21"/>
      <c r="G906" s="21"/>
      <c r="H906" s="21"/>
      <c r="J906" s="21"/>
    </row>
    <row r="907" spans="2:10" x14ac:dyDescent="0.25">
      <c r="B907" s="21"/>
      <c r="G907" s="21"/>
      <c r="H907" s="21"/>
      <c r="J907" s="21"/>
    </row>
    <row r="908" spans="2:10" x14ac:dyDescent="0.25">
      <c r="B908" s="21"/>
      <c r="G908" s="21"/>
      <c r="H908" s="21"/>
      <c r="J908" s="21"/>
    </row>
    <row r="909" spans="2:10" x14ac:dyDescent="0.25">
      <c r="B909" s="21"/>
      <c r="G909" s="21"/>
      <c r="H909" s="21"/>
      <c r="J909" s="21"/>
    </row>
    <row r="910" spans="2:10" x14ac:dyDescent="0.25">
      <c r="B910" s="21"/>
      <c r="G910" s="21"/>
      <c r="H910" s="21"/>
      <c r="J910" s="21"/>
    </row>
    <row r="911" spans="2:10" x14ac:dyDescent="0.25">
      <c r="B911" s="21"/>
      <c r="G911" s="21"/>
      <c r="H911" s="21"/>
      <c r="J911" s="21"/>
    </row>
    <row r="912" spans="2:10" x14ac:dyDescent="0.25">
      <c r="B912" s="21"/>
      <c r="G912" s="21"/>
      <c r="H912" s="21"/>
      <c r="J912" s="21"/>
    </row>
    <row r="913" spans="2:10" x14ac:dyDescent="0.25">
      <c r="B913" s="21"/>
      <c r="G913" s="21"/>
      <c r="H913" s="21"/>
      <c r="J913" s="21"/>
    </row>
    <row r="914" spans="2:10" x14ac:dyDescent="0.25">
      <c r="B914" s="21"/>
      <c r="G914" s="21"/>
      <c r="H914" s="21"/>
      <c r="J914" s="21"/>
    </row>
    <row r="915" spans="2:10" x14ac:dyDescent="0.25">
      <c r="B915" s="21"/>
      <c r="G915" s="21"/>
      <c r="H915" s="21"/>
      <c r="J915" s="21"/>
    </row>
    <row r="916" spans="2:10" x14ac:dyDescent="0.25">
      <c r="B916" s="21"/>
      <c r="G916" s="21"/>
      <c r="H916" s="21"/>
      <c r="J916" s="21"/>
    </row>
    <row r="917" spans="2:10" x14ac:dyDescent="0.25">
      <c r="B917" s="21"/>
      <c r="G917" s="21"/>
      <c r="H917" s="21"/>
      <c r="J917" s="21"/>
    </row>
    <row r="918" spans="2:10" x14ac:dyDescent="0.25">
      <c r="B918" s="21"/>
      <c r="G918" s="21"/>
      <c r="H918" s="21"/>
      <c r="J918" s="21"/>
    </row>
    <row r="919" spans="2:10" x14ac:dyDescent="0.25">
      <c r="B919" s="21"/>
      <c r="G919" s="21"/>
      <c r="H919" s="21"/>
      <c r="J919" s="21"/>
    </row>
    <row r="920" spans="2:10" x14ac:dyDescent="0.25">
      <c r="B920" s="21"/>
      <c r="G920" s="21"/>
      <c r="H920" s="21"/>
      <c r="J920" s="21"/>
    </row>
    <row r="921" spans="2:10" x14ac:dyDescent="0.25">
      <c r="B921" s="21"/>
      <c r="G921" s="21"/>
      <c r="H921" s="21"/>
      <c r="J921" s="21"/>
    </row>
    <row r="922" spans="2:10" x14ac:dyDescent="0.25">
      <c r="B922" s="21"/>
      <c r="G922" s="21"/>
      <c r="H922" s="21"/>
      <c r="J922" s="21"/>
    </row>
    <row r="923" spans="2:10" x14ac:dyDescent="0.25">
      <c r="B923" s="21"/>
      <c r="G923" s="21"/>
      <c r="H923" s="21"/>
      <c r="J923" s="21"/>
    </row>
    <row r="924" spans="2:10" x14ac:dyDescent="0.25">
      <c r="B924" s="21"/>
      <c r="G924" s="21"/>
      <c r="H924" s="21"/>
      <c r="J924" s="21"/>
    </row>
    <row r="925" spans="2:10" x14ac:dyDescent="0.25">
      <c r="B925" s="21"/>
      <c r="G925" s="21"/>
      <c r="H925" s="21"/>
      <c r="J925" s="21"/>
    </row>
    <row r="926" spans="2:10" x14ac:dyDescent="0.25">
      <c r="B926" s="21"/>
      <c r="G926" s="21"/>
      <c r="H926" s="21"/>
      <c r="J926" s="21"/>
    </row>
    <row r="927" spans="2:10" x14ac:dyDescent="0.25">
      <c r="B927" s="21"/>
      <c r="G927" s="21"/>
      <c r="H927" s="21"/>
      <c r="J927" s="21"/>
    </row>
    <row r="928" spans="2:10" x14ac:dyDescent="0.25">
      <c r="B928" s="21"/>
      <c r="G928" s="21"/>
      <c r="H928" s="21"/>
      <c r="J928" s="21"/>
    </row>
    <row r="929" spans="2:10" x14ac:dyDescent="0.25">
      <c r="B929" s="21"/>
      <c r="G929" s="21"/>
      <c r="H929" s="21"/>
      <c r="J929" s="21"/>
    </row>
    <row r="930" spans="2:10" x14ac:dyDescent="0.25">
      <c r="B930" s="21"/>
      <c r="G930" s="21"/>
      <c r="H930" s="21"/>
      <c r="J930" s="21"/>
    </row>
    <row r="931" spans="2:10" x14ac:dyDescent="0.25">
      <c r="B931" s="21"/>
      <c r="G931" s="21"/>
      <c r="H931" s="21"/>
      <c r="J931" s="21"/>
    </row>
    <row r="932" spans="2:10" x14ac:dyDescent="0.25">
      <c r="B932" s="21"/>
      <c r="G932" s="21"/>
      <c r="H932" s="21"/>
      <c r="J932" s="21"/>
    </row>
    <row r="933" spans="2:10" x14ac:dyDescent="0.25">
      <c r="B933" s="21"/>
      <c r="G933" s="21"/>
      <c r="H933" s="21"/>
      <c r="J933" s="21"/>
    </row>
    <row r="934" spans="2:10" x14ac:dyDescent="0.25">
      <c r="B934" s="21"/>
      <c r="G934" s="21"/>
      <c r="H934" s="21"/>
      <c r="J934" s="21"/>
    </row>
    <row r="935" spans="2:10" x14ac:dyDescent="0.25">
      <c r="B935" s="21"/>
      <c r="G935" s="21"/>
      <c r="H935" s="21"/>
      <c r="J935" s="21"/>
    </row>
    <row r="936" spans="2:10" x14ac:dyDescent="0.25">
      <c r="B936" s="21"/>
      <c r="G936" s="21"/>
      <c r="H936" s="21"/>
      <c r="J936" s="21"/>
    </row>
    <row r="937" spans="2:10" x14ac:dyDescent="0.25">
      <c r="B937" s="21"/>
      <c r="G937" s="21"/>
      <c r="H937" s="21"/>
      <c r="J937" s="21"/>
    </row>
    <row r="938" spans="2:10" x14ac:dyDescent="0.25">
      <c r="B938" s="21"/>
      <c r="G938" s="21"/>
      <c r="H938" s="21"/>
      <c r="J938" s="21"/>
    </row>
    <row r="939" spans="2:10" x14ac:dyDescent="0.25">
      <c r="B939" s="21"/>
      <c r="G939" s="21"/>
      <c r="H939" s="21"/>
      <c r="J939" s="21"/>
    </row>
    <row r="940" spans="2:10" x14ac:dyDescent="0.25">
      <c r="B940" s="21"/>
      <c r="G940" s="21"/>
      <c r="H940" s="21"/>
      <c r="J940" s="21"/>
    </row>
    <row r="941" spans="2:10" x14ac:dyDescent="0.25">
      <c r="B941" s="21"/>
      <c r="G941" s="21"/>
      <c r="H941" s="21"/>
      <c r="J941" s="21"/>
    </row>
    <row r="942" spans="2:10" x14ac:dyDescent="0.25">
      <c r="B942" s="21"/>
      <c r="G942" s="21"/>
      <c r="H942" s="21"/>
      <c r="J942" s="21"/>
    </row>
    <row r="943" spans="2:10" x14ac:dyDescent="0.25">
      <c r="B943" s="21"/>
      <c r="G943" s="21"/>
      <c r="H943" s="21"/>
      <c r="J943" s="21"/>
    </row>
    <row r="944" spans="2:10" x14ac:dyDescent="0.25">
      <c r="B944" s="21"/>
      <c r="G944" s="21"/>
      <c r="H944" s="21"/>
      <c r="J944" s="21"/>
    </row>
    <row r="945" spans="2:10" x14ac:dyDescent="0.25">
      <c r="B945" s="21"/>
      <c r="G945" s="21"/>
      <c r="H945" s="21"/>
      <c r="J945" s="21"/>
    </row>
    <row r="946" spans="2:10" x14ac:dyDescent="0.25">
      <c r="B946" s="21"/>
      <c r="G946" s="21"/>
      <c r="H946" s="21"/>
      <c r="J946" s="21"/>
    </row>
    <row r="947" spans="2:10" x14ac:dyDescent="0.25">
      <c r="B947" s="21"/>
      <c r="G947" s="21"/>
      <c r="H947" s="21"/>
      <c r="J947" s="21"/>
    </row>
    <row r="948" spans="2:10" x14ac:dyDescent="0.25">
      <c r="B948" s="21"/>
      <c r="G948" s="21"/>
      <c r="H948" s="21"/>
      <c r="J948" s="21"/>
    </row>
    <row r="949" spans="2:10" x14ac:dyDescent="0.25">
      <c r="B949" s="21"/>
      <c r="G949" s="21"/>
      <c r="H949" s="21"/>
      <c r="J949" s="21"/>
    </row>
    <row r="950" spans="2:10" x14ac:dyDescent="0.25">
      <c r="B950" s="21"/>
      <c r="G950" s="21"/>
      <c r="H950" s="21"/>
      <c r="J950" s="21"/>
    </row>
    <row r="951" spans="2:10" x14ac:dyDescent="0.25">
      <c r="B951" s="21"/>
      <c r="G951" s="21"/>
      <c r="H951" s="21"/>
      <c r="J951" s="21"/>
    </row>
    <row r="952" spans="2:10" x14ac:dyDescent="0.25">
      <c r="B952" s="21"/>
      <c r="G952" s="21"/>
      <c r="H952" s="21"/>
      <c r="J952" s="21"/>
    </row>
    <row r="953" spans="2:10" x14ac:dyDescent="0.25">
      <c r="B953" s="21"/>
      <c r="G953" s="21"/>
      <c r="H953" s="21"/>
      <c r="J953" s="21"/>
    </row>
    <row r="954" spans="2:10" x14ac:dyDescent="0.25">
      <c r="B954" s="21"/>
      <c r="G954" s="21"/>
      <c r="H954" s="21"/>
      <c r="J954" s="21"/>
    </row>
    <row r="955" spans="2:10" x14ac:dyDescent="0.25">
      <c r="B955" s="21"/>
      <c r="G955" s="21"/>
      <c r="H955" s="21"/>
      <c r="J955" s="21"/>
    </row>
    <row r="956" spans="2:10" x14ac:dyDescent="0.25">
      <c r="B956" s="21"/>
      <c r="G956" s="21"/>
      <c r="H956" s="21"/>
      <c r="J956" s="21"/>
    </row>
    <row r="957" spans="2:10" x14ac:dyDescent="0.25">
      <c r="B957" s="21"/>
      <c r="G957" s="21"/>
      <c r="H957" s="21"/>
      <c r="J957" s="21"/>
    </row>
    <row r="958" spans="2:10" x14ac:dyDescent="0.25">
      <c r="B958" s="21"/>
      <c r="G958" s="21"/>
      <c r="H958" s="21"/>
      <c r="J958" s="21"/>
    </row>
    <row r="959" spans="2:10" x14ac:dyDescent="0.25">
      <c r="B959" s="21"/>
      <c r="G959" s="21"/>
      <c r="H959" s="21"/>
      <c r="J959" s="21"/>
    </row>
    <row r="960" spans="2:10" x14ac:dyDescent="0.25">
      <c r="B960" s="21"/>
      <c r="G960" s="21"/>
      <c r="H960" s="21"/>
      <c r="J960" s="21"/>
    </row>
    <row r="961" spans="2:10" x14ac:dyDescent="0.25">
      <c r="B961" s="21"/>
      <c r="G961" s="21"/>
      <c r="H961" s="21"/>
      <c r="J961" s="21"/>
    </row>
    <row r="962" spans="2:10" x14ac:dyDescent="0.25">
      <c r="B962" s="21"/>
      <c r="G962" s="21"/>
      <c r="H962" s="21"/>
      <c r="J962" s="21"/>
    </row>
    <row r="963" spans="2:10" x14ac:dyDescent="0.25">
      <c r="B963" s="21"/>
      <c r="G963" s="21"/>
      <c r="H963" s="21"/>
      <c r="J963" s="21"/>
    </row>
    <row r="964" spans="2:10" x14ac:dyDescent="0.25">
      <c r="B964" s="21"/>
      <c r="G964" s="21"/>
      <c r="H964" s="21"/>
      <c r="J964" s="21"/>
    </row>
    <row r="965" spans="2:10" x14ac:dyDescent="0.25">
      <c r="B965" s="21"/>
      <c r="G965" s="21"/>
      <c r="H965" s="21"/>
      <c r="J965" s="21"/>
    </row>
    <row r="966" spans="2:10" x14ac:dyDescent="0.25">
      <c r="B966" s="21"/>
      <c r="G966" s="21"/>
      <c r="H966" s="21"/>
      <c r="J966" s="21"/>
    </row>
    <row r="967" spans="2:10" x14ac:dyDescent="0.25">
      <c r="B967" s="21"/>
      <c r="G967" s="21"/>
      <c r="H967" s="21"/>
      <c r="J967" s="21"/>
    </row>
    <row r="968" spans="2:10" x14ac:dyDescent="0.25">
      <c r="B968" s="21"/>
      <c r="G968" s="21"/>
      <c r="H968" s="21"/>
      <c r="J968" s="21"/>
    </row>
    <row r="969" spans="2:10" x14ac:dyDescent="0.25">
      <c r="B969" s="21"/>
      <c r="G969" s="21"/>
      <c r="H969" s="21"/>
      <c r="J969" s="21"/>
    </row>
    <row r="970" spans="2:10" x14ac:dyDescent="0.25">
      <c r="B970" s="21"/>
      <c r="G970" s="21"/>
      <c r="H970" s="21"/>
      <c r="J970" s="21"/>
    </row>
    <row r="971" spans="2:10" x14ac:dyDescent="0.25">
      <c r="B971" s="21"/>
      <c r="G971" s="21"/>
      <c r="H971" s="21"/>
      <c r="J971" s="21"/>
    </row>
    <row r="972" spans="2:10" x14ac:dyDescent="0.25">
      <c r="B972" s="21"/>
      <c r="G972" s="21"/>
      <c r="H972" s="21"/>
      <c r="J972" s="21"/>
    </row>
    <row r="973" spans="2:10" x14ac:dyDescent="0.25">
      <c r="B973" s="21"/>
      <c r="G973" s="21"/>
      <c r="H973" s="21"/>
      <c r="J973" s="21"/>
    </row>
    <row r="974" spans="2:10" x14ac:dyDescent="0.25">
      <c r="B974" s="21"/>
      <c r="G974" s="21"/>
      <c r="H974" s="21"/>
      <c r="J974" s="21"/>
    </row>
    <row r="975" spans="2:10" x14ac:dyDescent="0.25">
      <c r="B975" s="21"/>
      <c r="G975" s="21"/>
      <c r="H975" s="21"/>
      <c r="J975" s="21"/>
    </row>
    <row r="976" spans="2:10" x14ac:dyDescent="0.25">
      <c r="B976" s="21"/>
      <c r="G976" s="21"/>
      <c r="H976" s="21"/>
      <c r="J976" s="21"/>
    </row>
    <row r="977" spans="2:10" x14ac:dyDescent="0.25">
      <c r="B977" s="21"/>
      <c r="G977" s="21"/>
      <c r="H977" s="21"/>
      <c r="J977" s="21"/>
    </row>
    <row r="978" spans="2:10" x14ac:dyDescent="0.25">
      <c r="B978" s="21"/>
      <c r="G978" s="21"/>
      <c r="H978" s="21"/>
      <c r="J978" s="21"/>
    </row>
    <row r="979" spans="2:10" x14ac:dyDescent="0.25">
      <c r="B979" s="21"/>
      <c r="G979" s="21"/>
      <c r="H979" s="21"/>
      <c r="J979" s="21"/>
    </row>
    <row r="980" spans="2:10" x14ac:dyDescent="0.25">
      <c r="B980" s="21"/>
      <c r="G980" s="21"/>
      <c r="H980" s="21"/>
      <c r="J980" s="21"/>
    </row>
    <row r="981" spans="2:10" x14ac:dyDescent="0.25">
      <c r="B981" s="21"/>
      <c r="G981" s="21"/>
      <c r="H981" s="21"/>
      <c r="J981" s="21"/>
    </row>
    <row r="982" spans="2:10" x14ac:dyDescent="0.25">
      <c r="B982" s="21"/>
      <c r="G982" s="21"/>
      <c r="H982" s="21"/>
      <c r="J982" s="21"/>
    </row>
    <row r="983" spans="2:10" x14ac:dyDescent="0.25">
      <c r="B983" s="21"/>
      <c r="G983" s="21"/>
      <c r="H983" s="21"/>
      <c r="J983" s="21"/>
    </row>
    <row r="984" spans="2:10" x14ac:dyDescent="0.25">
      <c r="B984" s="21"/>
      <c r="G984" s="21"/>
      <c r="H984" s="21"/>
      <c r="J984" s="21"/>
    </row>
    <row r="985" spans="2:10" x14ac:dyDescent="0.25">
      <c r="B985" s="21"/>
      <c r="G985" s="21"/>
      <c r="H985" s="21"/>
      <c r="J985" s="21"/>
    </row>
    <row r="986" spans="2:10" x14ac:dyDescent="0.25">
      <c r="B986" s="21"/>
      <c r="G986" s="21"/>
      <c r="H986" s="21"/>
      <c r="J986" s="21"/>
    </row>
    <row r="987" spans="2:10" x14ac:dyDescent="0.25">
      <c r="B987" s="21"/>
      <c r="G987" s="21"/>
      <c r="H987" s="21"/>
      <c r="J987" s="21"/>
    </row>
    <row r="988" spans="2:10" x14ac:dyDescent="0.25">
      <c r="B988" s="21"/>
      <c r="G988" s="21"/>
      <c r="H988" s="21"/>
      <c r="J988" s="21"/>
    </row>
    <row r="989" spans="2:10" x14ac:dyDescent="0.25">
      <c r="B989" s="21"/>
      <c r="G989" s="21"/>
      <c r="H989" s="21"/>
      <c r="J989" s="21"/>
    </row>
    <row r="990" spans="2:10" x14ac:dyDescent="0.25">
      <c r="B990" s="21"/>
      <c r="G990" s="21"/>
      <c r="H990" s="21"/>
      <c r="J990" s="21"/>
    </row>
    <row r="991" spans="2:10" x14ac:dyDescent="0.25">
      <c r="B991" s="21"/>
      <c r="G991" s="21"/>
      <c r="H991" s="21"/>
      <c r="J991" s="21"/>
    </row>
    <row r="992" spans="2:10" x14ac:dyDescent="0.25">
      <c r="B992" s="21"/>
      <c r="G992" s="21"/>
      <c r="H992" s="21"/>
      <c r="J992" s="21"/>
    </row>
    <row r="993" spans="2:10" x14ac:dyDescent="0.25">
      <c r="B993" s="21"/>
      <c r="G993" s="21"/>
      <c r="H993" s="21"/>
      <c r="J993" s="21"/>
    </row>
    <row r="994" spans="2:10" x14ac:dyDescent="0.25">
      <c r="B994" s="21"/>
      <c r="G994" s="21"/>
      <c r="H994" s="21"/>
      <c r="J994" s="21"/>
    </row>
    <row r="995" spans="2:10" x14ac:dyDescent="0.25">
      <c r="B995" s="21"/>
      <c r="G995" s="21"/>
      <c r="H995" s="21"/>
      <c r="J995" s="21"/>
    </row>
    <row r="996" spans="2:10" x14ac:dyDescent="0.25">
      <c r="B996" s="21"/>
      <c r="G996" s="21"/>
      <c r="H996" s="21"/>
      <c r="J996" s="21"/>
    </row>
    <row r="997" spans="2:10" x14ac:dyDescent="0.25">
      <c r="B997" s="21"/>
      <c r="G997" s="21"/>
      <c r="H997" s="21"/>
      <c r="J997" s="21"/>
    </row>
    <row r="998" spans="2:10" x14ac:dyDescent="0.25">
      <c r="B998" s="21"/>
      <c r="G998" s="21"/>
      <c r="H998" s="21"/>
      <c r="J998" s="21"/>
    </row>
    <row r="999" spans="2:10" x14ac:dyDescent="0.25">
      <c r="B999" s="21"/>
      <c r="G999" s="21"/>
      <c r="H999" s="21"/>
      <c r="J999" s="21"/>
    </row>
    <row r="1000" spans="2:10" x14ac:dyDescent="0.25">
      <c r="B1000" s="21"/>
      <c r="G1000" s="21"/>
      <c r="H1000" s="21"/>
      <c r="J1000" s="21"/>
    </row>
    <row r="1001" spans="2:10" x14ac:dyDescent="0.25">
      <c r="B1001" s="21"/>
      <c r="G1001" s="21"/>
      <c r="H1001" s="21"/>
      <c r="J1001" s="21"/>
    </row>
    <row r="1002" spans="2:10" x14ac:dyDescent="0.25">
      <c r="B1002" s="21"/>
      <c r="G1002" s="21"/>
      <c r="H1002" s="21"/>
      <c r="J1002" s="21"/>
    </row>
    <row r="1003" spans="2:10" x14ac:dyDescent="0.25">
      <c r="B1003" s="21"/>
      <c r="G1003" s="21"/>
      <c r="H1003" s="21"/>
      <c r="J1003" s="21"/>
    </row>
    <row r="1004" spans="2:10" x14ac:dyDescent="0.25">
      <c r="B1004" s="21"/>
      <c r="G1004" s="21"/>
      <c r="H1004" s="21"/>
      <c r="J1004" s="21"/>
    </row>
    <row r="1005" spans="2:10" x14ac:dyDescent="0.25">
      <c r="B1005" s="21"/>
      <c r="G1005" s="21"/>
      <c r="H1005" s="21"/>
      <c r="J1005" s="21"/>
    </row>
    <row r="1006" spans="2:10" x14ac:dyDescent="0.25">
      <c r="B1006" s="21"/>
      <c r="G1006" s="21"/>
      <c r="H1006" s="21"/>
      <c r="J1006" s="21"/>
    </row>
    <row r="1007" spans="2:10" x14ac:dyDescent="0.25">
      <c r="B1007" s="21"/>
      <c r="G1007" s="21"/>
      <c r="H1007" s="21"/>
      <c r="J1007" s="21"/>
    </row>
    <row r="1008" spans="2:10" x14ac:dyDescent="0.25">
      <c r="B1008" s="21"/>
      <c r="G1008" s="21"/>
      <c r="H1008" s="21"/>
      <c r="J1008" s="21"/>
    </row>
    <row r="1009" spans="2:10" x14ac:dyDescent="0.25">
      <c r="B1009" s="21"/>
      <c r="G1009" s="21"/>
      <c r="H1009" s="21"/>
      <c r="J1009" s="21"/>
    </row>
    <row r="1010" spans="2:10" x14ac:dyDescent="0.25">
      <c r="B1010" s="21"/>
      <c r="G1010" s="21"/>
      <c r="H1010" s="21"/>
      <c r="J1010" s="21"/>
    </row>
    <row r="1011" spans="2:10" x14ac:dyDescent="0.25">
      <c r="B1011" s="21"/>
      <c r="G1011" s="21"/>
      <c r="H1011" s="21"/>
      <c r="J1011" s="21"/>
    </row>
    <row r="1012" spans="2:10" x14ac:dyDescent="0.25">
      <c r="B1012" s="21"/>
      <c r="G1012" s="21"/>
      <c r="H1012" s="21"/>
      <c r="J1012" s="21"/>
    </row>
    <row r="1013" spans="2:10" x14ac:dyDescent="0.25">
      <c r="B1013" s="21"/>
      <c r="G1013" s="21"/>
      <c r="H1013" s="21"/>
      <c r="J1013" s="21"/>
    </row>
    <row r="1014" spans="2:10" x14ac:dyDescent="0.25">
      <c r="B1014" s="21"/>
      <c r="G1014" s="21"/>
      <c r="H1014" s="21"/>
      <c r="J1014" s="21"/>
    </row>
    <row r="1015" spans="2:10" x14ac:dyDescent="0.25">
      <c r="B1015" s="21"/>
      <c r="G1015" s="21"/>
      <c r="H1015" s="21"/>
      <c r="J1015" s="21"/>
    </row>
    <row r="1016" spans="2:10" x14ac:dyDescent="0.25">
      <c r="B1016" s="21"/>
      <c r="G1016" s="21"/>
      <c r="H1016" s="21"/>
      <c r="J1016" s="21"/>
    </row>
    <row r="1017" spans="2:10" x14ac:dyDescent="0.25">
      <c r="B1017" s="21"/>
      <c r="G1017" s="21"/>
      <c r="H1017" s="21"/>
      <c r="J1017" s="21"/>
    </row>
    <row r="1018" spans="2:10" x14ac:dyDescent="0.25">
      <c r="B1018" s="21"/>
      <c r="G1018" s="21"/>
      <c r="H1018" s="21"/>
      <c r="J1018" s="21"/>
    </row>
    <row r="1019" spans="2:10" x14ac:dyDescent="0.25">
      <c r="B1019" s="21"/>
      <c r="G1019" s="21"/>
      <c r="H1019" s="21"/>
      <c r="J1019" s="21"/>
    </row>
    <row r="1020" spans="2:10" x14ac:dyDescent="0.25">
      <c r="B1020" s="21"/>
      <c r="G1020" s="21"/>
      <c r="H1020" s="21"/>
      <c r="J1020" s="21"/>
    </row>
    <row r="1021" spans="2:10" x14ac:dyDescent="0.25">
      <c r="B1021" s="21"/>
      <c r="G1021" s="21"/>
      <c r="H1021" s="21"/>
      <c r="J1021" s="21"/>
    </row>
    <row r="1022" spans="2:10" x14ac:dyDescent="0.25">
      <c r="B1022" s="21"/>
      <c r="G1022" s="21"/>
      <c r="H1022" s="21"/>
      <c r="J1022" s="21"/>
    </row>
    <row r="1023" spans="2:10" x14ac:dyDescent="0.25">
      <c r="B1023" s="21"/>
      <c r="G1023" s="21"/>
      <c r="H1023" s="21"/>
      <c r="J1023" s="21"/>
    </row>
    <row r="1024" spans="2:10" x14ac:dyDescent="0.25">
      <c r="B1024" s="21"/>
      <c r="G1024" s="21"/>
      <c r="H1024" s="21"/>
      <c r="J1024" s="21"/>
    </row>
    <row r="1025" spans="2:10" x14ac:dyDescent="0.25">
      <c r="B1025" s="21"/>
      <c r="G1025" s="21"/>
      <c r="H1025" s="21"/>
      <c r="J1025" s="21"/>
    </row>
    <row r="1026" spans="2:10" x14ac:dyDescent="0.25">
      <c r="B1026" s="21"/>
      <c r="G1026" s="21"/>
      <c r="H1026" s="21"/>
      <c r="J1026" s="21"/>
    </row>
    <row r="1027" spans="2:10" x14ac:dyDescent="0.25">
      <c r="B1027" s="21"/>
      <c r="G1027" s="21"/>
      <c r="H1027" s="21"/>
      <c r="J1027" s="21"/>
    </row>
    <row r="1028" spans="2:10" x14ac:dyDescent="0.25">
      <c r="B1028" s="21"/>
      <c r="G1028" s="21"/>
      <c r="H1028" s="21"/>
      <c r="J1028" s="21"/>
    </row>
    <row r="1029" spans="2:10" x14ac:dyDescent="0.25">
      <c r="B1029" s="21"/>
      <c r="G1029" s="21"/>
      <c r="H1029" s="21"/>
      <c r="J1029" s="21"/>
    </row>
    <row r="1030" spans="2:10" x14ac:dyDescent="0.25">
      <c r="B1030" s="21"/>
      <c r="G1030" s="21"/>
      <c r="H1030" s="21"/>
      <c r="J1030" s="21"/>
    </row>
    <row r="1031" spans="2:10" x14ac:dyDescent="0.25">
      <c r="B1031" s="21"/>
      <c r="G1031" s="21"/>
      <c r="H1031" s="21"/>
      <c r="J1031" s="21"/>
    </row>
    <row r="1032" spans="2:10" x14ac:dyDescent="0.25">
      <c r="B1032" s="21"/>
      <c r="G1032" s="21"/>
      <c r="H1032" s="21"/>
      <c r="J1032" s="21"/>
    </row>
    <row r="1033" spans="2:10" x14ac:dyDescent="0.25">
      <c r="B1033" s="21"/>
      <c r="G1033" s="21"/>
      <c r="H1033" s="21"/>
      <c r="J1033" s="21"/>
    </row>
    <row r="1034" spans="2:10" x14ac:dyDescent="0.25">
      <c r="B1034" s="21"/>
      <c r="G1034" s="21"/>
      <c r="H1034" s="21"/>
      <c r="J1034" s="21"/>
    </row>
    <row r="1035" spans="2:10" x14ac:dyDescent="0.25">
      <c r="B1035" s="21"/>
      <c r="G1035" s="21"/>
      <c r="H1035" s="21"/>
      <c r="J1035" s="21"/>
    </row>
    <row r="1036" spans="2:10" x14ac:dyDescent="0.25">
      <c r="B1036" s="21"/>
      <c r="G1036" s="21"/>
      <c r="H1036" s="21"/>
      <c r="J1036" s="21"/>
    </row>
    <row r="1037" spans="2:10" x14ac:dyDescent="0.25">
      <c r="B1037" s="21"/>
      <c r="G1037" s="21"/>
      <c r="H1037" s="21"/>
      <c r="J1037" s="21"/>
    </row>
    <row r="1038" spans="2:10" x14ac:dyDescent="0.25">
      <c r="B1038" s="21"/>
      <c r="G1038" s="21"/>
      <c r="H1038" s="21"/>
      <c r="J1038" s="21"/>
    </row>
    <row r="1039" spans="2:10" x14ac:dyDescent="0.25">
      <c r="B1039" s="21"/>
      <c r="G1039" s="21"/>
      <c r="H1039" s="21"/>
      <c r="J1039" s="21"/>
    </row>
    <row r="1040" spans="2:10" x14ac:dyDescent="0.25">
      <c r="B1040" s="21"/>
      <c r="G1040" s="21"/>
      <c r="H1040" s="21"/>
      <c r="J1040" s="21"/>
    </row>
    <row r="1041" spans="2:10" x14ac:dyDescent="0.25">
      <c r="B1041" s="21"/>
      <c r="G1041" s="21"/>
      <c r="H1041" s="21"/>
      <c r="J1041" s="21"/>
    </row>
    <row r="1042" spans="2:10" x14ac:dyDescent="0.25">
      <c r="B1042" s="21"/>
      <c r="G1042" s="21"/>
      <c r="H1042" s="21"/>
      <c r="J1042" s="21"/>
    </row>
    <row r="1043" spans="2:10" x14ac:dyDescent="0.25">
      <c r="B1043" s="21"/>
      <c r="G1043" s="21"/>
      <c r="H1043" s="21"/>
      <c r="J1043" s="21"/>
    </row>
    <row r="1044" spans="2:10" x14ac:dyDescent="0.25">
      <c r="B1044" s="21"/>
      <c r="G1044" s="21"/>
      <c r="H1044" s="21"/>
      <c r="J1044" s="21"/>
    </row>
    <row r="1045" spans="2:10" x14ac:dyDescent="0.25">
      <c r="B1045" s="21"/>
      <c r="G1045" s="21"/>
      <c r="H1045" s="21"/>
      <c r="J1045" s="21"/>
    </row>
    <row r="1046" spans="2:10" x14ac:dyDescent="0.25">
      <c r="B1046" s="21"/>
      <c r="G1046" s="21"/>
      <c r="H1046" s="21"/>
      <c r="J1046" s="21"/>
    </row>
    <row r="1047" spans="2:10" x14ac:dyDescent="0.25">
      <c r="B1047" s="21"/>
      <c r="G1047" s="21"/>
      <c r="H1047" s="21"/>
      <c r="J1047" s="21"/>
    </row>
    <row r="1048" spans="2:10" x14ac:dyDescent="0.25">
      <c r="B1048" s="21"/>
      <c r="G1048" s="21"/>
      <c r="H1048" s="21"/>
      <c r="J1048" s="21"/>
    </row>
    <row r="1049" spans="2:10" x14ac:dyDescent="0.25">
      <c r="B1049" s="21"/>
      <c r="G1049" s="21"/>
      <c r="H1049" s="21"/>
      <c r="J1049" s="21"/>
    </row>
    <row r="1050" spans="2:10" x14ac:dyDescent="0.25">
      <c r="B1050" s="21"/>
      <c r="G1050" s="21"/>
      <c r="H1050" s="21"/>
      <c r="J1050" s="21"/>
    </row>
    <row r="1051" spans="2:10" x14ac:dyDescent="0.25">
      <c r="B1051" s="21"/>
      <c r="G1051" s="21"/>
      <c r="H1051" s="21"/>
      <c r="J1051" s="21"/>
    </row>
    <row r="1052" spans="2:10" x14ac:dyDescent="0.25">
      <c r="B1052" s="21"/>
      <c r="G1052" s="21"/>
      <c r="H1052" s="21"/>
      <c r="J1052" s="21"/>
    </row>
    <row r="1053" spans="2:10" x14ac:dyDescent="0.25">
      <c r="B1053" s="21"/>
      <c r="G1053" s="21"/>
      <c r="H1053" s="21"/>
      <c r="J1053" s="21"/>
    </row>
    <row r="1054" spans="2:10" x14ac:dyDescent="0.25">
      <c r="B1054" s="21"/>
      <c r="G1054" s="21"/>
      <c r="H1054" s="21"/>
      <c r="J1054" s="21"/>
    </row>
    <row r="1055" spans="2:10" x14ac:dyDescent="0.25">
      <c r="B1055" s="21"/>
      <c r="G1055" s="21"/>
      <c r="H1055" s="21"/>
      <c r="J1055" s="21"/>
    </row>
    <row r="1056" spans="2:10" x14ac:dyDescent="0.25">
      <c r="B1056" s="21"/>
      <c r="G1056" s="21"/>
      <c r="H1056" s="21"/>
      <c r="J1056" s="21"/>
    </row>
    <row r="1057" spans="2:10" x14ac:dyDescent="0.25">
      <c r="B1057" s="21"/>
      <c r="G1057" s="21"/>
      <c r="H1057" s="21"/>
      <c r="J1057" s="21"/>
    </row>
    <row r="1058" spans="2:10" x14ac:dyDescent="0.25">
      <c r="B1058" s="21"/>
      <c r="G1058" s="21"/>
      <c r="H1058" s="21"/>
      <c r="J1058" s="21"/>
    </row>
    <row r="1059" spans="2:10" x14ac:dyDescent="0.25">
      <c r="B1059" s="21"/>
      <c r="G1059" s="21"/>
      <c r="H1059" s="21"/>
      <c r="J1059" s="21"/>
    </row>
    <row r="1060" spans="2:10" x14ac:dyDescent="0.25">
      <c r="B1060" s="21"/>
      <c r="G1060" s="21"/>
      <c r="H1060" s="21"/>
      <c r="J1060" s="21"/>
    </row>
    <row r="1061" spans="2:10" x14ac:dyDescent="0.25">
      <c r="B1061" s="21"/>
      <c r="G1061" s="21"/>
      <c r="H1061" s="21"/>
      <c r="J1061" s="21"/>
    </row>
    <row r="1062" spans="2:10" x14ac:dyDescent="0.25">
      <c r="B1062" s="21"/>
      <c r="G1062" s="21"/>
      <c r="H1062" s="21"/>
      <c r="J1062" s="21"/>
    </row>
    <row r="1063" spans="2:10" x14ac:dyDescent="0.25">
      <c r="B1063" s="21"/>
      <c r="G1063" s="21"/>
      <c r="H1063" s="21"/>
      <c r="J1063" s="21"/>
    </row>
    <row r="1064" spans="2:10" x14ac:dyDescent="0.25">
      <c r="B1064" s="21"/>
      <c r="G1064" s="21"/>
      <c r="H1064" s="21"/>
      <c r="J1064" s="21"/>
    </row>
    <row r="1065" spans="2:10" x14ac:dyDescent="0.25">
      <c r="B1065" s="21"/>
      <c r="G1065" s="21"/>
      <c r="H1065" s="21"/>
      <c r="J1065" s="21"/>
    </row>
    <row r="1066" spans="2:10" x14ac:dyDescent="0.25">
      <c r="B1066" s="21"/>
      <c r="G1066" s="21"/>
      <c r="H1066" s="21"/>
      <c r="J1066" s="21"/>
    </row>
    <row r="1067" spans="2:10" x14ac:dyDescent="0.25">
      <c r="B1067" s="21"/>
      <c r="G1067" s="21"/>
      <c r="H1067" s="21"/>
      <c r="J1067" s="21"/>
    </row>
    <row r="1068" spans="2:10" x14ac:dyDescent="0.25">
      <c r="B1068" s="21"/>
      <c r="G1068" s="21"/>
      <c r="H1068" s="21"/>
      <c r="J1068" s="21"/>
    </row>
    <row r="1069" spans="2:10" x14ac:dyDescent="0.25">
      <c r="B1069" s="21"/>
      <c r="G1069" s="21"/>
      <c r="H1069" s="21"/>
      <c r="J1069" s="21"/>
    </row>
    <row r="1070" spans="2:10" x14ac:dyDescent="0.25">
      <c r="B1070" s="21"/>
      <c r="G1070" s="21"/>
      <c r="H1070" s="21"/>
      <c r="J1070" s="21"/>
    </row>
    <row r="1071" spans="2:10" x14ac:dyDescent="0.25">
      <c r="B1071" s="21"/>
      <c r="G1071" s="21"/>
      <c r="H1071" s="21"/>
      <c r="J1071" s="21"/>
    </row>
    <row r="1072" spans="2:10" x14ac:dyDescent="0.25">
      <c r="B1072" s="21"/>
      <c r="G1072" s="21"/>
      <c r="H1072" s="21"/>
      <c r="J1072" s="21"/>
    </row>
    <row r="1073" spans="2:10" x14ac:dyDescent="0.25">
      <c r="B1073" s="21"/>
      <c r="G1073" s="21"/>
      <c r="H1073" s="21"/>
      <c r="J1073" s="21"/>
    </row>
    <row r="1074" spans="2:10" x14ac:dyDescent="0.25">
      <c r="B1074" s="21"/>
      <c r="G1074" s="21"/>
      <c r="H1074" s="21"/>
      <c r="J1074" s="21"/>
    </row>
    <row r="1075" spans="2:10" x14ac:dyDescent="0.25">
      <c r="B1075" s="21"/>
      <c r="G1075" s="21"/>
      <c r="H1075" s="21"/>
      <c r="J1075" s="21"/>
    </row>
    <row r="1076" spans="2:10" x14ac:dyDescent="0.25">
      <c r="B1076" s="21"/>
      <c r="G1076" s="21"/>
      <c r="H1076" s="21"/>
      <c r="J1076" s="21"/>
    </row>
    <row r="1077" spans="2:10" x14ac:dyDescent="0.25">
      <c r="B1077" s="21"/>
      <c r="G1077" s="21"/>
      <c r="H1077" s="21"/>
      <c r="J1077" s="21"/>
    </row>
    <row r="1078" spans="2:10" x14ac:dyDescent="0.25">
      <c r="B1078" s="21"/>
      <c r="G1078" s="21"/>
      <c r="H1078" s="21"/>
      <c r="J1078" s="21"/>
    </row>
    <row r="1079" spans="2:10" x14ac:dyDescent="0.25">
      <c r="B1079" s="21"/>
      <c r="G1079" s="21"/>
      <c r="H1079" s="21"/>
      <c r="J1079" s="21"/>
    </row>
    <row r="1080" spans="2:10" x14ac:dyDescent="0.25">
      <c r="B1080" s="21"/>
      <c r="G1080" s="21"/>
      <c r="H1080" s="21"/>
      <c r="J1080" s="21"/>
    </row>
    <row r="1081" spans="2:10" x14ac:dyDescent="0.25">
      <c r="B1081" s="21"/>
      <c r="G1081" s="21"/>
      <c r="H1081" s="21"/>
      <c r="J1081" s="21"/>
    </row>
    <row r="1082" spans="2:10" x14ac:dyDescent="0.25">
      <c r="B1082" s="21"/>
      <c r="G1082" s="21"/>
      <c r="H1082" s="21"/>
      <c r="J1082" s="21"/>
    </row>
    <row r="1083" spans="2:10" x14ac:dyDescent="0.25">
      <c r="B1083" s="21"/>
      <c r="G1083" s="21"/>
      <c r="H1083" s="21"/>
      <c r="J1083" s="21"/>
    </row>
    <row r="1084" spans="2:10" x14ac:dyDescent="0.25">
      <c r="B1084" s="21"/>
      <c r="G1084" s="21"/>
      <c r="H1084" s="21"/>
      <c r="J1084" s="21"/>
    </row>
    <row r="1085" spans="2:10" x14ac:dyDescent="0.25">
      <c r="B1085" s="21"/>
      <c r="G1085" s="21"/>
      <c r="H1085" s="21"/>
      <c r="J1085" s="21"/>
    </row>
    <row r="1086" spans="2:10" x14ac:dyDescent="0.25">
      <c r="B1086" s="21"/>
      <c r="G1086" s="21"/>
      <c r="H1086" s="21"/>
      <c r="J1086" s="21"/>
    </row>
    <row r="1087" spans="2:10" x14ac:dyDescent="0.25">
      <c r="B1087" s="21"/>
      <c r="G1087" s="21"/>
      <c r="H1087" s="21"/>
      <c r="J1087" s="21"/>
    </row>
    <row r="1088" spans="2:10" x14ac:dyDescent="0.25">
      <c r="B1088" s="21"/>
      <c r="G1088" s="21"/>
      <c r="H1088" s="21"/>
      <c r="J1088" s="21"/>
    </row>
    <row r="1089" spans="2:10" x14ac:dyDescent="0.25">
      <c r="B1089" s="21"/>
      <c r="G1089" s="21"/>
      <c r="H1089" s="21"/>
      <c r="J1089" s="21"/>
    </row>
    <row r="1090" spans="2:10" x14ac:dyDescent="0.25">
      <c r="B1090" s="21"/>
      <c r="G1090" s="21"/>
      <c r="H1090" s="21"/>
      <c r="J1090" s="21"/>
    </row>
    <row r="1091" spans="2:10" x14ac:dyDescent="0.25">
      <c r="B1091" s="21"/>
      <c r="G1091" s="21"/>
      <c r="H1091" s="21"/>
      <c r="J1091" s="21"/>
    </row>
    <row r="1092" spans="2:10" x14ac:dyDescent="0.25">
      <c r="B1092" s="21"/>
      <c r="G1092" s="21"/>
      <c r="H1092" s="21"/>
      <c r="J1092" s="21"/>
    </row>
    <row r="1093" spans="2:10" x14ac:dyDescent="0.25">
      <c r="B1093" s="21"/>
      <c r="G1093" s="21"/>
      <c r="H1093" s="21"/>
      <c r="J1093" s="21"/>
    </row>
    <row r="1094" spans="2:10" x14ac:dyDescent="0.25">
      <c r="B1094" s="21"/>
      <c r="G1094" s="21"/>
      <c r="H1094" s="21"/>
      <c r="J1094" s="21"/>
    </row>
    <row r="1095" spans="2:10" x14ac:dyDescent="0.25">
      <c r="B1095" s="21"/>
      <c r="G1095" s="21"/>
      <c r="H1095" s="21"/>
      <c r="J1095" s="21"/>
    </row>
    <row r="1096" spans="2:10" x14ac:dyDescent="0.25">
      <c r="B1096" s="21"/>
      <c r="G1096" s="21"/>
      <c r="H1096" s="21"/>
      <c r="J1096" s="21"/>
    </row>
    <row r="1097" spans="2:10" x14ac:dyDescent="0.25">
      <c r="B1097" s="21"/>
      <c r="G1097" s="21"/>
      <c r="H1097" s="21"/>
      <c r="J1097" s="21"/>
    </row>
    <row r="1098" spans="2:10" x14ac:dyDescent="0.25">
      <c r="B1098" s="21"/>
      <c r="G1098" s="21"/>
      <c r="H1098" s="21"/>
      <c r="J1098" s="21"/>
    </row>
    <row r="1099" spans="2:10" x14ac:dyDescent="0.25">
      <c r="B1099" s="21"/>
      <c r="G1099" s="21"/>
      <c r="H1099" s="21"/>
      <c r="J1099" s="21"/>
    </row>
    <row r="1100" spans="2:10" x14ac:dyDescent="0.25">
      <c r="B1100" s="21"/>
      <c r="G1100" s="21"/>
      <c r="H1100" s="21"/>
      <c r="J1100" s="21"/>
    </row>
    <row r="1101" spans="2:10" x14ac:dyDescent="0.25">
      <c r="B1101" s="21"/>
      <c r="G1101" s="21"/>
      <c r="H1101" s="21"/>
      <c r="J1101" s="21"/>
    </row>
    <row r="1102" spans="2:10" x14ac:dyDescent="0.25">
      <c r="B1102" s="21"/>
      <c r="G1102" s="21"/>
      <c r="H1102" s="21"/>
      <c r="J1102" s="21"/>
    </row>
    <row r="1103" spans="2:10" x14ac:dyDescent="0.25">
      <c r="B1103" s="21"/>
      <c r="G1103" s="21"/>
      <c r="H1103" s="21"/>
      <c r="J1103" s="21"/>
    </row>
    <row r="1104" spans="2:10" x14ac:dyDescent="0.25">
      <c r="B1104" s="21"/>
      <c r="G1104" s="21"/>
      <c r="H1104" s="21"/>
      <c r="J1104" s="21"/>
    </row>
    <row r="1105" spans="2:10" x14ac:dyDescent="0.25">
      <c r="B1105" s="21"/>
      <c r="G1105" s="21"/>
      <c r="H1105" s="21"/>
      <c r="J1105" s="21"/>
    </row>
    <row r="1106" spans="2:10" x14ac:dyDescent="0.25">
      <c r="B1106" s="21"/>
      <c r="G1106" s="21"/>
      <c r="H1106" s="21"/>
      <c r="J1106" s="21"/>
    </row>
    <row r="1107" spans="2:10" x14ac:dyDescent="0.25">
      <c r="B1107" s="21"/>
      <c r="G1107" s="21"/>
      <c r="H1107" s="21"/>
      <c r="J1107" s="21"/>
    </row>
    <row r="1108" spans="2:10" x14ac:dyDescent="0.25">
      <c r="B1108" s="21"/>
      <c r="G1108" s="21"/>
      <c r="H1108" s="21"/>
      <c r="J1108" s="21"/>
    </row>
    <row r="1109" spans="2:10" x14ac:dyDescent="0.25">
      <c r="B1109" s="21"/>
      <c r="G1109" s="21"/>
      <c r="H1109" s="21"/>
      <c r="J1109" s="21"/>
    </row>
    <row r="1110" spans="2:10" x14ac:dyDescent="0.25">
      <c r="B1110" s="21"/>
      <c r="G1110" s="21"/>
      <c r="H1110" s="21"/>
      <c r="J1110" s="21"/>
    </row>
    <row r="1111" spans="2:10" x14ac:dyDescent="0.25">
      <c r="B1111" s="21"/>
      <c r="G1111" s="21"/>
      <c r="H1111" s="21"/>
      <c r="J1111" s="21"/>
    </row>
    <row r="1112" spans="2:10" x14ac:dyDescent="0.25">
      <c r="B1112" s="21"/>
      <c r="G1112" s="21"/>
      <c r="H1112" s="21"/>
      <c r="J1112" s="21"/>
    </row>
    <row r="1113" spans="2:10" x14ac:dyDescent="0.25">
      <c r="B1113" s="21"/>
      <c r="G1113" s="21"/>
      <c r="H1113" s="21"/>
      <c r="J1113" s="21"/>
    </row>
    <row r="1114" spans="2:10" x14ac:dyDescent="0.25">
      <c r="B1114" s="21"/>
      <c r="G1114" s="21"/>
      <c r="H1114" s="21"/>
      <c r="J1114" s="21"/>
    </row>
    <row r="1115" spans="2:10" x14ac:dyDescent="0.25">
      <c r="B1115" s="21"/>
      <c r="G1115" s="21"/>
      <c r="H1115" s="21"/>
      <c r="J1115" s="21"/>
    </row>
    <row r="1116" spans="2:10" x14ac:dyDescent="0.25">
      <c r="B1116" s="21"/>
      <c r="G1116" s="21"/>
      <c r="H1116" s="21"/>
      <c r="J1116" s="21"/>
    </row>
    <row r="1117" spans="2:10" x14ac:dyDescent="0.25">
      <c r="B1117" s="21"/>
      <c r="G1117" s="21"/>
      <c r="H1117" s="21"/>
      <c r="J1117" s="21"/>
    </row>
    <row r="1118" spans="2:10" x14ac:dyDescent="0.25">
      <c r="B1118" s="21"/>
      <c r="G1118" s="21"/>
      <c r="H1118" s="21"/>
      <c r="J1118" s="21"/>
    </row>
    <row r="1119" spans="2:10" x14ac:dyDescent="0.25">
      <c r="B1119" s="21"/>
      <c r="G1119" s="21"/>
      <c r="H1119" s="21"/>
      <c r="J1119" s="21"/>
    </row>
    <row r="1120" spans="2:10" x14ac:dyDescent="0.25">
      <c r="B1120" s="21"/>
      <c r="G1120" s="21"/>
      <c r="H1120" s="21"/>
      <c r="J1120" s="21"/>
    </row>
    <row r="1121" spans="2:10" x14ac:dyDescent="0.25">
      <c r="B1121" s="21"/>
      <c r="G1121" s="21"/>
      <c r="H1121" s="21"/>
      <c r="J1121" s="21"/>
    </row>
    <row r="1122" spans="2:10" x14ac:dyDescent="0.25">
      <c r="B1122" s="21"/>
      <c r="G1122" s="21"/>
      <c r="H1122" s="21"/>
      <c r="J1122" s="21"/>
    </row>
    <row r="1123" spans="2:10" x14ac:dyDescent="0.25">
      <c r="B1123" s="21"/>
      <c r="G1123" s="21"/>
      <c r="H1123" s="21"/>
      <c r="J1123" s="21"/>
    </row>
    <row r="1124" spans="2:10" x14ac:dyDescent="0.25">
      <c r="B1124" s="21"/>
      <c r="G1124" s="21"/>
      <c r="H1124" s="21"/>
      <c r="J1124" s="21"/>
    </row>
    <row r="1125" spans="2:10" x14ac:dyDescent="0.25">
      <c r="B1125" s="21"/>
      <c r="G1125" s="21"/>
      <c r="H1125" s="21"/>
      <c r="J1125" s="21"/>
    </row>
    <row r="1126" spans="2:10" x14ac:dyDescent="0.25">
      <c r="B1126" s="21"/>
      <c r="G1126" s="21"/>
      <c r="H1126" s="21"/>
      <c r="J1126" s="21"/>
    </row>
    <row r="1127" spans="2:10" x14ac:dyDescent="0.25">
      <c r="B1127" s="21"/>
      <c r="G1127" s="21"/>
      <c r="H1127" s="21"/>
      <c r="J1127" s="21"/>
    </row>
    <row r="1128" spans="2:10" x14ac:dyDescent="0.25">
      <c r="B1128" s="21"/>
      <c r="G1128" s="21"/>
      <c r="H1128" s="21"/>
      <c r="J1128" s="21"/>
    </row>
    <row r="1129" spans="2:10" x14ac:dyDescent="0.25">
      <c r="B1129" s="21"/>
      <c r="G1129" s="21"/>
      <c r="H1129" s="21"/>
      <c r="J1129" s="21"/>
    </row>
    <row r="1130" spans="2:10" x14ac:dyDescent="0.25">
      <c r="B1130" s="21"/>
      <c r="G1130" s="21"/>
      <c r="H1130" s="21"/>
      <c r="J1130" s="21"/>
    </row>
    <row r="1131" spans="2:10" x14ac:dyDescent="0.25">
      <c r="B1131" s="21"/>
      <c r="G1131" s="21"/>
      <c r="H1131" s="21"/>
      <c r="J1131" s="21"/>
    </row>
    <row r="1132" spans="2:10" x14ac:dyDescent="0.25">
      <c r="B1132" s="21"/>
      <c r="G1132" s="21"/>
      <c r="H1132" s="21"/>
      <c r="J1132" s="21"/>
    </row>
    <row r="1133" spans="2:10" x14ac:dyDescent="0.25">
      <c r="B1133" s="21"/>
      <c r="G1133" s="21"/>
      <c r="H1133" s="21"/>
      <c r="J1133" s="21"/>
    </row>
    <row r="1134" spans="2:10" x14ac:dyDescent="0.25">
      <c r="B1134" s="21"/>
      <c r="G1134" s="21"/>
      <c r="H1134" s="21"/>
      <c r="J1134" s="21"/>
    </row>
    <row r="1135" spans="2:10" x14ac:dyDescent="0.25">
      <c r="B1135" s="21"/>
      <c r="G1135" s="21"/>
      <c r="H1135" s="21"/>
      <c r="J1135" s="21"/>
    </row>
    <row r="1136" spans="2:10" x14ac:dyDescent="0.25">
      <c r="B1136" s="21"/>
      <c r="G1136" s="21"/>
      <c r="H1136" s="21"/>
      <c r="J1136" s="21"/>
    </row>
    <row r="1137" spans="2:10" x14ac:dyDescent="0.25">
      <c r="B1137" s="21"/>
      <c r="G1137" s="21"/>
      <c r="H1137" s="21"/>
      <c r="J1137" s="21"/>
    </row>
    <row r="1138" spans="2:10" x14ac:dyDescent="0.25">
      <c r="B1138" s="21"/>
      <c r="G1138" s="21"/>
      <c r="H1138" s="21"/>
      <c r="J1138" s="21"/>
    </row>
    <row r="1139" spans="2:10" x14ac:dyDescent="0.25">
      <c r="B1139" s="21"/>
      <c r="G1139" s="21"/>
      <c r="H1139" s="21"/>
      <c r="J1139" s="21"/>
    </row>
    <row r="1140" spans="2:10" x14ac:dyDescent="0.25">
      <c r="B1140" s="21"/>
      <c r="G1140" s="21"/>
      <c r="H1140" s="21"/>
      <c r="J1140" s="21"/>
    </row>
    <row r="1141" spans="2:10" x14ac:dyDescent="0.25">
      <c r="B1141" s="21"/>
      <c r="G1141" s="21"/>
      <c r="H1141" s="21"/>
      <c r="J1141" s="21"/>
    </row>
    <row r="1142" spans="2:10" x14ac:dyDescent="0.25">
      <c r="B1142" s="21"/>
      <c r="G1142" s="21"/>
      <c r="H1142" s="21"/>
      <c r="J1142" s="21"/>
    </row>
    <row r="1143" spans="2:10" x14ac:dyDescent="0.25">
      <c r="B1143" s="21"/>
      <c r="G1143" s="21"/>
      <c r="H1143" s="21"/>
      <c r="J1143" s="21"/>
    </row>
    <row r="1144" spans="2:10" x14ac:dyDescent="0.25">
      <c r="B1144" s="21"/>
      <c r="G1144" s="21"/>
      <c r="H1144" s="21"/>
      <c r="J1144" s="21"/>
    </row>
    <row r="1145" spans="2:10" x14ac:dyDescent="0.25">
      <c r="B1145" s="21"/>
      <c r="G1145" s="21"/>
      <c r="H1145" s="21"/>
      <c r="J1145" s="21"/>
    </row>
    <row r="1146" spans="2:10" x14ac:dyDescent="0.25">
      <c r="B1146" s="21"/>
      <c r="G1146" s="21"/>
      <c r="H1146" s="21"/>
      <c r="J1146" s="21"/>
    </row>
    <row r="1147" spans="2:10" x14ac:dyDescent="0.25">
      <c r="B1147" s="21"/>
      <c r="G1147" s="21"/>
      <c r="H1147" s="21"/>
      <c r="J1147" s="21"/>
    </row>
    <row r="1148" spans="2:10" x14ac:dyDescent="0.25">
      <c r="B1148" s="21"/>
      <c r="G1148" s="21"/>
      <c r="H1148" s="21"/>
      <c r="J1148" s="21"/>
    </row>
    <row r="1149" spans="2:10" x14ac:dyDescent="0.25">
      <c r="B1149" s="21"/>
      <c r="G1149" s="21"/>
      <c r="H1149" s="21"/>
      <c r="J1149" s="21"/>
    </row>
    <row r="1150" spans="2:10" x14ac:dyDescent="0.25">
      <c r="B1150" s="21"/>
      <c r="G1150" s="21"/>
      <c r="H1150" s="21"/>
      <c r="J1150" s="21"/>
    </row>
    <row r="1151" spans="2:10" x14ac:dyDescent="0.25">
      <c r="B1151" s="21"/>
      <c r="G1151" s="21"/>
      <c r="H1151" s="21"/>
      <c r="J1151" s="21"/>
    </row>
    <row r="1152" spans="2:10" x14ac:dyDescent="0.25">
      <c r="B1152" s="21"/>
      <c r="G1152" s="21"/>
      <c r="H1152" s="21"/>
      <c r="J1152" s="21"/>
    </row>
    <row r="1153" spans="2:10" x14ac:dyDescent="0.25">
      <c r="B1153" s="21"/>
      <c r="G1153" s="21"/>
      <c r="H1153" s="21"/>
      <c r="J1153" s="21"/>
    </row>
    <row r="1154" spans="2:10" x14ac:dyDescent="0.25">
      <c r="B1154" s="21"/>
      <c r="G1154" s="21"/>
      <c r="H1154" s="21"/>
      <c r="J1154" s="21"/>
    </row>
    <row r="1155" spans="2:10" x14ac:dyDescent="0.25">
      <c r="B1155" s="21"/>
      <c r="G1155" s="21"/>
      <c r="H1155" s="21"/>
      <c r="J1155" s="21"/>
    </row>
    <row r="1156" spans="2:10" x14ac:dyDescent="0.25">
      <c r="B1156" s="21"/>
      <c r="G1156" s="21"/>
      <c r="H1156" s="21"/>
      <c r="J1156" s="21"/>
    </row>
    <row r="1157" spans="2:10" x14ac:dyDescent="0.25">
      <c r="B1157" s="21"/>
      <c r="G1157" s="21"/>
      <c r="H1157" s="21"/>
      <c r="J1157" s="21"/>
    </row>
    <row r="1158" spans="2:10" x14ac:dyDescent="0.25">
      <c r="B1158" s="21"/>
      <c r="G1158" s="21"/>
      <c r="H1158" s="21"/>
      <c r="J1158" s="21"/>
    </row>
    <row r="1159" spans="2:10" x14ac:dyDescent="0.25">
      <c r="B1159" s="21"/>
      <c r="G1159" s="21"/>
      <c r="H1159" s="21"/>
      <c r="J1159" s="21"/>
    </row>
    <row r="1160" spans="2:10" x14ac:dyDescent="0.25">
      <c r="B1160" s="21"/>
      <c r="G1160" s="21"/>
      <c r="H1160" s="21"/>
      <c r="J1160" s="21"/>
    </row>
    <row r="1161" spans="2:10" x14ac:dyDescent="0.25">
      <c r="B1161" s="21"/>
      <c r="G1161" s="21"/>
      <c r="H1161" s="21"/>
      <c r="J1161" s="21"/>
    </row>
    <row r="1162" spans="2:10" x14ac:dyDescent="0.25">
      <c r="B1162" s="21"/>
      <c r="G1162" s="21"/>
      <c r="H1162" s="21"/>
      <c r="J1162" s="21"/>
    </row>
    <row r="1163" spans="2:10" x14ac:dyDescent="0.25">
      <c r="B1163" s="21"/>
      <c r="G1163" s="21"/>
      <c r="H1163" s="21"/>
      <c r="J1163" s="21"/>
    </row>
    <row r="1164" spans="2:10" x14ac:dyDescent="0.25">
      <c r="B1164" s="21"/>
      <c r="G1164" s="21"/>
      <c r="H1164" s="21"/>
      <c r="J1164" s="21"/>
    </row>
    <row r="1165" spans="2:10" x14ac:dyDescent="0.25">
      <c r="B1165" s="21"/>
      <c r="G1165" s="21"/>
      <c r="H1165" s="21"/>
      <c r="J1165" s="21"/>
    </row>
    <row r="1166" spans="2:10" x14ac:dyDescent="0.25">
      <c r="B1166" s="21"/>
      <c r="G1166" s="21"/>
      <c r="H1166" s="21"/>
      <c r="J1166" s="21"/>
    </row>
    <row r="1167" spans="2:10" x14ac:dyDescent="0.25">
      <c r="B1167" s="21"/>
      <c r="G1167" s="21"/>
      <c r="H1167" s="21"/>
      <c r="J1167" s="21"/>
    </row>
    <row r="1168" spans="2:10" x14ac:dyDescent="0.25">
      <c r="B1168" s="21"/>
      <c r="G1168" s="21"/>
      <c r="H1168" s="21"/>
      <c r="J1168" s="21"/>
    </row>
    <row r="1169" spans="2:10" x14ac:dyDescent="0.25">
      <c r="B1169" s="21"/>
      <c r="G1169" s="21"/>
      <c r="H1169" s="21"/>
      <c r="J1169" s="21"/>
    </row>
    <row r="1170" spans="2:10" x14ac:dyDescent="0.25">
      <c r="B1170" s="21"/>
      <c r="G1170" s="21"/>
      <c r="H1170" s="21"/>
      <c r="J1170" s="21"/>
    </row>
    <row r="1171" spans="2:10" x14ac:dyDescent="0.25">
      <c r="B1171" s="21"/>
      <c r="G1171" s="21"/>
      <c r="H1171" s="21"/>
      <c r="J1171" s="21"/>
    </row>
    <row r="1172" spans="2:10" x14ac:dyDescent="0.25">
      <c r="B1172" s="21"/>
      <c r="G1172" s="21"/>
      <c r="H1172" s="21"/>
      <c r="J1172" s="21"/>
    </row>
    <row r="1173" spans="2:10" x14ac:dyDescent="0.25">
      <c r="B1173" s="21"/>
      <c r="G1173" s="21"/>
      <c r="H1173" s="21"/>
      <c r="J1173" s="21"/>
    </row>
    <row r="1174" spans="2:10" x14ac:dyDescent="0.25">
      <c r="B1174" s="21"/>
      <c r="G1174" s="21"/>
      <c r="H1174" s="21"/>
      <c r="J1174" s="21"/>
    </row>
    <row r="1175" spans="2:10" x14ac:dyDescent="0.25">
      <c r="B1175" s="21"/>
      <c r="G1175" s="21"/>
      <c r="H1175" s="21"/>
      <c r="J1175" s="21"/>
    </row>
    <row r="1176" spans="2:10" x14ac:dyDescent="0.25">
      <c r="B1176" s="21"/>
      <c r="G1176" s="21"/>
      <c r="H1176" s="21"/>
      <c r="J1176" s="21"/>
    </row>
    <row r="1177" spans="2:10" x14ac:dyDescent="0.25">
      <c r="B1177" s="21"/>
      <c r="G1177" s="21"/>
      <c r="H1177" s="21"/>
      <c r="J1177" s="21"/>
    </row>
    <row r="1178" spans="2:10" x14ac:dyDescent="0.25">
      <c r="B1178" s="21"/>
      <c r="G1178" s="21"/>
      <c r="H1178" s="21"/>
      <c r="J1178" s="21"/>
    </row>
    <row r="1179" spans="2:10" x14ac:dyDescent="0.25">
      <c r="B1179" s="21"/>
      <c r="G1179" s="21"/>
      <c r="H1179" s="21"/>
      <c r="J1179" s="21"/>
    </row>
    <row r="1180" spans="2:10" x14ac:dyDescent="0.25">
      <c r="B1180" s="21"/>
      <c r="G1180" s="21"/>
      <c r="H1180" s="21"/>
      <c r="J1180" s="21"/>
    </row>
    <row r="1181" spans="2:10" x14ac:dyDescent="0.25">
      <c r="B1181" s="21"/>
      <c r="G1181" s="21"/>
      <c r="H1181" s="21"/>
      <c r="J1181" s="21"/>
    </row>
    <row r="1182" spans="2:10" x14ac:dyDescent="0.25">
      <c r="B1182" s="21"/>
      <c r="G1182" s="21"/>
      <c r="H1182" s="21"/>
      <c r="J1182" s="21"/>
    </row>
    <row r="1183" spans="2:10" x14ac:dyDescent="0.25">
      <c r="B1183" s="21"/>
      <c r="G1183" s="21"/>
      <c r="H1183" s="21"/>
      <c r="J1183" s="21"/>
    </row>
    <row r="1184" spans="2:10" x14ac:dyDescent="0.25">
      <c r="B1184" s="21"/>
      <c r="G1184" s="21"/>
      <c r="H1184" s="21"/>
      <c r="J1184" s="21"/>
    </row>
    <row r="1185" spans="2:10" x14ac:dyDescent="0.25">
      <c r="B1185" s="21"/>
      <c r="G1185" s="21"/>
      <c r="H1185" s="21"/>
      <c r="J1185" s="21"/>
    </row>
    <row r="1186" spans="2:10" x14ac:dyDescent="0.25">
      <c r="B1186" s="21"/>
      <c r="G1186" s="21"/>
      <c r="H1186" s="21"/>
      <c r="J1186" s="21"/>
    </row>
    <row r="1187" spans="2:10" x14ac:dyDescent="0.25">
      <c r="B1187" s="21"/>
      <c r="G1187" s="21"/>
      <c r="H1187" s="21"/>
      <c r="J1187" s="21"/>
    </row>
    <row r="1188" spans="2:10" x14ac:dyDescent="0.25">
      <c r="B1188" s="21"/>
      <c r="G1188" s="21"/>
      <c r="H1188" s="21"/>
      <c r="J1188" s="21"/>
    </row>
    <row r="1189" spans="2:10" x14ac:dyDescent="0.25">
      <c r="B1189" s="21"/>
      <c r="G1189" s="21"/>
      <c r="H1189" s="21"/>
      <c r="J1189" s="21"/>
    </row>
    <row r="1190" spans="2:10" x14ac:dyDescent="0.25">
      <c r="B1190" s="21"/>
      <c r="G1190" s="21"/>
      <c r="H1190" s="21"/>
      <c r="J1190" s="21"/>
    </row>
    <row r="1191" spans="2:10" x14ac:dyDescent="0.25">
      <c r="B1191" s="21"/>
      <c r="G1191" s="21"/>
      <c r="H1191" s="21"/>
      <c r="J1191" s="21"/>
    </row>
    <row r="1192" spans="2:10" x14ac:dyDescent="0.25">
      <c r="B1192" s="21"/>
      <c r="G1192" s="21"/>
      <c r="H1192" s="21"/>
      <c r="J1192" s="21"/>
    </row>
    <row r="1193" spans="2:10" x14ac:dyDescent="0.25">
      <c r="B1193" s="21"/>
      <c r="G1193" s="21"/>
      <c r="H1193" s="21"/>
      <c r="J1193" s="21"/>
    </row>
    <row r="1194" spans="2:10" x14ac:dyDescent="0.25">
      <c r="B1194" s="21"/>
      <c r="G1194" s="21"/>
      <c r="H1194" s="21"/>
      <c r="J1194" s="21"/>
    </row>
    <row r="1195" spans="2:10" x14ac:dyDescent="0.25">
      <c r="B1195" s="21"/>
      <c r="G1195" s="21"/>
      <c r="H1195" s="21"/>
      <c r="J1195" s="21"/>
    </row>
    <row r="1196" spans="2:10" x14ac:dyDescent="0.25">
      <c r="B1196" s="21"/>
      <c r="G1196" s="21"/>
      <c r="H1196" s="21"/>
      <c r="J1196" s="21"/>
    </row>
    <row r="1197" spans="2:10" x14ac:dyDescent="0.25">
      <c r="B1197" s="21"/>
      <c r="G1197" s="21"/>
      <c r="H1197" s="21"/>
      <c r="J1197" s="21"/>
    </row>
    <row r="1198" spans="2:10" x14ac:dyDescent="0.25">
      <c r="B1198" s="21"/>
      <c r="G1198" s="21"/>
      <c r="H1198" s="21"/>
      <c r="J1198" s="21"/>
    </row>
    <row r="1199" spans="2:10" x14ac:dyDescent="0.25">
      <c r="B1199" s="21"/>
      <c r="G1199" s="21"/>
      <c r="H1199" s="21"/>
      <c r="J1199" s="21"/>
    </row>
    <row r="1200" spans="2:10" x14ac:dyDescent="0.25">
      <c r="B1200" s="21"/>
      <c r="G1200" s="21"/>
      <c r="H1200" s="21"/>
      <c r="J1200" s="21"/>
    </row>
    <row r="1201" spans="2:10" x14ac:dyDescent="0.25">
      <c r="B1201" s="21"/>
      <c r="G1201" s="21"/>
      <c r="H1201" s="21"/>
      <c r="J1201" s="21"/>
    </row>
    <row r="1202" spans="2:10" x14ac:dyDescent="0.25">
      <c r="B1202" s="21"/>
      <c r="G1202" s="21"/>
      <c r="H1202" s="21"/>
      <c r="J1202" s="21"/>
    </row>
    <row r="1203" spans="2:10" x14ac:dyDescent="0.25">
      <c r="B1203" s="21"/>
      <c r="G1203" s="21"/>
      <c r="H1203" s="21"/>
      <c r="J1203" s="21"/>
    </row>
    <row r="1204" spans="2:10" x14ac:dyDescent="0.25">
      <c r="B1204" s="21"/>
      <c r="G1204" s="21"/>
      <c r="H1204" s="21"/>
      <c r="J1204" s="21"/>
    </row>
    <row r="1205" spans="2:10" x14ac:dyDescent="0.25">
      <c r="B1205" s="21"/>
      <c r="G1205" s="21"/>
      <c r="H1205" s="21"/>
      <c r="J1205" s="21"/>
    </row>
    <row r="1206" spans="2:10" x14ac:dyDescent="0.25">
      <c r="B1206" s="21"/>
      <c r="G1206" s="21"/>
      <c r="H1206" s="21"/>
      <c r="J1206" s="21"/>
    </row>
    <row r="1207" spans="2:10" x14ac:dyDescent="0.25">
      <c r="B1207" s="21"/>
      <c r="G1207" s="21"/>
      <c r="H1207" s="21"/>
      <c r="J1207" s="21"/>
    </row>
    <row r="1208" spans="2:10" x14ac:dyDescent="0.25">
      <c r="B1208" s="21"/>
      <c r="G1208" s="21"/>
      <c r="H1208" s="21"/>
      <c r="J1208" s="21"/>
    </row>
    <row r="1209" spans="2:10" x14ac:dyDescent="0.25">
      <c r="B1209" s="21"/>
      <c r="G1209" s="21"/>
      <c r="H1209" s="21"/>
      <c r="J1209" s="21"/>
    </row>
    <row r="1210" spans="2:10" x14ac:dyDescent="0.25">
      <c r="B1210" s="21"/>
      <c r="G1210" s="21"/>
      <c r="H1210" s="21"/>
      <c r="J1210" s="21"/>
    </row>
    <row r="1211" spans="2:10" x14ac:dyDescent="0.25">
      <c r="B1211" s="21"/>
      <c r="G1211" s="21"/>
      <c r="H1211" s="21"/>
      <c r="J1211" s="21"/>
    </row>
    <row r="1212" spans="2:10" x14ac:dyDescent="0.25">
      <c r="B1212" s="21"/>
      <c r="G1212" s="21"/>
      <c r="H1212" s="21"/>
      <c r="J1212" s="21"/>
    </row>
    <row r="1213" spans="2:10" x14ac:dyDescent="0.25">
      <c r="B1213" s="21"/>
      <c r="G1213" s="21"/>
      <c r="H1213" s="21"/>
      <c r="J1213" s="21"/>
    </row>
    <row r="1214" spans="2:10" x14ac:dyDescent="0.25">
      <c r="B1214" s="21"/>
      <c r="G1214" s="21"/>
      <c r="H1214" s="21"/>
      <c r="J1214" s="21"/>
    </row>
    <row r="1215" spans="2:10" x14ac:dyDescent="0.25">
      <c r="B1215" s="21"/>
      <c r="G1215" s="21"/>
      <c r="H1215" s="21"/>
      <c r="J1215" s="21"/>
    </row>
    <row r="1216" spans="2:10" x14ac:dyDescent="0.25">
      <c r="B1216" s="21"/>
      <c r="G1216" s="21"/>
      <c r="H1216" s="21"/>
      <c r="J1216" s="21"/>
    </row>
    <row r="1217" spans="2:10" x14ac:dyDescent="0.25">
      <c r="B1217" s="21"/>
      <c r="G1217" s="21"/>
      <c r="H1217" s="21"/>
      <c r="J1217" s="21"/>
    </row>
    <row r="1218" spans="2:10" x14ac:dyDescent="0.25">
      <c r="B1218" s="21"/>
      <c r="G1218" s="21"/>
      <c r="H1218" s="21"/>
      <c r="J1218" s="21"/>
    </row>
    <row r="1219" spans="2:10" x14ac:dyDescent="0.25">
      <c r="B1219" s="21"/>
      <c r="G1219" s="21"/>
      <c r="H1219" s="21"/>
      <c r="J1219" s="21"/>
    </row>
    <row r="1220" spans="2:10" x14ac:dyDescent="0.25">
      <c r="B1220" s="21"/>
      <c r="G1220" s="21"/>
      <c r="H1220" s="21"/>
      <c r="J1220" s="21"/>
    </row>
    <row r="1221" spans="2:10" x14ac:dyDescent="0.25">
      <c r="B1221" s="21"/>
      <c r="G1221" s="21"/>
      <c r="H1221" s="21"/>
      <c r="J1221" s="21"/>
    </row>
    <row r="1222" spans="2:10" x14ac:dyDescent="0.25">
      <c r="B1222" s="21"/>
      <c r="G1222" s="21"/>
      <c r="H1222" s="21"/>
      <c r="J1222" s="21"/>
    </row>
    <row r="1223" spans="2:10" x14ac:dyDescent="0.25">
      <c r="B1223" s="21"/>
      <c r="G1223" s="21"/>
      <c r="H1223" s="21"/>
      <c r="J1223" s="21"/>
    </row>
    <row r="1224" spans="2:10" x14ac:dyDescent="0.25">
      <c r="B1224" s="21"/>
      <c r="G1224" s="21"/>
      <c r="H1224" s="21"/>
      <c r="J1224" s="21"/>
    </row>
    <row r="1225" spans="2:10" x14ac:dyDescent="0.25">
      <c r="B1225" s="21"/>
      <c r="G1225" s="21"/>
      <c r="H1225" s="21"/>
      <c r="J1225" s="21"/>
    </row>
    <row r="1226" spans="2:10" x14ac:dyDescent="0.25">
      <c r="B1226" s="21"/>
      <c r="G1226" s="21"/>
      <c r="H1226" s="21"/>
      <c r="J1226" s="21"/>
    </row>
    <row r="1227" spans="2:10" x14ac:dyDescent="0.25">
      <c r="B1227" s="21"/>
      <c r="G1227" s="21"/>
      <c r="H1227" s="21"/>
      <c r="J1227" s="21"/>
    </row>
    <row r="1228" spans="2:10" x14ac:dyDescent="0.25">
      <c r="B1228" s="21"/>
      <c r="G1228" s="21"/>
      <c r="H1228" s="21"/>
      <c r="J1228" s="21"/>
    </row>
    <row r="1229" spans="2:10" x14ac:dyDescent="0.25">
      <c r="B1229" s="21"/>
      <c r="G1229" s="21"/>
      <c r="H1229" s="21"/>
      <c r="J1229" s="21"/>
    </row>
    <row r="1230" spans="2:10" x14ac:dyDescent="0.25">
      <c r="B1230" s="21"/>
      <c r="G1230" s="21"/>
      <c r="H1230" s="21"/>
      <c r="J1230" s="21"/>
    </row>
    <row r="1231" spans="2:10" x14ac:dyDescent="0.25">
      <c r="B1231" s="21"/>
      <c r="G1231" s="21"/>
      <c r="H1231" s="21"/>
      <c r="J1231" s="21"/>
    </row>
    <row r="1232" spans="2:10" x14ac:dyDescent="0.25">
      <c r="B1232" s="21"/>
      <c r="G1232" s="21"/>
      <c r="H1232" s="21"/>
      <c r="J1232" s="21"/>
    </row>
    <row r="1233" spans="2:10" x14ac:dyDescent="0.25">
      <c r="B1233" s="21"/>
      <c r="G1233" s="21"/>
      <c r="H1233" s="21"/>
      <c r="J1233" s="21"/>
    </row>
    <row r="1234" spans="2:10" x14ac:dyDescent="0.25">
      <c r="B1234" s="21"/>
      <c r="G1234" s="21"/>
      <c r="H1234" s="21"/>
      <c r="J1234" s="21"/>
    </row>
    <row r="1235" spans="2:10" x14ac:dyDescent="0.25">
      <c r="B1235" s="21"/>
      <c r="G1235" s="21"/>
      <c r="H1235" s="21"/>
      <c r="J1235" s="21"/>
    </row>
    <row r="1236" spans="2:10" x14ac:dyDescent="0.25">
      <c r="B1236" s="21"/>
      <c r="G1236" s="21"/>
      <c r="H1236" s="21"/>
      <c r="J1236" s="21"/>
    </row>
    <row r="1237" spans="2:10" x14ac:dyDescent="0.25">
      <c r="B1237" s="21"/>
      <c r="G1237" s="21"/>
      <c r="H1237" s="21"/>
      <c r="J1237" s="21"/>
    </row>
    <row r="1238" spans="2:10" x14ac:dyDescent="0.25">
      <c r="B1238" s="21"/>
      <c r="G1238" s="21"/>
      <c r="H1238" s="21"/>
      <c r="J1238" s="21"/>
    </row>
    <row r="1239" spans="2:10" x14ac:dyDescent="0.25">
      <c r="B1239" s="21"/>
      <c r="G1239" s="21"/>
      <c r="H1239" s="21"/>
      <c r="J1239" s="21"/>
    </row>
    <row r="1240" spans="2:10" x14ac:dyDescent="0.25">
      <c r="B1240" s="21"/>
      <c r="G1240" s="21"/>
      <c r="H1240" s="21"/>
      <c r="J1240" s="21"/>
    </row>
    <row r="1241" spans="2:10" x14ac:dyDescent="0.25">
      <c r="B1241" s="21"/>
      <c r="G1241" s="21"/>
      <c r="H1241" s="21"/>
      <c r="J1241" s="21"/>
    </row>
    <row r="1242" spans="2:10" x14ac:dyDescent="0.25">
      <c r="B1242" s="21"/>
      <c r="G1242" s="21"/>
      <c r="H1242" s="21"/>
      <c r="J1242" s="21"/>
    </row>
    <row r="1243" spans="2:10" x14ac:dyDescent="0.25">
      <c r="B1243" s="21"/>
      <c r="G1243" s="21"/>
      <c r="H1243" s="21"/>
      <c r="J1243" s="21"/>
    </row>
    <row r="1244" spans="2:10" x14ac:dyDescent="0.25">
      <c r="B1244" s="21"/>
      <c r="G1244" s="21"/>
      <c r="H1244" s="21"/>
      <c r="J1244" s="21"/>
    </row>
    <row r="1245" spans="2:10" x14ac:dyDescent="0.25">
      <c r="B1245" s="21"/>
      <c r="G1245" s="21"/>
      <c r="H1245" s="21"/>
      <c r="J1245" s="21"/>
    </row>
    <row r="1246" spans="2:10" x14ac:dyDescent="0.25">
      <c r="B1246" s="21"/>
      <c r="G1246" s="21"/>
      <c r="H1246" s="21"/>
      <c r="J1246" s="21"/>
    </row>
    <row r="1247" spans="2:10" x14ac:dyDescent="0.25">
      <c r="B1247" s="21"/>
      <c r="G1247" s="21"/>
      <c r="H1247" s="21"/>
      <c r="J1247" s="21"/>
    </row>
    <row r="1248" spans="2:10" x14ac:dyDescent="0.25">
      <c r="B1248" s="21"/>
      <c r="G1248" s="21"/>
      <c r="H1248" s="21"/>
      <c r="J1248" s="21"/>
    </row>
    <row r="1249" spans="2:10" x14ac:dyDescent="0.25">
      <c r="B1249" s="21"/>
      <c r="G1249" s="21"/>
      <c r="H1249" s="21"/>
      <c r="J1249" s="21"/>
    </row>
    <row r="1250" spans="2:10" x14ac:dyDescent="0.25">
      <c r="B1250" s="21"/>
      <c r="G1250" s="21"/>
      <c r="H1250" s="21"/>
      <c r="J1250" s="21"/>
    </row>
    <row r="1251" spans="2:10" x14ac:dyDescent="0.25">
      <c r="B1251" s="21"/>
      <c r="G1251" s="21"/>
      <c r="H1251" s="21"/>
      <c r="J1251" s="21"/>
    </row>
    <row r="1252" spans="2:10" x14ac:dyDescent="0.25">
      <c r="B1252" s="21"/>
      <c r="G1252" s="21"/>
      <c r="H1252" s="21"/>
      <c r="J1252" s="21"/>
    </row>
    <row r="1253" spans="2:10" x14ac:dyDescent="0.25">
      <c r="B1253" s="21"/>
      <c r="G1253" s="21"/>
      <c r="H1253" s="21"/>
      <c r="J1253" s="21"/>
    </row>
    <row r="1254" spans="2:10" x14ac:dyDescent="0.25">
      <c r="B1254" s="21"/>
      <c r="G1254" s="21"/>
      <c r="H1254" s="21"/>
      <c r="J1254" s="21"/>
    </row>
    <row r="1255" spans="2:10" x14ac:dyDescent="0.25">
      <c r="B1255" s="21"/>
      <c r="G1255" s="21"/>
      <c r="H1255" s="21"/>
      <c r="J1255" s="21"/>
    </row>
    <row r="1256" spans="2:10" x14ac:dyDescent="0.25">
      <c r="B1256" s="21"/>
      <c r="G1256" s="21"/>
      <c r="H1256" s="21"/>
      <c r="J1256" s="21"/>
    </row>
    <row r="1257" spans="2:10" x14ac:dyDescent="0.25">
      <c r="B1257" s="21"/>
      <c r="G1257" s="21"/>
      <c r="H1257" s="21"/>
      <c r="J1257" s="21"/>
    </row>
    <row r="1258" spans="2:10" x14ac:dyDescent="0.25">
      <c r="B1258" s="21"/>
      <c r="G1258" s="21"/>
      <c r="H1258" s="21"/>
      <c r="J1258" s="21"/>
    </row>
    <row r="1259" spans="2:10" x14ac:dyDescent="0.25">
      <c r="B1259" s="21"/>
      <c r="G1259" s="21"/>
      <c r="H1259" s="21"/>
      <c r="J1259" s="21"/>
    </row>
    <row r="1260" spans="2:10" x14ac:dyDescent="0.25">
      <c r="B1260" s="21"/>
      <c r="G1260" s="21"/>
      <c r="H1260" s="21"/>
      <c r="J1260" s="21"/>
    </row>
    <row r="1261" spans="2:10" x14ac:dyDescent="0.25">
      <c r="B1261" s="21"/>
      <c r="G1261" s="21"/>
      <c r="H1261" s="21"/>
      <c r="J1261" s="21"/>
    </row>
    <row r="1262" spans="2:10" x14ac:dyDescent="0.25">
      <c r="B1262" s="21"/>
      <c r="G1262" s="21"/>
      <c r="H1262" s="21"/>
      <c r="J1262" s="21"/>
    </row>
    <row r="1263" spans="2:10" x14ac:dyDescent="0.25">
      <c r="B1263" s="21"/>
      <c r="G1263" s="21"/>
      <c r="H1263" s="21"/>
      <c r="J1263" s="21"/>
    </row>
    <row r="1264" spans="2:10" x14ac:dyDescent="0.25">
      <c r="B1264" s="21"/>
      <c r="G1264" s="21"/>
      <c r="H1264" s="21"/>
      <c r="J1264" s="21"/>
    </row>
    <row r="1265" spans="2:10" x14ac:dyDescent="0.25">
      <c r="B1265" s="21"/>
      <c r="G1265" s="21"/>
      <c r="H1265" s="21"/>
      <c r="J1265" s="21"/>
    </row>
    <row r="1266" spans="2:10" x14ac:dyDescent="0.25">
      <c r="B1266" s="21"/>
      <c r="G1266" s="21"/>
      <c r="H1266" s="21"/>
      <c r="J1266" s="21"/>
    </row>
    <row r="1267" spans="2:10" x14ac:dyDescent="0.25">
      <c r="B1267" s="21"/>
      <c r="G1267" s="21"/>
      <c r="H1267" s="21"/>
      <c r="J1267" s="21"/>
    </row>
    <row r="1268" spans="2:10" x14ac:dyDescent="0.25">
      <c r="B1268" s="21"/>
      <c r="G1268" s="21"/>
      <c r="H1268" s="21"/>
      <c r="J1268" s="21"/>
    </row>
    <row r="1269" spans="2:10" x14ac:dyDescent="0.25">
      <c r="B1269" s="21"/>
      <c r="G1269" s="21"/>
      <c r="H1269" s="21"/>
      <c r="J1269" s="21"/>
    </row>
    <row r="1270" spans="2:10" x14ac:dyDescent="0.25">
      <c r="B1270" s="21"/>
      <c r="G1270" s="21"/>
      <c r="H1270" s="21"/>
      <c r="J1270" s="21"/>
    </row>
    <row r="1271" spans="2:10" x14ac:dyDescent="0.25">
      <c r="B1271" s="21"/>
      <c r="G1271" s="21"/>
      <c r="H1271" s="21"/>
      <c r="J1271" s="21"/>
    </row>
    <row r="1272" spans="2:10" x14ac:dyDescent="0.25">
      <c r="B1272" s="21"/>
      <c r="G1272" s="21"/>
      <c r="H1272" s="21"/>
      <c r="J1272" s="21"/>
    </row>
    <row r="1273" spans="2:10" x14ac:dyDescent="0.25">
      <c r="B1273" s="21"/>
      <c r="G1273" s="21"/>
      <c r="H1273" s="21"/>
      <c r="J1273" s="21"/>
    </row>
    <row r="1274" spans="2:10" x14ac:dyDescent="0.25">
      <c r="B1274" s="21"/>
      <c r="G1274" s="21"/>
      <c r="H1274" s="21"/>
      <c r="J1274" s="21"/>
    </row>
    <row r="1275" spans="2:10" x14ac:dyDescent="0.25">
      <c r="B1275" s="21"/>
      <c r="G1275" s="21"/>
      <c r="H1275" s="21"/>
      <c r="J1275" s="21"/>
    </row>
    <row r="1276" spans="2:10" x14ac:dyDescent="0.25">
      <c r="B1276" s="21"/>
      <c r="G1276" s="21"/>
      <c r="H1276" s="21"/>
      <c r="J1276" s="21"/>
    </row>
    <row r="1277" spans="2:10" x14ac:dyDescent="0.25">
      <c r="B1277" s="21"/>
      <c r="G1277" s="21"/>
      <c r="H1277" s="21"/>
      <c r="J1277" s="21"/>
    </row>
    <row r="1278" spans="2:10" x14ac:dyDescent="0.25">
      <c r="B1278" s="21"/>
      <c r="G1278" s="21"/>
      <c r="H1278" s="21"/>
      <c r="J1278" s="21"/>
    </row>
    <row r="1279" spans="2:10" x14ac:dyDescent="0.25">
      <c r="B1279" s="21"/>
      <c r="G1279" s="21"/>
      <c r="H1279" s="21"/>
      <c r="J1279" s="21"/>
    </row>
    <row r="1280" spans="2:10" x14ac:dyDescent="0.25">
      <c r="B1280" s="21"/>
      <c r="G1280" s="21"/>
      <c r="H1280" s="21"/>
      <c r="J1280" s="21"/>
    </row>
    <row r="1281" spans="2:10" x14ac:dyDescent="0.25">
      <c r="B1281" s="21"/>
      <c r="G1281" s="21"/>
      <c r="H1281" s="21"/>
      <c r="J1281" s="21"/>
    </row>
    <row r="1282" spans="2:10" x14ac:dyDescent="0.25">
      <c r="B1282" s="21"/>
      <c r="G1282" s="21"/>
      <c r="H1282" s="21"/>
      <c r="J1282" s="21"/>
    </row>
    <row r="1283" spans="2:10" x14ac:dyDescent="0.25">
      <c r="B1283" s="21"/>
      <c r="G1283" s="21"/>
      <c r="H1283" s="21"/>
      <c r="J1283" s="21"/>
    </row>
    <row r="1284" spans="2:10" x14ac:dyDescent="0.25">
      <c r="B1284" s="21"/>
      <c r="G1284" s="21"/>
      <c r="H1284" s="21"/>
      <c r="J1284" s="21"/>
    </row>
    <row r="1285" spans="2:10" x14ac:dyDescent="0.25">
      <c r="B1285" s="21"/>
      <c r="G1285" s="21"/>
      <c r="H1285" s="21"/>
      <c r="J1285" s="21"/>
    </row>
    <row r="1286" spans="2:10" x14ac:dyDescent="0.25">
      <c r="B1286" s="21"/>
      <c r="G1286" s="21"/>
      <c r="H1286" s="21"/>
      <c r="J1286" s="21"/>
    </row>
    <row r="1287" spans="2:10" x14ac:dyDescent="0.25">
      <c r="B1287" s="21"/>
      <c r="G1287" s="21"/>
      <c r="H1287" s="21"/>
      <c r="J1287" s="21"/>
    </row>
    <row r="1288" spans="2:10" x14ac:dyDescent="0.25">
      <c r="B1288" s="21"/>
      <c r="G1288" s="21"/>
      <c r="H1288" s="21"/>
      <c r="J1288" s="21"/>
    </row>
    <row r="1289" spans="2:10" x14ac:dyDescent="0.25">
      <c r="B1289" s="21"/>
      <c r="G1289" s="21"/>
      <c r="H1289" s="21"/>
      <c r="J1289" s="21"/>
    </row>
    <row r="1290" spans="2:10" x14ac:dyDescent="0.25">
      <c r="B1290" s="21"/>
      <c r="G1290" s="21"/>
      <c r="H1290" s="21"/>
      <c r="J1290" s="21"/>
    </row>
    <row r="1291" spans="2:10" x14ac:dyDescent="0.25">
      <c r="B1291" s="21"/>
      <c r="G1291" s="21"/>
      <c r="H1291" s="21"/>
      <c r="J1291" s="21"/>
    </row>
    <row r="1292" spans="2:10" x14ac:dyDescent="0.25">
      <c r="B1292" s="21"/>
      <c r="G1292" s="21"/>
      <c r="H1292" s="21"/>
      <c r="J1292" s="21"/>
    </row>
    <row r="1293" spans="2:10" x14ac:dyDescent="0.25">
      <c r="B1293" s="21"/>
      <c r="G1293" s="21"/>
      <c r="H1293" s="21"/>
      <c r="J1293" s="21"/>
    </row>
    <row r="1294" spans="2:10" x14ac:dyDescent="0.25">
      <c r="B1294" s="21"/>
      <c r="G1294" s="21"/>
      <c r="H1294" s="21"/>
      <c r="J1294" s="21"/>
    </row>
    <row r="1295" spans="2:10" x14ac:dyDescent="0.25">
      <c r="B1295" s="21"/>
      <c r="G1295" s="21"/>
      <c r="H1295" s="21"/>
      <c r="J1295" s="21"/>
    </row>
    <row r="1296" spans="2:10" x14ac:dyDescent="0.25">
      <c r="B1296" s="21"/>
      <c r="G1296" s="21"/>
      <c r="H1296" s="21"/>
      <c r="J1296" s="21"/>
    </row>
    <row r="1297" spans="2:10" x14ac:dyDescent="0.25">
      <c r="B1297" s="21"/>
      <c r="G1297" s="21"/>
      <c r="H1297" s="21"/>
      <c r="J1297" s="21"/>
    </row>
    <row r="1298" spans="2:10" x14ac:dyDescent="0.25">
      <c r="B1298" s="21"/>
      <c r="G1298" s="21"/>
      <c r="H1298" s="21"/>
      <c r="J1298" s="21"/>
    </row>
    <row r="1299" spans="2:10" x14ac:dyDescent="0.25">
      <c r="B1299" s="21"/>
      <c r="G1299" s="21"/>
      <c r="H1299" s="21"/>
      <c r="J1299" s="21"/>
    </row>
    <row r="1300" spans="2:10" x14ac:dyDescent="0.25">
      <c r="B1300" s="21"/>
      <c r="G1300" s="21"/>
      <c r="H1300" s="21"/>
      <c r="J1300" s="21"/>
    </row>
    <row r="1301" spans="2:10" x14ac:dyDescent="0.25">
      <c r="B1301" s="21"/>
      <c r="G1301" s="21"/>
      <c r="H1301" s="21"/>
      <c r="J1301" s="21"/>
    </row>
    <row r="1302" spans="2:10" x14ac:dyDescent="0.25">
      <c r="B1302" s="21"/>
      <c r="G1302" s="21"/>
      <c r="H1302" s="21"/>
      <c r="J1302" s="21"/>
    </row>
    <row r="1303" spans="2:10" x14ac:dyDescent="0.25">
      <c r="B1303" s="21"/>
      <c r="G1303" s="21"/>
      <c r="H1303" s="21"/>
      <c r="J1303" s="21"/>
    </row>
    <row r="1304" spans="2:10" x14ac:dyDescent="0.25">
      <c r="B1304" s="21"/>
      <c r="G1304" s="21"/>
      <c r="H1304" s="21"/>
      <c r="J1304" s="21"/>
    </row>
    <row r="1305" spans="2:10" x14ac:dyDescent="0.25">
      <c r="B1305" s="21"/>
      <c r="G1305" s="21"/>
      <c r="H1305" s="21"/>
      <c r="J1305" s="21"/>
    </row>
    <row r="1306" spans="2:10" x14ac:dyDescent="0.25">
      <c r="B1306" s="21"/>
      <c r="G1306" s="21"/>
      <c r="H1306" s="21"/>
      <c r="J1306" s="21"/>
    </row>
    <row r="1307" spans="2:10" x14ac:dyDescent="0.25">
      <c r="B1307" s="21"/>
      <c r="G1307" s="21"/>
      <c r="H1307" s="21"/>
      <c r="J1307" s="21"/>
    </row>
    <row r="1308" spans="2:10" x14ac:dyDescent="0.25">
      <c r="B1308" s="21"/>
      <c r="G1308" s="21"/>
      <c r="H1308" s="21"/>
      <c r="J1308" s="21"/>
    </row>
    <row r="1309" spans="2:10" x14ac:dyDescent="0.25">
      <c r="B1309" s="21"/>
      <c r="G1309" s="21"/>
      <c r="H1309" s="21"/>
      <c r="J1309" s="21"/>
    </row>
    <row r="1310" spans="2:10" x14ac:dyDescent="0.25">
      <c r="B1310" s="21"/>
      <c r="G1310" s="21"/>
      <c r="H1310" s="21"/>
      <c r="J1310" s="21"/>
    </row>
    <row r="1311" spans="2:10" x14ac:dyDescent="0.25">
      <c r="B1311" s="21"/>
      <c r="G1311" s="21"/>
      <c r="H1311" s="21"/>
      <c r="J1311" s="21"/>
    </row>
    <row r="1312" spans="2:10" x14ac:dyDescent="0.25">
      <c r="B1312" s="21"/>
      <c r="G1312" s="21"/>
      <c r="H1312" s="21"/>
      <c r="J1312" s="21"/>
    </row>
    <row r="1313" spans="2:10" x14ac:dyDescent="0.25">
      <c r="B1313" s="21"/>
      <c r="G1313" s="21"/>
      <c r="H1313" s="21"/>
      <c r="J1313" s="21"/>
    </row>
    <row r="1314" spans="2:10" x14ac:dyDescent="0.25">
      <c r="B1314" s="21"/>
      <c r="G1314" s="21"/>
      <c r="H1314" s="21"/>
      <c r="J1314" s="21"/>
    </row>
    <row r="1315" spans="2:10" x14ac:dyDescent="0.25">
      <c r="B1315" s="21"/>
      <c r="G1315" s="21"/>
      <c r="H1315" s="21"/>
      <c r="J1315" s="21"/>
    </row>
    <row r="1316" spans="2:10" x14ac:dyDescent="0.25">
      <c r="B1316" s="21"/>
      <c r="G1316" s="21"/>
      <c r="H1316" s="21"/>
      <c r="J1316" s="21"/>
    </row>
    <row r="1317" spans="2:10" x14ac:dyDescent="0.25">
      <c r="B1317" s="21"/>
      <c r="G1317" s="21"/>
      <c r="H1317" s="21"/>
      <c r="J1317" s="21"/>
    </row>
    <row r="1318" spans="2:10" x14ac:dyDescent="0.25">
      <c r="B1318" s="21"/>
      <c r="G1318" s="21"/>
      <c r="H1318" s="21"/>
      <c r="J1318" s="21"/>
    </row>
    <row r="1319" spans="2:10" x14ac:dyDescent="0.25">
      <c r="B1319" s="21"/>
      <c r="G1319" s="21"/>
      <c r="H1319" s="21"/>
      <c r="J1319" s="21"/>
    </row>
    <row r="1320" spans="2:10" x14ac:dyDescent="0.25">
      <c r="B1320" s="21"/>
      <c r="G1320" s="21"/>
      <c r="H1320" s="21"/>
      <c r="J1320" s="21"/>
    </row>
    <row r="1321" spans="2:10" x14ac:dyDescent="0.25">
      <c r="B1321" s="21"/>
      <c r="G1321" s="21"/>
      <c r="H1321" s="21"/>
      <c r="J1321" s="21"/>
    </row>
    <row r="1322" spans="2:10" x14ac:dyDescent="0.25">
      <c r="B1322" s="21"/>
      <c r="G1322" s="21"/>
      <c r="H1322" s="21"/>
      <c r="J1322" s="21"/>
    </row>
    <row r="1323" spans="2:10" x14ac:dyDescent="0.25">
      <c r="B1323" s="21"/>
      <c r="G1323" s="21"/>
      <c r="H1323" s="21"/>
      <c r="J1323" s="21"/>
    </row>
    <row r="1324" spans="2:10" x14ac:dyDescent="0.25">
      <c r="B1324" s="21"/>
      <c r="G1324" s="21"/>
      <c r="H1324" s="21"/>
      <c r="J1324" s="21"/>
    </row>
    <row r="1325" spans="2:10" x14ac:dyDescent="0.25">
      <c r="B1325" s="21"/>
      <c r="G1325" s="21"/>
      <c r="H1325" s="21"/>
      <c r="J1325" s="21"/>
    </row>
    <row r="1326" spans="2:10" x14ac:dyDescent="0.25">
      <c r="B1326" s="21"/>
      <c r="G1326" s="21"/>
      <c r="H1326" s="21"/>
      <c r="J1326" s="21"/>
    </row>
    <row r="1327" spans="2:10" x14ac:dyDescent="0.25">
      <c r="B1327" s="21"/>
      <c r="G1327" s="21"/>
      <c r="H1327" s="21"/>
      <c r="J1327" s="21"/>
    </row>
    <row r="1328" spans="2:10" x14ac:dyDescent="0.25">
      <c r="B1328" s="21"/>
      <c r="G1328" s="21"/>
      <c r="H1328" s="21"/>
      <c r="J1328" s="21"/>
    </row>
    <row r="1329" spans="2:10" x14ac:dyDescent="0.25">
      <c r="B1329" s="21"/>
      <c r="G1329" s="21"/>
      <c r="H1329" s="21"/>
      <c r="J1329" s="21"/>
    </row>
    <row r="1330" spans="2:10" x14ac:dyDescent="0.25">
      <c r="B1330" s="21"/>
      <c r="G1330" s="21"/>
      <c r="H1330" s="21"/>
      <c r="J1330" s="21"/>
    </row>
    <row r="1331" spans="2:10" x14ac:dyDescent="0.25">
      <c r="B1331" s="21"/>
      <c r="G1331" s="21"/>
      <c r="H1331" s="21"/>
      <c r="J1331" s="21"/>
    </row>
    <row r="1332" spans="2:10" x14ac:dyDescent="0.25">
      <c r="B1332" s="21"/>
      <c r="G1332" s="21"/>
      <c r="H1332" s="21"/>
      <c r="J1332" s="21"/>
    </row>
    <row r="1333" spans="2:10" x14ac:dyDescent="0.25">
      <c r="B1333" s="21"/>
      <c r="G1333" s="21"/>
      <c r="H1333" s="21"/>
      <c r="J1333" s="21"/>
    </row>
    <row r="1334" spans="2:10" x14ac:dyDescent="0.25">
      <c r="B1334" s="21"/>
      <c r="G1334" s="21"/>
      <c r="H1334" s="21"/>
      <c r="J1334" s="21"/>
    </row>
    <row r="1335" spans="2:10" x14ac:dyDescent="0.25">
      <c r="B1335" s="21"/>
      <c r="G1335" s="21"/>
      <c r="H1335" s="21"/>
      <c r="J1335" s="21"/>
    </row>
    <row r="1336" spans="2:10" x14ac:dyDescent="0.25">
      <c r="B1336" s="21"/>
      <c r="G1336" s="21"/>
      <c r="H1336" s="21"/>
      <c r="J1336" s="21"/>
    </row>
    <row r="1337" spans="2:10" x14ac:dyDescent="0.25">
      <c r="B1337" s="21"/>
      <c r="G1337" s="21"/>
      <c r="H1337" s="21"/>
      <c r="J1337" s="21"/>
    </row>
    <row r="1338" spans="2:10" x14ac:dyDescent="0.25">
      <c r="B1338" s="21"/>
      <c r="G1338" s="21"/>
      <c r="H1338" s="21"/>
      <c r="J1338" s="21"/>
    </row>
    <row r="1339" spans="2:10" x14ac:dyDescent="0.25">
      <c r="B1339" s="21"/>
      <c r="G1339" s="21"/>
      <c r="H1339" s="21"/>
      <c r="J1339" s="21"/>
    </row>
    <row r="1340" spans="2:10" x14ac:dyDescent="0.25">
      <c r="B1340" s="21"/>
      <c r="G1340" s="21"/>
      <c r="H1340" s="21"/>
      <c r="J1340" s="21"/>
    </row>
    <row r="1341" spans="2:10" x14ac:dyDescent="0.25">
      <c r="B1341" s="21"/>
      <c r="G1341" s="21"/>
      <c r="H1341" s="21"/>
      <c r="J1341" s="21"/>
    </row>
    <row r="1342" spans="2:10" x14ac:dyDescent="0.25">
      <c r="B1342" s="21"/>
      <c r="G1342" s="21"/>
      <c r="H1342" s="21"/>
      <c r="J1342" s="21"/>
    </row>
    <row r="1343" spans="2:10" x14ac:dyDescent="0.25">
      <c r="B1343" s="21"/>
      <c r="G1343" s="21"/>
      <c r="H1343" s="21"/>
      <c r="J1343" s="21"/>
    </row>
    <row r="1344" spans="2:10" x14ac:dyDescent="0.25">
      <c r="B1344" s="21"/>
      <c r="G1344" s="21"/>
      <c r="H1344" s="21"/>
      <c r="J1344" s="21"/>
    </row>
    <row r="1345" spans="2:10" x14ac:dyDescent="0.25">
      <c r="B1345" s="21"/>
      <c r="G1345" s="21"/>
      <c r="H1345" s="21"/>
      <c r="J1345" s="21"/>
    </row>
    <row r="1346" spans="2:10" x14ac:dyDescent="0.25">
      <c r="B1346" s="21"/>
      <c r="G1346" s="21"/>
      <c r="H1346" s="21"/>
      <c r="J1346" s="21"/>
    </row>
    <row r="1347" spans="2:10" x14ac:dyDescent="0.25">
      <c r="B1347" s="21"/>
      <c r="G1347" s="21"/>
      <c r="H1347" s="21"/>
      <c r="J1347" s="21"/>
    </row>
    <row r="1348" spans="2:10" x14ac:dyDescent="0.25">
      <c r="B1348" s="21"/>
      <c r="G1348" s="21"/>
      <c r="H1348" s="21"/>
      <c r="J1348" s="21"/>
    </row>
    <row r="1349" spans="2:10" x14ac:dyDescent="0.25">
      <c r="B1349" s="21"/>
      <c r="G1349" s="21"/>
      <c r="H1349" s="21"/>
      <c r="J1349" s="21"/>
    </row>
    <row r="1350" spans="2:10" x14ac:dyDescent="0.25">
      <c r="B1350" s="21"/>
      <c r="G1350" s="21"/>
      <c r="H1350" s="21"/>
      <c r="J1350" s="21"/>
    </row>
    <row r="1351" spans="2:10" x14ac:dyDescent="0.25">
      <c r="B1351" s="21"/>
      <c r="G1351" s="21"/>
      <c r="H1351" s="21"/>
      <c r="J1351" s="21"/>
    </row>
    <row r="1352" spans="2:10" x14ac:dyDescent="0.25">
      <c r="B1352" s="21"/>
      <c r="G1352" s="21"/>
      <c r="H1352" s="21"/>
      <c r="J1352" s="21"/>
    </row>
    <row r="1353" spans="2:10" x14ac:dyDescent="0.25">
      <c r="B1353" s="21"/>
      <c r="G1353" s="21"/>
      <c r="H1353" s="21"/>
      <c r="J1353" s="21"/>
    </row>
    <row r="1354" spans="2:10" x14ac:dyDescent="0.25">
      <c r="B1354" s="21"/>
      <c r="G1354" s="21"/>
      <c r="H1354" s="21"/>
      <c r="J1354" s="21"/>
    </row>
    <row r="1355" spans="2:10" x14ac:dyDescent="0.25">
      <c r="B1355" s="21"/>
      <c r="G1355" s="21"/>
      <c r="H1355" s="21"/>
      <c r="J1355" s="21"/>
    </row>
    <row r="1356" spans="2:10" x14ac:dyDescent="0.25">
      <c r="B1356" s="21"/>
      <c r="G1356" s="21"/>
      <c r="H1356" s="21"/>
      <c r="J1356" s="21"/>
    </row>
    <row r="1357" spans="2:10" x14ac:dyDescent="0.25">
      <c r="B1357" s="21"/>
      <c r="G1357" s="21"/>
      <c r="H1357" s="21"/>
      <c r="J1357" s="21"/>
    </row>
    <row r="1358" spans="2:10" x14ac:dyDescent="0.25">
      <c r="B1358" s="21"/>
      <c r="G1358" s="21"/>
      <c r="H1358" s="21"/>
      <c r="J1358" s="21"/>
    </row>
    <row r="1359" spans="2:10" x14ac:dyDescent="0.25">
      <c r="B1359" s="21"/>
      <c r="G1359" s="21"/>
      <c r="H1359" s="21"/>
      <c r="J1359" s="21"/>
    </row>
    <row r="1360" spans="2:10" x14ac:dyDescent="0.25">
      <c r="B1360" s="21"/>
      <c r="G1360" s="21"/>
      <c r="H1360" s="21"/>
      <c r="J1360" s="21"/>
    </row>
    <row r="1361" spans="2:10" x14ac:dyDescent="0.25">
      <c r="B1361" s="21"/>
      <c r="G1361" s="21"/>
      <c r="H1361" s="21"/>
      <c r="J1361" s="21"/>
    </row>
    <row r="1362" spans="2:10" x14ac:dyDescent="0.25">
      <c r="B1362" s="21"/>
      <c r="G1362" s="21"/>
      <c r="H1362" s="21"/>
      <c r="J1362" s="21"/>
    </row>
    <row r="1363" spans="2:10" x14ac:dyDescent="0.25">
      <c r="B1363" s="21"/>
      <c r="G1363" s="21"/>
      <c r="H1363" s="21"/>
      <c r="J1363" s="21"/>
    </row>
    <row r="1364" spans="2:10" x14ac:dyDescent="0.25">
      <c r="B1364" s="21"/>
      <c r="G1364" s="21"/>
      <c r="H1364" s="21"/>
      <c r="J1364" s="21"/>
    </row>
    <row r="1365" spans="2:10" x14ac:dyDescent="0.25">
      <c r="B1365" s="21"/>
      <c r="G1365" s="21"/>
      <c r="H1365" s="21"/>
      <c r="J1365" s="21"/>
    </row>
    <row r="1366" spans="2:10" x14ac:dyDescent="0.25">
      <c r="B1366" s="21"/>
      <c r="G1366" s="21"/>
      <c r="H1366" s="21"/>
      <c r="J1366" s="21"/>
    </row>
    <row r="1367" spans="2:10" x14ac:dyDescent="0.25">
      <c r="B1367" s="21"/>
      <c r="G1367" s="21"/>
      <c r="H1367" s="21"/>
      <c r="J1367" s="21"/>
    </row>
    <row r="1368" spans="2:10" x14ac:dyDescent="0.25">
      <c r="B1368" s="21"/>
      <c r="G1368" s="21"/>
      <c r="H1368" s="21"/>
      <c r="J1368" s="21"/>
    </row>
    <row r="1369" spans="2:10" x14ac:dyDescent="0.25">
      <c r="B1369" s="21"/>
      <c r="G1369" s="21"/>
      <c r="H1369" s="21"/>
      <c r="J1369" s="21"/>
    </row>
    <row r="1370" spans="2:10" x14ac:dyDescent="0.25">
      <c r="B1370" s="21"/>
      <c r="G1370" s="21"/>
      <c r="H1370" s="21"/>
      <c r="J1370" s="21"/>
    </row>
    <row r="1371" spans="2:10" x14ac:dyDescent="0.25">
      <c r="B1371" s="21"/>
      <c r="G1371" s="21"/>
      <c r="H1371" s="21"/>
      <c r="J1371" s="21"/>
    </row>
    <row r="1372" spans="2:10" x14ac:dyDescent="0.25">
      <c r="B1372" s="21"/>
      <c r="G1372" s="21"/>
      <c r="H1372" s="21"/>
      <c r="J1372" s="21"/>
    </row>
    <row r="1373" spans="2:10" x14ac:dyDescent="0.25">
      <c r="B1373" s="21"/>
      <c r="G1373" s="21"/>
      <c r="H1373" s="21"/>
      <c r="J1373" s="21"/>
    </row>
    <row r="1374" spans="2:10" x14ac:dyDescent="0.25">
      <c r="B1374" s="21"/>
      <c r="G1374" s="21"/>
      <c r="H1374" s="21"/>
      <c r="J1374" s="21"/>
    </row>
    <row r="1375" spans="2:10" x14ac:dyDescent="0.25">
      <c r="B1375" s="21"/>
      <c r="G1375" s="21"/>
      <c r="H1375" s="21"/>
      <c r="J1375" s="21"/>
    </row>
    <row r="1376" spans="2:10" x14ac:dyDescent="0.25">
      <c r="B1376" s="21"/>
      <c r="G1376" s="21"/>
      <c r="H1376" s="21"/>
      <c r="J1376" s="21"/>
    </row>
    <row r="1377" spans="2:10" x14ac:dyDescent="0.25">
      <c r="B1377" s="21"/>
      <c r="G1377" s="21"/>
      <c r="H1377" s="21"/>
      <c r="J1377" s="21"/>
    </row>
    <row r="1378" spans="2:10" x14ac:dyDescent="0.25">
      <c r="B1378" s="21"/>
      <c r="G1378" s="21"/>
      <c r="H1378" s="21"/>
      <c r="J1378" s="21"/>
    </row>
    <row r="1379" spans="2:10" x14ac:dyDescent="0.25">
      <c r="B1379" s="21"/>
      <c r="G1379" s="21"/>
      <c r="H1379" s="21"/>
      <c r="J1379" s="21"/>
    </row>
    <row r="1380" spans="2:10" x14ac:dyDescent="0.25">
      <c r="B1380" s="21"/>
      <c r="G1380" s="21"/>
      <c r="H1380" s="21"/>
      <c r="J1380" s="21"/>
    </row>
    <row r="1381" spans="2:10" x14ac:dyDescent="0.25">
      <c r="B1381" s="21"/>
      <c r="G1381" s="21"/>
      <c r="H1381" s="21"/>
      <c r="J1381" s="21"/>
    </row>
    <row r="1382" spans="2:10" x14ac:dyDescent="0.25">
      <c r="B1382" s="21"/>
      <c r="G1382" s="21"/>
      <c r="H1382" s="21"/>
      <c r="J1382" s="21"/>
    </row>
    <row r="1383" spans="2:10" x14ac:dyDescent="0.25">
      <c r="B1383" s="21"/>
      <c r="G1383" s="21"/>
      <c r="H1383" s="21"/>
      <c r="J1383" s="21"/>
    </row>
    <row r="1384" spans="2:10" x14ac:dyDescent="0.25">
      <c r="B1384" s="21"/>
      <c r="G1384" s="21"/>
      <c r="H1384" s="21"/>
      <c r="J1384" s="21"/>
    </row>
    <row r="1385" spans="2:10" x14ac:dyDescent="0.25">
      <c r="B1385" s="21"/>
      <c r="G1385" s="21"/>
      <c r="H1385" s="21"/>
      <c r="J1385" s="21"/>
    </row>
    <row r="1386" spans="2:10" x14ac:dyDescent="0.25">
      <c r="B1386" s="21"/>
      <c r="G1386" s="21"/>
      <c r="H1386" s="21"/>
      <c r="J1386" s="21"/>
    </row>
    <row r="1387" spans="2:10" x14ac:dyDescent="0.25">
      <c r="B1387" s="21"/>
      <c r="G1387" s="21"/>
      <c r="H1387" s="21"/>
      <c r="J1387" s="21"/>
    </row>
    <row r="1388" spans="2:10" x14ac:dyDescent="0.25">
      <c r="B1388" s="21"/>
      <c r="G1388" s="21"/>
      <c r="H1388" s="21"/>
      <c r="J1388" s="21"/>
    </row>
    <row r="1389" spans="2:10" x14ac:dyDescent="0.25">
      <c r="B1389" s="21"/>
      <c r="G1389" s="21"/>
      <c r="H1389" s="21"/>
      <c r="J1389" s="21"/>
    </row>
    <row r="1390" spans="2:10" x14ac:dyDescent="0.25">
      <c r="B1390" s="21"/>
      <c r="G1390" s="21"/>
      <c r="H1390" s="21"/>
      <c r="J1390" s="21"/>
    </row>
    <row r="1391" spans="2:10" x14ac:dyDescent="0.25">
      <c r="B1391" s="21"/>
      <c r="G1391" s="21"/>
      <c r="H1391" s="21"/>
      <c r="J1391" s="21"/>
    </row>
    <row r="1392" spans="2:10" x14ac:dyDescent="0.25">
      <c r="B1392" s="21"/>
      <c r="G1392" s="21"/>
      <c r="H1392" s="21"/>
      <c r="J1392" s="21"/>
    </row>
    <row r="1393" spans="2:10" x14ac:dyDescent="0.25">
      <c r="B1393" s="21"/>
      <c r="G1393" s="21"/>
      <c r="H1393" s="21"/>
      <c r="J1393" s="21"/>
    </row>
    <row r="1394" spans="2:10" x14ac:dyDescent="0.25">
      <c r="B1394" s="21"/>
      <c r="G1394" s="21"/>
      <c r="H1394" s="21"/>
      <c r="J1394" s="21"/>
    </row>
    <row r="1395" spans="2:10" x14ac:dyDescent="0.25">
      <c r="B1395" s="21"/>
      <c r="G1395" s="21"/>
      <c r="H1395" s="21"/>
      <c r="J1395" s="21"/>
    </row>
    <row r="1396" spans="2:10" x14ac:dyDescent="0.25">
      <c r="B1396" s="21"/>
      <c r="G1396" s="21"/>
      <c r="H1396" s="21"/>
      <c r="J1396" s="21"/>
    </row>
    <row r="1397" spans="2:10" x14ac:dyDescent="0.25">
      <c r="B1397" s="21"/>
      <c r="G1397" s="21"/>
      <c r="H1397" s="21"/>
      <c r="J1397" s="21"/>
    </row>
    <row r="1398" spans="2:10" x14ac:dyDescent="0.25">
      <c r="B1398" s="21"/>
      <c r="G1398" s="21"/>
      <c r="H1398" s="21"/>
      <c r="J1398" s="21"/>
    </row>
    <row r="1399" spans="2:10" x14ac:dyDescent="0.25">
      <c r="B1399" s="21"/>
      <c r="G1399" s="21"/>
      <c r="H1399" s="21"/>
      <c r="J1399" s="21"/>
    </row>
    <row r="1400" spans="2:10" x14ac:dyDescent="0.25">
      <c r="B1400" s="21"/>
      <c r="G1400" s="21"/>
      <c r="H1400" s="21"/>
      <c r="J1400" s="21"/>
    </row>
    <row r="1401" spans="2:10" x14ac:dyDescent="0.25">
      <c r="B1401" s="21"/>
      <c r="G1401" s="21"/>
      <c r="H1401" s="21"/>
      <c r="J1401" s="21"/>
    </row>
    <row r="1402" spans="2:10" x14ac:dyDescent="0.25">
      <c r="B1402" s="21"/>
      <c r="G1402" s="21"/>
      <c r="H1402" s="21"/>
      <c r="J1402" s="21"/>
    </row>
    <row r="1403" spans="2:10" x14ac:dyDescent="0.25">
      <c r="B1403" s="21"/>
      <c r="G1403" s="21"/>
      <c r="H1403" s="21"/>
      <c r="J1403" s="21"/>
    </row>
    <row r="1404" spans="2:10" x14ac:dyDescent="0.25">
      <c r="B1404" s="21"/>
      <c r="G1404" s="21"/>
      <c r="H1404" s="21"/>
      <c r="J1404" s="21"/>
    </row>
    <row r="1405" spans="2:10" x14ac:dyDescent="0.25">
      <c r="B1405" s="21"/>
      <c r="G1405" s="21"/>
      <c r="H1405" s="21"/>
      <c r="J1405" s="21"/>
    </row>
    <row r="1406" spans="2:10" x14ac:dyDescent="0.25">
      <c r="B1406" s="21"/>
      <c r="G1406" s="21"/>
      <c r="H1406" s="21"/>
      <c r="J1406" s="21"/>
    </row>
    <row r="1407" spans="2:10" x14ac:dyDescent="0.25">
      <c r="B1407" s="21"/>
      <c r="G1407" s="21"/>
      <c r="H1407" s="21"/>
      <c r="J1407" s="21"/>
    </row>
    <row r="1408" spans="2:10" x14ac:dyDescent="0.25">
      <c r="B1408" s="21"/>
      <c r="G1408" s="21"/>
      <c r="H1408" s="21"/>
      <c r="J1408" s="21"/>
    </row>
    <row r="1409" spans="2:10" x14ac:dyDescent="0.25">
      <c r="B1409" s="21"/>
      <c r="G1409" s="21"/>
      <c r="H1409" s="21"/>
      <c r="J1409" s="21"/>
    </row>
    <row r="1410" spans="2:10" x14ac:dyDescent="0.25">
      <c r="B1410" s="21"/>
      <c r="G1410" s="21"/>
      <c r="H1410" s="21"/>
      <c r="J1410" s="21"/>
    </row>
    <row r="1411" spans="2:10" x14ac:dyDescent="0.25">
      <c r="B1411" s="21"/>
      <c r="G1411" s="21"/>
      <c r="H1411" s="21"/>
      <c r="J1411" s="21"/>
    </row>
    <row r="1412" spans="2:10" x14ac:dyDescent="0.25">
      <c r="B1412" s="21"/>
      <c r="G1412" s="21"/>
      <c r="H1412" s="21"/>
      <c r="J1412" s="21"/>
    </row>
    <row r="1413" spans="2:10" x14ac:dyDescent="0.25">
      <c r="B1413" s="21"/>
      <c r="G1413" s="21"/>
      <c r="H1413" s="21"/>
      <c r="J1413" s="21"/>
    </row>
    <row r="1414" spans="2:10" x14ac:dyDescent="0.25">
      <c r="B1414" s="21"/>
      <c r="G1414" s="21"/>
      <c r="H1414" s="21"/>
      <c r="J1414" s="21"/>
    </row>
    <row r="1415" spans="2:10" x14ac:dyDescent="0.25">
      <c r="B1415" s="21"/>
      <c r="G1415" s="21"/>
      <c r="H1415" s="21"/>
      <c r="J1415" s="21"/>
    </row>
    <row r="1416" spans="2:10" x14ac:dyDescent="0.25">
      <c r="B1416" s="21"/>
      <c r="G1416" s="21"/>
      <c r="H1416" s="21"/>
      <c r="J1416" s="21"/>
    </row>
    <row r="1417" spans="2:10" x14ac:dyDescent="0.25">
      <c r="B1417" s="21"/>
      <c r="G1417" s="21"/>
      <c r="H1417" s="21"/>
      <c r="J1417" s="21"/>
    </row>
    <row r="1418" spans="2:10" x14ac:dyDescent="0.25">
      <c r="B1418" s="21"/>
      <c r="G1418" s="21"/>
      <c r="H1418" s="21"/>
      <c r="J1418" s="21"/>
    </row>
    <row r="1419" spans="2:10" x14ac:dyDescent="0.25">
      <c r="B1419" s="21"/>
      <c r="G1419" s="21"/>
      <c r="H1419" s="21"/>
      <c r="J1419" s="21"/>
    </row>
    <row r="1420" spans="2:10" x14ac:dyDescent="0.25">
      <c r="B1420" s="21"/>
      <c r="G1420" s="21"/>
      <c r="H1420" s="21"/>
      <c r="J1420" s="21"/>
    </row>
    <row r="1421" spans="2:10" x14ac:dyDescent="0.25">
      <c r="B1421" s="21"/>
      <c r="G1421" s="21"/>
      <c r="H1421" s="21"/>
      <c r="J1421" s="21"/>
    </row>
    <row r="1422" spans="2:10" x14ac:dyDescent="0.25">
      <c r="B1422" s="21"/>
      <c r="G1422" s="21"/>
      <c r="H1422" s="21"/>
      <c r="J1422" s="21"/>
    </row>
    <row r="1423" spans="2:10" x14ac:dyDescent="0.25">
      <c r="B1423" s="21"/>
      <c r="G1423" s="21"/>
      <c r="H1423" s="21"/>
      <c r="J1423" s="21"/>
    </row>
    <row r="1424" spans="2:10" x14ac:dyDescent="0.25">
      <c r="B1424" s="21"/>
      <c r="G1424" s="21"/>
      <c r="H1424" s="21"/>
      <c r="J1424" s="21"/>
    </row>
    <row r="1425" spans="2:10" x14ac:dyDescent="0.25">
      <c r="B1425" s="21"/>
      <c r="G1425" s="21"/>
      <c r="H1425" s="21"/>
      <c r="J1425" s="21"/>
    </row>
    <row r="1426" spans="2:10" x14ac:dyDescent="0.25">
      <c r="B1426" s="21"/>
      <c r="G1426" s="21"/>
      <c r="H1426" s="21"/>
      <c r="J1426" s="21"/>
    </row>
    <row r="1427" spans="2:10" x14ac:dyDescent="0.25">
      <c r="B1427" s="21"/>
      <c r="G1427" s="21"/>
      <c r="H1427" s="21"/>
      <c r="J1427" s="21"/>
    </row>
    <row r="1428" spans="2:10" x14ac:dyDescent="0.25">
      <c r="B1428" s="21"/>
      <c r="G1428" s="21"/>
      <c r="H1428" s="21"/>
      <c r="J1428" s="21"/>
    </row>
    <row r="1429" spans="2:10" x14ac:dyDescent="0.25">
      <c r="B1429" s="21"/>
      <c r="G1429" s="21"/>
      <c r="H1429" s="21"/>
      <c r="J1429" s="21"/>
    </row>
    <row r="1430" spans="2:10" x14ac:dyDescent="0.25">
      <c r="B1430" s="21"/>
      <c r="G1430" s="21"/>
      <c r="H1430" s="21"/>
      <c r="J1430" s="21"/>
    </row>
    <row r="1431" spans="2:10" x14ac:dyDescent="0.25">
      <c r="B1431" s="21"/>
      <c r="G1431" s="21"/>
      <c r="H1431" s="21"/>
      <c r="J1431" s="21"/>
    </row>
    <row r="1432" spans="2:10" x14ac:dyDescent="0.25">
      <c r="B1432" s="21"/>
      <c r="G1432" s="21"/>
      <c r="H1432" s="21"/>
      <c r="J1432" s="21"/>
    </row>
    <row r="1433" spans="2:10" x14ac:dyDescent="0.25">
      <c r="B1433" s="21"/>
      <c r="G1433" s="21"/>
      <c r="H1433" s="21"/>
      <c r="J1433" s="21"/>
    </row>
    <row r="1434" spans="2:10" x14ac:dyDescent="0.25">
      <c r="B1434" s="21"/>
      <c r="G1434" s="21"/>
      <c r="H1434" s="21"/>
      <c r="J1434" s="21"/>
    </row>
    <row r="1435" spans="2:10" x14ac:dyDescent="0.25">
      <c r="B1435" s="21"/>
      <c r="G1435" s="21"/>
      <c r="H1435" s="21"/>
      <c r="J1435" s="21"/>
    </row>
    <row r="1436" spans="2:10" x14ac:dyDescent="0.25">
      <c r="B1436" s="21"/>
      <c r="G1436" s="21"/>
      <c r="H1436" s="21"/>
      <c r="J1436" s="21"/>
    </row>
    <row r="1437" spans="2:10" x14ac:dyDescent="0.25">
      <c r="B1437" s="21"/>
      <c r="G1437" s="21"/>
      <c r="H1437" s="21"/>
      <c r="J1437" s="21"/>
    </row>
    <row r="1438" spans="2:10" x14ac:dyDescent="0.25">
      <c r="B1438" s="21"/>
      <c r="G1438" s="21"/>
      <c r="H1438" s="21"/>
      <c r="J1438" s="21"/>
    </row>
    <row r="1439" spans="2:10" x14ac:dyDescent="0.25">
      <c r="B1439" s="21"/>
      <c r="G1439" s="21"/>
      <c r="H1439" s="21"/>
      <c r="J1439" s="21"/>
    </row>
    <row r="1440" spans="2:10" x14ac:dyDescent="0.25">
      <c r="B1440" s="21"/>
      <c r="G1440" s="21"/>
      <c r="H1440" s="21"/>
      <c r="J1440" s="21"/>
    </row>
    <row r="1441" spans="2:10" x14ac:dyDescent="0.25">
      <c r="B1441" s="21"/>
      <c r="G1441" s="21"/>
      <c r="H1441" s="21"/>
      <c r="J1441" s="21"/>
    </row>
    <row r="1442" spans="2:10" x14ac:dyDescent="0.25">
      <c r="B1442" s="21"/>
      <c r="G1442" s="21"/>
      <c r="H1442" s="21"/>
      <c r="J1442" s="21"/>
    </row>
    <row r="1443" spans="2:10" x14ac:dyDescent="0.25">
      <c r="B1443" s="21"/>
      <c r="G1443" s="21"/>
      <c r="H1443" s="21"/>
      <c r="J1443" s="21"/>
    </row>
    <row r="1444" spans="2:10" x14ac:dyDescent="0.25">
      <c r="B1444" s="21"/>
      <c r="G1444" s="21"/>
      <c r="H1444" s="21"/>
      <c r="J1444" s="21"/>
    </row>
    <row r="1445" spans="2:10" x14ac:dyDescent="0.25">
      <c r="B1445" s="21"/>
      <c r="G1445" s="21"/>
      <c r="H1445" s="21"/>
      <c r="J1445" s="21"/>
    </row>
    <row r="1446" spans="2:10" x14ac:dyDescent="0.25">
      <c r="B1446" s="21"/>
      <c r="G1446" s="21"/>
      <c r="H1446" s="21"/>
      <c r="J1446" s="21"/>
    </row>
    <row r="1447" spans="2:10" x14ac:dyDescent="0.25">
      <c r="B1447" s="21"/>
      <c r="G1447" s="21"/>
      <c r="H1447" s="21"/>
      <c r="J1447" s="21"/>
    </row>
    <row r="1448" spans="2:10" x14ac:dyDescent="0.25">
      <c r="B1448" s="21"/>
      <c r="G1448" s="21"/>
      <c r="H1448" s="21"/>
      <c r="J1448" s="21"/>
    </row>
    <row r="1449" spans="2:10" x14ac:dyDescent="0.25">
      <c r="B1449" s="21"/>
      <c r="G1449" s="21"/>
      <c r="H1449" s="21"/>
      <c r="J1449" s="21"/>
    </row>
    <row r="1450" spans="2:10" x14ac:dyDescent="0.25">
      <c r="B1450" s="21"/>
      <c r="G1450" s="21"/>
      <c r="H1450" s="21"/>
      <c r="J1450" s="21"/>
    </row>
    <row r="1451" spans="2:10" x14ac:dyDescent="0.25">
      <c r="B1451" s="21"/>
      <c r="G1451" s="21"/>
      <c r="H1451" s="21"/>
      <c r="J1451" s="21"/>
    </row>
    <row r="1452" spans="2:10" x14ac:dyDescent="0.25">
      <c r="B1452" s="21"/>
      <c r="G1452" s="21"/>
      <c r="H1452" s="21"/>
      <c r="J1452" s="21"/>
    </row>
    <row r="1453" spans="2:10" x14ac:dyDescent="0.25">
      <c r="B1453" s="21"/>
      <c r="G1453" s="21"/>
      <c r="H1453" s="21"/>
      <c r="J1453" s="21"/>
    </row>
    <row r="1454" spans="2:10" x14ac:dyDescent="0.25">
      <c r="B1454" s="21"/>
      <c r="G1454" s="21"/>
      <c r="H1454" s="21"/>
      <c r="J1454" s="21"/>
    </row>
    <row r="1455" spans="2:10" x14ac:dyDescent="0.25">
      <c r="B1455" s="21"/>
      <c r="G1455" s="21"/>
      <c r="H1455" s="21"/>
      <c r="J1455" s="21"/>
    </row>
    <row r="1456" spans="2:10" x14ac:dyDescent="0.25">
      <c r="B1456" s="21"/>
      <c r="G1456" s="21"/>
      <c r="H1456" s="21"/>
      <c r="J1456" s="21"/>
    </row>
    <row r="1457" spans="2:10" x14ac:dyDescent="0.25">
      <c r="B1457" s="21"/>
      <c r="G1457" s="21"/>
      <c r="H1457" s="21"/>
      <c r="J1457" s="21"/>
    </row>
    <row r="1458" spans="2:10" x14ac:dyDescent="0.25">
      <c r="B1458" s="21"/>
      <c r="G1458" s="21"/>
      <c r="H1458" s="21"/>
      <c r="J1458" s="21"/>
    </row>
    <row r="1459" spans="2:10" x14ac:dyDescent="0.25">
      <c r="B1459" s="21"/>
      <c r="G1459" s="21"/>
      <c r="H1459" s="21"/>
      <c r="J1459" s="21"/>
    </row>
    <row r="1460" spans="2:10" x14ac:dyDescent="0.25">
      <c r="B1460" s="21"/>
      <c r="G1460" s="21"/>
      <c r="H1460" s="21"/>
      <c r="J1460" s="21"/>
    </row>
    <row r="1461" spans="2:10" x14ac:dyDescent="0.25">
      <c r="B1461" s="21"/>
      <c r="G1461" s="21"/>
      <c r="H1461" s="21"/>
      <c r="J1461" s="21"/>
    </row>
    <row r="1462" spans="2:10" x14ac:dyDescent="0.25">
      <c r="B1462" s="21"/>
      <c r="G1462" s="21"/>
      <c r="H1462" s="21"/>
      <c r="J1462" s="21"/>
    </row>
    <row r="1463" spans="2:10" x14ac:dyDescent="0.25">
      <c r="B1463" s="21"/>
      <c r="G1463" s="21"/>
      <c r="H1463" s="21"/>
      <c r="J1463" s="21"/>
    </row>
    <row r="1464" spans="2:10" x14ac:dyDescent="0.25">
      <c r="B1464" s="21"/>
      <c r="G1464" s="21"/>
      <c r="H1464" s="21"/>
      <c r="J1464" s="21"/>
    </row>
    <row r="1465" spans="2:10" x14ac:dyDescent="0.25">
      <c r="B1465" s="21"/>
      <c r="G1465" s="21"/>
      <c r="H1465" s="21"/>
      <c r="J1465" s="21"/>
    </row>
    <row r="1466" spans="2:10" x14ac:dyDescent="0.25">
      <c r="B1466" s="21"/>
      <c r="G1466" s="21"/>
      <c r="H1466" s="21"/>
      <c r="J1466" s="21"/>
    </row>
    <row r="1467" spans="2:10" x14ac:dyDescent="0.25">
      <c r="B1467" s="21"/>
      <c r="G1467" s="21"/>
      <c r="H1467" s="21"/>
      <c r="J1467" s="21"/>
    </row>
    <row r="1468" spans="2:10" x14ac:dyDescent="0.25">
      <c r="B1468" s="21"/>
      <c r="G1468" s="21"/>
      <c r="H1468" s="21"/>
      <c r="J1468" s="21"/>
    </row>
    <row r="1469" spans="2:10" x14ac:dyDescent="0.25">
      <c r="B1469" s="21"/>
      <c r="G1469" s="21"/>
      <c r="H1469" s="21"/>
      <c r="J1469" s="21"/>
    </row>
    <row r="1470" spans="2:10" x14ac:dyDescent="0.25">
      <c r="B1470" s="21"/>
      <c r="G1470" s="21"/>
      <c r="H1470" s="21"/>
      <c r="J1470" s="21"/>
    </row>
    <row r="1471" spans="2:10" x14ac:dyDescent="0.25">
      <c r="B1471" s="21"/>
      <c r="G1471" s="21"/>
      <c r="H1471" s="21"/>
      <c r="J1471" s="21"/>
    </row>
    <row r="1472" spans="2:10" x14ac:dyDescent="0.25">
      <c r="B1472" s="21"/>
      <c r="G1472" s="21"/>
      <c r="H1472" s="21"/>
      <c r="J1472" s="21"/>
    </row>
    <row r="1473" spans="2:10" x14ac:dyDescent="0.25">
      <c r="B1473" s="21"/>
      <c r="G1473" s="21"/>
      <c r="H1473" s="21"/>
      <c r="J1473" s="21"/>
    </row>
    <row r="1474" spans="2:10" x14ac:dyDescent="0.25">
      <c r="B1474" s="21"/>
      <c r="G1474" s="21"/>
      <c r="H1474" s="21"/>
      <c r="J1474" s="21"/>
    </row>
    <row r="1475" spans="2:10" x14ac:dyDescent="0.25">
      <c r="B1475" s="21"/>
      <c r="G1475" s="21"/>
      <c r="H1475" s="21"/>
      <c r="J1475" s="21"/>
    </row>
    <row r="1476" spans="2:10" x14ac:dyDescent="0.25">
      <c r="B1476" s="21"/>
      <c r="G1476" s="21"/>
      <c r="H1476" s="21"/>
      <c r="J1476" s="21"/>
    </row>
    <row r="1477" spans="2:10" x14ac:dyDescent="0.25">
      <c r="B1477" s="21"/>
      <c r="G1477" s="21"/>
      <c r="H1477" s="21"/>
      <c r="J1477" s="21"/>
    </row>
    <row r="1478" spans="2:10" x14ac:dyDescent="0.25">
      <c r="B1478" s="21"/>
      <c r="G1478" s="21"/>
      <c r="H1478" s="21"/>
      <c r="J1478" s="21"/>
    </row>
    <row r="1479" spans="2:10" x14ac:dyDescent="0.25">
      <c r="B1479" s="21"/>
      <c r="G1479" s="21"/>
      <c r="H1479" s="21"/>
      <c r="J1479" s="21"/>
    </row>
    <row r="1480" spans="2:10" x14ac:dyDescent="0.25">
      <c r="B1480" s="21"/>
      <c r="G1480" s="21"/>
      <c r="H1480" s="21"/>
      <c r="J1480" s="21"/>
    </row>
    <row r="1481" spans="2:10" x14ac:dyDescent="0.25">
      <c r="B1481" s="21"/>
      <c r="G1481" s="21"/>
      <c r="H1481" s="21"/>
      <c r="J1481" s="21"/>
    </row>
    <row r="1482" spans="2:10" x14ac:dyDescent="0.25">
      <c r="B1482" s="21"/>
      <c r="G1482" s="21"/>
      <c r="H1482" s="21"/>
      <c r="J1482" s="21"/>
    </row>
    <row r="1483" spans="2:10" x14ac:dyDescent="0.25">
      <c r="B1483" s="21"/>
      <c r="G1483" s="21"/>
      <c r="H1483" s="21"/>
      <c r="J1483" s="21"/>
    </row>
    <row r="1484" spans="2:10" x14ac:dyDescent="0.25">
      <c r="B1484" s="21"/>
      <c r="G1484" s="21"/>
      <c r="H1484" s="21"/>
      <c r="J1484" s="21"/>
    </row>
    <row r="1485" spans="2:10" x14ac:dyDescent="0.25">
      <c r="B1485" s="21"/>
      <c r="G1485" s="21"/>
      <c r="H1485" s="21"/>
      <c r="J1485" s="21"/>
    </row>
    <row r="1486" spans="2:10" x14ac:dyDescent="0.25">
      <c r="B1486" s="21"/>
      <c r="G1486" s="21"/>
      <c r="H1486" s="21"/>
      <c r="J1486" s="21"/>
    </row>
    <row r="1487" spans="2:10" x14ac:dyDescent="0.25">
      <c r="B1487" s="21"/>
      <c r="G1487" s="21"/>
      <c r="H1487" s="21"/>
      <c r="J1487" s="21"/>
    </row>
    <row r="1488" spans="2:10" x14ac:dyDescent="0.25">
      <c r="B1488" s="21"/>
      <c r="G1488" s="21"/>
      <c r="H1488" s="21"/>
      <c r="J1488" s="21"/>
    </row>
    <row r="1489" spans="2:10" x14ac:dyDescent="0.25">
      <c r="B1489" s="21"/>
      <c r="G1489" s="21"/>
      <c r="H1489" s="21"/>
      <c r="J1489" s="21"/>
    </row>
    <row r="1490" spans="2:10" x14ac:dyDescent="0.25">
      <c r="B1490" s="21"/>
      <c r="G1490" s="21"/>
      <c r="H1490" s="21"/>
      <c r="J1490" s="21"/>
    </row>
    <row r="1491" spans="2:10" x14ac:dyDescent="0.25">
      <c r="B1491" s="21"/>
      <c r="G1491" s="21"/>
      <c r="H1491" s="21"/>
      <c r="J1491" s="21"/>
    </row>
    <row r="1492" spans="2:10" x14ac:dyDescent="0.25">
      <c r="B1492" s="21"/>
      <c r="G1492" s="21"/>
      <c r="H1492" s="21"/>
      <c r="J1492" s="21"/>
    </row>
    <row r="1493" spans="2:10" x14ac:dyDescent="0.25">
      <c r="B1493" s="21"/>
      <c r="G1493" s="21"/>
      <c r="H1493" s="21"/>
      <c r="J1493" s="21"/>
    </row>
    <row r="1494" spans="2:10" x14ac:dyDescent="0.25">
      <c r="B1494" s="21"/>
      <c r="G1494" s="21"/>
      <c r="H1494" s="21"/>
      <c r="J1494" s="21"/>
    </row>
    <row r="1495" spans="2:10" x14ac:dyDescent="0.25">
      <c r="B1495" s="21"/>
      <c r="G1495" s="21"/>
      <c r="H1495" s="21"/>
      <c r="J1495" s="21"/>
    </row>
    <row r="1496" spans="2:10" x14ac:dyDescent="0.25">
      <c r="B1496" s="21"/>
      <c r="G1496" s="21"/>
      <c r="H1496" s="21"/>
      <c r="J1496" s="21"/>
    </row>
    <row r="1497" spans="2:10" x14ac:dyDescent="0.25">
      <c r="B1497" s="21"/>
      <c r="G1497" s="21"/>
      <c r="H1497" s="21"/>
      <c r="J1497" s="21"/>
    </row>
    <row r="1498" spans="2:10" x14ac:dyDescent="0.25">
      <c r="B1498" s="21"/>
      <c r="G1498" s="21"/>
      <c r="H1498" s="21"/>
      <c r="J1498" s="21"/>
    </row>
    <row r="1499" spans="2:10" x14ac:dyDescent="0.25">
      <c r="B1499" s="21"/>
      <c r="G1499" s="21"/>
      <c r="H1499" s="21"/>
      <c r="J1499" s="21"/>
    </row>
    <row r="1500" spans="2:10" x14ac:dyDescent="0.25">
      <c r="B1500" s="21"/>
      <c r="G1500" s="21"/>
      <c r="H1500" s="21"/>
      <c r="J1500" s="21"/>
    </row>
    <row r="1501" spans="2:10" x14ac:dyDescent="0.25">
      <c r="B1501" s="21"/>
      <c r="G1501" s="21"/>
      <c r="H1501" s="21"/>
      <c r="J1501" s="21"/>
    </row>
    <row r="1502" spans="2:10" x14ac:dyDescent="0.25">
      <c r="B1502" s="21"/>
      <c r="G1502" s="21"/>
      <c r="H1502" s="21"/>
      <c r="J1502" s="21"/>
    </row>
    <row r="1503" spans="2:10" x14ac:dyDescent="0.25">
      <c r="B1503" s="21"/>
      <c r="G1503" s="21"/>
      <c r="H1503" s="21"/>
      <c r="J1503" s="21"/>
    </row>
    <row r="1504" spans="2:10" x14ac:dyDescent="0.25">
      <c r="B1504" s="21"/>
      <c r="G1504" s="21"/>
      <c r="H1504" s="21"/>
      <c r="J1504" s="21"/>
    </row>
    <row r="1505" spans="2:10" x14ac:dyDescent="0.25">
      <c r="B1505" s="21"/>
      <c r="G1505" s="21"/>
      <c r="H1505" s="21"/>
      <c r="J1505" s="21"/>
    </row>
    <row r="1506" spans="2:10" x14ac:dyDescent="0.25">
      <c r="B1506" s="21"/>
      <c r="G1506" s="21"/>
      <c r="H1506" s="21"/>
      <c r="J1506" s="21"/>
    </row>
    <row r="1507" spans="2:10" x14ac:dyDescent="0.25">
      <c r="B1507" s="21"/>
      <c r="G1507" s="21"/>
      <c r="H1507" s="21"/>
      <c r="J1507" s="21"/>
    </row>
    <row r="1508" spans="2:10" x14ac:dyDescent="0.25">
      <c r="B1508" s="21"/>
      <c r="G1508" s="21"/>
      <c r="H1508" s="21"/>
      <c r="J1508" s="21"/>
    </row>
    <row r="1509" spans="2:10" x14ac:dyDescent="0.25">
      <c r="B1509" s="21"/>
      <c r="G1509" s="21"/>
      <c r="H1509" s="21"/>
      <c r="J1509" s="21"/>
    </row>
    <row r="1510" spans="2:10" x14ac:dyDescent="0.25">
      <c r="B1510" s="21"/>
      <c r="G1510" s="21"/>
      <c r="H1510" s="21"/>
      <c r="J1510" s="21"/>
    </row>
    <row r="1511" spans="2:10" x14ac:dyDescent="0.25">
      <c r="B1511" s="21"/>
      <c r="G1511" s="21"/>
      <c r="H1511" s="21"/>
      <c r="J1511" s="21"/>
    </row>
    <row r="1512" spans="2:10" x14ac:dyDescent="0.25">
      <c r="B1512" s="21"/>
      <c r="G1512" s="21"/>
      <c r="H1512" s="21"/>
      <c r="J1512" s="21"/>
    </row>
    <row r="1513" spans="2:10" x14ac:dyDescent="0.25">
      <c r="B1513" s="21"/>
      <c r="G1513" s="21"/>
      <c r="H1513" s="21"/>
      <c r="J1513" s="21"/>
    </row>
    <row r="1514" spans="2:10" x14ac:dyDescent="0.25">
      <c r="B1514" s="21"/>
      <c r="G1514" s="21"/>
      <c r="H1514" s="21"/>
      <c r="J1514" s="21"/>
    </row>
    <row r="1515" spans="2:10" x14ac:dyDescent="0.25">
      <c r="B1515" s="21"/>
      <c r="G1515" s="21"/>
      <c r="H1515" s="21"/>
      <c r="J1515" s="21"/>
    </row>
    <row r="1516" spans="2:10" x14ac:dyDescent="0.25">
      <c r="B1516" s="21"/>
      <c r="G1516" s="21"/>
      <c r="H1516" s="21"/>
      <c r="J1516" s="21"/>
    </row>
    <row r="1517" spans="2:10" x14ac:dyDescent="0.25">
      <c r="B1517" s="21"/>
      <c r="G1517" s="21"/>
      <c r="H1517" s="21"/>
      <c r="J1517" s="21"/>
    </row>
    <row r="1518" spans="2:10" x14ac:dyDescent="0.25">
      <c r="B1518" s="21"/>
      <c r="G1518" s="21"/>
      <c r="H1518" s="21"/>
      <c r="J1518" s="21"/>
    </row>
    <row r="1519" spans="2:10" x14ac:dyDescent="0.25">
      <c r="B1519" s="21"/>
      <c r="G1519" s="21"/>
      <c r="H1519" s="21"/>
      <c r="J1519" s="21"/>
    </row>
    <row r="1520" spans="2:10" x14ac:dyDescent="0.25">
      <c r="B1520" s="21"/>
      <c r="G1520" s="21"/>
      <c r="H1520" s="21"/>
      <c r="J1520" s="21"/>
    </row>
    <row r="1521" spans="2:10" x14ac:dyDescent="0.25">
      <c r="B1521" s="21"/>
      <c r="G1521" s="21"/>
      <c r="H1521" s="21"/>
      <c r="J1521" s="21"/>
    </row>
    <row r="1522" spans="2:10" x14ac:dyDescent="0.25">
      <c r="B1522" s="21"/>
      <c r="G1522" s="21"/>
      <c r="H1522" s="21"/>
      <c r="J1522" s="21"/>
    </row>
    <row r="1523" spans="2:10" x14ac:dyDescent="0.25">
      <c r="B1523" s="21"/>
      <c r="G1523" s="21"/>
      <c r="H1523" s="21"/>
      <c r="J1523" s="21"/>
    </row>
    <row r="1524" spans="2:10" x14ac:dyDescent="0.25">
      <c r="B1524" s="21"/>
      <c r="G1524" s="21"/>
      <c r="H1524" s="21"/>
      <c r="J1524" s="21"/>
    </row>
    <row r="1525" spans="2:10" x14ac:dyDescent="0.25">
      <c r="B1525" s="21"/>
      <c r="G1525" s="21"/>
      <c r="H1525" s="21"/>
      <c r="J1525" s="21"/>
    </row>
    <row r="1526" spans="2:10" x14ac:dyDescent="0.25">
      <c r="B1526" s="21"/>
      <c r="G1526" s="21"/>
      <c r="H1526" s="21"/>
      <c r="J1526" s="21"/>
    </row>
    <row r="1527" spans="2:10" x14ac:dyDescent="0.25">
      <c r="B1527" s="21"/>
      <c r="G1527" s="21"/>
      <c r="H1527" s="21"/>
      <c r="J1527" s="21"/>
    </row>
    <row r="1528" spans="2:10" x14ac:dyDescent="0.25">
      <c r="B1528" s="21"/>
      <c r="G1528" s="21"/>
      <c r="H1528" s="21"/>
      <c r="J1528" s="21"/>
    </row>
    <row r="1529" spans="2:10" x14ac:dyDescent="0.25">
      <c r="B1529" s="21"/>
      <c r="G1529" s="21"/>
      <c r="H1529" s="21"/>
      <c r="J1529" s="21"/>
    </row>
    <row r="1530" spans="2:10" x14ac:dyDescent="0.25">
      <c r="B1530" s="21"/>
      <c r="G1530" s="21"/>
      <c r="H1530" s="21"/>
      <c r="J1530" s="21"/>
    </row>
    <row r="1531" spans="2:10" x14ac:dyDescent="0.25">
      <c r="B1531" s="21"/>
      <c r="G1531" s="21"/>
      <c r="H1531" s="21"/>
      <c r="J1531" s="21"/>
    </row>
    <row r="1532" spans="2:10" x14ac:dyDescent="0.25">
      <c r="B1532" s="21"/>
      <c r="G1532" s="21"/>
      <c r="H1532" s="21"/>
      <c r="J1532" s="21"/>
    </row>
    <row r="1533" spans="2:10" x14ac:dyDescent="0.25">
      <c r="B1533" s="21"/>
      <c r="G1533" s="21"/>
      <c r="H1533" s="21"/>
      <c r="J1533" s="21"/>
    </row>
    <row r="1534" spans="2:10" x14ac:dyDescent="0.25">
      <c r="B1534" s="21"/>
      <c r="G1534" s="21"/>
      <c r="H1534" s="21"/>
      <c r="J1534" s="21"/>
    </row>
    <row r="1535" spans="2:10" x14ac:dyDescent="0.25">
      <c r="B1535" s="21"/>
      <c r="G1535" s="21"/>
      <c r="H1535" s="21"/>
      <c r="J1535" s="21"/>
    </row>
    <row r="1536" spans="2:10" x14ac:dyDescent="0.25">
      <c r="B1536" s="21"/>
      <c r="G1536" s="21"/>
      <c r="H1536" s="21"/>
      <c r="J1536" s="21"/>
    </row>
    <row r="1537" spans="2:10" x14ac:dyDescent="0.25">
      <c r="B1537" s="21"/>
      <c r="G1537" s="21"/>
      <c r="H1537" s="21"/>
      <c r="J1537" s="21"/>
    </row>
    <row r="1538" spans="2:10" x14ac:dyDescent="0.25">
      <c r="B1538" s="21"/>
      <c r="G1538" s="21"/>
      <c r="H1538" s="21"/>
      <c r="J1538" s="21"/>
    </row>
    <row r="1539" spans="2:10" x14ac:dyDescent="0.25">
      <c r="B1539" s="21"/>
      <c r="G1539" s="21"/>
      <c r="H1539" s="21"/>
      <c r="J1539" s="21"/>
    </row>
    <row r="1540" spans="2:10" x14ac:dyDescent="0.25">
      <c r="B1540" s="21"/>
      <c r="G1540" s="21"/>
      <c r="H1540" s="21"/>
      <c r="J1540" s="21"/>
    </row>
    <row r="1541" spans="2:10" x14ac:dyDescent="0.25">
      <c r="B1541" s="21"/>
      <c r="G1541" s="21"/>
      <c r="H1541" s="21"/>
      <c r="J1541" s="21"/>
    </row>
    <row r="1542" spans="2:10" x14ac:dyDescent="0.25">
      <c r="B1542" s="21"/>
      <c r="G1542" s="21"/>
      <c r="H1542" s="21"/>
      <c r="J1542" s="21"/>
    </row>
    <row r="1543" spans="2:10" x14ac:dyDescent="0.25">
      <c r="B1543" s="21"/>
      <c r="G1543" s="21"/>
      <c r="H1543" s="21"/>
      <c r="J1543" s="21"/>
    </row>
    <row r="1544" spans="2:10" x14ac:dyDescent="0.25">
      <c r="B1544" s="21"/>
      <c r="G1544" s="21"/>
      <c r="H1544" s="21"/>
      <c r="J1544" s="21"/>
    </row>
    <row r="1545" spans="2:10" x14ac:dyDescent="0.25">
      <c r="B1545" s="21"/>
      <c r="G1545" s="21"/>
      <c r="H1545" s="21"/>
      <c r="J1545" s="21"/>
    </row>
    <row r="1546" spans="2:10" x14ac:dyDescent="0.25">
      <c r="B1546" s="21"/>
      <c r="G1546" s="21"/>
      <c r="H1546" s="21"/>
      <c r="J1546" s="21"/>
    </row>
    <row r="1547" spans="2:10" x14ac:dyDescent="0.25">
      <c r="B1547" s="21"/>
      <c r="G1547" s="21"/>
      <c r="H1547" s="21"/>
      <c r="J1547" s="21"/>
    </row>
    <row r="1548" spans="2:10" x14ac:dyDescent="0.25">
      <c r="B1548" s="21"/>
      <c r="G1548" s="21"/>
      <c r="H1548" s="21"/>
      <c r="J1548" s="21"/>
    </row>
    <row r="1549" spans="2:10" x14ac:dyDescent="0.25">
      <c r="B1549" s="21"/>
      <c r="G1549" s="21"/>
      <c r="H1549" s="21"/>
      <c r="J1549" s="21"/>
    </row>
    <row r="1550" spans="2:10" x14ac:dyDescent="0.25">
      <c r="B1550" s="21"/>
      <c r="G1550" s="21"/>
      <c r="H1550" s="21"/>
      <c r="J1550" s="21"/>
    </row>
    <row r="1551" spans="2:10" x14ac:dyDescent="0.25">
      <c r="B1551" s="21"/>
      <c r="G1551" s="21"/>
      <c r="H1551" s="21"/>
      <c r="J1551" s="21"/>
    </row>
    <row r="1552" spans="2:10" x14ac:dyDescent="0.25">
      <c r="B1552" s="21"/>
      <c r="G1552" s="21"/>
      <c r="H1552" s="21"/>
      <c r="J1552" s="21"/>
    </row>
    <row r="1553" spans="2:10" x14ac:dyDescent="0.25">
      <c r="B1553" s="21"/>
      <c r="G1553" s="21"/>
      <c r="H1553" s="21"/>
      <c r="J1553" s="21"/>
    </row>
    <row r="1554" spans="2:10" x14ac:dyDescent="0.25">
      <c r="B1554" s="21"/>
      <c r="G1554" s="21"/>
      <c r="H1554" s="21"/>
      <c r="J1554" s="21"/>
    </row>
    <row r="1555" spans="2:10" x14ac:dyDescent="0.25">
      <c r="B1555" s="21"/>
      <c r="G1555" s="21"/>
      <c r="H1555" s="21"/>
      <c r="J1555" s="21"/>
    </row>
    <row r="1556" spans="2:10" x14ac:dyDescent="0.25">
      <c r="B1556" s="21"/>
      <c r="G1556" s="21"/>
      <c r="H1556" s="21"/>
      <c r="J1556" s="21"/>
    </row>
    <row r="1557" spans="2:10" x14ac:dyDescent="0.25">
      <c r="B1557" s="21"/>
      <c r="G1557" s="21"/>
      <c r="H1557" s="21"/>
      <c r="J1557" s="21"/>
    </row>
    <row r="1558" spans="2:10" x14ac:dyDescent="0.25">
      <c r="B1558" s="21"/>
      <c r="G1558" s="21"/>
      <c r="H1558" s="21"/>
      <c r="J1558" s="21"/>
    </row>
    <row r="1559" spans="2:10" x14ac:dyDescent="0.25">
      <c r="B1559" s="21"/>
      <c r="G1559" s="21"/>
      <c r="H1559" s="21"/>
      <c r="J1559" s="21"/>
    </row>
    <row r="1560" spans="2:10" x14ac:dyDescent="0.25">
      <c r="B1560" s="21"/>
      <c r="G1560" s="21"/>
      <c r="H1560" s="21"/>
      <c r="J1560" s="21"/>
    </row>
    <row r="1561" spans="2:10" x14ac:dyDescent="0.25">
      <c r="B1561" s="21"/>
      <c r="G1561" s="21"/>
      <c r="H1561" s="21"/>
      <c r="J1561" s="21"/>
    </row>
    <row r="1562" spans="2:10" x14ac:dyDescent="0.25">
      <c r="B1562" s="21"/>
      <c r="G1562" s="21"/>
      <c r="H1562" s="21"/>
      <c r="J1562" s="21"/>
    </row>
    <row r="1563" spans="2:10" x14ac:dyDescent="0.25">
      <c r="B1563" s="21"/>
      <c r="G1563" s="21"/>
      <c r="H1563" s="21"/>
      <c r="J1563" s="21"/>
    </row>
    <row r="1564" spans="2:10" x14ac:dyDescent="0.25">
      <c r="B1564" s="21"/>
      <c r="G1564" s="21"/>
      <c r="H1564" s="21"/>
      <c r="J1564" s="21"/>
    </row>
    <row r="1565" spans="2:10" x14ac:dyDescent="0.25">
      <c r="B1565" s="21"/>
      <c r="G1565" s="21"/>
      <c r="H1565" s="21"/>
      <c r="J1565" s="21"/>
    </row>
    <row r="1566" spans="2:10" x14ac:dyDescent="0.25">
      <c r="B1566" s="21"/>
      <c r="G1566" s="21"/>
      <c r="H1566" s="21"/>
      <c r="J1566" s="21"/>
    </row>
    <row r="1567" spans="2:10" x14ac:dyDescent="0.25">
      <c r="B1567" s="21"/>
      <c r="G1567" s="21"/>
      <c r="H1567" s="21"/>
      <c r="J1567" s="21"/>
    </row>
    <row r="1568" spans="2:10" x14ac:dyDescent="0.25">
      <c r="B1568" s="21"/>
      <c r="G1568" s="21"/>
      <c r="H1568" s="21"/>
      <c r="J1568" s="21"/>
    </row>
    <row r="1569" spans="2:10" x14ac:dyDescent="0.25">
      <c r="B1569" s="21"/>
      <c r="G1569" s="21"/>
      <c r="H1569" s="21"/>
      <c r="J1569" s="21"/>
    </row>
    <row r="1570" spans="2:10" x14ac:dyDescent="0.25">
      <c r="B1570" s="21"/>
      <c r="G1570" s="21"/>
      <c r="H1570" s="21"/>
      <c r="J1570" s="21"/>
    </row>
    <row r="1571" spans="2:10" x14ac:dyDescent="0.25">
      <c r="B1571" s="21"/>
      <c r="G1571" s="21"/>
      <c r="H1571" s="21"/>
      <c r="J1571" s="21"/>
    </row>
    <row r="1572" spans="2:10" x14ac:dyDescent="0.25">
      <c r="B1572" s="21"/>
      <c r="G1572" s="21"/>
      <c r="H1572" s="21"/>
      <c r="J1572" s="21"/>
    </row>
    <row r="1573" spans="2:10" x14ac:dyDescent="0.25">
      <c r="B1573" s="21"/>
      <c r="G1573" s="21"/>
      <c r="H1573" s="21"/>
      <c r="J1573" s="21"/>
    </row>
    <row r="1574" spans="2:10" x14ac:dyDescent="0.25">
      <c r="B1574" s="21"/>
      <c r="G1574" s="21"/>
      <c r="H1574" s="21"/>
      <c r="J1574" s="21"/>
    </row>
    <row r="1575" spans="2:10" x14ac:dyDescent="0.25">
      <c r="B1575" s="21"/>
      <c r="G1575" s="21"/>
      <c r="H1575" s="21"/>
      <c r="J1575" s="21"/>
    </row>
    <row r="1576" spans="2:10" x14ac:dyDescent="0.25">
      <c r="B1576" s="21"/>
      <c r="G1576" s="21"/>
      <c r="H1576" s="21"/>
      <c r="J1576" s="21"/>
    </row>
    <row r="1577" spans="2:10" x14ac:dyDescent="0.25">
      <c r="B1577" s="21"/>
      <c r="G1577" s="21"/>
      <c r="H1577" s="21"/>
      <c r="J1577" s="21"/>
    </row>
    <row r="1578" spans="2:10" x14ac:dyDescent="0.25">
      <c r="B1578" s="21"/>
      <c r="G1578" s="21"/>
      <c r="H1578" s="21"/>
      <c r="J1578" s="21"/>
    </row>
    <row r="1579" spans="2:10" x14ac:dyDescent="0.25">
      <c r="B1579" s="21"/>
      <c r="G1579" s="21"/>
      <c r="H1579" s="21"/>
      <c r="J1579" s="21"/>
    </row>
    <row r="1580" spans="2:10" x14ac:dyDescent="0.25">
      <c r="B1580" s="21"/>
      <c r="G1580" s="21"/>
      <c r="H1580" s="21"/>
      <c r="J1580" s="21"/>
    </row>
    <row r="1581" spans="2:10" x14ac:dyDescent="0.25">
      <c r="B1581" s="21"/>
      <c r="G1581" s="21"/>
      <c r="H1581" s="21"/>
      <c r="J1581" s="21"/>
    </row>
    <row r="1582" spans="2:10" x14ac:dyDescent="0.25">
      <c r="B1582" s="21"/>
      <c r="G1582" s="21"/>
      <c r="H1582" s="21"/>
      <c r="J1582" s="21"/>
    </row>
    <row r="1583" spans="2:10" x14ac:dyDescent="0.25">
      <c r="B1583" s="21"/>
      <c r="G1583" s="21"/>
      <c r="H1583" s="21"/>
      <c r="J1583" s="21"/>
    </row>
    <row r="1584" spans="2:10" x14ac:dyDescent="0.25">
      <c r="B1584" s="21"/>
      <c r="G1584" s="21"/>
      <c r="H1584" s="21"/>
      <c r="J1584" s="21"/>
    </row>
    <row r="1585" spans="2:10" x14ac:dyDescent="0.25">
      <c r="B1585" s="21"/>
      <c r="G1585" s="21"/>
      <c r="H1585" s="21"/>
      <c r="J1585" s="21"/>
    </row>
    <row r="1586" spans="2:10" x14ac:dyDescent="0.25">
      <c r="B1586" s="21"/>
      <c r="G1586" s="21"/>
      <c r="H1586" s="21"/>
      <c r="J1586" s="21"/>
    </row>
    <row r="1587" spans="2:10" x14ac:dyDescent="0.25">
      <c r="B1587" s="21"/>
      <c r="G1587" s="21"/>
      <c r="H1587" s="21"/>
      <c r="J1587" s="21"/>
    </row>
    <row r="1588" spans="2:10" x14ac:dyDescent="0.25">
      <c r="B1588" s="21"/>
      <c r="G1588" s="21"/>
      <c r="H1588" s="21"/>
      <c r="J1588" s="21"/>
    </row>
    <row r="1589" spans="2:10" x14ac:dyDescent="0.25">
      <c r="B1589" s="21"/>
      <c r="G1589" s="21"/>
      <c r="H1589" s="21"/>
      <c r="J1589" s="21"/>
    </row>
    <row r="1590" spans="2:10" x14ac:dyDescent="0.25">
      <c r="B1590" s="21"/>
      <c r="G1590" s="21"/>
      <c r="H1590" s="21"/>
      <c r="J1590" s="21"/>
    </row>
    <row r="1591" spans="2:10" x14ac:dyDescent="0.25">
      <c r="B1591" s="21"/>
      <c r="G1591" s="21"/>
      <c r="H1591" s="21"/>
      <c r="J1591" s="21"/>
    </row>
    <row r="1592" spans="2:10" x14ac:dyDescent="0.25">
      <c r="B1592" s="21"/>
      <c r="G1592" s="21"/>
      <c r="H1592" s="21"/>
      <c r="J1592" s="21"/>
    </row>
    <row r="1593" spans="2:10" x14ac:dyDescent="0.25">
      <c r="B1593" s="21"/>
      <c r="G1593" s="21"/>
      <c r="H1593" s="21"/>
      <c r="J1593" s="21"/>
    </row>
    <row r="1594" spans="2:10" x14ac:dyDescent="0.25">
      <c r="B1594" s="21"/>
      <c r="G1594" s="21"/>
      <c r="H1594" s="21"/>
      <c r="J1594" s="21"/>
    </row>
    <row r="1595" spans="2:10" x14ac:dyDescent="0.25">
      <c r="B1595" s="21"/>
      <c r="G1595" s="21"/>
      <c r="H1595" s="21"/>
      <c r="J1595" s="21"/>
    </row>
    <row r="1596" spans="2:10" x14ac:dyDescent="0.25">
      <c r="B1596" s="21"/>
      <c r="G1596" s="21"/>
      <c r="H1596" s="21"/>
      <c r="J1596" s="21"/>
    </row>
    <row r="1597" spans="2:10" x14ac:dyDescent="0.25">
      <c r="B1597" s="21"/>
      <c r="G1597" s="21"/>
      <c r="H1597" s="21"/>
      <c r="J1597" s="21"/>
    </row>
    <row r="1598" spans="2:10" x14ac:dyDescent="0.25">
      <c r="B1598" s="21"/>
      <c r="G1598" s="21"/>
      <c r="H1598" s="21"/>
      <c r="J1598" s="21"/>
    </row>
    <row r="1599" spans="2:10" x14ac:dyDescent="0.25">
      <c r="B1599" s="21"/>
      <c r="G1599" s="21"/>
      <c r="H1599" s="21"/>
      <c r="J1599" s="21"/>
    </row>
    <row r="1600" spans="2:10" x14ac:dyDescent="0.25">
      <c r="B1600" s="21"/>
      <c r="G1600" s="21"/>
      <c r="H1600" s="21"/>
      <c r="J1600" s="21"/>
    </row>
    <row r="1601" spans="2:10" x14ac:dyDescent="0.25">
      <c r="B1601" s="21"/>
      <c r="G1601" s="21"/>
      <c r="H1601" s="21"/>
      <c r="J1601" s="21"/>
    </row>
    <row r="1602" spans="2:10" x14ac:dyDescent="0.25">
      <c r="B1602" s="21"/>
      <c r="G1602" s="21"/>
      <c r="H1602" s="21"/>
      <c r="J1602" s="21"/>
    </row>
    <row r="1603" spans="2:10" x14ac:dyDescent="0.25">
      <c r="B1603" s="21"/>
      <c r="G1603" s="21"/>
      <c r="H1603" s="21"/>
      <c r="J1603" s="21"/>
    </row>
    <row r="1604" spans="2:10" x14ac:dyDescent="0.25">
      <c r="B1604" s="21"/>
      <c r="G1604" s="21"/>
      <c r="H1604" s="21"/>
      <c r="J1604" s="21"/>
    </row>
    <row r="1605" spans="2:10" x14ac:dyDescent="0.25">
      <c r="B1605" s="21"/>
      <c r="G1605" s="21"/>
      <c r="H1605" s="21"/>
      <c r="J1605" s="21"/>
    </row>
    <row r="1606" spans="2:10" x14ac:dyDescent="0.25">
      <c r="B1606" s="21"/>
      <c r="G1606" s="21"/>
      <c r="H1606" s="21"/>
      <c r="J1606" s="21"/>
    </row>
    <row r="1607" spans="2:10" x14ac:dyDescent="0.25">
      <c r="B1607" s="21"/>
      <c r="G1607" s="21"/>
      <c r="H1607" s="21"/>
      <c r="J1607" s="21"/>
    </row>
    <row r="1608" spans="2:10" x14ac:dyDescent="0.25">
      <c r="B1608" s="21"/>
      <c r="G1608" s="21"/>
      <c r="H1608" s="21"/>
      <c r="J1608" s="21"/>
    </row>
    <row r="1609" spans="2:10" x14ac:dyDescent="0.25">
      <c r="B1609" s="21"/>
      <c r="G1609" s="21"/>
      <c r="H1609" s="21"/>
      <c r="J1609" s="21"/>
    </row>
    <row r="1610" spans="2:10" x14ac:dyDescent="0.25">
      <c r="B1610" s="21"/>
      <c r="G1610" s="21"/>
      <c r="H1610" s="21"/>
      <c r="J1610" s="21"/>
    </row>
    <row r="1611" spans="2:10" x14ac:dyDescent="0.25">
      <c r="B1611" s="21"/>
      <c r="G1611" s="21"/>
      <c r="H1611" s="21"/>
      <c r="J1611" s="21"/>
    </row>
    <row r="1612" spans="2:10" x14ac:dyDescent="0.25">
      <c r="B1612" s="21"/>
      <c r="G1612" s="21"/>
      <c r="H1612" s="21"/>
      <c r="J1612" s="21"/>
    </row>
    <row r="1613" spans="2:10" x14ac:dyDescent="0.25">
      <c r="B1613" s="21"/>
      <c r="G1613" s="21"/>
      <c r="H1613" s="21"/>
      <c r="J1613" s="21"/>
    </row>
    <row r="1614" spans="2:10" x14ac:dyDescent="0.25">
      <c r="B1614" s="21"/>
      <c r="G1614" s="21"/>
      <c r="H1614" s="21"/>
      <c r="J1614" s="21"/>
    </row>
    <row r="1615" spans="2:10" x14ac:dyDescent="0.25">
      <c r="B1615" s="21"/>
      <c r="G1615" s="21"/>
      <c r="H1615" s="21"/>
      <c r="J1615" s="21"/>
    </row>
    <row r="1616" spans="2:10" x14ac:dyDescent="0.25">
      <c r="B1616" s="21"/>
      <c r="G1616" s="21"/>
      <c r="H1616" s="21"/>
      <c r="J1616" s="21"/>
    </row>
    <row r="1617" spans="2:10" x14ac:dyDescent="0.25">
      <c r="B1617" s="21"/>
      <c r="G1617" s="21"/>
      <c r="H1617" s="21"/>
      <c r="J1617" s="21"/>
    </row>
    <row r="1618" spans="2:10" x14ac:dyDescent="0.25">
      <c r="B1618" s="21"/>
      <c r="G1618" s="21"/>
      <c r="H1618" s="21"/>
      <c r="J1618" s="21"/>
    </row>
    <row r="1619" spans="2:10" x14ac:dyDescent="0.25">
      <c r="B1619" s="21"/>
      <c r="G1619" s="21"/>
      <c r="H1619" s="21"/>
      <c r="J1619" s="21"/>
    </row>
    <row r="1620" spans="2:10" x14ac:dyDescent="0.25">
      <c r="B1620" s="21"/>
      <c r="G1620" s="21"/>
      <c r="H1620" s="21"/>
      <c r="J1620" s="21"/>
    </row>
    <row r="1621" spans="2:10" x14ac:dyDescent="0.25">
      <c r="B1621" s="21"/>
      <c r="G1621" s="21"/>
      <c r="H1621" s="21"/>
      <c r="J1621" s="21"/>
    </row>
    <row r="1622" spans="2:10" x14ac:dyDescent="0.25">
      <c r="B1622" s="21"/>
      <c r="G1622" s="21"/>
      <c r="H1622" s="21"/>
      <c r="J1622" s="21"/>
    </row>
    <row r="1623" spans="2:10" x14ac:dyDescent="0.25">
      <c r="B1623" s="21"/>
      <c r="G1623" s="21"/>
      <c r="H1623" s="21"/>
      <c r="J1623" s="21"/>
    </row>
    <row r="1624" spans="2:10" x14ac:dyDescent="0.25">
      <c r="B1624" s="21"/>
      <c r="G1624" s="21"/>
      <c r="H1624" s="21"/>
      <c r="J1624" s="21"/>
    </row>
    <row r="1625" spans="2:10" x14ac:dyDescent="0.25">
      <c r="B1625" s="21"/>
      <c r="G1625" s="21"/>
      <c r="H1625" s="21"/>
      <c r="J1625" s="21"/>
    </row>
    <row r="1626" spans="2:10" x14ac:dyDescent="0.25">
      <c r="B1626" s="21"/>
      <c r="G1626" s="21"/>
      <c r="H1626" s="21"/>
      <c r="J1626" s="21"/>
    </row>
    <row r="1627" spans="2:10" x14ac:dyDescent="0.25">
      <c r="B1627" s="21"/>
      <c r="G1627" s="21"/>
      <c r="H1627" s="21"/>
      <c r="J1627" s="21"/>
    </row>
    <row r="1628" spans="2:10" x14ac:dyDescent="0.25">
      <c r="B1628" s="21"/>
      <c r="G1628" s="21"/>
      <c r="H1628" s="21"/>
      <c r="J1628" s="21"/>
    </row>
    <row r="1629" spans="2:10" x14ac:dyDescent="0.25">
      <c r="B1629" s="21"/>
      <c r="G1629" s="21"/>
      <c r="H1629" s="21"/>
      <c r="J1629" s="21"/>
    </row>
    <row r="1630" spans="2:10" x14ac:dyDescent="0.25">
      <c r="B1630" s="21"/>
      <c r="G1630" s="21"/>
      <c r="H1630" s="21"/>
      <c r="J1630" s="21"/>
    </row>
    <row r="1631" spans="2:10" x14ac:dyDescent="0.25">
      <c r="B1631" s="21"/>
      <c r="G1631" s="21"/>
      <c r="H1631" s="21"/>
      <c r="J1631" s="21"/>
    </row>
    <row r="1632" spans="2:10" x14ac:dyDescent="0.25">
      <c r="B1632" s="21"/>
      <c r="G1632" s="21"/>
      <c r="H1632" s="21"/>
      <c r="J1632" s="21"/>
    </row>
    <row r="1633" spans="2:10" x14ac:dyDescent="0.25">
      <c r="B1633" s="21"/>
      <c r="G1633" s="21"/>
      <c r="H1633" s="21"/>
      <c r="J1633" s="21"/>
    </row>
    <row r="1634" spans="2:10" x14ac:dyDescent="0.25">
      <c r="B1634" s="21"/>
      <c r="G1634" s="21"/>
      <c r="H1634" s="21"/>
      <c r="J1634" s="21"/>
    </row>
    <row r="1635" spans="2:10" x14ac:dyDescent="0.25">
      <c r="B1635" s="21"/>
      <c r="G1635" s="21"/>
      <c r="H1635" s="21"/>
      <c r="J1635" s="21"/>
    </row>
    <row r="1636" spans="2:10" x14ac:dyDescent="0.25">
      <c r="B1636" s="21"/>
      <c r="G1636" s="21"/>
      <c r="H1636" s="21"/>
      <c r="J1636" s="21"/>
    </row>
    <row r="1637" spans="2:10" x14ac:dyDescent="0.25">
      <c r="B1637" s="21"/>
      <c r="G1637" s="21"/>
      <c r="H1637" s="21"/>
      <c r="J1637" s="21"/>
    </row>
    <row r="1638" spans="2:10" x14ac:dyDescent="0.25">
      <c r="B1638" s="21"/>
      <c r="G1638" s="21"/>
      <c r="H1638" s="21"/>
      <c r="J1638" s="21"/>
    </row>
    <row r="1639" spans="2:10" x14ac:dyDescent="0.25">
      <c r="B1639" s="21"/>
      <c r="G1639" s="21"/>
      <c r="H1639" s="21"/>
      <c r="J1639" s="21"/>
    </row>
    <row r="1640" spans="2:10" x14ac:dyDescent="0.25">
      <c r="B1640" s="21"/>
      <c r="G1640" s="21"/>
      <c r="H1640" s="21"/>
      <c r="J1640" s="21"/>
    </row>
    <row r="1641" spans="2:10" x14ac:dyDescent="0.25">
      <c r="B1641" s="21"/>
      <c r="G1641" s="21"/>
      <c r="H1641" s="21"/>
      <c r="J1641" s="21"/>
    </row>
    <row r="1642" spans="2:10" x14ac:dyDescent="0.25">
      <c r="B1642" s="21"/>
      <c r="G1642" s="21"/>
      <c r="H1642" s="21"/>
      <c r="J1642" s="21"/>
    </row>
    <row r="1643" spans="2:10" x14ac:dyDescent="0.25">
      <c r="B1643" s="21"/>
      <c r="G1643" s="21"/>
      <c r="H1643" s="21"/>
      <c r="J1643" s="21"/>
    </row>
    <row r="1644" spans="2:10" x14ac:dyDescent="0.25">
      <c r="B1644" s="21"/>
      <c r="G1644" s="21"/>
      <c r="H1644" s="21"/>
      <c r="J1644" s="21"/>
    </row>
    <row r="1645" spans="2:10" x14ac:dyDescent="0.25">
      <c r="B1645" s="21"/>
      <c r="G1645" s="21"/>
      <c r="H1645" s="21"/>
      <c r="J1645" s="21"/>
    </row>
    <row r="1646" spans="2:10" x14ac:dyDescent="0.25">
      <c r="B1646" s="21"/>
      <c r="G1646" s="21"/>
      <c r="H1646" s="21"/>
      <c r="J1646" s="21"/>
    </row>
    <row r="1647" spans="2:10" x14ac:dyDescent="0.25">
      <c r="B1647" s="21"/>
      <c r="G1647" s="21"/>
      <c r="H1647" s="21"/>
      <c r="J1647" s="21"/>
    </row>
    <row r="1648" spans="2:10" x14ac:dyDescent="0.25">
      <c r="B1648" s="21"/>
      <c r="G1648" s="21"/>
      <c r="H1648" s="21"/>
      <c r="J1648" s="21"/>
    </row>
    <row r="1649" spans="2:10" x14ac:dyDescent="0.25">
      <c r="B1649" s="21"/>
      <c r="G1649" s="21"/>
      <c r="H1649" s="21"/>
      <c r="J1649" s="21"/>
    </row>
    <row r="1650" spans="2:10" x14ac:dyDescent="0.25">
      <c r="B1650" s="21"/>
      <c r="G1650" s="21"/>
      <c r="H1650" s="21"/>
      <c r="J1650" s="21"/>
    </row>
    <row r="1651" spans="2:10" x14ac:dyDescent="0.25">
      <c r="B1651" s="21"/>
      <c r="G1651" s="21"/>
      <c r="H1651" s="21"/>
      <c r="J1651" s="21"/>
    </row>
    <row r="1652" spans="2:10" x14ac:dyDescent="0.25">
      <c r="B1652" s="21"/>
      <c r="G1652" s="21"/>
      <c r="H1652" s="21"/>
      <c r="J1652" s="21"/>
    </row>
    <row r="1653" spans="2:10" x14ac:dyDescent="0.25">
      <c r="B1653" s="21"/>
      <c r="G1653" s="21"/>
      <c r="H1653" s="21"/>
      <c r="J1653" s="21"/>
    </row>
    <row r="1654" spans="2:10" x14ac:dyDescent="0.25">
      <c r="B1654" s="21"/>
      <c r="G1654" s="21"/>
      <c r="H1654" s="21"/>
      <c r="J1654" s="21"/>
    </row>
    <row r="1655" spans="2:10" x14ac:dyDescent="0.25">
      <c r="B1655" s="21"/>
      <c r="G1655" s="21"/>
      <c r="H1655" s="21"/>
      <c r="J1655" s="21"/>
    </row>
    <row r="1656" spans="2:10" x14ac:dyDescent="0.25">
      <c r="B1656" s="21"/>
      <c r="G1656" s="21"/>
      <c r="H1656" s="21"/>
      <c r="J1656" s="21"/>
    </row>
    <row r="1657" spans="2:10" x14ac:dyDescent="0.25">
      <c r="B1657" s="21"/>
      <c r="G1657" s="21"/>
      <c r="H1657" s="21"/>
      <c r="J1657" s="21"/>
    </row>
    <row r="1658" spans="2:10" x14ac:dyDescent="0.25">
      <c r="B1658" s="21"/>
      <c r="G1658" s="21"/>
      <c r="H1658" s="21"/>
      <c r="J1658" s="21"/>
    </row>
    <row r="1659" spans="2:10" x14ac:dyDescent="0.25">
      <c r="B1659" s="21"/>
      <c r="G1659" s="21"/>
      <c r="H1659" s="21"/>
      <c r="J1659" s="21"/>
    </row>
    <row r="1660" spans="2:10" x14ac:dyDescent="0.25">
      <c r="B1660" s="21"/>
      <c r="G1660" s="21"/>
      <c r="H1660" s="21"/>
      <c r="J1660" s="21"/>
    </row>
    <row r="1661" spans="2:10" x14ac:dyDescent="0.25">
      <c r="B1661" s="21"/>
      <c r="G1661" s="21"/>
      <c r="H1661" s="21"/>
      <c r="J1661" s="21"/>
    </row>
    <row r="1662" spans="2:10" x14ac:dyDescent="0.25">
      <c r="B1662" s="21"/>
      <c r="G1662" s="21"/>
      <c r="H1662" s="21"/>
      <c r="J1662" s="21"/>
    </row>
    <row r="1663" spans="2:10" x14ac:dyDescent="0.25">
      <c r="B1663" s="21"/>
      <c r="G1663" s="21"/>
      <c r="H1663" s="21"/>
      <c r="J1663" s="21"/>
    </row>
    <row r="1664" spans="2:10" x14ac:dyDescent="0.25">
      <c r="B1664" s="21"/>
      <c r="G1664" s="21"/>
      <c r="H1664" s="21"/>
      <c r="J1664" s="21"/>
    </row>
    <row r="1665" spans="2:10" x14ac:dyDescent="0.25">
      <c r="B1665" s="21"/>
      <c r="G1665" s="21"/>
      <c r="H1665" s="21"/>
      <c r="J1665" s="21"/>
    </row>
    <row r="1666" spans="2:10" x14ac:dyDescent="0.25">
      <c r="B1666" s="21"/>
      <c r="G1666" s="21"/>
      <c r="H1666" s="21"/>
      <c r="J1666" s="21"/>
    </row>
    <row r="1667" spans="2:10" x14ac:dyDescent="0.25">
      <c r="B1667" s="21"/>
      <c r="G1667" s="21"/>
      <c r="H1667" s="21"/>
      <c r="J1667" s="21"/>
    </row>
    <row r="1668" spans="2:10" x14ac:dyDescent="0.25">
      <c r="B1668" s="21"/>
      <c r="G1668" s="21"/>
      <c r="H1668" s="21"/>
      <c r="J1668" s="21"/>
    </row>
    <row r="1669" spans="2:10" x14ac:dyDescent="0.25">
      <c r="B1669" s="21"/>
      <c r="G1669" s="21"/>
      <c r="H1669" s="21"/>
      <c r="J1669" s="21"/>
    </row>
    <row r="1670" spans="2:10" x14ac:dyDescent="0.25">
      <c r="B1670" s="21"/>
      <c r="G1670" s="21"/>
      <c r="H1670" s="21"/>
      <c r="J1670" s="21"/>
    </row>
    <row r="1671" spans="2:10" x14ac:dyDescent="0.25">
      <c r="B1671" s="21"/>
      <c r="G1671" s="21"/>
      <c r="H1671" s="21"/>
      <c r="J1671" s="21"/>
    </row>
    <row r="1672" spans="2:10" x14ac:dyDescent="0.25">
      <c r="B1672" s="21"/>
      <c r="G1672" s="21"/>
      <c r="H1672" s="21"/>
      <c r="J1672" s="21"/>
    </row>
    <row r="1673" spans="2:10" x14ac:dyDescent="0.25">
      <c r="B1673" s="21"/>
      <c r="G1673" s="21"/>
      <c r="H1673" s="21"/>
      <c r="J1673" s="21"/>
    </row>
    <row r="1674" spans="2:10" x14ac:dyDescent="0.25">
      <c r="B1674" s="21"/>
      <c r="G1674" s="21"/>
      <c r="H1674" s="21"/>
      <c r="J1674" s="21"/>
    </row>
    <row r="1675" spans="2:10" x14ac:dyDescent="0.25">
      <c r="B1675" s="21"/>
      <c r="G1675" s="21"/>
      <c r="H1675" s="21"/>
      <c r="J1675" s="21"/>
    </row>
    <row r="1676" spans="2:10" x14ac:dyDescent="0.25">
      <c r="B1676" s="21"/>
      <c r="G1676" s="21"/>
      <c r="H1676" s="21"/>
      <c r="J1676" s="21"/>
    </row>
    <row r="1677" spans="2:10" x14ac:dyDescent="0.25">
      <c r="B1677" s="21"/>
      <c r="G1677" s="21"/>
      <c r="H1677" s="21"/>
      <c r="J1677" s="21"/>
    </row>
    <row r="1678" spans="2:10" x14ac:dyDescent="0.25">
      <c r="B1678" s="21"/>
      <c r="G1678" s="21"/>
      <c r="H1678" s="21"/>
      <c r="J1678" s="21"/>
    </row>
    <row r="1679" spans="2:10" x14ac:dyDescent="0.25">
      <c r="B1679" s="21"/>
      <c r="G1679" s="21"/>
      <c r="H1679" s="21"/>
      <c r="J1679" s="21"/>
    </row>
    <row r="1680" spans="2:10" x14ac:dyDescent="0.25">
      <c r="B1680" s="21"/>
      <c r="G1680" s="21"/>
      <c r="H1680" s="21"/>
      <c r="J1680" s="21"/>
    </row>
    <row r="1681" spans="2:10" x14ac:dyDescent="0.25">
      <c r="B1681" s="21"/>
      <c r="G1681" s="21"/>
      <c r="H1681" s="21"/>
      <c r="J1681" s="21"/>
    </row>
    <row r="1682" spans="2:10" x14ac:dyDescent="0.25">
      <c r="B1682" s="21"/>
      <c r="G1682" s="21"/>
      <c r="H1682" s="21"/>
      <c r="J1682" s="21"/>
    </row>
    <row r="1683" spans="2:10" x14ac:dyDescent="0.25">
      <c r="B1683" s="21"/>
      <c r="G1683" s="21"/>
      <c r="H1683" s="21"/>
      <c r="J1683" s="21"/>
    </row>
    <row r="1684" spans="2:10" x14ac:dyDescent="0.25">
      <c r="B1684" s="21"/>
      <c r="G1684" s="21"/>
      <c r="H1684" s="21"/>
      <c r="J1684" s="21"/>
    </row>
    <row r="1685" spans="2:10" x14ac:dyDescent="0.25">
      <c r="B1685" s="21"/>
      <c r="G1685" s="21"/>
      <c r="H1685" s="21"/>
      <c r="J1685" s="21"/>
    </row>
    <row r="1686" spans="2:10" x14ac:dyDescent="0.25">
      <c r="B1686" s="21"/>
      <c r="G1686" s="21"/>
      <c r="H1686" s="21"/>
      <c r="J1686" s="21"/>
    </row>
    <row r="1687" spans="2:10" x14ac:dyDescent="0.25">
      <c r="B1687" s="21"/>
      <c r="G1687" s="21"/>
      <c r="H1687" s="21"/>
      <c r="J1687" s="21"/>
    </row>
    <row r="1688" spans="2:10" x14ac:dyDescent="0.25">
      <c r="B1688" s="21"/>
      <c r="G1688" s="21"/>
      <c r="H1688" s="21"/>
      <c r="J1688" s="21"/>
    </row>
    <row r="1689" spans="2:10" x14ac:dyDescent="0.25">
      <c r="B1689" s="21"/>
      <c r="G1689" s="21"/>
      <c r="H1689" s="21"/>
      <c r="J1689" s="21"/>
    </row>
    <row r="1690" spans="2:10" x14ac:dyDescent="0.25">
      <c r="B1690" s="21"/>
      <c r="G1690" s="21"/>
      <c r="H1690" s="21"/>
      <c r="J1690" s="21"/>
    </row>
    <row r="1691" spans="2:10" x14ac:dyDescent="0.25">
      <c r="B1691" s="21"/>
      <c r="G1691" s="21"/>
      <c r="H1691" s="21"/>
      <c r="J1691" s="21"/>
    </row>
    <row r="1692" spans="2:10" x14ac:dyDescent="0.25">
      <c r="B1692" s="21"/>
      <c r="G1692" s="21"/>
      <c r="H1692" s="21"/>
      <c r="J1692" s="21"/>
    </row>
    <row r="1693" spans="2:10" x14ac:dyDescent="0.25">
      <c r="B1693" s="21"/>
      <c r="G1693" s="21"/>
      <c r="H1693" s="21"/>
      <c r="J1693" s="21"/>
    </row>
    <row r="1694" spans="2:10" x14ac:dyDescent="0.25">
      <c r="B1694" s="21"/>
      <c r="G1694" s="21"/>
      <c r="H1694" s="21"/>
      <c r="J1694" s="21"/>
    </row>
    <row r="1695" spans="2:10" x14ac:dyDescent="0.25">
      <c r="B1695" s="21"/>
      <c r="G1695" s="21"/>
      <c r="H1695" s="21"/>
      <c r="J1695" s="21"/>
    </row>
    <row r="1696" spans="2:10" x14ac:dyDescent="0.25">
      <c r="B1696" s="21"/>
      <c r="G1696" s="21"/>
      <c r="H1696" s="21"/>
      <c r="J1696" s="21"/>
    </row>
    <row r="1697" spans="2:10" x14ac:dyDescent="0.25">
      <c r="B1697" s="21"/>
      <c r="G1697" s="21"/>
      <c r="H1697" s="21"/>
      <c r="J1697" s="21"/>
    </row>
    <row r="1698" spans="2:10" x14ac:dyDescent="0.25">
      <c r="B1698" s="21"/>
      <c r="G1698" s="21"/>
      <c r="H1698" s="21"/>
      <c r="J1698" s="21"/>
    </row>
    <row r="1699" spans="2:10" x14ac:dyDescent="0.25">
      <c r="B1699" s="21"/>
      <c r="G1699" s="21"/>
      <c r="H1699" s="21"/>
      <c r="J1699" s="21"/>
    </row>
    <row r="1700" spans="2:10" x14ac:dyDescent="0.25">
      <c r="B1700" s="21"/>
      <c r="G1700" s="21"/>
      <c r="H1700" s="21"/>
      <c r="J1700" s="21"/>
    </row>
    <row r="1701" spans="2:10" x14ac:dyDescent="0.25">
      <c r="B1701" s="21"/>
      <c r="G1701" s="21"/>
      <c r="H1701" s="21"/>
      <c r="J1701" s="21"/>
    </row>
    <row r="1702" spans="2:10" x14ac:dyDescent="0.25">
      <c r="B1702" s="21"/>
      <c r="G1702" s="21"/>
      <c r="H1702" s="21"/>
      <c r="J1702" s="21"/>
    </row>
    <row r="1703" spans="2:10" x14ac:dyDescent="0.25">
      <c r="B1703" s="21"/>
      <c r="G1703" s="21"/>
      <c r="H1703" s="21"/>
      <c r="J1703" s="21"/>
    </row>
    <row r="1704" spans="2:10" x14ac:dyDescent="0.25">
      <c r="B1704" s="21"/>
      <c r="G1704" s="21"/>
      <c r="H1704" s="21"/>
      <c r="J1704" s="21"/>
    </row>
    <row r="1705" spans="2:10" x14ac:dyDescent="0.25">
      <c r="B1705" s="21"/>
      <c r="G1705" s="21"/>
      <c r="H1705" s="21"/>
      <c r="J1705" s="21"/>
    </row>
    <row r="1706" spans="2:10" x14ac:dyDescent="0.25">
      <c r="B1706" s="21"/>
      <c r="G1706" s="21"/>
      <c r="H1706" s="21"/>
      <c r="J1706" s="21"/>
    </row>
    <row r="1707" spans="2:10" x14ac:dyDescent="0.25">
      <c r="B1707" s="21"/>
      <c r="G1707" s="21"/>
      <c r="H1707" s="21"/>
      <c r="J1707" s="21"/>
    </row>
    <row r="1708" spans="2:10" x14ac:dyDescent="0.25">
      <c r="B1708" s="21"/>
      <c r="G1708" s="21"/>
      <c r="H1708" s="21"/>
      <c r="J1708" s="21"/>
    </row>
    <row r="1709" spans="2:10" x14ac:dyDescent="0.25">
      <c r="B1709" s="21"/>
      <c r="G1709" s="21"/>
      <c r="H1709" s="21"/>
      <c r="J1709" s="21"/>
    </row>
    <row r="1710" spans="2:10" x14ac:dyDescent="0.25">
      <c r="B1710" s="21"/>
      <c r="G1710" s="21"/>
      <c r="H1710" s="21"/>
      <c r="J1710" s="21"/>
    </row>
    <row r="1711" spans="2:10" x14ac:dyDescent="0.25">
      <c r="B1711" s="21"/>
      <c r="G1711" s="21"/>
      <c r="H1711" s="21"/>
      <c r="J1711" s="21"/>
    </row>
    <row r="1712" spans="2:10" x14ac:dyDescent="0.25">
      <c r="B1712" s="21"/>
      <c r="G1712" s="21"/>
      <c r="H1712" s="21"/>
      <c r="J1712" s="21"/>
    </row>
    <row r="1713" spans="2:10" x14ac:dyDescent="0.25">
      <c r="B1713" s="21"/>
      <c r="G1713" s="21"/>
      <c r="H1713" s="21"/>
      <c r="J1713" s="21"/>
    </row>
    <row r="1714" spans="2:10" x14ac:dyDescent="0.25">
      <c r="B1714" s="21"/>
      <c r="G1714" s="21"/>
      <c r="H1714" s="21"/>
      <c r="J1714" s="21"/>
    </row>
    <row r="1715" spans="2:10" x14ac:dyDescent="0.25">
      <c r="B1715" s="21"/>
      <c r="G1715" s="21"/>
      <c r="H1715" s="21"/>
      <c r="J1715" s="21"/>
    </row>
    <row r="1716" spans="2:10" x14ac:dyDescent="0.25">
      <c r="B1716" s="21"/>
      <c r="G1716" s="21"/>
      <c r="H1716" s="21"/>
      <c r="J1716" s="21"/>
    </row>
    <row r="1717" spans="2:10" x14ac:dyDescent="0.25">
      <c r="B1717" s="21"/>
      <c r="G1717" s="21"/>
      <c r="H1717" s="21"/>
      <c r="J1717" s="21"/>
    </row>
    <row r="1718" spans="2:10" x14ac:dyDescent="0.25">
      <c r="B1718" s="21"/>
      <c r="G1718" s="21"/>
      <c r="H1718" s="21"/>
      <c r="J1718" s="21"/>
    </row>
    <row r="1719" spans="2:10" x14ac:dyDescent="0.25">
      <c r="B1719" s="21"/>
      <c r="G1719" s="21"/>
      <c r="H1719" s="21"/>
      <c r="J1719" s="21"/>
    </row>
    <row r="1720" spans="2:10" x14ac:dyDescent="0.25">
      <c r="B1720" s="21"/>
      <c r="G1720" s="21"/>
      <c r="H1720" s="21"/>
      <c r="J1720" s="21"/>
    </row>
    <row r="1721" spans="2:10" x14ac:dyDescent="0.25">
      <c r="B1721" s="21"/>
      <c r="G1721" s="21"/>
      <c r="H1721" s="21"/>
      <c r="J1721" s="21"/>
    </row>
    <row r="1722" spans="2:10" x14ac:dyDescent="0.25">
      <c r="B1722" s="21"/>
      <c r="G1722" s="21"/>
      <c r="H1722" s="21"/>
      <c r="J1722" s="21"/>
    </row>
    <row r="1723" spans="2:10" x14ac:dyDescent="0.25">
      <c r="B1723" s="21"/>
      <c r="G1723" s="21"/>
      <c r="H1723" s="21"/>
      <c r="J1723" s="21"/>
    </row>
    <row r="1724" spans="2:10" x14ac:dyDescent="0.25">
      <c r="B1724" s="21"/>
      <c r="G1724" s="21"/>
      <c r="H1724" s="21"/>
      <c r="J1724" s="21"/>
    </row>
    <row r="1725" spans="2:10" x14ac:dyDescent="0.25">
      <c r="B1725" s="21"/>
      <c r="G1725" s="21"/>
      <c r="H1725" s="21"/>
      <c r="J1725" s="21"/>
    </row>
    <row r="1726" spans="2:10" x14ac:dyDescent="0.25">
      <c r="B1726" s="21"/>
      <c r="G1726" s="21"/>
      <c r="H1726" s="21"/>
      <c r="J1726" s="21"/>
    </row>
    <row r="1727" spans="2:10" x14ac:dyDescent="0.25">
      <c r="B1727" s="21"/>
      <c r="G1727" s="21"/>
      <c r="H1727" s="21"/>
      <c r="J1727" s="21"/>
    </row>
    <row r="1728" spans="2:10" x14ac:dyDescent="0.25">
      <c r="B1728" s="21"/>
      <c r="G1728" s="21"/>
      <c r="H1728" s="21"/>
      <c r="J1728" s="21"/>
    </row>
    <row r="1729" spans="2:10" x14ac:dyDescent="0.25">
      <c r="B1729" s="21"/>
      <c r="G1729" s="21"/>
      <c r="H1729" s="21"/>
      <c r="J1729" s="21"/>
    </row>
    <row r="1730" spans="2:10" x14ac:dyDescent="0.25">
      <c r="B1730" s="21"/>
      <c r="G1730" s="21"/>
      <c r="H1730" s="21"/>
      <c r="J1730" s="21"/>
    </row>
    <row r="1731" spans="2:10" x14ac:dyDescent="0.25">
      <c r="B1731" s="21"/>
      <c r="G1731" s="21"/>
      <c r="H1731" s="21"/>
      <c r="J1731" s="21"/>
    </row>
    <row r="1732" spans="2:10" x14ac:dyDescent="0.25">
      <c r="B1732" s="21"/>
      <c r="G1732" s="21"/>
      <c r="H1732" s="21"/>
      <c r="J1732" s="21"/>
    </row>
    <row r="1733" spans="2:10" x14ac:dyDescent="0.25">
      <c r="B1733" s="21"/>
      <c r="G1733" s="21"/>
      <c r="H1733" s="21"/>
      <c r="J1733" s="21"/>
    </row>
    <row r="1734" spans="2:10" x14ac:dyDescent="0.25">
      <c r="B1734" s="21"/>
      <c r="G1734" s="21"/>
      <c r="H1734" s="21"/>
      <c r="J1734" s="21"/>
    </row>
    <row r="1735" spans="2:10" x14ac:dyDescent="0.25">
      <c r="B1735" s="21"/>
      <c r="G1735" s="21"/>
      <c r="H1735" s="21"/>
      <c r="J1735" s="21"/>
    </row>
    <row r="1736" spans="2:10" x14ac:dyDescent="0.25">
      <c r="B1736" s="21"/>
      <c r="G1736" s="21"/>
      <c r="H1736" s="21"/>
      <c r="J1736" s="21"/>
    </row>
    <row r="1737" spans="2:10" x14ac:dyDescent="0.25">
      <c r="B1737" s="21"/>
      <c r="G1737" s="21"/>
      <c r="H1737" s="21"/>
      <c r="J1737" s="21"/>
    </row>
    <row r="1738" spans="2:10" x14ac:dyDescent="0.25">
      <c r="B1738" s="21"/>
      <c r="G1738" s="21"/>
      <c r="H1738" s="21"/>
      <c r="J1738" s="21"/>
    </row>
    <row r="1739" spans="2:10" x14ac:dyDescent="0.25">
      <c r="B1739" s="21"/>
      <c r="G1739" s="21"/>
      <c r="H1739" s="21"/>
      <c r="J1739" s="21"/>
    </row>
    <row r="1740" spans="2:10" x14ac:dyDescent="0.25">
      <c r="B1740" s="21"/>
      <c r="G1740" s="21"/>
      <c r="H1740" s="21"/>
      <c r="J1740" s="21"/>
    </row>
    <row r="1741" spans="2:10" x14ac:dyDescent="0.25">
      <c r="B1741" s="21"/>
      <c r="G1741" s="21"/>
      <c r="H1741" s="21"/>
      <c r="J1741" s="21"/>
    </row>
    <row r="1742" spans="2:10" x14ac:dyDescent="0.25">
      <c r="B1742" s="21"/>
      <c r="G1742" s="21"/>
      <c r="H1742" s="21"/>
      <c r="J1742" s="21"/>
    </row>
    <row r="1743" spans="2:10" x14ac:dyDescent="0.25">
      <c r="B1743" s="21"/>
      <c r="G1743" s="21"/>
      <c r="H1743" s="21"/>
      <c r="J1743" s="21"/>
    </row>
    <row r="1744" spans="2:10" x14ac:dyDescent="0.25">
      <c r="B1744" s="21"/>
      <c r="G1744" s="21"/>
      <c r="H1744" s="21"/>
      <c r="J1744" s="21"/>
    </row>
    <row r="1745" spans="2:10" x14ac:dyDescent="0.25">
      <c r="B1745" s="21"/>
      <c r="G1745" s="21"/>
      <c r="H1745" s="21"/>
      <c r="J1745" s="21"/>
    </row>
    <row r="1746" spans="2:10" x14ac:dyDescent="0.25">
      <c r="B1746" s="21"/>
      <c r="G1746" s="21"/>
      <c r="H1746" s="21"/>
      <c r="J1746" s="21"/>
    </row>
    <row r="1747" spans="2:10" x14ac:dyDescent="0.25">
      <c r="B1747" s="21"/>
      <c r="G1747" s="21"/>
      <c r="H1747" s="21"/>
      <c r="J1747" s="21"/>
    </row>
    <row r="1748" spans="2:10" x14ac:dyDescent="0.25">
      <c r="B1748" s="21"/>
      <c r="G1748" s="21"/>
      <c r="H1748" s="21"/>
      <c r="J1748" s="21"/>
    </row>
    <row r="1749" spans="2:10" x14ac:dyDescent="0.25">
      <c r="B1749" s="21"/>
      <c r="G1749" s="21"/>
      <c r="H1749" s="21"/>
      <c r="J1749" s="21"/>
    </row>
    <row r="1750" spans="2:10" x14ac:dyDescent="0.25">
      <c r="B1750" s="21"/>
      <c r="G1750" s="21"/>
      <c r="H1750" s="21"/>
      <c r="J1750" s="21"/>
    </row>
    <row r="1751" spans="2:10" x14ac:dyDescent="0.25">
      <c r="B1751" s="21"/>
      <c r="G1751" s="21"/>
      <c r="H1751" s="21"/>
      <c r="J1751" s="21"/>
    </row>
    <row r="1752" spans="2:10" x14ac:dyDescent="0.25">
      <c r="B1752" s="21"/>
      <c r="G1752" s="21"/>
      <c r="H1752" s="21"/>
      <c r="J1752" s="21"/>
    </row>
    <row r="1753" spans="2:10" x14ac:dyDescent="0.25">
      <c r="B1753" s="21"/>
      <c r="G1753" s="21"/>
      <c r="H1753" s="21"/>
      <c r="J1753" s="21"/>
    </row>
    <row r="1754" spans="2:10" x14ac:dyDescent="0.25">
      <c r="B1754" s="21"/>
      <c r="G1754" s="21"/>
      <c r="H1754" s="21"/>
      <c r="J1754" s="21"/>
    </row>
    <row r="1755" spans="2:10" x14ac:dyDescent="0.25">
      <c r="B1755" s="21"/>
      <c r="G1755" s="21"/>
      <c r="H1755" s="21"/>
      <c r="J1755" s="21"/>
    </row>
    <row r="1756" spans="2:10" x14ac:dyDescent="0.25">
      <c r="B1756" s="21"/>
      <c r="G1756" s="21"/>
      <c r="H1756" s="21"/>
      <c r="J1756" s="21"/>
    </row>
    <row r="1757" spans="2:10" x14ac:dyDescent="0.25">
      <c r="B1757" s="21"/>
      <c r="G1757" s="21"/>
      <c r="H1757" s="21"/>
      <c r="J1757" s="21"/>
    </row>
    <row r="1758" spans="2:10" x14ac:dyDescent="0.25">
      <c r="B1758" s="21"/>
      <c r="G1758" s="21"/>
      <c r="H1758" s="21"/>
      <c r="J1758" s="21"/>
    </row>
    <row r="1759" spans="2:10" x14ac:dyDescent="0.25">
      <c r="B1759" s="21"/>
      <c r="G1759" s="21"/>
      <c r="H1759" s="21"/>
      <c r="J1759" s="21"/>
    </row>
    <row r="1760" spans="2:10" x14ac:dyDescent="0.25">
      <c r="B1760" s="21"/>
      <c r="G1760" s="21"/>
      <c r="H1760" s="21"/>
      <c r="J1760" s="21"/>
    </row>
    <row r="1761" spans="2:10" x14ac:dyDescent="0.25">
      <c r="B1761" s="21"/>
      <c r="G1761" s="21"/>
      <c r="H1761" s="21"/>
      <c r="J1761" s="21"/>
    </row>
    <row r="1762" spans="2:10" x14ac:dyDescent="0.25">
      <c r="B1762" s="21"/>
      <c r="G1762" s="21"/>
      <c r="H1762" s="21"/>
      <c r="J1762" s="21"/>
    </row>
    <row r="1763" spans="2:10" x14ac:dyDescent="0.25">
      <c r="B1763" s="21"/>
      <c r="G1763" s="21"/>
      <c r="H1763" s="21"/>
      <c r="J1763" s="21"/>
    </row>
    <row r="1764" spans="2:10" x14ac:dyDescent="0.25">
      <c r="B1764" s="21"/>
      <c r="G1764" s="21"/>
      <c r="H1764" s="21"/>
      <c r="J1764" s="21"/>
    </row>
    <row r="1765" spans="2:10" x14ac:dyDescent="0.25">
      <c r="B1765" s="21"/>
      <c r="G1765" s="21"/>
      <c r="H1765" s="21"/>
      <c r="J1765" s="21"/>
    </row>
    <row r="1766" spans="2:10" x14ac:dyDescent="0.25">
      <c r="B1766" s="21"/>
      <c r="G1766" s="21"/>
      <c r="H1766" s="21"/>
      <c r="J1766" s="21"/>
    </row>
    <row r="1767" spans="2:10" x14ac:dyDescent="0.25">
      <c r="B1767" s="21"/>
      <c r="G1767" s="21"/>
      <c r="H1767" s="21"/>
      <c r="J1767" s="21"/>
    </row>
    <row r="1768" spans="2:10" x14ac:dyDescent="0.25">
      <c r="B1768" s="21"/>
      <c r="G1768" s="21"/>
      <c r="H1768" s="21"/>
      <c r="J1768" s="21"/>
    </row>
    <row r="1769" spans="2:10" x14ac:dyDescent="0.25">
      <c r="B1769" s="21"/>
      <c r="G1769" s="21"/>
      <c r="H1769" s="21"/>
      <c r="J1769" s="21"/>
    </row>
    <row r="1770" spans="2:10" x14ac:dyDescent="0.25">
      <c r="B1770" s="21"/>
      <c r="G1770" s="21"/>
      <c r="H1770" s="21"/>
      <c r="J1770" s="21"/>
    </row>
    <row r="1771" spans="2:10" x14ac:dyDescent="0.25">
      <c r="B1771" s="21"/>
      <c r="G1771" s="21"/>
      <c r="H1771" s="21"/>
      <c r="J1771" s="21"/>
    </row>
    <row r="1772" spans="2:10" x14ac:dyDescent="0.25">
      <c r="B1772" s="21"/>
      <c r="G1772" s="21"/>
      <c r="H1772" s="21"/>
      <c r="J1772" s="21"/>
    </row>
    <row r="1773" spans="2:10" x14ac:dyDescent="0.25">
      <c r="B1773" s="21"/>
      <c r="G1773" s="21"/>
      <c r="H1773" s="21"/>
      <c r="J1773" s="21"/>
    </row>
    <row r="1774" spans="2:10" x14ac:dyDescent="0.25">
      <c r="B1774" s="21"/>
      <c r="G1774" s="21"/>
      <c r="H1774" s="21"/>
      <c r="J1774" s="21"/>
    </row>
    <row r="1775" spans="2:10" x14ac:dyDescent="0.25">
      <c r="B1775" s="21"/>
      <c r="G1775" s="21"/>
      <c r="H1775" s="21"/>
      <c r="J1775" s="21"/>
    </row>
    <row r="1776" spans="2:10" x14ac:dyDescent="0.25">
      <c r="B1776" s="21"/>
      <c r="G1776" s="21"/>
      <c r="H1776" s="21"/>
      <c r="J1776" s="21"/>
    </row>
    <row r="1777" spans="2:10" x14ac:dyDescent="0.25">
      <c r="B1777" s="21"/>
      <c r="G1777" s="21"/>
      <c r="H1777" s="21"/>
      <c r="J1777" s="21"/>
    </row>
    <row r="1778" spans="2:10" x14ac:dyDescent="0.25">
      <c r="B1778" s="21"/>
      <c r="G1778" s="21"/>
      <c r="H1778" s="21"/>
      <c r="J1778" s="21"/>
    </row>
    <row r="1779" spans="2:10" x14ac:dyDescent="0.25">
      <c r="B1779" s="21"/>
      <c r="G1779" s="21"/>
      <c r="H1779" s="21"/>
      <c r="J1779" s="21"/>
    </row>
    <row r="1780" spans="2:10" x14ac:dyDescent="0.25">
      <c r="B1780" s="21"/>
      <c r="G1780" s="21"/>
      <c r="H1780" s="21"/>
      <c r="J1780" s="21"/>
    </row>
    <row r="1781" spans="2:10" x14ac:dyDescent="0.25">
      <c r="B1781" s="21"/>
      <c r="G1781" s="21"/>
      <c r="H1781" s="21"/>
      <c r="J1781" s="21"/>
    </row>
    <row r="1782" spans="2:10" x14ac:dyDescent="0.25">
      <c r="B1782" s="21"/>
      <c r="G1782" s="21"/>
      <c r="H1782" s="21"/>
      <c r="J1782" s="21"/>
    </row>
    <row r="1783" spans="2:10" x14ac:dyDescent="0.25">
      <c r="B1783" s="21"/>
      <c r="G1783" s="21"/>
      <c r="H1783" s="21"/>
      <c r="J1783" s="21"/>
    </row>
    <row r="1784" spans="2:10" x14ac:dyDescent="0.25">
      <c r="B1784" s="21"/>
      <c r="G1784" s="21"/>
      <c r="H1784" s="21"/>
      <c r="J1784" s="21"/>
    </row>
    <row r="1785" spans="2:10" x14ac:dyDescent="0.25">
      <c r="B1785" s="21"/>
      <c r="G1785" s="21"/>
      <c r="H1785" s="21"/>
      <c r="J1785" s="21"/>
    </row>
    <row r="1786" spans="2:10" x14ac:dyDescent="0.25">
      <c r="B1786" s="21"/>
      <c r="G1786" s="21"/>
      <c r="H1786" s="21"/>
      <c r="J1786" s="21"/>
    </row>
    <row r="1787" spans="2:10" x14ac:dyDescent="0.25">
      <c r="B1787" s="21"/>
      <c r="G1787" s="21"/>
      <c r="H1787" s="21"/>
      <c r="J1787" s="21"/>
    </row>
    <row r="1788" spans="2:10" x14ac:dyDescent="0.25">
      <c r="B1788" s="21"/>
      <c r="G1788" s="21"/>
      <c r="H1788" s="21"/>
      <c r="J1788" s="21"/>
    </row>
    <row r="1789" spans="2:10" x14ac:dyDescent="0.25">
      <c r="B1789" s="21"/>
      <c r="G1789" s="21"/>
      <c r="H1789" s="21"/>
      <c r="J1789" s="21"/>
    </row>
    <row r="1790" spans="2:10" x14ac:dyDescent="0.25">
      <c r="B1790" s="21"/>
      <c r="G1790" s="21"/>
      <c r="H1790" s="21"/>
      <c r="J1790" s="21"/>
    </row>
    <row r="1791" spans="2:10" x14ac:dyDescent="0.25">
      <c r="B1791" s="21"/>
      <c r="G1791" s="21"/>
      <c r="H1791" s="21"/>
      <c r="J1791" s="21"/>
    </row>
    <row r="1792" spans="2:10" x14ac:dyDescent="0.25">
      <c r="B1792" s="21"/>
      <c r="G1792" s="21"/>
      <c r="H1792" s="21"/>
      <c r="J1792" s="21"/>
    </row>
    <row r="1793" spans="2:10" x14ac:dyDescent="0.25">
      <c r="B1793" s="21"/>
      <c r="G1793" s="21"/>
      <c r="H1793" s="21"/>
      <c r="J1793" s="21"/>
    </row>
    <row r="1794" spans="2:10" x14ac:dyDescent="0.25">
      <c r="B1794" s="21"/>
      <c r="G1794" s="21"/>
      <c r="H1794" s="21"/>
      <c r="J1794" s="21"/>
    </row>
    <row r="1795" spans="2:10" x14ac:dyDescent="0.25">
      <c r="B1795" s="21"/>
      <c r="G1795" s="21"/>
      <c r="H1795" s="21"/>
      <c r="J1795" s="21"/>
    </row>
    <row r="1796" spans="2:10" x14ac:dyDescent="0.25">
      <c r="B1796" s="21"/>
      <c r="G1796" s="21"/>
      <c r="H1796" s="21"/>
      <c r="J1796" s="21"/>
    </row>
    <row r="1797" spans="2:10" x14ac:dyDescent="0.25">
      <c r="B1797" s="21"/>
      <c r="G1797" s="21"/>
      <c r="H1797" s="21"/>
      <c r="J1797" s="21"/>
    </row>
    <row r="1798" spans="2:10" x14ac:dyDescent="0.25">
      <c r="B1798" s="21"/>
      <c r="G1798" s="21"/>
      <c r="H1798" s="21"/>
      <c r="J1798" s="21"/>
    </row>
    <row r="1799" spans="2:10" x14ac:dyDescent="0.25">
      <c r="B1799" s="21"/>
      <c r="G1799" s="21"/>
      <c r="H1799" s="21"/>
      <c r="J1799" s="21"/>
    </row>
    <row r="1800" spans="2:10" x14ac:dyDescent="0.25">
      <c r="B1800" s="21"/>
      <c r="G1800" s="21"/>
      <c r="H1800" s="21"/>
      <c r="J1800" s="21"/>
    </row>
    <row r="1801" spans="2:10" x14ac:dyDescent="0.25">
      <c r="B1801" s="21"/>
      <c r="G1801" s="21"/>
      <c r="H1801" s="21"/>
      <c r="J1801" s="21"/>
    </row>
    <row r="1802" spans="2:10" x14ac:dyDescent="0.25">
      <c r="B1802" s="21"/>
      <c r="G1802" s="21"/>
      <c r="H1802" s="21"/>
      <c r="J1802" s="21"/>
    </row>
    <row r="1803" spans="2:10" x14ac:dyDescent="0.25">
      <c r="B1803" s="21"/>
      <c r="G1803" s="21"/>
      <c r="H1803" s="21"/>
      <c r="J1803" s="21"/>
    </row>
    <row r="1804" spans="2:10" x14ac:dyDescent="0.25">
      <c r="B1804" s="21"/>
      <c r="G1804" s="21"/>
      <c r="H1804" s="21"/>
      <c r="J1804" s="21"/>
    </row>
    <row r="1805" spans="2:10" x14ac:dyDescent="0.25">
      <c r="B1805" s="21"/>
      <c r="G1805" s="21"/>
      <c r="H1805" s="21"/>
      <c r="J1805" s="21"/>
    </row>
    <row r="1806" spans="2:10" x14ac:dyDescent="0.25">
      <c r="B1806" s="21"/>
      <c r="G1806" s="21"/>
      <c r="H1806" s="21"/>
      <c r="J1806" s="21"/>
    </row>
    <row r="1807" spans="2:10" x14ac:dyDescent="0.25">
      <c r="B1807" s="21"/>
      <c r="G1807" s="21"/>
      <c r="H1807" s="21"/>
      <c r="J1807" s="21"/>
    </row>
    <row r="1808" spans="2:10" x14ac:dyDescent="0.25">
      <c r="B1808" s="21"/>
      <c r="G1808" s="21"/>
      <c r="H1808" s="21"/>
      <c r="J1808" s="21"/>
    </row>
    <row r="1809" spans="2:10" x14ac:dyDescent="0.25">
      <c r="B1809" s="21"/>
      <c r="G1809" s="21"/>
      <c r="H1809" s="21"/>
      <c r="J1809" s="21"/>
    </row>
    <row r="1810" spans="2:10" x14ac:dyDescent="0.25">
      <c r="B1810" s="21"/>
      <c r="G1810" s="21"/>
      <c r="H1810" s="21"/>
      <c r="J1810" s="21"/>
    </row>
    <row r="1811" spans="2:10" x14ac:dyDescent="0.25">
      <c r="B1811" s="21"/>
      <c r="G1811" s="21"/>
      <c r="H1811" s="21"/>
      <c r="J1811" s="21"/>
    </row>
    <row r="1812" spans="2:10" x14ac:dyDescent="0.25">
      <c r="B1812" s="21"/>
      <c r="G1812" s="21"/>
      <c r="H1812" s="21"/>
      <c r="J1812" s="21"/>
    </row>
    <row r="1813" spans="2:10" x14ac:dyDescent="0.25">
      <c r="B1813" s="21"/>
      <c r="G1813" s="21"/>
      <c r="H1813" s="21"/>
      <c r="J1813" s="21"/>
    </row>
    <row r="1814" spans="2:10" x14ac:dyDescent="0.25">
      <c r="B1814" s="21"/>
      <c r="G1814" s="21"/>
      <c r="H1814" s="21"/>
      <c r="J1814" s="21"/>
    </row>
    <row r="1815" spans="2:10" x14ac:dyDescent="0.25">
      <c r="B1815" s="21"/>
      <c r="G1815" s="21"/>
      <c r="H1815" s="21"/>
      <c r="J1815" s="21"/>
    </row>
    <row r="1816" spans="2:10" x14ac:dyDescent="0.25">
      <c r="B1816" s="21"/>
      <c r="G1816" s="21"/>
      <c r="H1816" s="21"/>
      <c r="J1816" s="21"/>
    </row>
    <row r="1817" spans="2:10" x14ac:dyDescent="0.25">
      <c r="B1817" s="21"/>
      <c r="G1817" s="21"/>
      <c r="H1817" s="21"/>
      <c r="J1817" s="21"/>
    </row>
    <row r="1818" spans="2:10" x14ac:dyDescent="0.25">
      <c r="B1818" s="21"/>
      <c r="G1818" s="21"/>
      <c r="H1818" s="21"/>
      <c r="J1818" s="21"/>
    </row>
    <row r="1819" spans="2:10" x14ac:dyDescent="0.25">
      <c r="B1819" s="21"/>
      <c r="G1819" s="21"/>
      <c r="H1819" s="21"/>
      <c r="J1819" s="21"/>
    </row>
    <row r="1820" spans="2:10" x14ac:dyDescent="0.25">
      <c r="B1820" s="21"/>
      <c r="G1820" s="21"/>
      <c r="H1820" s="21"/>
      <c r="J1820" s="21"/>
    </row>
    <row r="1821" spans="2:10" x14ac:dyDescent="0.25">
      <c r="B1821" s="21"/>
      <c r="G1821" s="21"/>
      <c r="H1821" s="21"/>
      <c r="J1821" s="21"/>
    </row>
    <row r="1822" spans="2:10" x14ac:dyDescent="0.25">
      <c r="B1822" s="21"/>
      <c r="G1822" s="21"/>
      <c r="H1822" s="21"/>
      <c r="J1822" s="21"/>
    </row>
    <row r="1823" spans="2:10" x14ac:dyDescent="0.25">
      <c r="B1823" s="21"/>
      <c r="G1823" s="21"/>
      <c r="H1823" s="21"/>
      <c r="J1823" s="21"/>
    </row>
    <row r="1824" spans="2:10" x14ac:dyDescent="0.25">
      <c r="B1824" s="21"/>
      <c r="G1824" s="21"/>
      <c r="H1824" s="21"/>
      <c r="J1824" s="21"/>
    </row>
    <row r="1825" spans="2:10" x14ac:dyDescent="0.25">
      <c r="B1825" s="21"/>
      <c r="G1825" s="21"/>
      <c r="H1825" s="21"/>
      <c r="J1825" s="21"/>
    </row>
    <row r="1826" spans="2:10" x14ac:dyDescent="0.25">
      <c r="B1826" s="21"/>
      <c r="G1826" s="21"/>
      <c r="H1826" s="21"/>
      <c r="J1826" s="21"/>
    </row>
    <row r="1827" spans="2:10" x14ac:dyDescent="0.25">
      <c r="B1827" s="21"/>
      <c r="G1827" s="21"/>
      <c r="H1827" s="21"/>
      <c r="J1827" s="21"/>
    </row>
    <row r="1828" spans="2:10" x14ac:dyDescent="0.25">
      <c r="B1828" s="21"/>
      <c r="G1828" s="21"/>
      <c r="H1828" s="21"/>
      <c r="J1828" s="21"/>
    </row>
    <row r="1829" spans="2:10" x14ac:dyDescent="0.25">
      <c r="B1829" s="21"/>
      <c r="G1829" s="21"/>
      <c r="H1829" s="21"/>
      <c r="J1829" s="21"/>
    </row>
    <row r="1830" spans="2:10" x14ac:dyDescent="0.25">
      <c r="B1830" s="21"/>
      <c r="G1830" s="21"/>
      <c r="H1830" s="21"/>
      <c r="J1830" s="21"/>
    </row>
    <row r="1831" spans="2:10" x14ac:dyDescent="0.25">
      <c r="B1831" s="21"/>
      <c r="G1831" s="21"/>
      <c r="H1831" s="21"/>
      <c r="J1831" s="21"/>
    </row>
    <row r="1832" spans="2:10" x14ac:dyDescent="0.25">
      <c r="B1832" s="21"/>
      <c r="G1832" s="21"/>
      <c r="H1832" s="21"/>
      <c r="J1832" s="21"/>
    </row>
    <row r="1833" spans="2:10" x14ac:dyDescent="0.25">
      <c r="B1833" s="21"/>
      <c r="G1833" s="21"/>
      <c r="H1833" s="21"/>
      <c r="J1833" s="21"/>
    </row>
    <row r="1834" spans="2:10" x14ac:dyDescent="0.25">
      <c r="B1834" s="21"/>
      <c r="G1834" s="21"/>
      <c r="H1834" s="21"/>
      <c r="J1834" s="21"/>
    </row>
    <row r="1835" spans="2:10" x14ac:dyDescent="0.25">
      <c r="B1835" s="21"/>
      <c r="G1835" s="21"/>
      <c r="H1835" s="21"/>
      <c r="J1835" s="21"/>
    </row>
    <row r="1836" spans="2:10" x14ac:dyDescent="0.25">
      <c r="B1836" s="21"/>
      <c r="G1836" s="21"/>
      <c r="H1836" s="21"/>
      <c r="J1836" s="21"/>
    </row>
    <row r="1837" spans="2:10" x14ac:dyDescent="0.25">
      <c r="B1837" s="21"/>
      <c r="G1837" s="21"/>
      <c r="H1837" s="21"/>
      <c r="J1837" s="21"/>
    </row>
    <row r="1838" spans="2:10" x14ac:dyDescent="0.25">
      <c r="B1838" s="21"/>
      <c r="G1838" s="21"/>
      <c r="H1838" s="21"/>
      <c r="J1838" s="21"/>
    </row>
    <row r="1839" spans="2:10" x14ac:dyDescent="0.25">
      <c r="B1839" s="21"/>
      <c r="G1839" s="21"/>
      <c r="H1839" s="21"/>
      <c r="J1839" s="21"/>
    </row>
    <row r="1840" spans="2:10" x14ac:dyDescent="0.25">
      <c r="B1840" s="21"/>
      <c r="G1840" s="21"/>
      <c r="H1840" s="21"/>
      <c r="J1840" s="21"/>
    </row>
    <row r="1841" spans="2:10" x14ac:dyDescent="0.25">
      <c r="B1841" s="21"/>
      <c r="G1841" s="21"/>
      <c r="H1841" s="21"/>
      <c r="J1841" s="21"/>
    </row>
    <row r="1842" spans="2:10" x14ac:dyDescent="0.25">
      <c r="B1842" s="21"/>
      <c r="G1842" s="21"/>
      <c r="H1842" s="21"/>
      <c r="J1842" s="21"/>
    </row>
    <row r="1843" spans="2:10" x14ac:dyDescent="0.25">
      <c r="B1843" s="21"/>
      <c r="G1843" s="21"/>
      <c r="H1843" s="21"/>
      <c r="J1843" s="21"/>
    </row>
    <row r="1844" spans="2:10" x14ac:dyDescent="0.25">
      <c r="B1844" s="21"/>
      <c r="G1844" s="21"/>
      <c r="H1844" s="21"/>
      <c r="J1844" s="21"/>
    </row>
    <row r="1845" spans="2:10" x14ac:dyDescent="0.25">
      <c r="B1845" s="21"/>
      <c r="G1845" s="21"/>
      <c r="H1845" s="21"/>
      <c r="J1845" s="21"/>
    </row>
    <row r="1846" spans="2:10" x14ac:dyDescent="0.25">
      <c r="B1846" s="21"/>
      <c r="G1846" s="21"/>
      <c r="H1846" s="21"/>
      <c r="J1846" s="21"/>
    </row>
    <row r="1847" spans="2:10" x14ac:dyDescent="0.25">
      <c r="B1847" s="21"/>
      <c r="G1847" s="21"/>
      <c r="H1847" s="21"/>
      <c r="J1847" s="21"/>
    </row>
    <row r="1848" spans="2:10" x14ac:dyDescent="0.25">
      <c r="B1848" s="21"/>
      <c r="G1848" s="21"/>
      <c r="H1848" s="21"/>
      <c r="J1848" s="21"/>
    </row>
    <row r="1849" spans="2:10" x14ac:dyDescent="0.25">
      <c r="B1849" s="21"/>
      <c r="G1849" s="21"/>
      <c r="H1849" s="21"/>
      <c r="J1849" s="21"/>
    </row>
    <row r="1850" spans="2:10" x14ac:dyDescent="0.25">
      <c r="B1850" s="21"/>
      <c r="G1850" s="21"/>
      <c r="H1850" s="21"/>
      <c r="J1850" s="21"/>
    </row>
    <row r="1851" spans="2:10" x14ac:dyDescent="0.25">
      <c r="B1851" s="21"/>
      <c r="G1851" s="21"/>
      <c r="H1851" s="21"/>
      <c r="J1851" s="21"/>
    </row>
    <row r="1852" spans="2:10" x14ac:dyDescent="0.25">
      <c r="B1852" s="21"/>
      <c r="G1852" s="21"/>
      <c r="H1852" s="21"/>
      <c r="J1852" s="21"/>
    </row>
    <row r="1853" spans="2:10" x14ac:dyDescent="0.25">
      <c r="B1853" s="21"/>
      <c r="G1853" s="21"/>
      <c r="H1853" s="21"/>
      <c r="J1853" s="21"/>
    </row>
    <row r="1854" spans="2:10" x14ac:dyDescent="0.25">
      <c r="B1854" s="21"/>
      <c r="G1854" s="21"/>
      <c r="H1854" s="21"/>
      <c r="J1854" s="21"/>
    </row>
    <row r="1855" spans="2:10" x14ac:dyDescent="0.25">
      <c r="B1855" s="21"/>
      <c r="G1855" s="21"/>
      <c r="H1855" s="21"/>
      <c r="J1855" s="21"/>
    </row>
    <row r="1856" spans="2:10" x14ac:dyDescent="0.25">
      <c r="B1856" s="21"/>
      <c r="G1856" s="21"/>
      <c r="H1856" s="21"/>
      <c r="J1856" s="21"/>
    </row>
    <row r="1857" spans="2:10" x14ac:dyDescent="0.25">
      <c r="B1857" s="21"/>
      <c r="G1857" s="21"/>
      <c r="H1857" s="21"/>
      <c r="J1857" s="21"/>
    </row>
    <row r="1858" spans="2:10" x14ac:dyDescent="0.25">
      <c r="B1858" s="21"/>
      <c r="G1858" s="21"/>
      <c r="H1858" s="21"/>
      <c r="J1858" s="21"/>
    </row>
    <row r="1859" spans="2:10" x14ac:dyDescent="0.25">
      <c r="B1859" s="21"/>
      <c r="G1859" s="21"/>
      <c r="H1859" s="21"/>
      <c r="J1859" s="21"/>
    </row>
    <row r="1860" spans="2:10" x14ac:dyDescent="0.25">
      <c r="B1860" s="21"/>
      <c r="G1860" s="21"/>
      <c r="H1860" s="21"/>
      <c r="J1860" s="21"/>
    </row>
    <row r="1861" spans="2:10" x14ac:dyDescent="0.25">
      <c r="B1861" s="21"/>
      <c r="G1861" s="21"/>
      <c r="H1861" s="21"/>
      <c r="J1861" s="21"/>
    </row>
    <row r="1862" spans="2:10" x14ac:dyDescent="0.25">
      <c r="B1862" s="21"/>
      <c r="G1862" s="21"/>
      <c r="H1862" s="21"/>
      <c r="J1862" s="21"/>
    </row>
    <row r="1863" spans="2:10" x14ac:dyDescent="0.25">
      <c r="B1863" s="21"/>
      <c r="G1863" s="21"/>
      <c r="H1863" s="21"/>
      <c r="J1863" s="21"/>
    </row>
    <row r="1864" spans="2:10" x14ac:dyDescent="0.25">
      <c r="B1864" s="21"/>
      <c r="G1864" s="21"/>
      <c r="H1864" s="21"/>
      <c r="J1864" s="21"/>
    </row>
    <row r="1865" spans="2:10" x14ac:dyDescent="0.25">
      <c r="B1865" s="21"/>
      <c r="G1865" s="21"/>
      <c r="H1865" s="21"/>
      <c r="J1865" s="21"/>
    </row>
    <row r="1866" spans="2:10" x14ac:dyDescent="0.25">
      <c r="B1866" s="21"/>
      <c r="G1866" s="21"/>
      <c r="H1866" s="21"/>
      <c r="J1866" s="21"/>
    </row>
    <row r="1867" spans="2:10" x14ac:dyDescent="0.25">
      <c r="B1867" s="21"/>
      <c r="G1867" s="21"/>
      <c r="H1867" s="21"/>
      <c r="J1867" s="21"/>
    </row>
    <row r="1868" spans="2:10" x14ac:dyDescent="0.25">
      <c r="B1868" s="21"/>
      <c r="G1868" s="21"/>
      <c r="H1868" s="21"/>
      <c r="J1868" s="21"/>
    </row>
    <row r="1869" spans="2:10" x14ac:dyDescent="0.25">
      <c r="B1869" s="21"/>
      <c r="G1869" s="21"/>
      <c r="H1869" s="21"/>
      <c r="J1869" s="21"/>
    </row>
    <row r="1870" spans="2:10" x14ac:dyDescent="0.25">
      <c r="B1870" s="21"/>
      <c r="G1870" s="21"/>
      <c r="H1870" s="21"/>
      <c r="J1870" s="21"/>
    </row>
    <row r="1871" spans="2:10" x14ac:dyDescent="0.25">
      <c r="B1871" s="21"/>
      <c r="G1871" s="21"/>
      <c r="H1871" s="21"/>
      <c r="J1871" s="21"/>
    </row>
    <row r="1872" spans="2:10" x14ac:dyDescent="0.25">
      <c r="B1872" s="21"/>
      <c r="G1872" s="21"/>
      <c r="H1872" s="21"/>
      <c r="J1872" s="21"/>
    </row>
    <row r="1873" spans="2:10" x14ac:dyDescent="0.25">
      <c r="B1873" s="21"/>
      <c r="G1873" s="21"/>
      <c r="H1873" s="21"/>
      <c r="J1873" s="21"/>
    </row>
    <row r="1874" spans="2:10" x14ac:dyDescent="0.25">
      <c r="B1874" s="21"/>
      <c r="G1874" s="21"/>
      <c r="H1874" s="21"/>
      <c r="J1874" s="21"/>
    </row>
    <row r="1875" spans="2:10" x14ac:dyDescent="0.25">
      <c r="B1875" s="21"/>
      <c r="G1875" s="21"/>
      <c r="H1875" s="21"/>
      <c r="J1875" s="21"/>
    </row>
    <row r="1876" spans="2:10" x14ac:dyDescent="0.25">
      <c r="B1876" s="21"/>
      <c r="G1876" s="21"/>
      <c r="H1876" s="21"/>
      <c r="J1876" s="21"/>
    </row>
    <row r="1877" spans="2:10" x14ac:dyDescent="0.25">
      <c r="B1877" s="21"/>
      <c r="G1877" s="21"/>
      <c r="H1877" s="21"/>
      <c r="J1877" s="21"/>
    </row>
    <row r="1878" spans="2:10" x14ac:dyDescent="0.25">
      <c r="B1878" s="21"/>
      <c r="G1878" s="21"/>
      <c r="H1878" s="21"/>
      <c r="J1878" s="21"/>
    </row>
    <row r="1879" spans="2:10" x14ac:dyDescent="0.25">
      <c r="B1879" s="21"/>
      <c r="G1879" s="21"/>
      <c r="H1879" s="21"/>
      <c r="J1879" s="21"/>
    </row>
    <row r="1880" spans="2:10" x14ac:dyDescent="0.25">
      <c r="B1880" s="21"/>
      <c r="G1880" s="21"/>
      <c r="H1880" s="21"/>
      <c r="J1880" s="21"/>
    </row>
    <row r="1881" spans="2:10" x14ac:dyDescent="0.25">
      <c r="B1881" s="21"/>
      <c r="G1881" s="21"/>
      <c r="H1881" s="21"/>
      <c r="J1881" s="21"/>
    </row>
    <row r="1882" spans="2:10" x14ac:dyDescent="0.25">
      <c r="B1882" s="21"/>
      <c r="G1882" s="21"/>
      <c r="H1882" s="21"/>
      <c r="J1882" s="21"/>
    </row>
    <row r="1883" spans="2:10" x14ac:dyDescent="0.25">
      <c r="B1883" s="21"/>
      <c r="G1883" s="21"/>
      <c r="H1883" s="21"/>
      <c r="J1883" s="21"/>
    </row>
    <row r="1884" spans="2:10" x14ac:dyDescent="0.25">
      <c r="B1884" s="21"/>
      <c r="G1884" s="21"/>
      <c r="H1884" s="21"/>
      <c r="J1884" s="21"/>
    </row>
    <row r="1885" spans="2:10" x14ac:dyDescent="0.25">
      <c r="B1885" s="21"/>
      <c r="G1885" s="21"/>
      <c r="H1885" s="21"/>
      <c r="J1885" s="21"/>
    </row>
    <row r="1886" spans="2:10" x14ac:dyDescent="0.25">
      <c r="B1886" s="21"/>
      <c r="G1886" s="21"/>
      <c r="H1886" s="21"/>
      <c r="J1886" s="21"/>
    </row>
    <row r="1887" spans="2:10" x14ac:dyDescent="0.25">
      <c r="B1887" s="21"/>
      <c r="G1887" s="21"/>
      <c r="H1887" s="21"/>
      <c r="J1887" s="21"/>
    </row>
    <row r="1888" spans="2:10" x14ac:dyDescent="0.25">
      <c r="B1888" s="21"/>
      <c r="G1888" s="21"/>
      <c r="H1888" s="21"/>
      <c r="J1888" s="21"/>
    </row>
    <row r="1889" spans="2:10" x14ac:dyDescent="0.25">
      <c r="B1889" s="21"/>
      <c r="G1889" s="21"/>
      <c r="H1889" s="21"/>
      <c r="J1889" s="21"/>
    </row>
    <row r="1890" spans="2:10" x14ac:dyDescent="0.25">
      <c r="B1890" s="21"/>
      <c r="G1890" s="21"/>
      <c r="H1890" s="21"/>
      <c r="J1890" s="21"/>
    </row>
    <row r="1891" spans="2:10" x14ac:dyDescent="0.25">
      <c r="B1891" s="21"/>
      <c r="G1891" s="21"/>
      <c r="H1891" s="21"/>
      <c r="J1891" s="21"/>
    </row>
    <row r="1892" spans="2:10" x14ac:dyDescent="0.25">
      <c r="B1892" s="21"/>
      <c r="G1892" s="21"/>
      <c r="H1892" s="21"/>
      <c r="J1892" s="21"/>
    </row>
    <row r="1893" spans="2:10" x14ac:dyDescent="0.25">
      <c r="B1893" s="21"/>
      <c r="G1893" s="21"/>
      <c r="H1893" s="21"/>
      <c r="J1893" s="21"/>
    </row>
    <row r="1894" spans="2:10" x14ac:dyDescent="0.25">
      <c r="B1894" s="21"/>
      <c r="G1894" s="21"/>
      <c r="H1894" s="21"/>
      <c r="J1894" s="21"/>
    </row>
    <row r="1895" spans="2:10" x14ac:dyDescent="0.25">
      <c r="B1895" s="21"/>
      <c r="G1895" s="21"/>
      <c r="H1895" s="21"/>
      <c r="J1895" s="21"/>
    </row>
    <row r="1896" spans="2:10" x14ac:dyDescent="0.25">
      <c r="B1896" s="21"/>
      <c r="G1896" s="21"/>
      <c r="H1896" s="21"/>
      <c r="J1896" s="21"/>
    </row>
    <row r="1897" spans="2:10" x14ac:dyDescent="0.25">
      <c r="B1897" s="21"/>
      <c r="G1897" s="21"/>
      <c r="H1897" s="21"/>
      <c r="J1897" s="21"/>
    </row>
    <row r="1898" spans="2:10" x14ac:dyDescent="0.25">
      <c r="B1898" s="21"/>
      <c r="G1898" s="21"/>
      <c r="H1898" s="21"/>
      <c r="J1898" s="21"/>
    </row>
    <row r="1899" spans="2:10" x14ac:dyDescent="0.25">
      <c r="B1899" s="21"/>
      <c r="G1899" s="21"/>
      <c r="H1899" s="21"/>
      <c r="J1899" s="21"/>
    </row>
    <row r="1900" spans="2:10" x14ac:dyDescent="0.25">
      <c r="B1900" s="21"/>
      <c r="G1900" s="21"/>
      <c r="H1900" s="21"/>
      <c r="J1900" s="21"/>
    </row>
    <row r="1901" spans="2:10" x14ac:dyDescent="0.25">
      <c r="B1901" s="21"/>
      <c r="G1901" s="21"/>
      <c r="H1901" s="21"/>
      <c r="J1901" s="21"/>
    </row>
    <row r="1902" spans="2:10" x14ac:dyDescent="0.25">
      <c r="B1902" s="21"/>
      <c r="G1902" s="21"/>
      <c r="H1902" s="21"/>
      <c r="J1902" s="21"/>
    </row>
    <row r="1903" spans="2:10" x14ac:dyDescent="0.25">
      <c r="B1903" s="21"/>
      <c r="G1903" s="21"/>
      <c r="H1903" s="21"/>
      <c r="J1903" s="21"/>
    </row>
    <row r="1904" spans="2:10" x14ac:dyDescent="0.25">
      <c r="B1904" s="21"/>
      <c r="G1904" s="21"/>
      <c r="H1904" s="21"/>
      <c r="J1904" s="21"/>
    </row>
    <row r="1905" spans="2:10" x14ac:dyDescent="0.25">
      <c r="B1905" s="21"/>
      <c r="G1905" s="21"/>
      <c r="H1905" s="21"/>
      <c r="J1905" s="21"/>
    </row>
    <row r="1906" spans="2:10" x14ac:dyDescent="0.25">
      <c r="B1906" s="21"/>
      <c r="G1906" s="21"/>
      <c r="H1906" s="21"/>
      <c r="J1906" s="21"/>
    </row>
    <row r="1907" spans="2:10" x14ac:dyDescent="0.25">
      <c r="B1907" s="21"/>
      <c r="G1907" s="21"/>
      <c r="H1907" s="21"/>
      <c r="J1907" s="21"/>
    </row>
    <row r="1908" spans="2:10" x14ac:dyDescent="0.25">
      <c r="B1908" s="21"/>
      <c r="G1908" s="21"/>
      <c r="H1908" s="21"/>
      <c r="J1908" s="21"/>
    </row>
    <row r="1909" spans="2:10" x14ac:dyDescent="0.25">
      <c r="B1909" s="21"/>
      <c r="G1909" s="21"/>
      <c r="H1909" s="21"/>
      <c r="J1909" s="21"/>
    </row>
    <row r="1910" spans="2:10" x14ac:dyDescent="0.25">
      <c r="B1910" s="21"/>
      <c r="G1910" s="21"/>
      <c r="H1910" s="21"/>
      <c r="J1910" s="21"/>
    </row>
    <row r="1911" spans="2:10" x14ac:dyDescent="0.25">
      <c r="B1911" s="21"/>
      <c r="G1911" s="21"/>
      <c r="H1911" s="21"/>
      <c r="J1911" s="21"/>
    </row>
    <row r="1912" spans="2:10" x14ac:dyDescent="0.25">
      <c r="B1912" s="21"/>
      <c r="G1912" s="21"/>
      <c r="H1912" s="21"/>
      <c r="J1912" s="21"/>
    </row>
    <row r="1913" spans="2:10" x14ac:dyDescent="0.25">
      <c r="B1913" s="21"/>
      <c r="G1913" s="21"/>
      <c r="H1913" s="21"/>
      <c r="J1913" s="21"/>
    </row>
    <row r="1914" spans="2:10" x14ac:dyDescent="0.25">
      <c r="B1914" s="21"/>
      <c r="G1914" s="21"/>
      <c r="H1914" s="21"/>
      <c r="J1914" s="21"/>
    </row>
    <row r="1915" spans="2:10" x14ac:dyDescent="0.25">
      <c r="B1915" s="21"/>
      <c r="G1915" s="21"/>
      <c r="H1915" s="21"/>
      <c r="J1915" s="21"/>
    </row>
    <row r="1916" spans="2:10" x14ac:dyDescent="0.25">
      <c r="B1916" s="21"/>
      <c r="G1916" s="21"/>
      <c r="H1916" s="21"/>
      <c r="J1916" s="21"/>
    </row>
    <row r="1917" spans="2:10" x14ac:dyDescent="0.25">
      <c r="B1917" s="21"/>
      <c r="G1917" s="21"/>
      <c r="H1917" s="21"/>
      <c r="J1917" s="21"/>
    </row>
    <row r="1918" spans="2:10" x14ac:dyDescent="0.25">
      <c r="B1918" s="21"/>
      <c r="G1918" s="21"/>
      <c r="H1918" s="21"/>
      <c r="J1918" s="21"/>
    </row>
    <row r="1919" spans="2:10" x14ac:dyDescent="0.25">
      <c r="B1919" s="21"/>
      <c r="G1919" s="21"/>
      <c r="H1919" s="21"/>
      <c r="J1919" s="21"/>
    </row>
    <row r="1920" spans="2:10" x14ac:dyDescent="0.25">
      <c r="B1920" s="21"/>
      <c r="G1920" s="21"/>
      <c r="H1920" s="21"/>
      <c r="J1920" s="21"/>
    </row>
    <row r="1921" spans="2:10" x14ac:dyDescent="0.25">
      <c r="B1921" s="21"/>
      <c r="G1921" s="21"/>
      <c r="H1921" s="21"/>
      <c r="J1921" s="21"/>
    </row>
    <row r="1922" spans="2:10" x14ac:dyDescent="0.25">
      <c r="B1922" s="21"/>
      <c r="G1922" s="21"/>
      <c r="H1922" s="21"/>
      <c r="J1922" s="21"/>
    </row>
    <row r="1923" spans="2:10" x14ac:dyDescent="0.25">
      <c r="B1923" s="21"/>
      <c r="G1923" s="21"/>
      <c r="H1923" s="21"/>
      <c r="J1923" s="21"/>
    </row>
    <row r="1924" spans="2:10" x14ac:dyDescent="0.25">
      <c r="B1924" s="21"/>
      <c r="G1924" s="21"/>
      <c r="H1924" s="21"/>
      <c r="J1924" s="21"/>
    </row>
    <row r="1925" spans="2:10" x14ac:dyDescent="0.25">
      <c r="B1925" s="21"/>
      <c r="G1925" s="21"/>
      <c r="H1925" s="21"/>
      <c r="J1925" s="21"/>
    </row>
    <row r="1926" spans="2:10" x14ac:dyDescent="0.25">
      <c r="B1926" s="21"/>
      <c r="G1926" s="21"/>
      <c r="H1926" s="21"/>
      <c r="J1926" s="21"/>
    </row>
    <row r="1927" spans="2:10" x14ac:dyDescent="0.25">
      <c r="B1927" s="21"/>
      <c r="G1927" s="21"/>
      <c r="H1927" s="21"/>
      <c r="J1927" s="21"/>
    </row>
    <row r="1928" spans="2:10" x14ac:dyDescent="0.25">
      <c r="B1928" s="21"/>
      <c r="G1928" s="21"/>
      <c r="H1928" s="21"/>
      <c r="J1928" s="21"/>
    </row>
    <row r="1929" spans="2:10" x14ac:dyDescent="0.25">
      <c r="B1929" s="21"/>
      <c r="G1929" s="21"/>
      <c r="H1929" s="21"/>
      <c r="J1929" s="21"/>
    </row>
    <row r="1930" spans="2:10" x14ac:dyDescent="0.25">
      <c r="B1930" s="21"/>
      <c r="G1930" s="21"/>
      <c r="H1930" s="21"/>
      <c r="J1930" s="21"/>
    </row>
    <row r="1931" spans="2:10" x14ac:dyDescent="0.25">
      <c r="B1931" s="21"/>
      <c r="G1931" s="21"/>
      <c r="H1931" s="21"/>
      <c r="J1931" s="21"/>
    </row>
    <row r="1932" spans="2:10" x14ac:dyDescent="0.25">
      <c r="B1932" s="21"/>
      <c r="G1932" s="21"/>
      <c r="H1932" s="21"/>
      <c r="J1932" s="21"/>
    </row>
    <row r="1933" spans="2:10" x14ac:dyDescent="0.25">
      <c r="B1933" s="21"/>
      <c r="G1933" s="21"/>
      <c r="H1933" s="21"/>
      <c r="J1933" s="21"/>
    </row>
    <row r="1934" spans="2:10" x14ac:dyDescent="0.25">
      <c r="B1934" s="21"/>
      <c r="G1934" s="21"/>
      <c r="H1934" s="21"/>
      <c r="J1934" s="21"/>
    </row>
    <row r="1935" spans="2:10" x14ac:dyDescent="0.25">
      <c r="B1935" s="21"/>
      <c r="G1935" s="21"/>
      <c r="H1935" s="21"/>
      <c r="J1935" s="21"/>
    </row>
    <row r="1936" spans="2:10" x14ac:dyDescent="0.25">
      <c r="B1936" s="21"/>
      <c r="G1936" s="21"/>
      <c r="H1936" s="21"/>
      <c r="J1936" s="21"/>
    </row>
    <row r="1937" spans="2:10" x14ac:dyDescent="0.25">
      <c r="B1937" s="21"/>
      <c r="G1937" s="21"/>
      <c r="H1937" s="21"/>
      <c r="J1937" s="21"/>
    </row>
    <row r="1938" spans="2:10" x14ac:dyDescent="0.25">
      <c r="B1938" s="21"/>
      <c r="G1938" s="21"/>
      <c r="H1938" s="21"/>
      <c r="J1938" s="21"/>
    </row>
    <row r="1939" spans="2:10" x14ac:dyDescent="0.25">
      <c r="B1939" s="21"/>
      <c r="G1939" s="21"/>
      <c r="H1939" s="21"/>
      <c r="J1939" s="21"/>
    </row>
    <row r="1940" spans="2:10" x14ac:dyDescent="0.25">
      <c r="B1940" s="21"/>
      <c r="G1940" s="21"/>
      <c r="H1940" s="21"/>
      <c r="J1940" s="21"/>
    </row>
    <row r="1941" spans="2:10" x14ac:dyDescent="0.25">
      <c r="B1941" s="21"/>
      <c r="G1941" s="21"/>
      <c r="H1941" s="21"/>
      <c r="J1941" s="21"/>
    </row>
    <row r="1942" spans="2:10" x14ac:dyDescent="0.25">
      <c r="B1942" s="21"/>
      <c r="G1942" s="21"/>
      <c r="H1942" s="21"/>
      <c r="J1942" s="21"/>
    </row>
    <row r="1943" spans="2:10" x14ac:dyDescent="0.25">
      <c r="B1943" s="21"/>
      <c r="G1943" s="21"/>
      <c r="H1943" s="21"/>
      <c r="J1943" s="21"/>
    </row>
    <row r="1944" spans="2:10" x14ac:dyDescent="0.25">
      <c r="B1944" s="21"/>
      <c r="G1944" s="21"/>
      <c r="H1944" s="21"/>
      <c r="J1944" s="21"/>
    </row>
    <row r="1945" spans="2:10" x14ac:dyDescent="0.25">
      <c r="B1945" s="21"/>
      <c r="G1945" s="21"/>
      <c r="H1945" s="21"/>
      <c r="J1945" s="21"/>
    </row>
    <row r="1946" spans="2:10" x14ac:dyDescent="0.25">
      <c r="B1946" s="21"/>
      <c r="G1946" s="21"/>
      <c r="H1946" s="21"/>
      <c r="J1946" s="21"/>
    </row>
    <row r="1947" spans="2:10" x14ac:dyDescent="0.25">
      <c r="B1947" s="21"/>
      <c r="G1947" s="21"/>
      <c r="H1947" s="21"/>
      <c r="J1947" s="21"/>
    </row>
    <row r="1948" spans="2:10" x14ac:dyDescent="0.25">
      <c r="B1948" s="21"/>
      <c r="G1948" s="21"/>
      <c r="H1948" s="21"/>
      <c r="J1948" s="21"/>
    </row>
    <row r="1949" spans="2:10" x14ac:dyDescent="0.25">
      <c r="B1949" s="21"/>
      <c r="G1949" s="21"/>
      <c r="H1949" s="21"/>
      <c r="J1949" s="21"/>
    </row>
    <row r="1950" spans="2:10" x14ac:dyDescent="0.25">
      <c r="B1950" s="21"/>
      <c r="G1950" s="21"/>
      <c r="H1950" s="21"/>
      <c r="J1950" s="21"/>
    </row>
    <row r="1951" spans="2:10" x14ac:dyDescent="0.25">
      <c r="B1951" s="21"/>
      <c r="G1951" s="21"/>
      <c r="H1951" s="21"/>
      <c r="J1951" s="21"/>
    </row>
    <row r="1952" spans="2:10" x14ac:dyDescent="0.25">
      <c r="B1952" s="21"/>
      <c r="G1952" s="21"/>
      <c r="H1952" s="21"/>
      <c r="J1952" s="21"/>
    </row>
    <row r="1953" spans="2:10" x14ac:dyDescent="0.25">
      <c r="B1953" s="21"/>
      <c r="G1953" s="21"/>
      <c r="H1953" s="21"/>
      <c r="J1953" s="21"/>
    </row>
    <row r="1954" spans="2:10" x14ac:dyDescent="0.25">
      <c r="B1954" s="21"/>
      <c r="G1954" s="21"/>
      <c r="H1954" s="21"/>
      <c r="J1954" s="21"/>
    </row>
    <row r="1955" spans="2:10" x14ac:dyDescent="0.25">
      <c r="B1955" s="21"/>
      <c r="G1955" s="21"/>
      <c r="H1955" s="21"/>
      <c r="J1955" s="21"/>
    </row>
    <row r="1956" spans="2:10" x14ac:dyDescent="0.25">
      <c r="B1956" s="21"/>
      <c r="G1956" s="21"/>
      <c r="H1956" s="21"/>
      <c r="J1956" s="21"/>
    </row>
    <row r="1957" spans="2:10" x14ac:dyDescent="0.25">
      <c r="B1957" s="21"/>
      <c r="G1957" s="21"/>
      <c r="H1957" s="21"/>
      <c r="J1957" s="21"/>
    </row>
    <row r="1958" spans="2:10" x14ac:dyDescent="0.25">
      <c r="B1958" s="21"/>
      <c r="G1958" s="21"/>
      <c r="H1958" s="21"/>
      <c r="J1958" s="21"/>
    </row>
    <row r="1959" spans="2:10" x14ac:dyDescent="0.25">
      <c r="B1959" s="21"/>
      <c r="G1959" s="21"/>
      <c r="H1959" s="21"/>
      <c r="J1959" s="21"/>
    </row>
    <row r="1960" spans="2:10" x14ac:dyDescent="0.25">
      <c r="B1960" s="21"/>
      <c r="G1960" s="21"/>
      <c r="H1960" s="21"/>
      <c r="J1960" s="21"/>
    </row>
    <row r="1961" spans="2:10" x14ac:dyDescent="0.25">
      <c r="B1961" s="21"/>
      <c r="G1961" s="21"/>
      <c r="H1961" s="21"/>
      <c r="J1961" s="21"/>
    </row>
    <row r="1962" spans="2:10" x14ac:dyDescent="0.25">
      <c r="B1962" s="21"/>
      <c r="G1962" s="21"/>
      <c r="H1962" s="21"/>
      <c r="J1962" s="21"/>
    </row>
    <row r="1963" spans="2:10" x14ac:dyDescent="0.25">
      <c r="B1963" s="21"/>
      <c r="G1963" s="21"/>
      <c r="H1963" s="21"/>
      <c r="J1963" s="21"/>
    </row>
    <row r="1964" spans="2:10" x14ac:dyDescent="0.25">
      <c r="B1964" s="21"/>
      <c r="G1964" s="21"/>
      <c r="H1964" s="21"/>
      <c r="J1964" s="21"/>
    </row>
    <row r="1965" spans="2:10" x14ac:dyDescent="0.25">
      <c r="B1965" s="21"/>
      <c r="G1965" s="21"/>
      <c r="H1965" s="21"/>
      <c r="J1965" s="21"/>
    </row>
    <row r="1966" spans="2:10" x14ac:dyDescent="0.25">
      <c r="B1966" s="21"/>
      <c r="G1966" s="21"/>
      <c r="H1966" s="21"/>
      <c r="J1966" s="21"/>
    </row>
    <row r="1967" spans="2:10" x14ac:dyDescent="0.25">
      <c r="B1967" s="21"/>
      <c r="G1967" s="21"/>
      <c r="H1967" s="21"/>
      <c r="J1967" s="21"/>
    </row>
    <row r="1968" spans="2:10" x14ac:dyDescent="0.25">
      <c r="B1968" s="21"/>
      <c r="G1968" s="21"/>
      <c r="H1968" s="21"/>
      <c r="J1968" s="21"/>
    </row>
    <row r="1969" spans="2:10" x14ac:dyDescent="0.25">
      <c r="B1969" s="21"/>
      <c r="G1969" s="21"/>
      <c r="H1969" s="21"/>
      <c r="J1969" s="21"/>
    </row>
    <row r="1970" spans="2:10" x14ac:dyDescent="0.25">
      <c r="B1970" s="21"/>
      <c r="G1970" s="21"/>
      <c r="H1970" s="21"/>
      <c r="J1970" s="21"/>
    </row>
    <row r="1971" spans="2:10" x14ac:dyDescent="0.25">
      <c r="B1971" s="21"/>
      <c r="G1971" s="21"/>
      <c r="H1971" s="21"/>
      <c r="J1971" s="21"/>
    </row>
    <row r="1972" spans="2:10" x14ac:dyDescent="0.25">
      <c r="B1972" s="21"/>
      <c r="G1972" s="21"/>
      <c r="H1972" s="21"/>
      <c r="J1972" s="21"/>
    </row>
    <row r="1973" spans="2:10" x14ac:dyDescent="0.25">
      <c r="B1973" s="21"/>
      <c r="G1973" s="21"/>
      <c r="H1973" s="21"/>
      <c r="J1973" s="21"/>
    </row>
    <row r="1974" spans="2:10" x14ac:dyDescent="0.25">
      <c r="B1974" s="21"/>
      <c r="G1974" s="21"/>
      <c r="H1974" s="21"/>
      <c r="J1974" s="21"/>
    </row>
    <row r="1975" spans="2:10" x14ac:dyDescent="0.25">
      <c r="B1975" s="21"/>
      <c r="G1975" s="21"/>
      <c r="H1975" s="21"/>
      <c r="J1975" s="21"/>
    </row>
    <row r="1976" spans="2:10" x14ac:dyDescent="0.25">
      <c r="B1976" s="21"/>
      <c r="G1976" s="21"/>
      <c r="H1976" s="21"/>
      <c r="J1976" s="21"/>
    </row>
    <row r="1977" spans="2:10" x14ac:dyDescent="0.25">
      <c r="B1977" s="21"/>
      <c r="G1977" s="21"/>
      <c r="H1977" s="21"/>
      <c r="J1977" s="21"/>
    </row>
    <row r="1978" spans="2:10" x14ac:dyDescent="0.25">
      <c r="B1978" s="21"/>
      <c r="G1978" s="21"/>
      <c r="H1978" s="21"/>
      <c r="J1978" s="21"/>
    </row>
    <row r="1979" spans="2:10" x14ac:dyDescent="0.25">
      <c r="B1979" s="21"/>
      <c r="G1979" s="21"/>
      <c r="H1979" s="21"/>
      <c r="J1979" s="21"/>
    </row>
    <row r="1980" spans="2:10" x14ac:dyDescent="0.25">
      <c r="B1980" s="21"/>
      <c r="G1980" s="21"/>
      <c r="H1980" s="21"/>
      <c r="J1980" s="21"/>
    </row>
    <row r="1981" spans="2:10" x14ac:dyDescent="0.25">
      <c r="B1981" s="21"/>
      <c r="G1981" s="21"/>
      <c r="H1981" s="21"/>
      <c r="J1981" s="21"/>
    </row>
    <row r="1982" spans="2:10" x14ac:dyDescent="0.25">
      <c r="B1982" s="21"/>
      <c r="G1982" s="21"/>
      <c r="H1982" s="21"/>
      <c r="J1982" s="21"/>
    </row>
    <row r="1983" spans="2:10" x14ac:dyDescent="0.25">
      <c r="B1983" s="21"/>
      <c r="G1983" s="21"/>
      <c r="H1983" s="21"/>
      <c r="J1983" s="21"/>
    </row>
    <row r="1984" spans="2:10" x14ac:dyDescent="0.25">
      <c r="B1984" s="21"/>
      <c r="G1984" s="21"/>
      <c r="H1984" s="21"/>
      <c r="J1984" s="21"/>
    </row>
    <row r="1985" spans="2:10" x14ac:dyDescent="0.25">
      <c r="B1985" s="21"/>
      <c r="G1985" s="21"/>
      <c r="H1985" s="21"/>
      <c r="J1985" s="21"/>
    </row>
    <row r="1986" spans="2:10" x14ac:dyDescent="0.25">
      <c r="B1986" s="21"/>
      <c r="G1986" s="21"/>
      <c r="H1986" s="21"/>
      <c r="J1986" s="21"/>
    </row>
    <row r="1987" spans="2:10" x14ac:dyDescent="0.25">
      <c r="B1987" s="21"/>
      <c r="G1987" s="21"/>
      <c r="H1987" s="21"/>
      <c r="J1987" s="21"/>
    </row>
    <row r="1988" spans="2:10" x14ac:dyDescent="0.25">
      <c r="B1988" s="21"/>
      <c r="G1988" s="21"/>
      <c r="H1988" s="21"/>
      <c r="J1988" s="21"/>
    </row>
    <row r="1989" spans="2:10" x14ac:dyDescent="0.25">
      <c r="B1989" s="21"/>
      <c r="G1989" s="21"/>
      <c r="H1989" s="21"/>
      <c r="J1989" s="21"/>
    </row>
    <row r="1990" spans="2:10" x14ac:dyDescent="0.25">
      <c r="B1990" s="21"/>
      <c r="G1990" s="21"/>
      <c r="H1990" s="21"/>
      <c r="J1990" s="21"/>
    </row>
    <row r="1991" spans="2:10" x14ac:dyDescent="0.25">
      <c r="B1991" s="21"/>
      <c r="G1991" s="21"/>
      <c r="H1991" s="21"/>
      <c r="J1991" s="21"/>
    </row>
    <row r="1992" spans="2:10" x14ac:dyDescent="0.25">
      <c r="B1992" s="21"/>
      <c r="G1992" s="21"/>
      <c r="H1992" s="21"/>
      <c r="J1992" s="21"/>
    </row>
    <row r="1993" spans="2:10" x14ac:dyDescent="0.25">
      <c r="B1993" s="21"/>
      <c r="G1993" s="21"/>
      <c r="H1993" s="21"/>
      <c r="J1993" s="21"/>
    </row>
    <row r="1994" spans="2:10" x14ac:dyDescent="0.25">
      <c r="B1994" s="21"/>
      <c r="G1994" s="21"/>
      <c r="H1994" s="21"/>
      <c r="J1994" s="21"/>
    </row>
    <row r="1995" spans="2:10" x14ac:dyDescent="0.25">
      <c r="B1995" s="21"/>
      <c r="G1995" s="21"/>
      <c r="H1995" s="21"/>
      <c r="J1995" s="21"/>
    </row>
    <row r="1996" spans="2:10" x14ac:dyDescent="0.25">
      <c r="B1996" s="21"/>
      <c r="G1996" s="21"/>
      <c r="H1996" s="21"/>
      <c r="J1996" s="21"/>
    </row>
    <row r="1997" spans="2:10" x14ac:dyDescent="0.25">
      <c r="B1997" s="21"/>
      <c r="G1997" s="21"/>
      <c r="H1997" s="21"/>
      <c r="J1997" s="21"/>
    </row>
    <row r="1998" spans="2:10" x14ac:dyDescent="0.25">
      <c r="B1998" s="21"/>
      <c r="G1998" s="21"/>
      <c r="H1998" s="21"/>
      <c r="J1998" s="21"/>
    </row>
    <row r="1999" spans="2:10" x14ac:dyDescent="0.25">
      <c r="B1999" s="21"/>
      <c r="G1999" s="21"/>
      <c r="H1999" s="21"/>
      <c r="J1999" s="21"/>
    </row>
    <row r="2000" spans="2:10" x14ac:dyDescent="0.25">
      <c r="B2000" s="21"/>
      <c r="G2000" s="21"/>
      <c r="H2000" s="21"/>
      <c r="J2000" s="21"/>
    </row>
    <row r="2001" spans="2:10" x14ac:dyDescent="0.25">
      <c r="B2001" s="21"/>
      <c r="G2001" s="21"/>
      <c r="H2001" s="21"/>
      <c r="J2001" s="21"/>
    </row>
    <row r="2002" spans="2:10" x14ac:dyDescent="0.25">
      <c r="B2002" s="21"/>
      <c r="G2002" s="21"/>
      <c r="H2002" s="21"/>
      <c r="J2002" s="21"/>
    </row>
    <row r="2003" spans="2:10" x14ac:dyDescent="0.25">
      <c r="B2003" s="21"/>
      <c r="G2003" s="21"/>
      <c r="H2003" s="21"/>
      <c r="J2003" s="21"/>
    </row>
    <row r="2004" spans="2:10" x14ac:dyDescent="0.25">
      <c r="B2004" s="21"/>
      <c r="G2004" s="21"/>
      <c r="H2004" s="21"/>
      <c r="J2004" s="21"/>
    </row>
    <row r="2005" spans="2:10" x14ac:dyDescent="0.25">
      <c r="B2005" s="21"/>
      <c r="G2005" s="21"/>
      <c r="H2005" s="21"/>
      <c r="J2005" s="21"/>
    </row>
    <row r="2006" spans="2:10" x14ac:dyDescent="0.25">
      <c r="B2006" s="21"/>
      <c r="G2006" s="21"/>
      <c r="H2006" s="21"/>
      <c r="J2006" s="21"/>
    </row>
    <row r="2007" spans="2:10" x14ac:dyDescent="0.25">
      <c r="B2007" s="21"/>
      <c r="G2007" s="21"/>
      <c r="H2007" s="21"/>
      <c r="J2007" s="21"/>
    </row>
    <row r="2008" spans="2:10" x14ac:dyDescent="0.25">
      <c r="B2008" s="21"/>
      <c r="G2008" s="21"/>
      <c r="H2008" s="21"/>
      <c r="J2008" s="21"/>
    </row>
    <row r="2009" spans="2:10" x14ac:dyDescent="0.25">
      <c r="B2009" s="21"/>
      <c r="G2009" s="21"/>
      <c r="H2009" s="21"/>
      <c r="J2009" s="21"/>
    </row>
    <row r="2010" spans="2:10" x14ac:dyDescent="0.25">
      <c r="B2010" s="21"/>
      <c r="G2010" s="21"/>
      <c r="H2010" s="21"/>
      <c r="J2010" s="21"/>
    </row>
    <row r="2011" spans="2:10" x14ac:dyDescent="0.25">
      <c r="B2011" s="21"/>
      <c r="G2011" s="21"/>
      <c r="H2011" s="21"/>
      <c r="J2011" s="21"/>
    </row>
    <row r="2012" spans="2:10" x14ac:dyDescent="0.25">
      <c r="B2012" s="21"/>
      <c r="G2012" s="21"/>
      <c r="H2012" s="21"/>
      <c r="J2012" s="21"/>
    </row>
    <row r="2013" spans="2:10" x14ac:dyDescent="0.25">
      <c r="B2013" s="21"/>
      <c r="G2013" s="21"/>
      <c r="H2013" s="21"/>
      <c r="J2013" s="21"/>
    </row>
    <row r="2014" spans="2:10" x14ac:dyDescent="0.25">
      <c r="B2014" s="21"/>
      <c r="G2014" s="21"/>
      <c r="H2014" s="21"/>
      <c r="J2014" s="21"/>
    </row>
    <row r="2015" spans="2:10" x14ac:dyDescent="0.25">
      <c r="B2015" s="21"/>
      <c r="G2015" s="21"/>
      <c r="H2015" s="21"/>
      <c r="J2015" s="21"/>
    </row>
    <row r="2016" spans="2:10" x14ac:dyDescent="0.25">
      <c r="B2016" s="21"/>
      <c r="G2016" s="21"/>
      <c r="H2016" s="21"/>
      <c r="J2016" s="21"/>
    </row>
    <row r="2017" spans="2:10" x14ac:dyDescent="0.25">
      <c r="B2017" s="21"/>
      <c r="G2017" s="21"/>
      <c r="H2017" s="21"/>
      <c r="J2017" s="21"/>
    </row>
    <row r="2018" spans="2:10" x14ac:dyDescent="0.25">
      <c r="B2018" s="21"/>
      <c r="G2018" s="21"/>
      <c r="H2018" s="21"/>
      <c r="J2018" s="21"/>
    </row>
    <row r="2019" spans="2:10" x14ac:dyDescent="0.25">
      <c r="B2019" s="21"/>
      <c r="G2019" s="21"/>
      <c r="H2019" s="21"/>
      <c r="J2019" s="21"/>
    </row>
    <row r="2020" spans="2:10" x14ac:dyDescent="0.25">
      <c r="B2020" s="21"/>
      <c r="G2020" s="21"/>
      <c r="H2020" s="21"/>
      <c r="J2020" s="21"/>
    </row>
    <row r="2021" spans="2:10" x14ac:dyDescent="0.25">
      <c r="B2021" s="21"/>
      <c r="G2021" s="21"/>
      <c r="H2021" s="21"/>
      <c r="J2021" s="21"/>
    </row>
    <row r="2022" spans="2:10" x14ac:dyDescent="0.25">
      <c r="B2022" s="21"/>
      <c r="G2022" s="21"/>
      <c r="H2022" s="21"/>
      <c r="J2022" s="21"/>
    </row>
    <row r="2023" spans="2:10" x14ac:dyDescent="0.25">
      <c r="B2023" s="21"/>
      <c r="G2023" s="21"/>
      <c r="H2023" s="21"/>
      <c r="J2023" s="21"/>
    </row>
    <row r="2024" spans="2:10" x14ac:dyDescent="0.25">
      <c r="B2024" s="21"/>
      <c r="G2024" s="21"/>
      <c r="H2024" s="21"/>
      <c r="J2024" s="21"/>
    </row>
    <row r="2025" spans="2:10" x14ac:dyDescent="0.25">
      <c r="B2025" s="21"/>
      <c r="G2025" s="21"/>
      <c r="H2025" s="21"/>
      <c r="J2025" s="21"/>
    </row>
    <row r="2026" spans="2:10" x14ac:dyDescent="0.25">
      <c r="B2026" s="21"/>
      <c r="G2026" s="21"/>
      <c r="H2026" s="21"/>
      <c r="J2026" s="21"/>
    </row>
    <row r="2027" spans="2:10" x14ac:dyDescent="0.25">
      <c r="B2027" s="21"/>
      <c r="G2027" s="21"/>
      <c r="H2027" s="21"/>
      <c r="J2027" s="21"/>
    </row>
    <row r="2028" spans="2:10" x14ac:dyDescent="0.25">
      <c r="B2028" s="21"/>
      <c r="G2028" s="21"/>
      <c r="H2028" s="21"/>
      <c r="J2028" s="21"/>
    </row>
    <row r="2029" spans="2:10" x14ac:dyDescent="0.25">
      <c r="B2029" s="21"/>
      <c r="G2029" s="21"/>
      <c r="H2029" s="21"/>
      <c r="J2029" s="21"/>
    </row>
    <row r="2030" spans="2:10" x14ac:dyDescent="0.25">
      <c r="B2030" s="21"/>
      <c r="G2030" s="21"/>
      <c r="H2030" s="21"/>
      <c r="J2030" s="21"/>
    </row>
    <row r="2031" spans="2:10" x14ac:dyDescent="0.25">
      <c r="B2031" s="21"/>
      <c r="G2031" s="21"/>
      <c r="H2031" s="21"/>
      <c r="J2031" s="21"/>
    </row>
    <row r="2032" spans="2:10" x14ac:dyDescent="0.25">
      <c r="B2032" s="21"/>
      <c r="G2032" s="21"/>
      <c r="H2032" s="21"/>
      <c r="J2032" s="21"/>
    </row>
    <row r="2033" spans="2:10" x14ac:dyDescent="0.25">
      <c r="B2033" s="21"/>
      <c r="G2033" s="21"/>
      <c r="H2033" s="21"/>
      <c r="J2033" s="21"/>
    </row>
    <row r="2034" spans="2:10" x14ac:dyDescent="0.25">
      <c r="B2034" s="21"/>
      <c r="G2034" s="21"/>
      <c r="H2034" s="21"/>
      <c r="J2034" s="21"/>
    </row>
    <row r="2035" spans="2:10" x14ac:dyDescent="0.25">
      <c r="B2035" s="21"/>
      <c r="G2035" s="21"/>
      <c r="H2035" s="21"/>
      <c r="J2035" s="21"/>
    </row>
    <row r="2036" spans="2:10" x14ac:dyDescent="0.25">
      <c r="B2036" s="21"/>
      <c r="G2036" s="21"/>
      <c r="H2036" s="21"/>
      <c r="J2036" s="21"/>
    </row>
    <row r="2037" spans="2:10" x14ac:dyDescent="0.25">
      <c r="B2037" s="21"/>
      <c r="G2037" s="21"/>
      <c r="H2037" s="21"/>
      <c r="J2037" s="21"/>
    </row>
    <row r="2038" spans="2:10" x14ac:dyDescent="0.25">
      <c r="B2038" s="21"/>
      <c r="G2038" s="21"/>
      <c r="H2038" s="21"/>
      <c r="J2038" s="21"/>
    </row>
    <row r="2039" spans="2:10" x14ac:dyDescent="0.25">
      <c r="B2039" s="21"/>
      <c r="G2039" s="21"/>
      <c r="H2039" s="21"/>
      <c r="J2039" s="21"/>
    </row>
    <row r="2040" spans="2:10" x14ac:dyDescent="0.25">
      <c r="B2040" s="21"/>
      <c r="G2040" s="21"/>
      <c r="H2040" s="21"/>
      <c r="J2040" s="21"/>
    </row>
    <row r="2041" spans="2:10" x14ac:dyDescent="0.25">
      <c r="B2041" s="21"/>
      <c r="G2041" s="21"/>
      <c r="H2041" s="21"/>
      <c r="J2041" s="21"/>
    </row>
    <row r="2042" spans="2:10" x14ac:dyDescent="0.25">
      <c r="B2042" s="21"/>
      <c r="G2042" s="21"/>
      <c r="H2042" s="21"/>
      <c r="J2042" s="21"/>
    </row>
    <row r="2043" spans="2:10" x14ac:dyDescent="0.25">
      <c r="B2043" s="21"/>
      <c r="G2043" s="21"/>
      <c r="H2043" s="21"/>
      <c r="J2043" s="21"/>
    </row>
    <row r="2044" spans="2:10" x14ac:dyDescent="0.25">
      <c r="B2044" s="21"/>
      <c r="G2044" s="21"/>
      <c r="H2044" s="21"/>
      <c r="J2044" s="21"/>
    </row>
    <row r="2045" spans="2:10" x14ac:dyDescent="0.25">
      <c r="B2045" s="21"/>
      <c r="G2045" s="21"/>
      <c r="H2045" s="21"/>
      <c r="J2045" s="21"/>
    </row>
    <row r="2046" spans="2:10" x14ac:dyDescent="0.25">
      <c r="B2046" s="21"/>
      <c r="G2046" s="21"/>
      <c r="H2046" s="21"/>
      <c r="J2046" s="21"/>
    </row>
    <row r="2047" spans="2:10" x14ac:dyDescent="0.25">
      <c r="B2047" s="21"/>
      <c r="G2047" s="21"/>
      <c r="H2047" s="21"/>
      <c r="J2047" s="21"/>
    </row>
    <row r="2048" spans="2:10" x14ac:dyDescent="0.25">
      <c r="B2048" s="21"/>
      <c r="G2048" s="21"/>
      <c r="H2048" s="21"/>
      <c r="J2048" s="21"/>
    </row>
    <row r="2049" spans="2:10" x14ac:dyDescent="0.25">
      <c r="B2049" s="21"/>
      <c r="G2049" s="21"/>
      <c r="H2049" s="21"/>
      <c r="J2049" s="21"/>
    </row>
    <row r="2050" spans="2:10" x14ac:dyDescent="0.25">
      <c r="B2050" s="21"/>
      <c r="G2050" s="21"/>
      <c r="H2050" s="21"/>
      <c r="J2050" s="21"/>
    </row>
    <row r="2051" spans="2:10" x14ac:dyDescent="0.25">
      <c r="B2051" s="21"/>
      <c r="G2051" s="21"/>
      <c r="H2051" s="21"/>
      <c r="J2051" s="21"/>
    </row>
    <row r="2052" spans="2:10" x14ac:dyDescent="0.25">
      <c r="B2052" s="21"/>
      <c r="G2052" s="21"/>
      <c r="H2052" s="21"/>
      <c r="J2052" s="21"/>
    </row>
    <row r="2053" spans="2:10" x14ac:dyDescent="0.25">
      <c r="B2053" s="21"/>
      <c r="G2053" s="21"/>
      <c r="H2053" s="21"/>
      <c r="J2053" s="21"/>
    </row>
    <row r="2054" spans="2:10" x14ac:dyDescent="0.25">
      <c r="B2054" s="21"/>
      <c r="G2054" s="21"/>
      <c r="H2054" s="21"/>
      <c r="J2054" s="21"/>
    </row>
    <row r="2055" spans="2:10" x14ac:dyDescent="0.25">
      <c r="B2055" s="21"/>
      <c r="G2055" s="21"/>
      <c r="H2055" s="21"/>
      <c r="J2055" s="21"/>
    </row>
    <row r="2056" spans="2:10" x14ac:dyDescent="0.25">
      <c r="B2056" s="21"/>
      <c r="G2056" s="21"/>
      <c r="H2056" s="21"/>
      <c r="J2056" s="21"/>
    </row>
    <row r="2057" spans="2:10" x14ac:dyDescent="0.25">
      <c r="B2057" s="21"/>
      <c r="G2057" s="21"/>
      <c r="H2057" s="21"/>
      <c r="J2057" s="21"/>
    </row>
    <row r="2058" spans="2:10" x14ac:dyDescent="0.25">
      <c r="B2058" s="21"/>
      <c r="G2058" s="21"/>
      <c r="H2058" s="21"/>
      <c r="J2058" s="21"/>
    </row>
    <row r="2059" spans="2:10" x14ac:dyDescent="0.25">
      <c r="B2059" s="21"/>
      <c r="G2059" s="21"/>
      <c r="H2059" s="21"/>
      <c r="J2059" s="21"/>
    </row>
    <row r="2060" spans="2:10" x14ac:dyDescent="0.25">
      <c r="B2060" s="21"/>
      <c r="G2060" s="21"/>
      <c r="H2060" s="21"/>
      <c r="J2060" s="21"/>
    </row>
    <row r="2061" spans="2:10" x14ac:dyDescent="0.25">
      <c r="B2061" s="21"/>
      <c r="G2061" s="21"/>
      <c r="H2061" s="21"/>
      <c r="J2061" s="21"/>
    </row>
    <row r="2062" spans="2:10" x14ac:dyDescent="0.25">
      <c r="B2062" s="21"/>
      <c r="G2062" s="21"/>
      <c r="H2062" s="21"/>
      <c r="J2062" s="21"/>
    </row>
    <row r="2063" spans="2:10" x14ac:dyDescent="0.25">
      <c r="B2063" s="21"/>
      <c r="G2063" s="21"/>
      <c r="H2063" s="21"/>
      <c r="J2063" s="21"/>
    </row>
    <row r="2064" spans="2:10" x14ac:dyDescent="0.25">
      <c r="B2064" s="21"/>
      <c r="G2064" s="21"/>
      <c r="H2064" s="21"/>
      <c r="J2064" s="21"/>
    </row>
    <row r="2065" spans="2:10" x14ac:dyDescent="0.25">
      <c r="B2065" s="21"/>
      <c r="G2065" s="21"/>
      <c r="H2065" s="21"/>
      <c r="J2065" s="21"/>
    </row>
    <row r="2066" spans="2:10" x14ac:dyDescent="0.25">
      <c r="B2066" s="21"/>
      <c r="G2066" s="21"/>
      <c r="H2066" s="21"/>
      <c r="J2066" s="21"/>
    </row>
    <row r="2067" spans="2:10" x14ac:dyDescent="0.25">
      <c r="B2067" s="21"/>
      <c r="G2067" s="21"/>
      <c r="H2067" s="21"/>
      <c r="J2067" s="21"/>
    </row>
    <row r="2068" spans="2:10" x14ac:dyDescent="0.25">
      <c r="B2068" s="21"/>
      <c r="G2068" s="21"/>
      <c r="H2068" s="21"/>
      <c r="J2068" s="21"/>
    </row>
    <row r="2069" spans="2:10" x14ac:dyDescent="0.25">
      <c r="B2069" s="21"/>
      <c r="G2069" s="21"/>
      <c r="H2069" s="21"/>
      <c r="J2069" s="21"/>
    </row>
    <row r="2070" spans="2:10" x14ac:dyDescent="0.25">
      <c r="B2070" s="21"/>
      <c r="G2070" s="21"/>
      <c r="H2070" s="21"/>
      <c r="J2070" s="21"/>
    </row>
    <row r="2071" spans="2:10" x14ac:dyDescent="0.25">
      <c r="B2071" s="21"/>
      <c r="G2071" s="21"/>
      <c r="H2071" s="21"/>
      <c r="J2071" s="21"/>
    </row>
    <row r="2072" spans="2:10" x14ac:dyDescent="0.25">
      <c r="B2072" s="21"/>
      <c r="G2072" s="21"/>
      <c r="H2072" s="21"/>
      <c r="J2072" s="21"/>
    </row>
    <row r="2073" spans="2:10" x14ac:dyDescent="0.25">
      <c r="B2073" s="21"/>
      <c r="G2073" s="21"/>
      <c r="H2073" s="21"/>
      <c r="J2073" s="21"/>
    </row>
    <row r="2074" spans="2:10" x14ac:dyDescent="0.25">
      <c r="B2074" s="21"/>
      <c r="G2074" s="21"/>
      <c r="H2074" s="21"/>
      <c r="J2074" s="21"/>
    </row>
    <row r="2075" spans="2:10" x14ac:dyDescent="0.25">
      <c r="B2075" s="21"/>
      <c r="G2075" s="21"/>
      <c r="H2075" s="21"/>
      <c r="J2075" s="21"/>
    </row>
    <row r="2076" spans="2:10" x14ac:dyDescent="0.25">
      <c r="B2076" s="21"/>
      <c r="G2076" s="21"/>
      <c r="H2076" s="21"/>
      <c r="J2076" s="21"/>
    </row>
    <row r="2077" spans="2:10" x14ac:dyDescent="0.25">
      <c r="B2077" s="21"/>
      <c r="G2077" s="21"/>
      <c r="H2077" s="21"/>
      <c r="J2077" s="21"/>
    </row>
    <row r="2078" spans="2:10" x14ac:dyDescent="0.25">
      <c r="B2078" s="21"/>
      <c r="G2078" s="21"/>
      <c r="H2078" s="21"/>
      <c r="J2078" s="21"/>
    </row>
    <row r="2079" spans="2:10" x14ac:dyDescent="0.25">
      <c r="B2079" s="21"/>
      <c r="G2079" s="21"/>
      <c r="H2079" s="21"/>
      <c r="J2079" s="21"/>
    </row>
    <row r="2080" spans="2:10" x14ac:dyDescent="0.25">
      <c r="B2080" s="21"/>
      <c r="G2080" s="21"/>
      <c r="H2080" s="21"/>
      <c r="J2080" s="21"/>
    </row>
    <row r="2081" spans="2:10" x14ac:dyDescent="0.25">
      <c r="B2081" s="21"/>
      <c r="G2081" s="21"/>
      <c r="H2081" s="21"/>
      <c r="J2081" s="21"/>
    </row>
    <row r="2082" spans="2:10" x14ac:dyDescent="0.25">
      <c r="B2082" s="21"/>
      <c r="G2082" s="21"/>
      <c r="H2082" s="21"/>
      <c r="J2082" s="21"/>
    </row>
    <row r="2083" spans="2:10" x14ac:dyDescent="0.25">
      <c r="B2083" s="21"/>
      <c r="G2083" s="21"/>
      <c r="H2083" s="21"/>
      <c r="J2083" s="21"/>
    </row>
    <row r="2084" spans="2:10" x14ac:dyDescent="0.25">
      <c r="B2084" s="21"/>
      <c r="G2084" s="21"/>
      <c r="H2084" s="21"/>
      <c r="J2084" s="21"/>
    </row>
    <row r="2085" spans="2:10" x14ac:dyDescent="0.25">
      <c r="B2085" s="21"/>
      <c r="G2085" s="21"/>
      <c r="H2085" s="21"/>
      <c r="J2085" s="21"/>
    </row>
    <row r="2086" spans="2:10" x14ac:dyDescent="0.25">
      <c r="B2086" s="21"/>
      <c r="G2086" s="21"/>
      <c r="H2086" s="21"/>
      <c r="J2086" s="21"/>
    </row>
    <row r="2087" spans="2:10" x14ac:dyDescent="0.25">
      <c r="B2087" s="21"/>
      <c r="G2087" s="21"/>
      <c r="H2087" s="21"/>
      <c r="J2087" s="21"/>
    </row>
    <row r="2088" spans="2:10" x14ac:dyDescent="0.25">
      <c r="B2088" s="21"/>
      <c r="G2088" s="21"/>
      <c r="H2088" s="21"/>
      <c r="J2088" s="21"/>
    </row>
    <row r="2089" spans="2:10" x14ac:dyDescent="0.25">
      <c r="B2089" s="21"/>
      <c r="G2089" s="21"/>
      <c r="H2089" s="21"/>
      <c r="J2089" s="21"/>
    </row>
    <row r="2090" spans="2:10" x14ac:dyDescent="0.25">
      <c r="B2090" s="21"/>
      <c r="G2090" s="21"/>
      <c r="H2090" s="21"/>
      <c r="J2090" s="21"/>
    </row>
    <row r="2091" spans="2:10" x14ac:dyDescent="0.25">
      <c r="B2091" s="21"/>
      <c r="G2091" s="21"/>
      <c r="H2091" s="21"/>
      <c r="J2091" s="21"/>
    </row>
    <row r="2092" spans="2:10" x14ac:dyDescent="0.25">
      <c r="B2092" s="21"/>
      <c r="G2092" s="21"/>
      <c r="H2092" s="21"/>
      <c r="J2092" s="21"/>
    </row>
    <row r="2093" spans="2:10" x14ac:dyDescent="0.25">
      <c r="B2093" s="21"/>
      <c r="G2093" s="21"/>
      <c r="H2093" s="21"/>
      <c r="J2093" s="21"/>
    </row>
    <row r="2094" spans="2:10" x14ac:dyDescent="0.25">
      <c r="B2094" s="21"/>
      <c r="G2094" s="21"/>
      <c r="H2094" s="21"/>
      <c r="J2094" s="21"/>
    </row>
    <row r="2095" spans="2:10" x14ac:dyDescent="0.25">
      <c r="B2095" s="21"/>
      <c r="G2095" s="21"/>
      <c r="H2095" s="21"/>
      <c r="J2095" s="21"/>
    </row>
    <row r="2096" spans="2:10" x14ac:dyDescent="0.25">
      <c r="B2096" s="21"/>
      <c r="G2096" s="21"/>
      <c r="H2096" s="21"/>
      <c r="J2096" s="21"/>
    </row>
    <row r="2097" spans="2:10" x14ac:dyDescent="0.25">
      <c r="B2097" s="21"/>
      <c r="G2097" s="21"/>
      <c r="H2097" s="21"/>
      <c r="J2097" s="21"/>
    </row>
    <row r="2098" spans="2:10" x14ac:dyDescent="0.25">
      <c r="B2098" s="21"/>
      <c r="G2098" s="21"/>
      <c r="H2098" s="21"/>
      <c r="J2098" s="21"/>
    </row>
    <row r="2099" spans="2:10" x14ac:dyDescent="0.25">
      <c r="B2099" s="21"/>
      <c r="G2099" s="21"/>
      <c r="H2099" s="21"/>
      <c r="J2099" s="21"/>
    </row>
    <row r="2100" spans="2:10" x14ac:dyDescent="0.25">
      <c r="B2100" s="21"/>
      <c r="G2100" s="21"/>
      <c r="H2100" s="21"/>
      <c r="J2100" s="21"/>
    </row>
    <row r="2101" spans="2:10" x14ac:dyDescent="0.25">
      <c r="B2101" s="21"/>
      <c r="G2101" s="21"/>
      <c r="H2101" s="21"/>
      <c r="J2101" s="21"/>
    </row>
    <row r="2102" spans="2:10" x14ac:dyDescent="0.25">
      <c r="B2102" s="21"/>
      <c r="G2102" s="21"/>
      <c r="H2102" s="21"/>
      <c r="J2102" s="21"/>
    </row>
    <row r="2103" spans="2:10" x14ac:dyDescent="0.25">
      <c r="B2103" s="21"/>
      <c r="G2103" s="21"/>
      <c r="H2103" s="21"/>
      <c r="J2103" s="21"/>
    </row>
    <row r="2104" spans="2:10" x14ac:dyDescent="0.25">
      <c r="B2104" s="21"/>
      <c r="G2104" s="21"/>
      <c r="H2104" s="21"/>
      <c r="J2104" s="21"/>
    </row>
    <row r="2105" spans="2:10" x14ac:dyDescent="0.25">
      <c r="B2105" s="21"/>
      <c r="G2105" s="21"/>
      <c r="H2105" s="21"/>
      <c r="J2105" s="21"/>
    </row>
    <row r="2106" spans="2:10" x14ac:dyDescent="0.25">
      <c r="B2106" s="21"/>
      <c r="G2106" s="21"/>
      <c r="H2106" s="21"/>
      <c r="J2106" s="21"/>
    </row>
    <row r="2107" spans="2:10" x14ac:dyDescent="0.25">
      <c r="B2107" s="21"/>
      <c r="G2107" s="21"/>
      <c r="H2107" s="21"/>
      <c r="J2107" s="21"/>
    </row>
    <row r="2108" spans="2:10" x14ac:dyDescent="0.25">
      <c r="B2108" s="21"/>
      <c r="G2108" s="21"/>
      <c r="H2108" s="21"/>
      <c r="J2108" s="21"/>
    </row>
    <row r="2109" spans="2:10" x14ac:dyDescent="0.25">
      <c r="B2109" s="21"/>
      <c r="G2109" s="21"/>
      <c r="H2109" s="21"/>
      <c r="J2109" s="21"/>
    </row>
    <row r="2110" spans="2:10" x14ac:dyDescent="0.25">
      <c r="B2110" s="21"/>
      <c r="G2110" s="21"/>
      <c r="H2110" s="21"/>
      <c r="J2110" s="21"/>
    </row>
    <row r="2111" spans="2:10" x14ac:dyDescent="0.25">
      <c r="B2111" s="21"/>
      <c r="G2111" s="21"/>
      <c r="H2111" s="21"/>
      <c r="J2111" s="21"/>
    </row>
    <row r="2112" spans="2:10" x14ac:dyDescent="0.25">
      <c r="B2112" s="21"/>
      <c r="G2112" s="21"/>
      <c r="H2112" s="21"/>
      <c r="J2112" s="21"/>
    </row>
    <row r="2113" spans="2:10" x14ac:dyDescent="0.25">
      <c r="B2113" s="21"/>
      <c r="G2113" s="21"/>
      <c r="H2113" s="21"/>
      <c r="J2113" s="21"/>
    </row>
    <row r="2114" spans="2:10" x14ac:dyDescent="0.25">
      <c r="B2114" s="21"/>
      <c r="G2114" s="21"/>
      <c r="H2114" s="21"/>
      <c r="J2114" s="21"/>
    </row>
    <row r="2115" spans="2:10" x14ac:dyDescent="0.25">
      <c r="B2115" s="21"/>
      <c r="G2115" s="21"/>
      <c r="H2115" s="21"/>
      <c r="J2115" s="21"/>
    </row>
    <row r="2116" spans="2:10" x14ac:dyDescent="0.25">
      <c r="B2116" s="21"/>
      <c r="G2116" s="21"/>
      <c r="H2116" s="21"/>
      <c r="J2116" s="21"/>
    </row>
    <row r="2117" spans="2:10" x14ac:dyDescent="0.25">
      <c r="B2117" s="21"/>
      <c r="G2117" s="21"/>
      <c r="H2117" s="21"/>
      <c r="J2117" s="21"/>
    </row>
    <row r="2118" spans="2:10" x14ac:dyDescent="0.25">
      <c r="B2118" s="21"/>
      <c r="G2118" s="21"/>
      <c r="H2118" s="21"/>
      <c r="J2118" s="21"/>
    </row>
    <row r="2119" spans="2:10" x14ac:dyDescent="0.25">
      <c r="B2119" s="21"/>
      <c r="G2119" s="21"/>
      <c r="H2119" s="21"/>
      <c r="J2119" s="21"/>
    </row>
    <row r="2120" spans="2:10" x14ac:dyDescent="0.25">
      <c r="B2120" s="21"/>
      <c r="G2120" s="21"/>
      <c r="H2120" s="21"/>
      <c r="J2120" s="21"/>
    </row>
    <row r="2121" spans="2:10" x14ac:dyDescent="0.25">
      <c r="B2121" s="21"/>
      <c r="G2121" s="21"/>
      <c r="H2121" s="21"/>
      <c r="J2121" s="21"/>
    </row>
    <row r="2122" spans="2:10" x14ac:dyDescent="0.25">
      <c r="B2122" s="21"/>
      <c r="G2122" s="21"/>
      <c r="H2122" s="21"/>
      <c r="J2122" s="21"/>
    </row>
    <row r="2123" spans="2:10" x14ac:dyDescent="0.25">
      <c r="B2123" s="21"/>
      <c r="G2123" s="21"/>
      <c r="H2123" s="21"/>
      <c r="J2123" s="21"/>
    </row>
    <row r="2124" spans="2:10" x14ac:dyDescent="0.25">
      <c r="B2124" s="21"/>
      <c r="G2124" s="21"/>
      <c r="H2124" s="21"/>
      <c r="J2124" s="21"/>
    </row>
    <row r="2125" spans="2:10" x14ac:dyDescent="0.25">
      <c r="B2125" s="21"/>
      <c r="G2125" s="21"/>
      <c r="H2125" s="21"/>
      <c r="J2125" s="21"/>
    </row>
    <row r="2126" spans="2:10" x14ac:dyDescent="0.25">
      <c r="B2126" s="21"/>
      <c r="G2126" s="21"/>
      <c r="H2126" s="21"/>
      <c r="J2126" s="21"/>
    </row>
    <row r="2127" spans="2:10" x14ac:dyDescent="0.25">
      <c r="B2127" s="21"/>
      <c r="G2127" s="21"/>
      <c r="H2127" s="21"/>
      <c r="J2127" s="21"/>
    </row>
    <row r="2128" spans="2:10" x14ac:dyDescent="0.25">
      <c r="B2128" s="21"/>
      <c r="G2128" s="21"/>
      <c r="H2128" s="21"/>
      <c r="J2128" s="21"/>
    </row>
    <row r="2129" spans="2:10" x14ac:dyDescent="0.25">
      <c r="B2129" s="21"/>
      <c r="G2129" s="21"/>
      <c r="H2129" s="21"/>
      <c r="J2129" s="21"/>
    </row>
    <row r="2130" spans="2:10" x14ac:dyDescent="0.25">
      <c r="B2130" s="21"/>
      <c r="G2130" s="21"/>
      <c r="H2130" s="21"/>
      <c r="J2130" s="21"/>
    </row>
    <row r="2131" spans="2:10" x14ac:dyDescent="0.25">
      <c r="B2131" s="21"/>
      <c r="G2131" s="21"/>
      <c r="H2131" s="21"/>
      <c r="J2131" s="21"/>
    </row>
    <row r="2132" spans="2:10" x14ac:dyDescent="0.25">
      <c r="B2132" s="21"/>
      <c r="G2132" s="21"/>
      <c r="H2132" s="21"/>
      <c r="J2132" s="21"/>
    </row>
    <row r="2133" spans="2:10" x14ac:dyDescent="0.25">
      <c r="B2133" s="21"/>
      <c r="G2133" s="21"/>
      <c r="H2133" s="21"/>
      <c r="J2133" s="21"/>
    </row>
    <row r="2134" spans="2:10" x14ac:dyDescent="0.25">
      <c r="B2134" s="21"/>
      <c r="G2134" s="21"/>
      <c r="H2134" s="21"/>
      <c r="J2134" s="21"/>
    </row>
    <row r="2135" spans="2:10" x14ac:dyDescent="0.25">
      <c r="B2135" s="21"/>
      <c r="G2135" s="21"/>
      <c r="H2135" s="21"/>
      <c r="J2135" s="21"/>
    </row>
    <row r="2136" spans="2:10" x14ac:dyDescent="0.25">
      <c r="B2136" s="21"/>
      <c r="G2136" s="21"/>
      <c r="H2136" s="21"/>
      <c r="J2136" s="21"/>
    </row>
    <row r="2137" spans="2:10" x14ac:dyDescent="0.25">
      <c r="B2137" s="21"/>
      <c r="G2137" s="21"/>
      <c r="H2137" s="21"/>
      <c r="J2137" s="21"/>
    </row>
    <row r="2138" spans="2:10" x14ac:dyDescent="0.25">
      <c r="B2138" s="21"/>
      <c r="G2138" s="21"/>
      <c r="H2138" s="21"/>
      <c r="J2138" s="21"/>
    </row>
    <row r="2139" spans="2:10" x14ac:dyDescent="0.25">
      <c r="B2139" s="21"/>
      <c r="G2139" s="21"/>
      <c r="H2139" s="21"/>
      <c r="J2139" s="21"/>
    </row>
    <row r="2140" spans="2:10" x14ac:dyDescent="0.25">
      <c r="B2140" s="21"/>
      <c r="G2140" s="21"/>
      <c r="H2140" s="21"/>
      <c r="J2140" s="21"/>
    </row>
    <row r="2141" spans="2:10" x14ac:dyDescent="0.25">
      <c r="B2141" s="21"/>
      <c r="G2141" s="21"/>
      <c r="H2141" s="21"/>
      <c r="J2141" s="21"/>
    </row>
    <row r="2142" spans="2:10" x14ac:dyDescent="0.25">
      <c r="B2142" s="21"/>
      <c r="G2142" s="21"/>
      <c r="H2142" s="21"/>
      <c r="J2142" s="21"/>
    </row>
    <row r="2143" spans="2:10" x14ac:dyDescent="0.25">
      <c r="B2143" s="21"/>
      <c r="G2143" s="21"/>
      <c r="H2143" s="21"/>
      <c r="J2143" s="21"/>
    </row>
    <row r="2144" spans="2:10" x14ac:dyDescent="0.25">
      <c r="B2144" s="21"/>
      <c r="G2144" s="21"/>
      <c r="H2144" s="21"/>
      <c r="J2144" s="21"/>
    </row>
    <row r="2145" spans="2:10" x14ac:dyDescent="0.25">
      <c r="B2145" s="21"/>
      <c r="G2145" s="21"/>
      <c r="H2145" s="21"/>
      <c r="J2145" s="21"/>
    </row>
    <row r="2146" spans="2:10" x14ac:dyDescent="0.25">
      <c r="B2146" s="21"/>
      <c r="G2146" s="21"/>
      <c r="H2146" s="21"/>
      <c r="J2146" s="21"/>
    </row>
    <row r="2147" spans="2:10" x14ac:dyDescent="0.25">
      <c r="B2147" s="21"/>
      <c r="G2147" s="21"/>
      <c r="H2147" s="21"/>
      <c r="J2147" s="21"/>
    </row>
    <row r="2148" spans="2:10" x14ac:dyDescent="0.25">
      <c r="B2148" s="21"/>
      <c r="G2148" s="21"/>
      <c r="H2148" s="21"/>
      <c r="J2148" s="21"/>
    </row>
    <row r="2149" spans="2:10" x14ac:dyDescent="0.25">
      <c r="B2149" s="21"/>
      <c r="G2149" s="21"/>
      <c r="H2149" s="21"/>
      <c r="J2149" s="21"/>
    </row>
    <row r="2150" spans="2:10" x14ac:dyDescent="0.25">
      <c r="B2150" s="21"/>
      <c r="G2150" s="21"/>
      <c r="H2150" s="21"/>
      <c r="J2150" s="21"/>
    </row>
    <row r="2151" spans="2:10" x14ac:dyDescent="0.25">
      <c r="B2151" s="21"/>
      <c r="G2151" s="21"/>
      <c r="H2151" s="21"/>
      <c r="J2151" s="21"/>
    </row>
    <row r="2152" spans="2:10" x14ac:dyDescent="0.25">
      <c r="B2152" s="21"/>
      <c r="G2152" s="21"/>
      <c r="H2152" s="21"/>
      <c r="J2152" s="21"/>
    </row>
    <row r="2153" spans="2:10" x14ac:dyDescent="0.25">
      <c r="B2153" s="21"/>
      <c r="G2153" s="21"/>
      <c r="H2153" s="21"/>
      <c r="J2153" s="21"/>
    </row>
    <row r="2154" spans="2:10" x14ac:dyDescent="0.25">
      <c r="B2154" s="21"/>
      <c r="G2154" s="21"/>
      <c r="H2154" s="21"/>
      <c r="J2154" s="21"/>
    </row>
    <row r="2155" spans="2:10" x14ac:dyDescent="0.25">
      <c r="B2155" s="21"/>
      <c r="G2155" s="21"/>
      <c r="H2155" s="21"/>
      <c r="J2155" s="21"/>
    </row>
    <row r="2156" spans="2:10" x14ac:dyDescent="0.25">
      <c r="B2156" s="21"/>
      <c r="G2156" s="21"/>
      <c r="H2156" s="21"/>
      <c r="J2156" s="21"/>
    </row>
    <row r="2157" spans="2:10" x14ac:dyDescent="0.25">
      <c r="B2157" s="21"/>
      <c r="G2157" s="21"/>
      <c r="H2157" s="21"/>
      <c r="J2157" s="21"/>
    </row>
    <row r="2158" spans="2:10" x14ac:dyDescent="0.25">
      <c r="B2158" s="21"/>
      <c r="G2158" s="21"/>
      <c r="H2158" s="21"/>
      <c r="J2158" s="21"/>
    </row>
    <row r="2159" spans="2:10" x14ac:dyDescent="0.25">
      <c r="B2159" s="21"/>
      <c r="G2159" s="21"/>
      <c r="H2159" s="21"/>
      <c r="J2159" s="21"/>
    </row>
    <row r="2160" spans="2:10" x14ac:dyDescent="0.25">
      <c r="B2160" s="21"/>
      <c r="G2160" s="21"/>
      <c r="H2160" s="21"/>
      <c r="J2160" s="21"/>
    </row>
    <row r="2161" spans="2:10" x14ac:dyDescent="0.25">
      <c r="B2161" s="21"/>
      <c r="G2161" s="21"/>
      <c r="H2161" s="21"/>
      <c r="J2161" s="21"/>
    </row>
    <row r="2162" spans="2:10" x14ac:dyDescent="0.25">
      <c r="B2162" s="21"/>
      <c r="G2162" s="21"/>
      <c r="H2162" s="21"/>
      <c r="J2162" s="21"/>
    </row>
    <row r="2163" spans="2:10" x14ac:dyDescent="0.25">
      <c r="B2163" s="21"/>
      <c r="G2163" s="21"/>
      <c r="H2163" s="21"/>
      <c r="J2163" s="21"/>
    </row>
    <row r="2164" spans="2:10" x14ac:dyDescent="0.25">
      <c r="B2164" s="21"/>
      <c r="G2164" s="21"/>
      <c r="H2164" s="21"/>
      <c r="J2164" s="21"/>
    </row>
    <row r="2165" spans="2:10" x14ac:dyDescent="0.25">
      <c r="B2165" s="21"/>
      <c r="G2165" s="21"/>
      <c r="H2165" s="21"/>
      <c r="J2165" s="21"/>
    </row>
    <row r="2166" spans="2:10" x14ac:dyDescent="0.25">
      <c r="B2166" s="21"/>
      <c r="G2166" s="21"/>
      <c r="H2166" s="21"/>
      <c r="J2166" s="21"/>
    </row>
    <row r="2167" spans="2:10" x14ac:dyDescent="0.25">
      <c r="B2167" s="21"/>
      <c r="G2167" s="21"/>
      <c r="H2167" s="21"/>
      <c r="J2167" s="21"/>
    </row>
    <row r="2168" spans="2:10" x14ac:dyDescent="0.25">
      <c r="B2168" s="21"/>
      <c r="G2168" s="21"/>
      <c r="H2168" s="21"/>
      <c r="J2168" s="21"/>
    </row>
    <row r="2169" spans="2:10" x14ac:dyDescent="0.25">
      <c r="B2169" s="21"/>
      <c r="G2169" s="21"/>
      <c r="H2169" s="21"/>
      <c r="J2169" s="21"/>
    </row>
    <row r="2170" spans="2:10" x14ac:dyDescent="0.25">
      <c r="B2170" s="21"/>
      <c r="G2170" s="21"/>
      <c r="H2170" s="21"/>
      <c r="J2170" s="21"/>
    </row>
    <row r="2171" spans="2:10" x14ac:dyDescent="0.25">
      <c r="B2171" s="21"/>
      <c r="G2171" s="21"/>
      <c r="H2171" s="21"/>
      <c r="J2171" s="21"/>
    </row>
    <row r="2172" spans="2:10" x14ac:dyDescent="0.25">
      <c r="B2172" s="21"/>
      <c r="G2172" s="21"/>
      <c r="H2172" s="21"/>
      <c r="J2172" s="21"/>
    </row>
    <row r="2173" spans="2:10" x14ac:dyDescent="0.25">
      <c r="B2173" s="21"/>
      <c r="G2173" s="21"/>
      <c r="H2173" s="21"/>
      <c r="J2173" s="21"/>
    </row>
    <row r="2174" spans="2:10" x14ac:dyDescent="0.25">
      <c r="B2174" s="21"/>
      <c r="G2174" s="21"/>
      <c r="H2174" s="21"/>
      <c r="J2174" s="21"/>
    </row>
    <row r="2175" spans="2:10" x14ac:dyDescent="0.25">
      <c r="B2175" s="21"/>
      <c r="G2175" s="21"/>
      <c r="H2175" s="21"/>
      <c r="J2175" s="21"/>
    </row>
    <row r="2176" spans="2:10" x14ac:dyDescent="0.25">
      <c r="B2176" s="21"/>
      <c r="G2176" s="21"/>
      <c r="H2176" s="21"/>
      <c r="J2176" s="21"/>
    </row>
    <row r="2177" spans="2:10" x14ac:dyDescent="0.25">
      <c r="B2177" s="21"/>
      <c r="G2177" s="21"/>
      <c r="H2177" s="21"/>
      <c r="J2177" s="21"/>
    </row>
    <row r="2178" spans="2:10" x14ac:dyDescent="0.25">
      <c r="B2178" s="21"/>
      <c r="G2178" s="21"/>
      <c r="H2178" s="21"/>
      <c r="J2178" s="21"/>
    </row>
    <row r="2179" spans="2:10" x14ac:dyDescent="0.25">
      <c r="B2179" s="21"/>
      <c r="G2179" s="21"/>
      <c r="H2179" s="21"/>
      <c r="J2179" s="21"/>
    </row>
    <row r="2180" spans="2:10" x14ac:dyDescent="0.25">
      <c r="B2180" s="21"/>
      <c r="G2180" s="21"/>
      <c r="H2180" s="21"/>
      <c r="J2180" s="21"/>
    </row>
    <row r="2181" spans="2:10" x14ac:dyDescent="0.25">
      <c r="B2181" s="21"/>
      <c r="G2181" s="21"/>
      <c r="H2181" s="21"/>
      <c r="J2181" s="21"/>
    </row>
    <row r="2182" spans="2:10" x14ac:dyDescent="0.25">
      <c r="B2182" s="21"/>
      <c r="G2182" s="21"/>
      <c r="H2182" s="21"/>
      <c r="J2182" s="21"/>
    </row>
    <row r="2183" spans="2:10" x14ac:dyDescent="0.25">
      <c r="B2183" s="21"/>
      <c r="G2183" s="21"/>
      <c r="H2183" s="21"/>
      <c r="J2183" s="21"/>
    </row>
    <row r="2184" spans="2:10" x14ac:dyDescent="0.25">
      <c r="B2184" s="21"/>
      <c r="G2184" s="21"/>
      <c r="H2184" s="21"/>
      <c r="J2184" s="21"/>
    </row>
    <row r="2185" spans="2:10" x14ac:dyDescent="0.25">
      <c r="B2185" s="21"/>
      <c r="G2185" s="21"/>
      <c r="H2185" s="21"/>
      <c r="J2185" s="21"/>
    </row>
    <row r="2186" spans="2:10" x14ac:dyDescent="0.25">
      <c r="B2186" s="21"/>
      <c r="G2186" s="21"/>
      <c r="H2186" s="21"/>
      <c r="J2186" s="21"/>
    </row>
    <row r="2187" spans="2:10" x14ac:dyDescent="0.25">
      <c r="B2187" s="21"/>
      <c r="G2187" s="21"/>
      <c r="H2187" s="21"/>
      <c r="J2187" s="21"/>
    </row>
    <row r="2188" spans="2:10" x14ac:dyDescent="0.25">
      <c r="B2188" s="21"/>
      <c r="G2188" s="21"/>
      <c r="H2188" s="21"/>
      <c r="J2188" s="21"/>
    </row>
    <row r="2189" spans="2:10" x14ac:dyDescent="0.25">
      <c r="B2189" s="21"/>
      <c r="G2189" s="21"/>
      <c r="H2189" s="21"/>
      <c r="J2189" s="21"/>
    </row>
    <row r="2190" spans="2:10" x14ac:dyDescent="0.25">
      <c r="B2190" s="21"/>
      <c r="G2190" s="21"/>
      <c r="H2190" s="21"/>
      <c r="J2190" s="21"/>
    </row>
    <row r="2191" spans="2:10" x14ac:dyDescent="0.25">
      <c r="B2191" s="21"/>
      <c r="G2191" s="21"/>
      <c r="H2191" s="21"/>
      <c r="J2191" s="21"/>
    </row>
    <row r="2192" spans="2:10" x14ac:dyDescent="0.25">
      <c r="B2192" s="21"/>
      <c r="G2192" s="21"/>
      <c r="H2192" s="21"/>
      <c r="J2192" s="21"/>
    </row>
    <row r="2193" spans="2:10" x14ac:dyDescent="0.25">
      <c r="B2193" s="21"/>
      <c r="G2193" s="21"/>
      <c r="H2193" s="21"/>
      <c r="J2193" s="21"/>
    </row>
    <row r="2194" spans="2:10" x14ac:dyDescent="0.25">
      <c r="B2194" s="21"/>
      <c r="G2194" s="21"/>
      <c r="H2194" s="21"/>
      <c r="J2194" s="21"/>
    </row>
    <row r="2195" spans="2:10" x14ac:dyDescent="0.25">
      <c r="B2195" s="21"/>
      <c r="G2195" s="21"/>
      <c r="H2195" s="21"/>
      <c r="J2195" s="21"/>
    </row>
    <row r="2196" spans="2:10" x14ac:dyDescent="0.25">
      <c r="B2196" s="21"/>
      <c r="G2196" s="21"/>
      <c r="H2196" s="21"/>
      <c r="J2196" s="21"/>
    </row>
    <row r="2197" spans="2:10" x14ac:dyDescent="0.25">
      <c r="B2197" s="21"/>
      <c r="G2197" s="21"/>
      <c r="H2197" s="21"/>
      <c r="J2197" s="21"/>
    </row>
    <row r="2198" spans="2:10" x14ac:dyDescent="0.25">
      <c r="B2198" s="21"/>
      <c r="G2198" s="21"/>
      <c r="H2198" s="21"/>
      <c r="J2198" s="21"/>
    </row>
    <row r="2199" spans="2:10" x14ac:dyDescent="0.25">
      <c r="B2199" s="21"/>
      <c r="G2199" s="21"/>
      <c r="H2199" s="21"/>
      <c r="J2199" s="21"/>
    </row>
    <row r="2200" spans="2:10" x14ac:dyDescent="0.25">
      <c r="B2200" s="21"/>
      <c r="G2200" s="21"/>
      <c r="H2200" s="21"/>
      <c r="J2200" s="21"/>
    </row>
    <row r="2201" spans="2:10" x14ac:dyDescent="0.25">
      <c r="B2201" s="21"/>
      <c r="G2201" s="21"/>
      <c r="H2201" s="21"/>
      <c r="J2201" s="21"/>
    </row>
    <row r="2202" spans="2:10" x14ac:dyDescent="0.25">
      <c r="B2202" s="21"/>
      <c r="G2202" s="21"/>
      <c r="H2202" s="21"/>
      <c r="J2202" s="21"/>
    </row>
    <row r="2203" spans="2:10" x14ac:dyDescent="0.25">
      <c r="B2203" s="21"/>
      <c r="G2203" s="21"/>
      <c r="H2203" s="21"/>
      <c r="J2203" s="21"/>
    </row>
    <row r="2204" spans="2:10" x14ac:dyDescent="0.25">
      <c r="B2204" s="21"/>
      <c r="G2204" s="21"/>
      <c r="H2204" s="21"/>
      <c r="J2204" s="21"/>
    </row>
    <row r="2205" spans="2:10" x14ac:dyDescent="0.25">
      <c r="B2205" s="21"/>
      <c r="G2205" s="21"/>
      <c r="H2205" s="21"/>
      <c r="J2205" s="21"/>
    </row>
    <row r="2206" spans="2:10" x14ac:dyDescent="0.25">
      <c r="B2206" s="21"/>
      <c r="G2206" s="21"/>
      <c r="H2206" s="21"/>
      <c r="J2206" s="21"/>
    </row>
    <row r="2207" spans="2:10" x14ac:dyDescent="0.25">
      <c r="B2207" s="21"/>
      <c r="G2207" s="21"/>
      <c r="H2207" s="21"/>
      <c r="J2207" s="21"/>
    </row>
    <row r="2208" spans="2:10" x14ac:dyDescent="0.25">
      <c r="B2208" s="21"/>
      <c r="G2208" s="21"/>
      <c r="H2208" s="21"/>
      <c r="J2208" s="21"/>
    </row>
    <row r="2209" spans="2:10" x14ac:dyDescent="0.25">
      <c r="B2209" s="21"/>
      <c r="G2209" s="21"/>
      <c r="H2209" s="21"/>
      <c r="J2209" s="21"/>
    </row>
    <row r="2210" spans="2:10" x14ac:dyDescent="0.25">
      <c r="B2210" s="21"/>
      <c r="G2210" s="21"/>
      <c r="H2210" s="21"/>
      <c r="J2210" s="21"/>
    </row>
    <row r="2211" spans="2:10" x14ac:dyDescent="0.25">
      <c r="B2211" s="21"/>
      <c r="G2211" s="21"/>
      <c r="H2211" s="21"/>
      <c r="J2211" s="21"/>
    </row>
    <row r="2212" spans="2:10" x14ac:dyDescent="0.25">
      <c r="B2212" s="21"/>
      <c r="G2212" s="21"/>
      <c r="H2212" s="21"/>
      <c r="J2212" s="21"/>
    </row>
    <row r="2213" spans="2:10" x14ac:dyDescent="0.25">
      <c r="B2213" s="21"/>
      <c r="G2213" s="21"/>
      <c r="H2213" s="21"/>
      <c r="J2213" s="21"/>
    </row>
    <row r="2214" spans="2:10" x14ac:dyDescent="0.25">
      <c r="B2214" s="21"/>
      <c r="G2214" s="21"/>
      <c r="H2214" s="21"/>
      <c r="J2214" s="21"/>
    </row>
    <row r="2215" spans="2:10" x14ac:dyDescent="0.25">
      <c r="B2215" s="21"/>
      <c r="G2215" s="21"/>
      <c r="H2215" s="21"/>
      <c r="J2215" s="21"/>
    </row>
    <row r="2216" spans="2:10" x14ac:dyDescent="0.25">
      <c r="B2216" s="21"/>
      <c r="G2216" s="21"/>
      <c r="H2216" s="21"/>
      <c r="J2216" s="21"/>
    </row>
    <row r="2217" spans="2:10" x14ac:dyDescent="0.25">
      <c r="B2217" s="21"/>
      <c r="G2217" s="21"/>
      <c r="H2217" s="21"/>
      <c r="J2217" s="21"/>
    </row>
    <row r="2218" spans="2:10" x14ac:dyDescent="0.25">
      <c r="B2218" s="21"/>
      <c r="G2218" s="21"/>
      <c r="H2218" s="21"/>
      <c r="J2218" s="21"/>
    </row>
    <row r="2219" spans="2:10" x14ac:dyDescent="0.25">
      <c r="B2219" s="21"/>
      <c r="G2219" s="21"/>
      <c r="H2219" s="21"/>
      <c r="J2219" s="21"/>
    </row>
    <row r="2220" spans="2:10" x14ac:dyDescent="0.25">
      <c r="B2220" s="21"/>
      <c r="G2220" s="21"/>
      <c r="H2220" s="21"/>
      <c r="J2220" s="21"/>
    </row>
    <row r="2221" spans="2:10" x14ac:dyDescent="0.25">
      <c r="B2221" s="21"/>
      <c r="G2221" s="21"/>
      <c r="H2221" s="21"/>
      <c r="J2221" s="21"/>
    </row>
    <row r="2222" spans="2:10" x14ac:dyDescent="0.25">
      <c r="B2222" s="21"/>
      <c r="G2222" s="21"/>
      <c r="H2222" s="21"/>
      <c r="J2222" s="21"/>
    </row>
    <row r="2223" spans="2:10" x14ac:dyDescent="0.25">
      <c r="B2223" s="21"/>
      <c r="G2223" s="21"/>
      <c r="H2223" s="21"/>
      <c r="J2223" s="21"/>
    </row>
    <row r="2224" spans="2:10" x14ac:dyDescent="0.25">
      <c r="B2224" s="21"/>
      <c r="G2224" s="21"/>
      <c r="H2224" s="21"/>
      <c r="J2224" s="21"/>
    </row>
    <row r="2225" spans="2:10" x14ac:dyDescent="0.25">
      <c r="B2225" s="21"/>
      <c r="G2225" s="21"/>
      <c r="H2225" s="21"/>
      <c r="J2225" s="21"/>
    </row>
    <row r="2226" spans="2:10" x14ac:dyDescent="0.25">
      <c r="B2226" s="21"/>
      <c r="G2226" s="21"/>
      <c r="H2226" s="21"/>
      <c r="J2226" s="21"/>
    </row>
    <row r="2227" spans="2:10" x14ac:dyDescent="0.25">
      <c r="B2227" s="21"/>
      <c r="G2227" s="21"/>
      <c r="H2227" s="21"/>
      <c r="J2227" s="21"/>
    </row>
    <row r="2228" spans="2:10" x14ac:dyDescent="0.25">
      <c r="B2228" s="21"/>
      <c r="G2228" s="21"/>
      <c r="H2228" s="21"/>
      <c r="J2228" s="21"/>
    </row>
    <row r="2229" spans="2:10" x14ac:dyDescent="0.25">
      <c r="B2229" s="21"/>
      <c r="G2229" s="21"/>
      <c r="H2229" s="21"/>
      <c r="J2229" s="21"/>
    </row>
    <row r="2230" spans="2:10" x14ac:dyDescent="0.25">
      <c r="B2230" s="21"/>
      <c r="G2230" s="21"/>
      <c r="H2230" s="21"/>
      <c r="J2230" s="21"/>
    </row>
    <row r="2231" spans="2:10" x14ac:dyDescent="0.25">
      <c r="B2231" s="21"/>
      <c r="G2231" s="21"/>
      <c r="H2231" s="21"/>
      <c r="J2231" s="21"/>
    </row>
    <row r="2232" spans="2:10" x14ac:dyDescent="0.25">
      <c r="B2232" s="21"/>
      <c r="G2232" s="21"/>
      <c r="H2232" s="21"/>
      <c r="J2232" s="21"/>
    </row>
    <row r="2233" spans="2:10" x14ac:dyDescent="0.25">
      <c r="B2233" s="21"/>
      <c r="G2233" s="21"/>
      <c r="H2233" s="21"/>
      <c r="J2233" s="21"/>
    </row>
    <row r="2234" spans="2:10" x14ac:dyDescent="0.25">
      <c r="B2234" s="21"/>
      <c r="G2234" s="21"/>
      <c r="H2234" s="21"/>
      <c r="J2234" s="21"/>
    </row>
    <row r="2235" spans="2:10" x14ac:dyDescent="0.25">
      <c r="B2235" s="21"/>
      <c r="G2235" s="21"/>
      <c r="H2235" s="21"/>
      <c r="J2235" s="21"/>
    </row>
    <row r="2236" spans="2:10" x14ac:dyDescent="0.25">
      <c r="B2236" s="21"/>
      <c r="G2236" s="21"/>
      <c r="H2236" s="21"/>
      <c r="J2236" s="21"/>
    </row>
    <row r="2237" spans="2:10" x14ac:dyDescent="0.25">
      <c r="B2237" s="21"/>
      <c r="G2237" s="21"/>
      <c r="H2237" s="21"/>
      <c r="J2237" s="21"/>
    </row>
    <row r="2238" spans="2:10" x14ac:dyDescent="0.25">
      <c r="B2238" s="21"/>
      <c r="G2238" s="21"/>
      <c r="H2238" s="21"/>
      <c r="J2238" s="21"/>
    </row>
    <row r="2239" spans="2:10" x14ac:dyDescent="0.25">
      <c r="B2239" s="21"/>
      <c r="G2239" s="21"/>
      <c r="H2239" s="21"/>
      <c r="J2239" s="21"/>
    </row>
    <row r="2240" spans="2:10" x14ac:dyDescent="0.25">
      <c r="B2240" s="21"/>
      <c r="G2240" s="21"/>
      <c r="H2240" s="21"/>
      <c r="J2240" s="21"/>
    </row>
    <row r="2241" spans="2:10" x14ac:dyDescent="0.25">
      <c r="B2241" s="21"/>
      <c r="G2241" s="21"/>
      <c r="H2241" s="21"/>
      <c r="J2241" s="21"/>
    </row>
    <row r="2242" spans="2:10" x14ac:dyDescent="0.25">
      <c r="B2242" s="21"/>
      <c r="G2242" s="21"/>
      <c r="H2242" s="21"/>
      <c r="J2242" s="21"/>
    </row>
    <row r="2243" spans="2:10" x14ac:dyDescent="0.25">
      <c r="B2243" s="21"/>
      <c r="G2243" s="21"/>
      <c r="H2243" s="21"/>
      <c r="J2243" s="21"/>
    </row>
    <row r="2244" spans="2:10" x14ac:dyDescent="0.25">
      <c r="B2244" s="21"/>
      <c r="G2244" s="21"/>
      <c r="H2244" s="21"/>
      <c r="J2244" s="21"/>
    </row>
    <row r="2245" spans="2:10" x14ac:dyDescent="0.25">
      <c r="B2245" s="21"/>
      <c r="G2245" s="21"/>
      <c r="H2245" s="21"/>
      <c r="J2245" s="21"/>
    </row>
    <row r="2246" spans="2:10" x14ac:dyDescent="0.25">
      <c r="B2246" s="21"/>
      <c r="G2246" s="21"/>
      <c r="H2246" s="21"/>
      <c r="J2246" s="21"/>
    </row>
    <row r="2247" spans="2:10" x14ac:dyDescent="0.25">
      <c r="B2247" s="21"/>
      <c r="G2247" s="21"/>
      <c r="H2247" s="21"/>
      <c r="J2247" s="21"/>
    </row>
    <row r="2248" spans="2:10" x14ac:dyDescent="0.25">
      <c r="B2248" s="21"/>
      <c r="G2248" s="21"/>
      <c r="H2248" s="21"/>
      <c r="J2248" s="21"/>
    </row>
    <row r="2249" spans="2:10" x14ac:dyDescent="0.25">
      <c r="B2249" s="21"/>
      <c r="G2249" s="21"/>
      <c r="H2249" s="21"/>
      <c r="J2249" s="21"/>
    </row>
    <row r="2250" spans="2:10" x14ac:dyDescent="0.25">
      <c r="B2250" s="21"/>
      <c r="G2250" s="21"/>
      <c r="H2250" s="21"/>
      <c r="J2250" s="21"/>
    </row>
    <row r="2251" spans="2:10" x14ac:dyDescent="0.25">
      <c r="B2251" s="21"/>
      <c r="G2251" s="21"/>
      <c r="H2251" s="21"/>
      <c r="J2251" s="21"/>
    </row>
    <row r="2252" spans="2:10" x14ac:dyDescent="0.25">
      <c r="B2252" s="21"/>
      <c r="G2252" s="21"/>
      <c r="H2252" s="21"/>
      <c r="J2252" s="21"/>
    </row>
    <row r="2253" spans="2:10" x14ac:dyDescent="0.25">
      <c r="B2253" s="21"/>
      <c r="G2253" s="21"/>
      <c r="H2253" s="21"/>
      <c r="J2253" s="21"/>
    </row>
    <row r="2254" spans="2:10" x14ac:dyDescent="0.25">
      <c r="B2254" s="21"/>
      <c r="G2254" s="21"/>
      <c r="H2254" s="21"/>
      <c r="J2254" s="21"/>
    </row>
    <row r="2255" spans="2:10" x14ac:dyDescent="0.25">
      <c r="B2255" s="21"/>
      <c r="G2255" s="21"/>
      <c r="H2255" s="21"/>
      <c r="J2255" s="21"/>
    </row>
    <row r="2256" spans="2:10" x14ac:dyDescent="0.25">
      <c r="B2256" s="21"/>
      <c r="G2256" s="21"/>
      <c r="H2256" s="21"/>
      <c r="J2256" s="21"/>
    </row>
    <row r="2257" spans="2:10" x14ac:dyDescent="0.25">
      <c r="B2257" s="21"/>
      <c r="G2257" s="21"/>
      <c r="H2257" s="21"/>
      <c r="J2257" s="21"/>
    </row>
    <row r="2258" spans="2:10" x14ac:dyDescent="0.25">
      <c r="B2258" s="21"/>
      <c r="G2258" s="21"/>
      <c r="H2258" s="21"/>
      <c r="J2258" s="21"/>
    </row>
    <row r="2259" spans="2:10" x14ac:dyDescent="0.25">
      <c r="B2259" s="21"/>
      <c r="G2259" s="21"/>
      <c r="H2259" s="21"/>
      <c r="J2259" s="21"/>
    </row>
    <row r="2260" spans="2:10" x14ac:dyDescent="0.25">
      <c r="B2260" s="21"/>
      <c r="G2260" s="21"/>
      <c r="H2260" s="21"/>
      <c r="J2260" s="21"/>
    </row>
    <row r="2261" spans="2:10" x14ac:dyDescent="0.25">
      <c r="B2261" s="21"/>
      <c r="G2261" s="21"/>
      <c r="H2261" s="21"/>
      <c r="J2261" s="21"/>
    </row>
    <row r="2262" spans="2:10" x14ac:dyDescent="0.25">
      <c r="B2262" s="21"/>
      <c r="G2262" s="21"/>
      <c r="H2262" s="21"/>
      <c r="J2262" s="21"/>
    </row>
    <row r="2263" spans="2:10" x14ac:dyDescent="0.25">
      <c r="B2263" s="21"/>
      <c r="G2263" s="21"/>
      <c r="H2263" s="21"/>
      <c r="J2263" s="21"/>
    </row>
    <row r="2264" spans="2:10" x14ac:dyDescent="0.25">
      <c r="B2264" s="21"/>
      <c r="G2264" s="21"/>
      <c r="H2264" s="21"/>
      <c r="J2264" s="21"/>
    </row>
    <row r="2265" spans="2:10" x14ac:dyDescent="0.25">
      <c r="B2265" s="21"/>
      <c r="G2265" s="21"/>
      <c r="H2265" s="21"/>
      <c r="J2265" s="21"/>
    </row>
    <row r="2266" spans="2:10" x14ac:dyDescent="0.25">
      <c r="B2266" s="21"/>
      <c r="G2266" s="21"/>
      <c r="H2266" s="21"/>
      <c r="J2266" s="21"/>
    </row>
    <row r="2267" spans="2:10" x14ac:dyDescent="0.25">
      <c r="B2267" s="21"/>
      <c r="G2267" s="21"/>
      <c r="H2267" s="21"/>
      <c r="J2267" s="21"/>
    </row>
    <row r="2268" spans="2:10" x14ac:dyDescent="0.25">
      <c r="B2268" s="21"/>
      <c r="G2268" s="21"/>
      <c r="H2268" s="21"/>
      <c r="J2268" s="21"/>
    </row>
    <row r="2269" spans="2:10" x14ac:dyDescent="0.25">
      <c r="B2269" s="21"/>
      <c r="G2269" s="21"/>
      <c r="H2269" s="21"/>
      <c r="J2269" s="21"/>
    </row>
    <row r="2270" spans="2:10" x14ac:dyDescent="0.25">
      <c r="B2270" s="21"/>
      <c r="G2270" s="21"/>
      <c r="H2270" s="21"/>
      <c r="J2270" s="21"/>
    </row>
    <row r="2271" spans="2:10" x14ac:dyDescent="0.25">
      <c r="B2271" s="21"/>
      <c r="G2271" s="21"/>
      <c r="H2271" s="21"/>
      <c r="J2271" s="21"/>
    </row>
    <row r="2272" spans="2:10" x14ac:dyDescent="0.25">
      <c r="B2272" s="21"/>
      <c r="G2272" s="21"/>
      <c r="H2272" s="21"/>
      <c r="J2272" s="21"/>
    </row>
    <row r="2273" spans="2:10" x14ac:dyDescent="0.25">
      <c r="B2273" s="21"/>
      <c r="G2273" s="21"/>
      <c r="H2273" s="21"/>
      <c r="J2273" s="21"/>
    </row>
    <row r="2274" spans="2:10" x14ac:dyDescent="0.25">
      <c r="B2274" s="21"/>
      <c r="G2274" s="21"/>
      <c r="H2274" s="21"/>
      <c r="J2274" s="21"/>
    </row>
    <row r="2275" spans="2:10" x14ac:dyDescent="0.25">
      <c r="B2275" s="21"/>
      <c r="G2275" s="21"/>
      <c r="H2275" s="21"/>
      <c r="J2275" s="21"/>
    </row>
    <row r="2276" spans="2:10" x14ac:dyDescent="0.25">
      <c r="B2276" s="21"/>
      <c r="G2276" s="21"/>
      <c r="H2276" s="21"/>
      <c r="J2276" s="21"/>
    </row>
    <row r="2277" spans="2:10" x14ac:dyDescent="0.25">
      <c r="B2277" s="21"/>
      <c r="G2277" s="21"/>
      <c r="H2277" s="21"/>
      <c r="J2277" s="21"/>
    </row>
    <row r="2278" spans="2:10" x14ac:dyDescent="0.25">
      <c r="B2278" s="21"/>
      <c r="G2278" s="21"/>
      <c r="H2278" s="21"/>
      <c r="J2278" s="21"/>
    </row>
    <row r="2279" spans="2:10" x14ac:dyDescent="0.25">
      <c r="B2279" s="21"/>
      <c r="G2279" s="21"/>
      <c r="H2279" s="21"/>
      <c r="J2279" s="21"/>
    </row>
    <row r="2280" spans="2:10" x14ac:dyDescent="0.25">
      <c r="B2280" s="21"/>
      <c r="G2280" s="21"/>
      <c r="H2280" s="21"/>
      <c r="J2280" s="21"/>
    </row>
    <row r="2281" spans="2:10" x14ac:dyDescent="0.25">
      <c r="B2281" s="21"/>
      <c r="G2281" s="21"/>
      <c r="H2281" s="21"/>
      <c r="J2281" s="21"/>
    </row>
    <row r="2282" spans="2:10" x14ac:dyDescent="0.25">
      <c r="B2282" s="21"/>
      <c r="G2282" s="21"/>
      <c r="H2282" s="21"/>
      <c r="J2282" s="21"/>
    </row>
    <row r="2283" spans="2:10" x14ac:dyDescent="0.25">
      <c r="B2283" s="21"/>
      <c r="G2283" s="21"/>
      <c r="H2283" s="21"/>
      <c r="J2283" s="21"/>
    </row>
    <row r="2284" spans="2:10" x14ac:dyDescent="0.25">
      <c r="B2284" s="21"/>
      <c r="G2284" s="21"/>
      <c r="H2284" s="21"/>
      <c r="J2284" s="21"/>
    </row>
    <row r="2285" spans="2:10" x14ac:dyDescent="0.25">
      <c r="B2285" s="21"/>
      <c r="G2285" s="21"/>
      <c r="H2285" s="21"/>
      <c r="J2285" s="21"/>
    </row>
    <row r="2286" spans="2:10" x14ac:dyDescent="0.25">
      <c r="B2286" s="21"/>
      <c r="G2286" s="21"/>
      <c r="H2286" s="21"/>
      <c r="J2286" s="21"/>
    </row>
    <row r="2287" spans="2:10" x14ac:dyDescent="0.25">
      <c r="B2287" s="21"/>
      <c r="G2287" s="21"/>
      <c r="H2287" s="21"/>
      <c r="J2287" s="21"/>
    </row>
    <row r="2288" spans="2:10" x14ac:dyDescent="0.25">
      <c r="B2288" s="21"/>
      <c r="G2288" s="21"/>
      <c r="H2288" s="21"/>
      <c r="J2288" s="21"/>
    </row>
    <row r="2289" spans="2:10" x14ac:dyDescent="0.25">
      <c r="B2289" s="21"/>
      <c r="G2289" s="21"/>
      <c r="H2289" s="21"/>
      <c r="J2289" s="21"/>
    </row>
    <row r="2290" spans="2:10" x14ac:dyDescent="0.25">
      <c r="B2290" s="21"/>
      <c r="G2290" s="21"/>
      <c r="H2290" s="21"/>
      <c r="J2290" s="21"/>
    </row>
    <row r="2291" spans="2:10" x14ac:dyDescent="0.25">
      <c r="B2291" s="21"/>
      <c r="G2291" s="21"/>
      <c r="H2291" s="21"/>
      <c r="J2291" s="21"/>
    </row>
    <row r="2292" spans="2:10" x14ac:dyDescent="0.25">
      <c r="B2292" s="21"/>
      <c r="G2292" s="21"/>
      <c r="H2292" s="21"/>
      <c r="J2292" s="21"/>
    </row>
    <row r="2293" spans="2:10" x14ac:dyDescent="0.25">
      <c r="B2293" s="21"/>
      <c r="G2293" s="21"/>
      <c r="H2293" s="21"/>
      <c r="J2293" s="21"/>
    </row>
    <row r="2294" spans="2:10" x14ac:dyDescent="0.25">
      <c r="B2294" s="21"/>
      <c r="G2294" s="21"/>
      <c r="H2294" s="21"/>
      <c r="J2294" s="21"/>
    </row>
    <row r="2295" spans="2:10" x14ac:dyDescent="0.25">
      <c r="B2295" s="21"/>
      <c r="G2295" s="21"/>
      <c r="H2295" s="21"/>
      <c r="J2295" s="21"/>
    </row>
    <row r="2296" spans="2:10" x14ac:dyDescent="0.25">
      <c r="B2296" s="21"/>
      <c r="G2296" s="21"/>
      <c r="H2296" s="21"/>
      <c r="J2296" s="21"/>
    </row>
    <row r="2297" spans="2:10" x14ac:dyDescent="0.25">
      <c r="B2297" s="21"/>
      <c r="G2297" s="21"/>
      <c r="H2297" s="21"/>
      <c r="J2297" s="21"/>
    </row>
    <row r="2298" spans="2:10" x14ac:dyDescent="0.25">
      <c r="B2298" s="21"/>
      <c r="G2298" s="21"/>
      <c r="H2298" s="21"/>
      <c r="J2298" s="21"/>
    </row>
    <row r="2299" spans="2:10" x14ac:dyDescent="0.25">
      <c r="B2299" s="21"/>
      <c r="G2299" s="21"/>
      <c r="H2299" s="21"/>
      <c r="J2299" s="21"/>
    </row>
    <row r="2300" spans="2:10" x14ac:dyDescent="0.25">
      <c r="B2300" s="21"/>
      <c r="G2300" s="21"/>
      <c r="H2300" s="21"/>
      <c r="J2300" s="21"/>
    </row>
    <row r="2301" spans="2:10" x14ac:dyDescent="0.25">
      <c r="B2301" s="21"/>
      <c r="G2301" s="21"/>
      <c r="H2301" s="21"/>
      <c r="J2301" s="21"/>
    </row>
    <row r="2302" spans="2:10" x14ac:dyDescent="0.25">
      <c r="B2302" s="21"/>
      <c r="G2302" s="21"/>
      <c r="H2302" s="21"/>
      <c r="J2302" s="21"/>
    </row>
    <row r="2303" spans="2:10" x14ac:dyDescent="0.25">
      <c r="B2303" s="21"/>
      <c r="G2303" s="21"/>
      <c r="H2303" s="21"/>
      <c r="J2303" s="21"/>
    </row>
    <row r="2304" spans="2:10" x14ac:dyDescent="0.25">
      <c r="B2304" s="21"/>
      <c r="G2304" s="21"/>
      <c r="H2304" s="21"/>
      <c r="J2304" s="21"/>
    </row>
    <row r="2305" spans="2:10" x14ac:dyDescent="0.25">
      <c r="B2305" s="21"/>
      <c r="G2305" s="21"/>
      <c r="H2305" s="21"/>
      <c r="J2305" s="21"/>
    </row>
    <row r="2306" spans="2:10" x14ac:dyDescent="0.25">
      <c r="B2306" s="21"/>
      <c r="G2306" s="21"/>
      <c r="H2306" s="21"/>
      <c r="J2306" s="21"/>
    </row>
    <row r="2307" spans="2:10" x14ac:dyDescent="0.25">
      <c r="B2307" s="21"/>
      <c r="G2307" s="21"/>
      <c r="H2307" s="21"/>
      <c r="J2307" s="21"/>
    </row>
    <row r="2308" spans="2:10" x14ac:dyDescent="0.25">
      <c r="B2308" s="21"/>
      <c r="G2308" s="21"/>
      <c r="H2308" s="21"/>
      <c r="J2308" s="21"/>
    </row>
    <row r="2309" spans="2:10" x14ac:dyDescent="0.25">
      <c r="B2309" s="21"/>
      <c r="G2309" s="21"/>
      <c r="H2309" s="21"/>
      <c r="J2309" s="21"/>
    </row>
    <row r="2310" spans="2:10" x14ac:dyDescent="0.25">
      <c r="B2310" s="21"/>
      <c r="G2310" s="21"/>
      <c r="H2310" s="21"/>
      <c r="J2310" s="21"/>
    </row>
    <row r="2311" spans="2:10" x14ac:dyDescent="0.25">
      <c r="B2311" s="21"/>
      <c r="G2311" s="21"/>
      <c r="H2311" s="21"/>
      <c r="J2311" s="21"/>
    </row>
    <row r="2312" spans="2:10" x14ac:dyDescent="0.25">
      <c r="B2312" s="21"/>
      <c r="G2312" s="21"/>
      <c r="H2312" s="21"/>
      <c r="J2312" s="21"/>
    </row>
    <row r="2313" spans="2:10" x14ac:dyDescent="0.25">
      <c r="B2313" s="21"/>
      <c r="G2313" s="21"/>
      <c r="H2313" s="21"/>
      <c r="J2313" s="21"/>
    </row>
    <row r="2314" spans="2:10" x14ac:dyDescent="0.25">
      <c r="B2314" s="21"/>
      <c r="G2314" s="21"/>
      <c r="H2314" s="21"/>
      <c r="J2314" s="21"/>
    </row>
    <row r="2315" spans="2:10" x14ac:dyDescent="0.25">
      <c r="B2315" s="21"/>
      <c r="G2315" s="21"/>
      <c r="H2315" s="21"/>
      <c r="J2315" s="21"/>
    </row>
    <row r="2316" spans="2:10" x14ac:dyDescent="0.25">
      <c r="B2316" s="21"/>
      <c r="G2316" s="21"/>
      <c r="H2316" s="21"/>
      <c r="J2316" s="21"/>
    </row>
    <row r="2317" spans="2:10" x14ac:dyDescent="0.25">
      <c r="B2317" s="21"/>
      <c r="G2317" s="21"/>
      <c r="H2317" s="21"/>
      <c r="J2317" s="21"/>
    </row>
    <row r="2318" spans="2:10" x14ac:dyDescent="0.25">
      <c r="B2318" s="21"/>
      <c r="G2318" s="21"/>
      <c r="H2318" s="21"/>
      <c r="J2318" s="21"/>
    </row>
    <row r="2319" spans="2:10" x14ac:dyDescent="0.25">
      <c r="B2319" s="21"/>
      <c r="G2319" s="21"/>
      <c r="H2319" s="21"/>
      <c r="J2319" s="21"/>
    </row>
    <row r="2320" spans="2:10" x14ac:dyDescent="0.25">
      <c r="B2320" s="21"/>
      <c r="G2320" s="21"/>
      <c r="H2320" s="21"/>
      <c r="J2320" s="21"/>
    </row>
    <row r="2321" spans="2:10" x14ac:dyDescent="0.25">
      <c r="B2321" s="21"/>
      <c r="G2321" s="21"/>
      <c r="H2321" s="21"/>
      <c r="J2321" s="21"/>
    </row>
    <row r="2322" spans="2:10" x14ac:dyDescent="0.25">
      <c r="B2322" s="21"/>
      <c r="G2322" s="21"/>
      <c r="H2322" s="21"/>
      <c r="J2322" s="21"/>
    </row>
    <row r="2323" spans="2:10" x14ac:dyDescent="0.25">
      <c r="B2323" s="21"/>
      <c r="G2323" s="21"/>
      <c r="H2323" s="21"/>
      <c r="J2323" s="21"/>
    </row>
    <row r="2324" spans="2:10" x14ac:dyDescent="0.25">
      <c r="B2324" s="21"/>
      <c r="G2324" s="21"/>
      <c r="H2324" s="21"/>
      <c r="J2324" s="21"/>
    </row>
    <row r="2325" spans="2:10" x14ac:dyDescent="0.25">
      <c r="B2325" s="21"/>
      <c r="G2325" s="21"/>
      <c r="H2325" s="21"/>
      <c r="J2325" s="21"/>
    </row>
    <row r="2326" spans="2:10" x14ac:dyDescent="0.25">
      <c r="B2326" s="21"/>
      <c r="G2326" s="21"/>
      <c r="H2326" s="21"/>
      <c r="J2326" s="21"/>
    </row>
    <row r="2327" spans="2:10" x14ac:dyDescent="0.25">
      <c r="B2327" s="21"/>
      <c r="G2327" s="21"/>
      <c r="H2327" s="21"/>
      <c r="J2327" s="21"/>
    </row>
    <row r="2328" spans="2:10" x14ac:dyDescent="0.25">
      <c r="B2328" s="21"/>
      <c r="G2328" s="21"/>
      <c r="H2328" s="21"/>
      <c r="J2328" s="21"/>
    </row>
    <row r="2329" spans="2:10" x14ac:dyDescent="0.25">
      <c r="B2329" s="21"/>
      <c r="G2329" s="21"/>
      <c r="H2329" s="21"/>
      <c r="J2329" s="21"/>
    </row>
    <row r="2330" spans="2:10" x14ac:dyDescent="0.25">
      <c r="B2330" s="21"/>
      <c r="G2330" s="21"/>
      <c r="H2330" s="21"/>
      <c r="J2330" s="21"/>
    </row>
    <row r="2331" spans="2:10" x14ac:dyDescent="0.25">
      <c r="B2331" s="21"/>
      <c r="G2331" s="21"/>
      <c r="H2331" s="21"/>
      <c r="J2331" s="21"/>
    </row>
    <row r="2332" spans="2:10" x14ac:dyDescent="0.25">
      <c r="B2332" s="21"/>
      <c r="G2332" s="21"/>
      <c r="H2332" s="21"/>
      <c r="J2332" s="21"/>
    </row>
    <row r="2333" spans="2:10" x14ac:dyDescent="0.25">
      <c r="B2333" s="21"/>
      <c r="G2333" s="21"/>
      <c r="H2333" s="21"/>
      <c r="J2333" s="21"/>
    </row>
    <row r="2334" spans="2:10" x14ac:dyDescent="0.25">
      <c r="B2334" s="21"/>
      <c r="G2334" s="21"/>
      <c r="H2334" s="21"/>
      <c r="J2334" s="21"/>
    </row>
    <row r="2335" spans="2:10" x14ac:dyDescent="0.25">
      <c r="B2335" s="21"/>
      <c r="G2335" s="21"/>
      <c r="H2335" s="21"/>
      <c r="J2335" s="21"/>
    </row>
    <row r="2336" spans="2:10" x14ac:dyDescent="0.25">
      <c r="B2336" s="21"/>
      <c r="G2336" s="21"/>
      <c r="H2336" s="21"/>
      <c r="J2336" s="21"/>
    </row>
    <row r="2337" spans="2:10" x14ac:dyDescent="0.25">
      <c r="B2337" s="21"/>
      <c r="G2337" s="21"/>
      <c r="H2337" s="21"/>
      <c r="J2337" s="21"/>
    </row>
    <row r="2338" spans="2:10" x14ac:dyDescent="0.25">
      <c r="B2338" s="21"/>
      <c r="G2338" s="21"/>
      <c r="H2338" s="21"/>
      <c r="J2338" s="21"/>
    </row>
    <row r="2339" spans="2:10" x14ac:dyDescent="0.25">
      <c r="B2339" s="21"/>
      <c r="G2339" s="21"/>
      <c r="H2339" s="21"/>
      <c r="J2339" s="21"/>
    </row>
    <row r="2340" spans="2:10" x14ac:dyDescent="0.25">
      <c r="B2340" s="21"/>
      <c r="G2340" s="21"/>
      <c r="H2340" s="21"/>
      <c r="J2340" s="21"/>
    </row>
    <row r="2341" spans="2:10" x14ac:dyDescent="0.25">
      <c r="B2341" s="21"/>
      <c r="G2341" s="21"/>
      <c r="H2341" s="21"/>
      <c r="J2341" s="21"/>
    </row>
    <row r="2342" spans="2:10" x14ac:dyDescent="0.25">
      <c r="B2342" s="21"/>
      <c r="G2342" s="21"/>
      <c r="H2342" s="21"/>
      <c r="J2342" s="21"/>
    </row>
    <row r="2343" spans="2:10" x14ac:dyDescent="0.25">
      <c r="B2343" s="21"/>
      <c r="G2343" s="21"/>
      <c r="H2343" s="21"/>
      <c r="J2343" s="21"/>
    </row>
    <row r="2344" spans="2:10" x14ac:dyDescent="0.25">
      <c r="B2344" s="21"/>
      <c r="G2344" s="21"/>
      <c r="H2344" s="21"/>
      <c r="J2344" s="21"/>
    </row>
    <row r="2345" spans="2:10" x14ac:dyDescent="0.25">
      <c r="B2345" s="21"/>
      <c r="G2345" s="21"/>
      <c r="H2345" s="21"/>
      <c r="J2345" s="21"/>
    </row>
    <row r="2346" spans="2:10" x14ac:dyDescent="0.25">
      <c r="B2346" s="21"/>
      <c r="G2346" s="21"/>
      <c r="H2346" s="21"/>
      <c r="J2346" s="21"/>
    </row>
    <row r="2347" spans="2:10" x14ac:dyDescent="0.25">
      <c r="B2347" s="21"/>
      <c r="G2347" s="21"/>
      <c r="H2347" s="21"/>
      <c r="J2347" s="21"/>
    </row>
    <row r="2348" spans="2:10" x14ac:dyDescent="0.25">
      <c r="B2348" s="21"/>
      <c r="G2348" s="21"/>
      <c r="H2348" s="21"/>
      <c r="J2348" s="21"/>
    </row>
    <row r="2349" spans="2:10" x14ac:dyDescent="0.25">
      <c r="B2349" s="21"/>
      <c r="G2349" s="21"/>
      <c r="H2349" s="21"/>
      <c r="J2349" s="21"/>
    </row>
    <row r="2350" spans="2:10" x14ac:dyDescent="0.25">
      <c r="B2350" s="21"/>
      <c r="G2350" s="21"/>
      <c r="H2350" s="21"/>
      <c r="J2350" s="21"/>
    </row>
    <row r="2351" spans="2:10" x14ac:dyDescent="0.25">
      <c r="B2351" s="21"/>
      <c r="G2351" s="21"/>
      <c r="H2351" s="21"/>
      <c r="J2351" s="21"/>
    </row>
    <row r="2352" spans="2:10" x14ac:dyDescent="0.25">
      <c r="B2352" s="21"/>
      <c r="G2352" s="21"/>
      <c r="H2352" s="21"/>
      <c r="J2352" s="21"/>
    </row>
    <row r="2353" spans="2:10" x14ac:dyDescent="0.25">
      <c r="B2353" s="21"/>
      <c r="G2353" s="21"/>
      <c r="H2353" s="21"/>
      <c r="J2353" s="21"/>
    </row>
    <row r="2354" spans="2:10" x14ac:dyDescent="0.25">
      <c r="B2354" s="21"/>
      <c r="G2354" s="21"/>
      <c r="H2354" s="21"/>
      <c r="J2354" s="21"/>
    </row>
    <row r="2355" spans="2:10" x14ac:dyDescent="0.25">
      <c r="B2355" s="21"/>
      <c r="G2355" s="21"/>
      <c r="H2355" s="21"/>
      <c r="J2355" s="21"/>
    </row>
    <row r="2356" spans="2:10" x14ac:dyDescent="0.25">
      <c r="B2356" s="21"/>
      <c r="G2356" s="21"/>
      <c r="H2356" s="21"/>
      <c r="J2356" s="21"/>
    </row>
    <row r="2357" spans="2:10" x14ac:dyDescent="0.25">
      <c r="B2357" s="21"/>
      <c r="G2357" s="21"/>
      <c r="H2357" s="21"/>
      <c r="J2357" s="21"/>
    </row>
    <row r="2358" spans="2:10" x14ac:dyDescent="0.25">
      <c r="B2358" s="21"/>
      <c r="G2358" s="21"/>
      <c r="H2358" s="21"/>
      <c r="J2358" s="21"/>
    </row>
    <row r="2359" spans="2:10" x14ac:dyDescent="0.25">
      <c r="B2359" s="21"/>
      <c r="G2359" s="21"/>
      <c r="H2359" s="21"/>
      <c r="J2359" s="21"/>
    </row>
    <row r="2360" spans="2:10" x14ac:dyDescent="0.25">
      <c r="B2360" s="21"/>
      <c r="G2360" s="21"/>
      <c r="H2360" s="21"/>
      <c r="J2360" s="21"/>
    </row>
    <row r="2361" spans="2:10" x14ac:dyDescent="0.25">
      <c r="B2361" s="21"/>
      <c r="G2361" s="21"/>
      <c r="H2361" s="21"/>
      <c r="J2361" s="21"/>
    </row>
    <row r="2362" spans="2:10" x14ac:dyDescent="0.25">
      <c r="B2362" s="21"/>
      <c r="G2362" s="21"/>
      <c r="H2362" s="21"/>
      <c r="J2362" s="21"/>
    </row>
    <row r="2363" spans="2:10" x14ac:dyDescent="0.25">
      <c r="B2363" s="21"/>
      <c r="G2363" s="21"/>
      <c r="H2363" s="21"/>
      <c r="J2363" s="21"/>
    </row>
    <row r="2364" spans="2:10" x14ac:dyDescent="0.25">
      <c r="B2364" s="21"/>
      <c r="G2364" s="21"/>
      <c r="H2364" s="21"/>
      <c r="J2364" s="21"/>
    </row>
    <row r="2365" spans="2:10" x14ac:dyDescent="0.25">
      <c r="B2365" s="21"/>
      <c r="G2365" s="21"/>
      <c r="H2365" s="21"/>
      <c r="J2365" s="21"/>
    </row>
    <row r="2366" spans="2:10" x14ac:dyDescent="0.25">
      <c r="B2366" s="21"/>
      <c r="G2366" s="21"/>
      <c r="H2366" s="21"/>
      <c r="J2366" s="21"/>
    </row>
    <row r="2367" spans="2:10" x14ac:dyDescent="0.25">
      <c r="B2367" s="21"/>
      <c r="G2367" s="21"/>
      <c r="H2367" s="21"/>
      <c r="J2367" s="21"/>
    </row>
    <row r="2368" spans="2:10" x14ac:dyDescent="0.25">
      <c r="B2368" s="21"/>
      <c r="G2368" s="21"/>
      <c r="H2368" s="21"/>
      <c r="J2368" s="21"/>
    </row>
    <row r="2369" spans="2:10" x14ac:dyDescent="0.25">
      <c r="B2369" s="21"/>
      <c r="G2369" s="21"/>
      <c r="H2369" s="21"/>
      <c r="J2369" s="21"/>
    </row>
    <row r="2370" spans="2:10" x14ac:dyDescent="0.25">
      <c r="B2370" s="21"/>
      <c r="G2370" s="21"/>
      <c r="H2370" s="21"/>
      <c r="J2370" s="21"/>
    </row>
    <row r="2371" spans="2:10" x14ac:dyDescent="0.25">
      <c r="B2371" s="21"/>
      <c r="G2371" s="21"/>
      <c r="H2371" s="21"/>
      <c r="J2371" s="21"/>
    </row>
    <row r="2372" spans="2:10" x14ac:dyDescent="0.25">
      <c r="B2372" s="21"/>
      <c r="G2372" s="21"/>
      <c r="H2372" s="21"/>
      <c r="J2372" s="21"/>
    </row>
    <row r="2373" spans="2:10" x14ac:dyDescent="0.25">
      <c r="B2373" s="21"/>
      <c r="G2373" s="21"/>
      <c r="H2373" s="21"/>
      <c r="J2373" s="21"/>
    </row>
    <row r="2374" spans="2:10" x14ac:dyDescent="0.25">
      <c r="B2374" s="21"/>
      <c r="G2374" s="21"/>
      <c r="H2374" s="21"/>
      <c r="J2374" s="21"/>
    </row>
    <row r="2375" spans="2:10" x14ac:dyDescent="0.25">
      <c r="B2375" s="21"/>
      <c r="G2375" s="21"/>
      <c r="H2375" s="21"/>
      <c r="J2375" s="21"/>
    </row>
    <row r="2376" spans="2:10" x14ac:dyDescent="0.25">
      <c r="B2376" s="21"/>
      <c r="G2376" s="21"/>
      <c r="H2376" s="21"/>
      <c r="J2376" s="21"/>
    </row>
    <row r="2377" spans="2:10" x14ac:dyDescent="0.25">
      <c r="B2377" s="21"/>
      <c r="G2377" s="21"/>
      <c r="H2377" s="21"/>
      <c r="J2377" s="21"/>
    </row>
    <row r="2378" spans="2:10" x14ac:dyDescent="0.25">
      <c r="B2378" s="21"/>
      <c r="G2378" s="21"/>
      <c r="H2378" s="21"/>
      <c r="J2378" s="21"/>
    </row>
    <row r="2379" spans="2:10" x14ac:dyDescent="0.25">
      <c r="B2379" s="21"/>
      <c r="G2379" s="21"/>
      <c r="H2379" s="21"/>
      <c r="J2379" s="21"/>
    </row>
    <row r="2380" spans="2:10" x14ac:dyDescent="0.25">
      <c r="B2380" s="21"/>
      <c r="G2380" s="21"/>
      <c r="H2380" s="21"/>
      <c r="J2380" s="21"/>
    </row>
    <row r="2381" spans="2:10" x14ac:dyDescent="0.25">
      <c r="B2381" s="21"/>
      <c r="G2381" s="21"/>
      <c r="H2381" s="21"/>
      <c r="J2381" s="21"/>
    </row>
    <row r="2382" spans="2:10" x14ac:dyDescent="0.25">
      <c r="B2382" s="21"/>
      <c r="G2382" s="21"/>
      <c r="H2382" s="21"/>
      <c r="J2382" s="21"/>
    </row>
    <row r="2383" spans="2:10" x14ac:dyDescent="0.25">
      <c r="B2383" s="21"/>
      <c r="G2383" s="21"/>
      <c r="H2383" s="21"/>
      <c r="J2383" s="21"/>
    </row>
    <row r="2384" spans="2:10" x14ac:dyDescent="0.25">
      <c r="B2384" s="21"/>
      <c r="G2384" s="21"/>
      <c r="H2384" s="21"/>
      <c r="J2384" s="21"/>
    </row>
    <row r="2385" spans="2:10" x14ac:dyDescent="0.25">
      <c r="B2385" s="21"/>
      <c r="G2385" s="21"/>
      <c r="H2385" s="21"/>
      <c r="J2385" s="21"/>
    </row>
    <row r="2386" spans="2:10" x14ac:dyDescent="0.25">
      <c r="B2386" s="21"/>
      <c r="G2386" s="21"/>
      <c r="H2386" s="21"/>
      <c r="J2386" s="21"/>
    </row>
    <row r="2387" spans="2:10" x14ac:dyDescent="0.25">
      <c r="B2387" s="21"/>
      <c r="G2387" s="21"/>
      <c r="H2387" s="21"/>
      <c r="J2387" s="21"/>
    </row>
    <row r="2388" spans="2:10" x14ac:dyDescent="0.25">
      <c r="B2388" s="21"/>
      <c r="G2388" s="21"/>
      <c r="H2388" s="21"/>
      <c r="J2388" s="21"/>
    </row>
    <row r="2389" spans="2:10" x14ac:dyDescent="0.25">
      <c r="B2389" s="21"/>
      <c r="G2389" s="21"/>
      <c r="H2389" s="21"/>
      <c r="J2389" s="21"/>
    </row>
    <row r="2390" spans="2:10" x14ac:dyDescent="0.25">
      <c r="B2390" s="21"/>
      <c r="G2390" s="21"/>
      <c r="H2390" s="21"/>
      <c r="J2390" s="21"/>
    </row>
    <row r="2391" spans="2:10" x14ac:dyDescent="0.25">
      <c r="B2391" s="21"/>
      <c r="G2391" s="21"/>
      <c r="H2391" s="21"/>
      <c r="J2391" s="21"/>
    </row>
    <row r="2392" spans="2:10" x14ac:dyDescent="0.25">
      <c r="B2392" s="21"/>
      <c r="G2392" s="21"/>
      <c r="H2392" s="21"/>
      <c r="J2392" s="21"/>
    </row>
    <row r="2393" spans="2:10" x14ac:dyDescent="0.25">
      <c r="B2393" s="21"/>
      <c r="G2393" s="21"/>
      <c r="H2393" s="21"/>
      <c r="J2393" s="21"/>
    </row>
    <row r="2394" spans="2:10" x14ac:dyDescent="0.25">
      <c r="B2394" s="21"/>
      <c r="G2394" s="21"/>
      <c r="H2394" s="21"/>
      <c r="J2394" s="21"/>
    </row>
    <row r="2395" spans="2:10" x14ac:dyDescent="0.25">
      <c r="B2395" s="21"/>
      <c r="G2395" s="21"/>
      <c r="H2395" s="21"/>
      <c r="J2395" s="21"/>
    </row>
    <row r="2396" spans="2:10" x14ac:dyDescent="0.25">
      <c r="B2396" s="21"/>
      <c r="G2396" s="21"/>
      <c r="H2396" s="21"/>
      <c r="J2396" s="21"/>
    </row>
    <row r="2397" spans="2:10" x14ac:dyDescent="0.25">
      <c r="B2397" s="21"/>
      <c r="G2397" s="21"/>
      <c r="H2397" s="21"/>
      <c r="J2397" s="21"/>
    </row>
    <row r="2398" spans="2:10" x14ac:dyDescent="0.25">
      <c r="B2398" s="21"/>
      <c r="G2398" s="21"/>
      <c r="H2398" s="21"/>
      <c r="J2398" s="21"/>
    </row>
    <row r="2399" spans="2:10" x14ac:dyDescent="0.25">
      <c r="B2399" s="21"/>
      <c r="G2399" s="21"/>
      <c r="H2399" s="21"/>
      <c r="J2399" s="21"/>
    </row>
    <row r="2400" spans="2:10" x14ac:dyDescent="0.25">
      <c r="B2400" s="21"/>
      <c r="G2400" s="21"/>
      <c r="H2400" s="21"/>
      <c r="J2400" s="21"/>
    </row>
    <row r="2401" spans="2:10" x14ac:dyDescent="0.25">
      <c r="B2401" s="21"/>
      <c r="G2401" s="21"/>
      <c r="H2401" s="21"/>
      <c r="J2401" s="21"/>
    </row>
    <row r="2402" spans="2:10" x14ac:dyDescent="0.25">
      <c r="B2402" s="21"/>
      <c r="G2402" s="21"/>
      <c r="H2402" s="21"/>
      <c r="J2402" s="21"/>
    </row>
    <row r="2403" spans="2:10" x14ac:dyDescent="0.25">
      <c r="B2403" s="21"/>
      <c r="G2403" s="21"/>
      <c r="H2403" s="21"/>
      <c r="J2403" s="21"/>
    </row>
    <row r="2404" spans="2:10" x14ac:dyDescent="0.25">
      <c r="B2404" s="21"/>
      <c r="G2404" s="21"/>
      <c r="H2404" s="21"/>
      <c r="J2404" s="21"/>
    </row>
    <row r="2405" spans="2:10" x14ac:dyDescent="0.25">
      <c r="B2405" s="21"/>
      <c r="J2405" s="21"/>
    </row>
    <row r="2406" spans="2:10" x14ac:dyDescent="0.25">
      <c r="B2406" s="21"/>
      <c r="J2406" s="21"/>
    </row>
    <row r="2407" spans="2:10" x14ac:dyDescent="0.25">
      <c r="B2407" s="21"/>
      <c r="J2407" s="21"/>
    </row>
    <row r="2408" spans="2:10" x14ac:dyDescent="0.25">
      <c r="B2408" s="21"/>
      <c r="J2408" s="21"/>
    </row>
    <row r="2409" spans="2:10" x14ac:dyDescent="0.25">
      <c r="B2409" s="21"/>
      <c r="J2409" s="21"/>
    </row>
    <row r="2410" spans="2:10" x14ac:dyDescent="0.25">
      <c r="B2410" s="21"/>
      <c r="J2410" s="21"/>
    </row>
    <row r="2411" spans="2:10" x14ac:dyDescent="0.25">
      <c r="B2411" s="21"/>
      <c r="J2411" s="21"/>
    </row>
    <row r="2412" spans="2:10" x14ac:dyDescent="0.25">
      <c r="B2412" s="21"/>
      <c r="J2412" s="21"/>
    </row>
    <row r="2413" spans="2:10" x14ac:dyDescent="0.25">
      <c r="B2413" s="21"/>
      <c r="J2413" s="21"/>
    </row>
    <row r="2414" spans="2:10" x14ac:dyDescent="0.25">
      <c r="B2414" s="21"/>
      <c r="J2414" s="21"/>
    </row>
    <row r="2415" spans="2:10" x14ac:dyDescent="0.25">
      <c r="B2415" s="21"/>
      <c r="J2415" s="21"/>
    </row>
    <row r="2416" spans="2:10" x14ac:dyDescent="0.25">
      <c r="B2416" s="21"/>
      <c r="J2416" s="21"/>
    </row>
    <row r="2417" spans="10:10" x14ac:dyDescent="0.25">
      <c r="J2417" s="21"/>
    </row>
    <row r="2418" spans="10:10" x14ac:dyDescent="0.25">
      <c r="J2418" s="21"/>
    </row>
    <row r="2419" spans="10:10" x14ac:dyDescent="0.25">
      <c r="J2419" s="21"/>
    </row>
    <row r="2420" spans="10:10" x14ac:dyDescent="0.25">
      <c r="J2420" s="21"/>
    </row>
  </sheetData>
  <mergeCells count="7">
    <mergeCell ref="N1:N2"/>
    <mergeCell ref="O1:O2"/>
    <mergeCell ref="F1:F2"/>
    <mergeCell ref="A1:A2"/>
    <mergeCell ref="I1:I2"/>
    <mergeCell ref="J1:J2"/>
    <mergeCell ref="M1:M2"/>
  </mergeCells>
  <pageMargins left="0.70866141732283472" right="0.70866141732283472" top="0.74803149606299213" bottom="0.74803149606299213" header="0.31496062992125984" footer="0.31496062992125984"/>
  <pageSetup paperSize="9" scale="74" orientation="portrait" r:id="rId1"/>
  <headerFooter>
    <oddHeader>&amp;C&amp;"Times New Roman,Félkövér"Budapest Főváros VIIII. kerület Józsefvárosi Önkormányzat
  2020-2023. évekre tervezett bevételi és kiadási előirányzatai&amp;R&amp;"Times New Roman,Félkövér dőlt"az előterjesztés
4/a. sz. melléklete
ezer Ft-ban</oddHeader>
  </headerFooter>
  <rowBreaks count="2" manualBreakCount="2">
    <brk id="67" max="16383" man="1"/>
    <brk id="68"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E34"/>
  <sheetViews>
    <sheetView zoomScaleNormal="100" workbookViewId="0">
      <selection activeCell="C7" sqref="C7"/>
    </sheetView>
  </sheetViews>
  <sheetFormatPr defaultRowHeight="13.2" x14ac:dyDescent="0.25"/>
  <cols>
    <col min="1" max="1" width="40.6640625" style="92" customWidth="1"/>
    <col min="2" max="5" width="15.6640625" style="103" customWidth="1"/>
    <col min="6" max="255" width="9.109375" style="127"/>
    <col min="256" max="256" width="36.33203125" style="127" customWidth="1"/>
    <col min="257" max="260" width="15.6640625" style="127" customWidth="1"/>
    <col min="261" max="261" width="44.33203125" style="127" customWidth="1"/>
    <col min="262" max="511" width="9.109375" style="127"/>
    <col min="512" max="512" width="36.33203125" style="127" customWidth="1"/>
    <col min="513" max="516" width="15.6640625" style="127" customWidth="1"/>
    <col min="517" max="517" width="44.33203125" style="127" customWidth="1"/>
    <col min="518" max="767" width="9.109375" style="127"/>
    <col min="768" max="768" width="36.33203125" style="127" customWidth="1"/>
    <col min="769" max="772" width="15.6640625" style="127" customWidth="1"/>
    <col min="773" max="773" width="44.33203125" style="127" customWidth="1"/>
    <col min="774" max="1023" width="9.109375" style="127"/>
    <col min="1024" max="1024" width="36.33203125" style="127" customWidth="1"/>
    <col min="1025" max="1028" width="15.6640625" style="127" customWidth="1"/>
    <col min="1029" max="1029" width="44.33203125" style="127" customWidth="1"/>
    <col min="1030" max="1279" width="9.109375" style="127"/>
    <col min="1280" max="1280" width="36.33203125" style="127" customWidth="1"/>
    <col min="1281" max="1284" width="15.6640625" style="127" customWidth="1"/>
    <col min="1285" max="1285" width="44.33203125" style="127" customWidth="1"/>
    <col min="1286" max="1535" width="9.109375" style="127"/>
    <col min="1536" max="1536" width="36.33203125" style="127" customWidth="1"/>
    <col min="1537" max="1540" width="15.6640625" style="127" customWidth="1"/>
    <col min="1541" max="1541" width="44.33203125" style="127" customWidth="1"/>
    <col min="1542" max="1791" width="9.109375" style="127"/>
    <col min="1792" max="1792" width="36.33203125" style="127" customWidth="1"/>
    <col min="1793" max="1796" width="15.6640625" style="127" customWidth="1"/>
    <col min="1797" max="1797" width="44.33203125" style="127" customWidth="1"/>
    <col min="1798" max="2047" width="9.109375" style="127"/>
    <col min="2048" max="2048" width="36.33203125" style="127" customWidth="1"/>
    <col min="2049" max="2052" width="15.6640625" style="127" customWidth="1"/>
    <col min="2053" max="2053" width="44.33203125" style="127" customWidth="1"/>
    <col min="2054" max="2303" width="9.109375" style="127"/>
    <col min="2304" max="2304" width="36.33203125" style="127" customWidth="1"/>
    <col min="2305" max="2308" width="15.6640625" style="127" customWidth="1"/>
    <col min="2309" max="2309" width="44.33203125" style="127" customWidth="1"/>
    <col min="2310" max="2559" width="9.109375" style="127"/>
    <col min="2560" max="2560" width="36.33203125" style="127" customWidth="1"/>
    <col min="2561" max="2564" width="15.6640625" style="127" customWidth="1"/>
    <col min="2565" max="2565" width="44.33203125" style="127" customWidth="1"/>
    <col min="2566" max="2815" width="9.109375" style="127"/>
    <col min="2816" max="2816" width="36.33203125" style="127" customWidth="1"/>
    <col min="2817" max="2820" width="15.6640625" style="127" customWidth="1"/>
    <col min="2821" max="2821" width="44.33203125" style="127" customWidth="1"/>
    <col min="2822" max="3071" width="9.109375" style="127"/>
    <col min="3072" max="3072" width="36.33203125" style="127" customWidth="1"/>
    <col min="3073" max="3076" width="15.6640625" style="127" customWidth="1"/>
    <col min="3077" max="3077" width="44.33203125" style="127" customWidth="1"/>
    <col min="3078" max="3327" width="9.109375" style="127"/>
    <col min="3328" max="3328" width="36.33203125" style="127" customWidth="1"/>
    <col min="3329" max="3332" width="15.6640625" style="127" customWidth="1"/>
    <col min="3333" max="3333" width="44.33203125" style="127" customWidth="1"/>
    <col min="3334" max="3583" width="9.109375" style="127"/>
    <col min="3584" max="3584" width="36.33203125" style="127" customWidth="1"/>
    <col min="3585" max="3588" width="15.6640625" style="127" customWidth="1"/>
    <col min="3589" max="3589" width="44.33203125" style="127" customWidth="1"/>
    <col min="3590" max="3839" width="9.109375" style="127"/>
    <col min="3840" max="3840" width="36.33203125" style="127" customWidth="1"/>
    <col min="3841" max="3844" width="15.6640625" style="127" customWidth="1"/>
    <col min="3845" max="3845" width="44.33203125" style="127" customWidth="1"/>
    <col min="3846" max="4095" width="9.109375" style="127"/>
    <col min="4096" max="4096" width="36.33203125" style="127" customWidth="1"/>
    <col min="4097" max="4100" width="15.6640625" style="127" customWidth="1"/>
    <col min="4101" max="4101" width="44.33203125" style="127" customWidth="1"/>
    <col min="4102" max="4351" width="9.109375" style="127"/>
    <col min="4352" max="4352" width="36.33203125" style="127" customWidth="1"/>
    <col min="4353" max="4356" width="15.6640625" style="127" customWidth="1"/>
    <col min="4357" max="4357" width="44.33203125" style="127" customWidth="1"/>
    <col min="4358" max="4607" width="9.109375" style="127"/>
    <col min="4608" max="4608" width="36.33203125" style="127" customWidth="1"/>
    <col min="4609" max="4612" width="15.6640625" style="127" customWidth="1"/>
    <col min="4613" max="4613" width="44.33203125" style="127" customWidth="1"/>
    <col min="4614" max="4863" width="9.109375" style="127"/>
    <col min="4864" max="4864" width="36.33203125" style="127" customWidth="1"/>
    <col min="4865" max="4868" width="15.6640625" style="127" customWidth="1"/>
    <col min="4869" max="4869" width="44.33203125" style="127" customWidth="1"/>
    <col min="4870" max="5119" width="9.109375" style="127"/>
    <col min="5120" max="5120" width="36.33203125" style="127" customWidth="1"/>
    <col min="5121" max="5124" width="15.6640625" style="127" customWidth="1"/>
    <col min="5125" max="5125" width="44.33203125" style="127" customWidth="1"/>
    <col min="5126" max="5375" width="9.109375" style="127"/>
    <col min="5376" max="5376" width="36.33203125" style="127" customWidth="1"/>
    <col min="5377" max="5380" width="15.6640625" style="127" customWidth="1"/>
    <col min="5381" max="5381" width="44.33203125" style="127" customWidth="1"/>
    <col min="5382" max="5631" width="9.109375" style="127"/>
    <col min="5632" max="5632" width="36.33203125" style="127" customWidth="1"/>
    <col min="5633" max="5636" width="15.6640625" style="127" customWidth="1"/>
    <col min="5637" max="5637" width="44.33203125" style="127" customWidth="1"/>
    <col min="5638" max="5887" width="9.109375" style="127"/>
    <col min="5888" max="5888" width="36.33203125" style="127" customWidth="1"/>
    <col min="5889" max="5892" width="15.6640625" style="127" customWidth="1"/>
    <col min="5893" max="5893" width="44.33203125" style="127" customWidth="1"/>
    <col min="5894" max="6143" width="9.109375" style="127"/>
    <col min="6144" max="6144" width="36.33203125" style="127" customWidth="1"/>
    <col min="6145" max="6148" width="15.6640625" style="127" customWidth="1"/>
    <col min="6149" max="6149" width="44.33203125" style="127" customWidth="1"/>
    <col min="6150" max="6399" width="9.109375" style="127"/>
    <col min="6400" max="6400" width="36.33203125" style="127" customWidth="1"/>
    <col min="6401" max="6404" width="15.6640625" style="127" customWidth="1"/>
    <col min="6405" max="6405" width="44.33203125" style="127" customWidth="1"/>
    <col min="6406" max="6655" width="9.109375" style="127"/>
    <col min="6656" max="6656" width="36.33203125" style="127" customWidth="1"/>
    <col min="6657" max="6660" width="15.6640625" style="127" customWidth="1"/>
    <col min="6661" max="6661" width="44.33203125" style="127" customWidth="1"/>
    <col min="6662" max="6911" width="9.109375" style="127"/>
    <col min="6912" max="6912" width="36.33203125" style="127" customWidth="1"/>
    <col min="6913" max="6916" width="15.6640625" style="127" customWidth="1"/>
    <col min="6917" max="6917" width="44.33203125" style="127" customWidth="1"/>
    <col min="6918" max="7167" width="9.109375" style="127"/>
    <col min="7168" max="7168" width="36.33203125" style="127" customWidth="1"/>
    <col min="7169" max="7172" width="15.6640625" style="127" customWidth="1"/>
    <col min="7173" max="7173" width="44.33203125" style="127" customWidth="1"/>
    <col min="7174" max="7423" width="9.109375" style="127"/>
    <col min="7424" max="7424" width="36.33203125" style="127" customWidth="1"/>
    <col min="7425" max="7428" width="15.6640625" style="127" customWidth="1"/>
    <col min="7429" max="7429" width="44.33203125" style="127" customWidth="1"/>
    <col min="7430" max="7679" width="9.109375" style="127"/>
    <col min="7680" max="7680" width="36.33203125" style="127" customWidth="1"/>
    <col min="7681" max="7684" width="15.6640625" style="127" customWidth="1"/>
    <col min="7685" max="7685" width="44.33203125" style="127" customWidth="1"/>
    <col min="7686" max="7935" width="9.109375" style="127"/>
    <col min="7936" max="7936" width="36.33203125" style="127" customWidth="1"/>
    <col min="7937" max="7940" width="15.6640625" style="127" customWidth="1"/>
    <col min="7941" max="7941" width="44.33203125" style="127" customWidth="1"/>
    <col min="7942" max="8191" width="9.109375" style="127"/>
    <col min="8192" max="8192" width="36.33203125" style="127" customWidth="1"/>
    <col min="8193" max="8196" width="15.6640625" style="127" customWidth="1"/>
    <col min="8197" max="8197" width="44.33203125" style="127" customWidth="1"/>
    <col min="8198" max="8447" width="9.109375" style="127"/>
    <col min="8448" max="8448" width="36.33203125" style="127" customWidth="1"/>
    <col min="8449" max="8452" width="15.6640625" style="127" customWidth="1"/>
    <col min="8453" max="8453" width="44.33203125" style="127" customWidth="1"/>
    <col min="8454" max="8703" width="9.109375" style="127"/>
    <col min="8704" max="8704" width="36.33203125" style="127" customWidth="1"/>
    <col min="8705" max="8708" width="15.6640625" style="127" customWidth="1"/>
    <col min="8709" max="8709" width="44.33203125" style="127" customWidth="1"/>
    <col min="8710" max="8959" width="9.109375" style="127"/>
    <col min="8960" max="8960" width="36.33203125" style="127" customWidth="1"/>
    <col min="8961" max="8964" width="15.6640625" style="127" customWidth="1"/>
    <col min="8965" max="8965" width="44.33203125" style="127" customWidth="1"/>
    <col min="8966" max="9215" width="9.109375" style="127"/>
    <col min="9216" max="9216" width="36.33203125" style="127" customWidth="1"/>
    <col min="9217" max="9220" width="15.6640625" style="127" customWidth="1"/>
    <col min="9221" max="9221" width="44.33203125" style="127" customWidth="1"/>
    <col min="9222" max="9471" width="9.109375" style="127"/>
    <col min="9472" max="9472" width="36.33203125" style="127" customWidth="1"/>
    <col min="9473" max="9476" width="15.6640625" style="127" customWidth="1"/>
    <col min="9477" max="9477" width="44.33203125" style="127" customWidth="1"/>
    <col min="9478" max="9727" width="9.109375" style="127"/>
    <col min="9728" max="9728" width="36.33203125" style="127" customWidth="1"/>
    <col min="9729" max="9732" width="15.6640625" style="127" customWidth="1"/>
    <col min="9733" max="9733" width="44.33203125" style="127" customWidth="1"/>
    <col min="9734" max="9983" width="9.109375" style="127"/>
    <col min="9984" max="9984" width="36.33203125" style="127" customWidth="1"/>
    <col min="9985" max="9988" width="15.6640625" style="127" customWidth="1"/>
    <col min="9989" max="9989" width="44.33203125" style="127" customWidth="1"/>
    <col min="9990" max="10239" width="9.109375" style="127"/>
    <col min="10240" max="10240" width="36.33203125" style="127" customWidth="1"/>
    <col min="10241" max="10244" width="15.6640625" style="127" customWidth="1"/>
    <col min="10245" max="10245" width="44.33203125" style="127" customWidth="1"/>
    <col min="10246" max="10495" width="9.109375" style="127"/>
    <col min="10496" max="10496" width="36.33203125" style="127" customWidth="1"/>
    <col min="10497" max="10500" width="15.6640625" style="127" customWidth="1"/>
    <col min="10501" max="10501" width="44.33203125" style="127" customWidth="1"/>
    <col min="10502" max="10751" width="9.109375" style="127"/>
    <col min="10752" max="10752" width="36.33203125" style="127" customWidth="1"/>
    <col min="10753" max="10756" width="15.6640625" style="127" customWidth="1"/>
    <col min="10757" max="10757" width="44.33203125" style="127" customWidth="1"/>
    <col min="10758" max="11007" width="9.109375" style="127"/>
    <col min="11008" max="11008" width="36.33203125" style="127" customWidth="1"/>
    <col min="11009" max="11012" width="15.6640625" style="127" customWidth="1"/>
    <col min="11013" max="11013" width="44.33203125" style="127" customWidth="1"/>
    <col min="11014" max="11263" width="9.109375" style="127"/>
    <col min="11264" max="11264" width="36.33203125" style="127" customWidth="1"/>
    <col min="11265" max="11268" width="15.6640625" style="127" customWidth="1"/>
    <col min="11269" max="11269" width="44.33203125" style="127" customWidth="1"/>
    <col min="11270" max="11519" width="9.109375" style="127"/>
    <col min="11520" max="11520" width="36.33203125" style="127" customWidth="1"/>
    <col min="11521" max="11524" width="15.6640625" style="127" customWidth="1"/>
    <col min="11525" max="11525" width="44.33203125" style="127" customWidth="1"/>
    <col min="11526" max="11775" width="9.109375" style="127"/>
    <col min="11776" max="11776" width="36.33203125" style="127" customWidth="1"/>
    <col min="11777" max="11780" width="15.6640625" style="127" customWidth="1"/>
    <col min="11781" max="11781" width="44.33203125" style="127" customWidth="1"/>
    <col min="11782" max="12031" width="9.109375" style="127"/>
    <col min="12032" max="12032" width="36.33203125" style="127" customWidth="1"/>
    <col min="12033" max="12036" width="15.6640625" style="127" customWidth="1"/>
    <col min="12037" max="12037" width="44.33203125" style="127" customWidth="1"/>
    <col min="12038" max="12287" width="9.109375" style="127"/>
    <col min="12288" max="12288" width="36.33203125" style="127" customWidth="1"/>
    <col min="12289" max="12292" width="15.6640625" style="127" customWidth="1"/>
    <col min="12293" max="12293" width="44.33203125" style="127" customWidth="1"/>
    <col min="12294" max="12543" width="9.109375" style="127"/>
    <col min="12544" max="12544" width="36.33203125" style="127" customWidth="1"/>
    <col min="12545" max="12548" width="15.6640625" style="127" customWidth="1"/>
    <col min="12549" max="12549" width="44.33203125" style="127" customWidth="1"/>
    <col min="12550" max="12799" width="9.109375" style="127"/>
    <col min="12800" max="12800" width="36.33203125" style="127" customWidth="1"/>
    <col min="12801" max="12804" width="15.6640625" style="127" customWidth="1"/>
    <col min="12805" max="12805" width="44.33203125" style="127" customWidth="1"/>
    <col min="12806" max="13055" width="9.109375" style="127"/>
    <col min="13056" max="13056" width="36.33203125" style="127" customWidth="1"/>
    <col min="13057" max="13060" width="15.6640625" style="127" customWidth="1"/>
    <col min="13061" max="13061" width="44.33203125" style="127" customWidth="1"/>
    <col min="13062" max="13311" width="9.109375" style="127"/>
    <col min="13312" max="13312" width="36.33203125" style="127" customWidth="1"/>
    <col min="13313" max="13316" width="15.6640625" style="127" customWidth="1"/>
    <col min="13317" max="13317" width="44.33203125" style="127" customWidth="1"/>
    <col min="13318" max="13567" width="9.109375" style="127"/>
    <col min="13568" max="13568" width="36.33203125" style="127" customWidth="1"/>
    <col min="13569" max="13572" width="15.6640625" style="127" customWidth="1"/>
    <col min="13573" max="13573" width="44.33203125" style="127" customWidth="1"/>
    <col min="13574" max="13823" width="9.109375" style="127"/>
    <col min="13824" max="13824" width="36.33203125" style="127" customWidth="1"/>
    <col min="13825" max="13828" width="15.6640625" style="127" customWidth="1"/>
    <col min="13829" max="13829" width="44.33203125" style="127" customWidth="1"/>
    <col min="13830" max="14079" width="9.109375" style="127"/>
    <col min="14080" max="14080" width="36.33203125" style="127" customWidth="1"/>
    <col min="14081" max="14084" width="15.6640625" style="127" customWidth="1"/>
    <col min="14085" max="14085" width="44.33203125" style="127" customWidth="1"/>
    <col min="14086" max="14335" width="9.109375" style="127"/>
    <col min="14336" max="14336" width="36.33203125" style="127" customWidth="1"/>
    <col min="14337" max="14340" width="15.6640625" style="127" customWidth="1"/>
    <col min="14341" max="14341" width="44.33203125" style="127" customWidth="1"/>
    <col min="14342" max="14591" width="9.109375" style="127"/>
    <col min="14592" max="14592" width="36.33203125" style="127" customWidth="1"/>
    <col min="14593" max="14596" width="15.6640625" style="127" customWidth="1"/>
    <col min="14597" max="14597" width="44.33203125" style="127" customWidth="1"/>
    <col min="14598" max="14847" width="9.109375" style="127"/>
    <col min="14848" max="14848" width="36.33203125" style="127" customWidth="1"/>
    <col min="14849" max="14852" width="15.6640625" style="127" customWidth="1"/>
    <col min="14853" max="14853" width="44.33203125" style="127" customWidth="1"/>
    <col min="14854" max="15103" width="9.109375" style="127"/>
    <col min="15104" max="15104" width="36.33203125" style="127" customWidth="1"/>
    <col min="15105" max="15108" width="15.6640625" style="127" customWidth="1"/>
    <col min="15109" max="15109" width="44.33203125" style="127" customWidth="1"/>
    <col min="15110" max="15359" width="9.109375" style="127"/>
    <col min="15360" max="15360" width="36.33203125" style="127" customWidth="1"/>
    <col min="15361" max="15364" width="15.6640625" style="127" customWidth="1"/>
    <col min="15365" max="15365" width="44.33203125" style="127" customWidth="1"/>
    <col min="15366" max="15615" width="9.109375" style="127"/>
    <col min="15616" max="15616" width="36.33203125" style="127" customWidth="1"/>
    <col min="15617" max="15620" width="15.6640625" style="127" customWidth="1"/>
    <col min="15621" max="15621" width="44.33203125" style="127" customWidth="1"/>
    <col min="15622" max="15871" width="9.109375" style="127"/>
    <col min="15872" max="15872" width="36.33203125" style="127" customWidth="1"/>
    <col min="15873" max="15876" width="15.6640625" style="127" customWidth="1"/>
    <col min="15877" max="15877" width="44.33203125" style="127" customWidth="1"/>
    <col min="15878" max="16127" width="9.109375" style="127"/>
    <col min="16128" max="16128" width="36.33203125" style="127" customWidth="1"/>
    <col min="16129" max="16132" width="15.6640625" style="127" customWidth="1"/>
    <col min="16133" max="16133" width="44.33203125" style="127" customWidth="1"/>
    <col min="16134" max="16384" width="9.109375" style="127"/>
  </cols>
  <sheetData>
    <row r="1" spans="1:5" x14ac:dyDescent="0.25">
      <c r="A1" s="2715"/>
      <c r="B1" s="2715"/>
      <c r="C1" s="2715"/>
      <c r="D1" s="2715"/>
      <c r="E1" s="2715"/>
    </row>
    <row r="2" spans="1:5" ht="39.75" customHeight="1" x14ac:dyDescent="0.25">
      <c r="A2" s="2716" t="s">
        <v>2338</v>
      </c>
      <c r="B2" s="2716"/>
      <c r="C2" s="2716"/>
      <c r="D2" s="2716"/>
      <c r="E2" s="2716"/>
    </row>
    <row r="3" spans="1:5" ht="13.8" thickBot="1" x14ac:dyDescent="0.3">
      <c r="B3" s="2717"/>
      <c r="C3" s="2717"/>
      <c r="D3" s="376"/>
      <c r="E3" s="375" t="s">
        <v>793</v>
      </c>
    </row>
    <row r="4" spans="1:5" s="415" customFormat="1" ht="28.5" customHeight="1" thickBot="1" x14ac:dyDescent="0.3">
      <c r="A4" s="270" t="s">
        <v>497</v>
      </c>
      <c r="B4" s="464" t="s">
        <v>716</v>
      </c>
      <c r="C4" s="464" t="s">
        <v>723</v>
      </c>
      <c r="D4" s="464" t="s">
        <v>890</v>
      </c>
      <c r="E4" s="465" t="s">
        <v>2337</v>
      </c>
    </row>
    <row r="5" spans="1:5" s="415" customFormat="1" ht="20.100000000000001" customHeight="1" x14ac:dyDescent="0.25">
      <c r="A5" s="208" t="s">
        <v>784</v>
      </c>
      <c r="B5" s="469"/>
      <c r="C5" s="469"/>
      <c r="D5" s="469"/>
      <c r="E5" s="470"/>
    </row>
    <row r="6" spans="1:5" ht="15" customHeight="1" x14ac:dyDescent="0.25">
      <c r="A6" s="342" t="s">
        <v>778</v>
      </c>
      <c r="B6" s="29">
        <v>8817432</v>
      </c>
      <c r="C6" s="29">
        <f>B6*1.01</f>
        <v>8905606.3200000003</v>
      </c>
      <c r="D6" s="29">
        <f>C6*1.01</f>
        <v>8994662.383200001</v>
      </c>
      <c r="E6" s="426">
        <f>D6*1.01</f>
        <v>9084609.0070320014</v>
      </c>
    </row>
    <row r="7" spans="1:5" ht="39.9" customHeight="1" x14ac:dyDescent="0.25">
      <c r="A7" s="342" t="s">
        <v>779</v>
      </c>
      <c r="B7" s="29">
        <f>1839000+300000+71954+1649610</f>
        <v>3860564</v>
      </c>
      <c r="C7" s="29">
        <f>B7*1.02</f>
        <v>3937775.2800000003</v>
      </c>
      <c r="D7" s="29">
        <f>C7*1.02</f>
        <v>4016530.7856000005</v>
      </c>
      <c r="E7" s="426">
        <f>D7*1.02</f>
        <v>4096861.4013120006</v>
      </c>
    </row>
    <row r="8" spans="1:5" ht="15" customHeight="1" x14ac:dyDescent="0.25">
      <c r="A8" s="342" t="s">
        <v>780</v>
      </c>
      <c r="B8" s="29">
        <v>0</v>
      </c>
      <c r="C8" s="29">
        <v>0</v>
      </c>
      <c r="D8" s="29">
        <v>0</v>
      </c>
      <c r="E8" s="426">
        <v>0</v>
      </c>
    </row>
    <row r="9" spans="1:5" ht="39.9" customHeight="1" x14ac:dyDescent="0.25">
      <c r="A9" s="342" t="s">
        <v>781</v>
      </c>
      <c r="B9" s="29">
        <v>0</v>
      </c>
      <c r="C9" s="29">
        <v>0</v>
      </c>
      <c r="D9" s="29">
        <v>0</v>
      </c>
      <c r="E9" s="426"/>
    </row>
    <row r="10" spans="1:5" ht="15" customHeight="1" x14ac:dyDescent="0.25">
      <c r="A10" s="342" t="s">
        <v>782</v>
      </c>
      <c r="B10" s="29">
        <v>18504</v>
      </c>
      <c r="C10" s="29">
        <f>B10*1.02</f>
        <v>18874.080000000002</v>
      </c>
      <c r="D10" s="29">
        <f>C10*1.02</f>
        <v>19251.561600000001</v>
      </c>
      <c r="E10" s="426">
        <f>D10*1.02</f>
        <v>19636.592832000002</v>
      </c>
    </row>
    <row r="11" spans="1:5" ht="15" customHeight="1" thickBot="1" x14ac:dyDescent="0.3">
      <c r="A11" s="416" t="s">
        <v>783</v>
      </c>
      <c r="B11" s="330">
        <v>0</v>
      </c>
      <c r="C11" s="330">
        <v>0</v>
      </c>
      <c r="D11" s="330">
        <v>0</v>
      </c>
      <c r="E11" s="466">
        <v>0</v>
      </c>
    </row>
    <row r="12" spans="1:5" ht="20.100000000000001" customHeight="1" thickBot="1" x14ac:dyDescent="0.3">
      <c r="A12" s="417" t="s">
        <v>715</v>
      </c>
      <c r="B12" s="326">
        <f>SUM(B6:B11)</f>
        <v>12696500</v>
      </c>
      <c r="C12" s="326">
        <f>SUM(C6:C11)</f>
        <v>12862255.680000002</v>
      </c>
      <c r="D12" s="326">
        <f>SUM(D6:D11)</f>
        <v>13030444.730400002</v>
      </c>
      <c r="E12" s="467">
        <f>SUM(E6:E11)</f>
        <v>13201107.001176003</v>
      </c>
    </row>
    <row r="13" spans="1:5" s="128" customFormat="1" ht="20.100000000000001" customHeight="1" x14ac:dyDescent="0.25">
      <c r="A13" s="208" t="s">
        <v>785</v>
      </c>
      <c r="B13" s="323"/>
      <c r="C13" s="323"/>
      <c r="D13" s="323"/>
      <c r="E13" s="468"/>
    </row>
    <row r="14" spans="1:5" ht="15" customHeight="1" x14ac:dyDescent="0.25">
      <c r="A14" s="342" t="s">
        <v>786</v>
      </c>
      <c r="B14" s="471">
        <v>0</v>
      </c>
      <c r="C14" s="471">
        <v>0</v>
      </c>
      <c r="D14" s="471">
        <v>0</v>
      </c>
      <c r="E14" s="472">
        <v>0</v>
      </c>
    </row>
    <row r="15" spans="1:5" ht="24.9" customHeight="1" x14ac:dyDescent="0.25">
      <c r="A15" s="342" t="s">
        <v>787</v>
      </c>
      <c r="B15" s="471">
        <v>0</v>
      </c>
      <c r="C15" s="471">
        <v>0</v>
      </c>
      <c r="D15" s="471">
        <v>0</v>
      </c>
      <c r="E15" s="472">
        <v>0</v>
      </c>
    </row>
    <row r="16" spans="1:5" ht="15" customHeight="1" x14ac:dyDescent="0.25">
      <c r="A16" s="342" t="s">
        <v>788</v>
      </c>
      <c r="B16" s="471">
        <v>0</v>
      </c>
      <c r="C16" s="471">
        <v>0</v>
      </c>
      <c r="D16" s="471">
        <v>0</v>
      </c>
      <c r="E16" s="472">
        <v>0</v>
      </c>
    </row>
    <row r="17" spans="1:5" ht="15" customHeight="1" x14ac:dyDescent="0.25">
      <c r="A17" s="342" t="s">
        <v>789</v>
      </c>
      <c r="B17" s="471">
        <v>0</v>
      </c>
      <c r="C17" s="471">
        <v>0</v>
      </c>
      <c r="D17" s="471">
        <v>0</v>
      </c>
      <c r="E17" s="472">
        <v>0</v>
      </c>
    </row>
    <row r="18" spans="1:5" ht="24.9" customHeight="1" x14ac:dyDescent="0.25">
      <c r="A18" s="342" t="s">
        <v>790</v>
      </c>
      <c r="B18" s="471">
        <v>0</v>
      </c>
      <c r="C18" s="471">
        <v>0</v>
      </c>
      <c r="D18" s="471">
        <v>0</v>
      </c>
      <c r="E18" s="472">
        <v>0</v>
      </c>
    </row>
    <row r="19" spans="1:5" ht="15" customHeight="1" x14ac:dyDescent="0.25">
      <c r="A19" s="342" t="s">
        <v>791</v>
      </c>
      <c r="B19" s="471">
        <v>0</v>
      </c>
      <c r="C19" s="471">
        <v>0</v>
      </c>
      <c r="D19" s="471">
        <v>0</v>
      </c>
      <c r="E19" s="472">
        <v>0</v>
      </c>
    </row>
    <row r="20" spans="1:5" ht="24.9" customHeight="1" thickBot="1" x14ac:dyDescent="0.3">
      <c r="A20" s="416" t="s">
        <v>792</v>
      </c>
      <c r="B20" s="473">
        <v>0</v>
      </c>
      <c r="C20" s="473">
        <v>0</v>
      </c>
      <c r="D20" s="473">
        <v>0</v>
      </c>
      <c r="E20" s="474">
        <v>0</v>
      </c>
    </row>
    <row r="21" spans="1:5" s="128" customFormat="1" ht="20.100000000000001" customHeight="1" thickBot="1" x14ac:dyDescent="0.3">
      <c r="A21" s="417" t="s">
        <v>634</v>
      </c>
      <c r="B21" s="475">
        <f>SUM(B20:B20)</f>
        <v>0</v>
      </c>
      <c r="C21" s="475">
        <f>SUM(C20:C20)</f>
        <v>0</v>
      </c>
      <c r="D21" s="475">
        <f>SUM(D20:D20)</f>
        <v>0</v>
      </c>
      <c r="E21" s="476">
        <v>0</v>
      </c>
    </row>
    <row r="22" spans="1:5" x14ac:dyDescent="0.25">
      <c r="A22" s="3"/>
    </row>
    <row r="23" spans="1:5" s="128" customFormat="1" x14ac:dyDescent="0.25">
      <c r="A23" s="2" t="s">
        <v>717</v>
      </c>
      <c r="B23" s="123">
        <v>0</v>
      </c>
      <c r="C23" s="123">
        <v>0</v>
      </c>
      <c r="D23" s="123">
        <v>0</v>
      </c>
      <c r="E23" s="123"/>
    </row>
    <row r="24" spans="1:5" x14ac:dyDescent="0.25">
      <c r="A24" s="3"/>
    </row>
    <row r="25" spans="1:5" x14ac:dyDescent="0.25">
      <c r="A25" s="372"/>
    </row>
    <row r="30" spans="1:5" x14ac:dyDescent="0.25">
      <c r="A30" s="372" t="s">
        <v>1064</v>
      </c>
    </row>
    <row r="31" spans="1:5" ht="38.25" customHeight="1" x14ac:dyDescent="0.25">
      <c r="A31" s="92" t="s">
        <v>718</v>
      </c>
    </row>
    <row r="32" spans="1:5" x14ac:dyDescent="0.25">
      <c r="A32" s="92" t="s">
        <v>719</v>
      </c>
    </row>
    <row r="33" spans="1:1" ht="25.5" customHeight="1" x14ac:dyDescent="0.25">
      <c r="A33" s="92" t="s">
        <v>720</v>
      </c>
    </row>
    <row r="34" spans="1:1" x14ac:dyDescent="0.25">
      <c r="A34" s="92" t="s">
        <v>721</v>
      </c>
    </row>
  </sheetData>
  <mergeCells count="3">
    <mergeCell ref="A1:E1"/>
    <mergeCell ref="A2:E2"/>
    <mergeCell ref="B3:C3"/>
  </mergeCells>
  <pageMargins left="0.74803149606299213" right="0.74803149606299213" top="0.78740157480314965" bottom="0.98425196850393704" header="0.51181102362204722" footer="0.51181102362204722"/>
  <pageSetup paperSize="9" scale="81" orientation="portrait" r:id="rId1"/>
  <headerFooter alignWithMargins="0">
    <oddHeader xml:space="preserve">&amp;R&amp;"Times New Roman,Félkövér dőlt"előterjesztés 
4./b. sz. melléklete&amp;"MS Sans Serif,Normál"
</oddHeader>
    <oddFooter xml:space="preserve">&amp;C
&amp;"Times New Roman,Normál"&amp;8&amp;P&amp;R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IU13"/>
  <sheetViews>
    <sheetView zoomScaleNormal="100" workbookViewId="0">
      <selection activeCell="C21" sqref="C21"/>
    </sheetView>
  </sheetViews>
  <sheetFormatPr defaultRowHeight="13.2" x14ac:dyDescent="0.25"/>
  <cols>
    <col min="1" max="1" width="9.109375" style="2383"/>
    <col min="2" max="2" width="44.109375" style="2393" customWidth="1"/>
    <col min="3" max="3" width="22.33203125" style="339" customWidth="1"/>
    <col min="4" max="4" width="23" style="377" customWidth="1"/>
    <col min="5" max="5" width="17.5546875" style="92" customWidth="1"/>
    <col min="6" max="6" width="16" style="92" customWidth="1"/>
    <col min="7" max="257" width="9.109375" style="127"/>
    <col min="258" max="258" width="44.109375" style="127" customWidth="1"/>
    <col min="259" max="259" width="22.33203125" style="127" customWidth="1"/>
    <col min="260" max="260" width="23" style="127" customWidth="1"/>
    <col min="261" max="261" width="17.5546875" style="127" customWidth="1"/>
    <col min="262" max="262" width="16" style="127" customWidth="1"/>
    <col min="263" max="513" width="9.109375" style="127"/>
    <col min="514" max="514" width="44.109375" style="127" customWidth="1"/>
    <col min="515" max="515" width="22.33203125" style="127" customWidth="1"/>
    <col min="516" max="516" width="23" style="127" customWidth="1"/>
    <col min="517" max="517" width="17.5546875" style="127" customWidth="1"/>
    <col min="518" max="518" width="16" style="127" customWidth="1"/>
    <col min="519" max="769" width="9.109375" style="127"/>
    <col min="770" max="770" width="44.109375" style="127" customWidth="1"/>
    <col min="771" max="771" width="22.33203125" style="127" customWidth="1"/>
    <col min="772" max="772" width="23" style="127" customWidth="1"/>
    <col min="773" max="773" width="17.5546875" style="127" customWidth="1"/>
    <col min="774" max="774" width="16" style="127" customWidth="1"/>
    <col min="775" max="1025" width="9.109375" style="127"/>
    <col min="1026" max="1026" width="44.109375" style="127" customWidth="1"/>
    <col min="1027" max="1027" width="22.33203125" style="127" customWidth="1"/>
    <col min="1028" max="1028" width="23" style="127" customWidth="1"/>
    <col min="1029" max="1029" width="17.5546875" style="127" customWidth="1"/>
    <col min="1030" max="1030" width="16" style="127" customWidth="1"/>
    <col min="1031" max="1281" width="9.109375" style="127"/>
    <col min="1282" max="1282" width="44.109375" style="127" customWidth="1"/>
    <col min="1283" max="1283" width="22.33203125" style="127" customWidth="1"/>
    <col min="1284" max="1284" width="23" style="127" customWidth="1"/>
    <col min="1285" max="1285" width="17.5546875" style="127" customWidth="1"/>
    <col min="1286" max="1286" width="16" style="127" customWidth="1"/>
    <col min="1287" max="1537" width="9.109375" style="127"/>
    <col min="1538" max="1538" width="44.109375" style="127" customWidth="1"/>
    <col min="1539" max="1539" width="22.33203125" style="127" customWidth="1"/>
    <col min="1540" max="1540" width="23" style="127" customWidth="1"/>
    <col min="1541" max="1541" width="17.5546875" style="127" customWidth="1"/>
    <col min="1542" max="1542" width="16" style="127" customWidth="1"/>
    <col min="1543" max="1793" width="9.109375" style="127"/>
    <col min="1794" max="1794" width="44.109375" style="127" customWidth="1"/>
    <col min="1795" max="1795" width="22.33203125" style="127" customWidth="1"/>
    <col min="1796" max="1796" width="23" style="127" customWidth="1"/>
    <col min="1797" max="1797" width="17.5546875" style="127" customWidth="1"/>
    <col min="1798" max="1798" width="16" style="127" customWidth="1"/>
    <col min="1799" max="2049" width="9.109375" style="127"/>
    <col min="2050" max="2050" width="44.109375" style="127" customWidth="1"/>
    <col min="2051" max="2051" width="22.33203125" style="127" customWidth="1"/>
    <col min="2052" max="2052" width="23" style="127" customWidth="1"/>
    <col min="2053" max="2053" width="17.5546875" style="127" customWidth="1"/>
    <col min="2054" max="2054" width="16" style="127" customWidth="1"/>
    <col min="2055" max="2305" width="9.109375" style="127"/>
    <col min="2306" max="2306" width="44.109375" style="127" customWidth="1"/>
    <col min="2307" max="2307" width="22.33203125" style="127" customWidth="1"/>
    <col min="2308" max="2308" width="23" style="127" customWidth="1"/>
    <col min="2309" max="2309" width="17.5546875" style="127" customWidth="1"/>
    <col min="2310" max="2310" width="16" style="127" customWidth="1"/>
    <col min="2311" max="2561" width="9.109375" style="127"/>
    <col min="2562" max="2562" width="44.109375" style="127" customWidth="1"/>
    <col min="2563" max="2563" width="22.33203125" style="127" customWidth="1"/>
    <col min="2564" max="2564" width="23" style="127" customWidth="1"/>
    <col min="2565" max="2565" width="17.5546875" style="127" customWidth="1"/>
    <col min="2566" max="2566" width="16" style="127" customWidth="1"/>
    <col min="2567" max="2817" width="9.109375" style="127"/>
    <col min="2818" max="2818" width="44.109375" style="127" customWidth="1"/>
    <col min="2819" max="2819" width="22.33203125" style="127" customWidth="1"/>
    <col min="2820" max="2820" width="23" style="127" customWidth="1"/>
    <col min="2821" max="2821" width="17.5546875" style="127" customWidth="1"/>
    <col min="2822" max="2822" width="16" style="127" customWidth="1"/>
    <col min="2823" max="3073" width="9.109375" style="127"/>
    <col min="3074" max="3074" width="44.109375" style="127" customWidth="1"/>
    <col min="3075" max="3075" width="22.33203125" style="127" customWidth="1"/>
    <col min="3076" max="3076" width="23" style="127" customWidth="1"/>
    <col min="3077" max="3077" width="17.5546875" style="127" customWidth="1"/>
    <col min="3078" max="3078" width="16" style="127" customWidth="1"/>
    <col min="3079" max="3329" width="9.109375" style="127"/>
    <col min="3330" max="3330" width="44.109375" style="127" customWidth="1"/>
    <col min="3331" max="3331" width="22.33203125" style="127" customWidth="1"/>
    <col min="3332" max="3332" width="23" style="127" customWidth="1"/>
    <col min="3333" max="3333" width="17.5546875" style="127" customWidth="1"/>
    <col min="3334" max="3334" width="16" style="127" customWidth="1"/>
    <col min="3335" max="3585" width="9.109375" style="127"/>
    <col min="3586" max="3586" width="44.109375" style="127" customWidth="1"/>
    <col min="3587" max="3587" width="22.33203125" style="127" customWidth="1"/>
    <col min="3588" max="3588" width="23" style="127" customWidth="1"/>
    <col min="3589" max="3589" width="17.5546875" style="127" customWidth="1"/>
    <col min="3590" max="3590" width="16" style="127" customWidth="1"/>
    <col min="3591" max="3841" width="9.109375" style="127"/>
    <col min="3842" max="3842" width="44.109375" style="127" customWidth="1"/>
    <col min="3843" max="3843" width="22.33203125" style="127" customWidth="1"/>
    <col min="3844" max="3844" width="23" style="127" customWidth="1"/>
    <col min="3845" max="3845" width="17.5546875" style="127" customWidth="1"/>
    <col min="3846" max="3846" width="16" style="127" customWidth="1"/>
    <col min="3847" max="4097" width="9.109375" style="127"/>
    <col min="4098" max="4098" width="44.109375" style="127" customWidth="1"/>
    <col min="4099" max="4099" width="22.33203125" style="127" customWidth="1"/>
    <col min="4100" max="4100" width="23" style="127" customWidth="1"/>
    <col min="4101" max="4101" width="17.5546875" style="127" customWidth="1"/>
    <col min="4102" max="4102" width="16" style="127" customWidth="1"/>
    <col min="4103" max="4353" width="9.109375" style="127"/>
    <col min="4354" max="4354" width="44.109375" style="127" customWidth="1"/>
    <col min="4355" max="4355" width="22.33203125" style="127" customWidth="1"/>
    <col min="4356" max="4356" width="23" style="127" customWidth="1"/>
    <col min="4357" max="4357" width="17.5546875" style="127" customWidth="1"/>
    <col min="4358" max="4358" width="16" style="127" customWidth="1"/>
    <col min="4359" max="4609" width="9.109375" style="127"/>
    <col min="4610" max="4610" width="44.109375" style="127" customWidth="1"/>
    <col min="4611" max="4611" width="22.33203125" style="127" customWidth="1"/>
    <col min="4612" max="4612" width="23" style="127" customWidth="1"/>
    <col min="4613" max="4613" width="17.5546875" style="127" customWidth="1"/>
    <col min="4614" max="4614" width="16" style="127" customWidth="1"/>
    <col min="4615" max="4865" width="9.109375" style="127"/>
    <col min="4866" max="4866" width="44.109375" style="127" customWidth="1"/>
    <col min="4867" max="4867" width="22.33203125" style="127" customWidth="1"/>
    <col min="4868" max="4868" width="23" style="127" customWidth="1"/>
    <col min="4869" max="4869" width="17.5546875" style="127" customWidth="1"/>
    <col min="4870" max="4870" width="16" style="127" customWidth="1"/>
    <col min="4871" max="5121" width="9.109375" style="127"/>
    <col min="5122" max="5122" width="44.109375" style="127" customWidth="1"/>
    <col min="5123" max="5123" width="22.33203125" style="127" customWidth="1"/>
    <col min="5124" max="5124" width="23" style="127" customWidth="1"/>
    <col min="5125" max="5125" width="17.5546875" style="127" customWidth="1"/>
    <col min="5126" max="5126" width="16" style="127" customWidth="1"/>
    <col min="5127" max="5377" width="9.109375" style="127"/>
    <col min="5378" max="5378" width="44.109375" style="127" customWidth="1"/>
    <col min="5379" max="5379" width="22.33203125" style="127" customWidth="1"/>
    <col min="5380" max="5380" width="23" style="127" customWidth="1"/>
    <col min="5381" max="5381" width="17.5546875" style="127" customWidth="1"/>
    <col min="5382" max="5382" width="16" style="127" customWidth="1"/>
    <col min="5383" max="5633" width="9.109375" style="127"/>
    <col min="5634" max="5634" width="44.109375" style="127" customWidth="1"/>
    <col min="5635" max="5635" width="22.33203125" style="127" customWidth="1"/>
    <col min="5636" max="5636" width="23" style="127" customWidth="1"/>
    <col min="5637" max="5637" width="17.5546875" style="127" customWidth="1"/>
    <col min="5638" max="5638" width="16" style="127" customWidth="1"/>
    <col min="5639" max="5889" width="9.109375" style="127"/>
    <col min="5890" max="5890" width="44.109375" style="127" customWidth="1"/>
    <col min="5891" max="5891" width="22.33203125" style="127" customWidth="1"/>
    <col min="5892" max="5892" width="23" style="127" customWidth="1"/>
    <col min="5893" max="5893" width="17.5546875" style="127" customWidth="1"/>
    <col min="5894" max="5894" width="16" style="127" customWidth="1"/>
    <col min="5895" max="6145" width="9.109375" style="127"/>
    <col min="6146" max="6146" width="44.109375" style="127" customWidth="1"/>
    <col min="6147" max="6147" width="22.33203125" style="127" customWidth="1"/>
    <col min="6148" max="6148" width="23" style="127" customWidth="1"/>
    <col min="6149" max="6149" width="17.5546875" style="127" customWidth="1"/>
    <col min="6150" max="6150" width="16" style="127" customWidth="1"/>
    <col min="6151" max="6401" width="9.109375" style="127"/>
    <col min="6402" max="6402" width="44.109375" style="127" customWidth="1"/>
    <col min="6403" max="6403" width="22.33203125" style="127" customWidth="1"/>
    <col min="6404" max="6404" width="23" style="127" customWidth="1"/>
    <col min="6405" max="6405" width="17.5546875" style="127" customWidth="1"/>
    <col min="6406" max="6406" width="16" style="127" customWidth="1"/>
    <col min="6407" max="6657" width="9.109375" style="127"/>
    <col min="6658" max="6658" width="44.109375" style="127" customWidth="1"/>
    <col min="6659" max="6659" width="22.33203125" style="127" customWidth="1"/>
    <col min="6660" max="6660" width="23" style="127" customWidth="1"/>
    <col min="6661" max="6661" width="17.5546875" style="127" customWidth="1"/>
    <col min="6662" max="6662" width="16" style="127" customWidth="1"/>
    <col min="6663" max="6913" width="9.109375" style="127"/>
    <col min="6914" max="6914" width="44.109375" style="127" customWidth="1"/>
    <col min="6915" max="6915" width="22.33203125" style="127" customWidth="1"/>
    <col min="6916" max="6916" width="23" style="127" customWidth="1"/>
    <col min="6917" max="6917" width="17.5546875" style="127" customWidth="1"/>
    <col min="6918" max="6918" width="16" style="127" customWidth="1"/>
    <col min="6919" max="7169" width="9.109375" style="127"/>
    <col min="7170" max="7170" width="44.109375" style="127" customWidth="1"/>
    <col min="7171" max="7171" width="22.33203125" style="127" customWidth="1"/>
    <col min="7172" max="7172" width="23" style="127" customWidth="1"/>
    <col min="7173" max="7173" width="17.5546875" style="127" customWidth="1"/>
    <col min="7174" max="7174" width="16" style="127" customWidth="1"/>
    <col min="7175" max="7425" width="9.109375" style="127"/>
    <col min="7426" max="7426" width="44.109375" style="127" customWidth="1"/>
    <col min="7427" max="7427" width="22.33203125" style="127" customWidth="1"/>
    <col min="7428" max="7428" width="23" style="127" customWidth="1"/>
    <col min="7429" max="7429" width="17.5546875" style="127" customWidth="1"/>
    <col min="7430" max="7430" width="16" style="127" customWidth="1"/>
    <col min="7431" max="7681" width="9.109375" style="127"/>
    <col min="7682" max="7682" width="44.109375" style="127" customWidth="1"/>
    <col min="7683" max="7683" width="22.33203125" style="127" customWidth="1"/>
    <col min="7684" max="7684" width="23" style="127" customWidth="1"/>
    <col min="7685" max="7685" width="17.5546875" style="127" customWidth="1"/>
    <col min="7686" max="7686" width="16" style="127" customWidth="1"/>
    <col min="7687" max="7937" width="9.109375" style="127"/>
    <col min="7938" max="7938" width="44.109375" style="127" customWidth="1"/>
    <col min="7939" max="7939" width="22.33203125" style="127" customWidth="1"/>
    <col min="7940" max="7940" width="23" style="127" customWidth="1"/>
    <col min="7941" max="7941" width="17.5546875" style="127" customWidth="1"/>
    <col min="7942" max="7942" width="16" style="127" customWidth="1"/>
    <col min="7943" max="8193" width="9.109375" style="127"/>
    <col min="8194" max="8194" width="44.109375" style="127" customWidth="1"/>
    <col min="8195" max="8195" width="22.33203125" style="127" customWidth="1"/>
    <col min="8196" max="8196" width="23" style="127" customWidth="1"/>
    <col min="8197" max="8197" width="17.5546875" style="127" customWidth="1"/>
    <col min="8198" max="8198" width="16" style="127" customWidth="1"/>
    <col min="8199" max="8449" width="9.109375" style="127"/>
    <col min="8450" max="8450" width="44.109375" style="127" customWidth="1"/>
    <col min="8451" max="8451" width="22.33203125" style="127" customWidth="1"/>
    <col min="8452" max="8452" width="23" style="127" customWidth="1"/>
    <col min="8453" max="8453" width="17.5546875" style="127" customWidth="1"/>
    <col min="8454" max="8454" width="16" style="127" customWidth="1"/>
    <col min="8455" max="8705" width="9.109375" style="127"/>
    <col min="8706" max="8706" width="44.109375" style="127" customWidth="1"/>
    <col min="8707" max="8707" width="22.33203125" style="127" customWidth="1"/>
    <col min="8708" max="8708" width="23" style="127" customWidth="1"/>
    <col min="8709" max="8709" width="17.5546875" style="127" customWidth="1"/>
    <col min="8710" max="8710" width="16" style="127" customWidth="1"/>
    <col min="8711" max="8961" width="9.109375" style="127"/>
    <col min="8962" max="8962" width="44.109375" style="127" customWidth="1"/>
    <col min="8963" max="8963" width="22.33203125" style="127" customWidth="1"/>
    <col min="8964" max="8964" width="23" style="127" customWidth="1"/>
    <col min="8965" max="8965" width="17.5546875" style="127" customWidth="1"/>
    <col min="8966" max="8966" width="16" style="127" customWidth="1"/>
    <col min="8967" max="9217" width="9.109375" style="127"/>
    <col min="9218" max="9218" width="44.109375" style="127" customWidth="1"/>
    <col min="9219" max="9219" width="22.33203125" style="127" customWidth="1"/>
    <col min="9220" max="9220" width="23" style="127" customWidth="1"/>
    <col min="9221" max="9221" width="17.5546875" style="127" customWidth="1"/>
    <col min="9222" max="9222" width="16" style="127" customWidth="1"/>
    <col min="9223" max="9473" width="9.109375" style="127"/>
    <col min="9474" max="9474" width="44.109375" style="127" customWidth="1"/>
    <col min="9475" max="9475" width="22.33203125" style="127" customWidth="1"/>
    <col min="9476" max="9476" width="23" style="127" customWidth="1"/>
    <col min="9477" max="9477" width="17.5546875" style="127" customWidth="1"/>
    <col min="9478" max="9478" width="16" style="127" customWidth="1"/>
    <col min="9479" max="9729" width="9.109375" style="127"/>
    <col min="9730" max="9730" width="44.109375" style="127" customWidth="1"/>
    <col min="9731" max="9731" width="22.33203125" style="127" customWidth="1"/>
    <col min="9732" max="9732" width="23" style="127" customWidth="1"/>
    <col min="9733" max="9733" width="17.5546875" style="127" customWidth="1"/>
    <col min="9734" max="9734" width="16" style="127" customWidth="1"/>
    <col min="9735" max="9985" width="9.109375" style="127"/>
    <col min="9986" max="9986" width="44.109375" style="127" customWidth="1"/>
    <col min="9987" max="9987" width="22.33203125" style="127" customWidth="1"/>
    <col min="9988" max="9988" width="23" style="127" customWidth="1"/>
    <col min="9989" max="9989" width="17.5546875" style="127" customWidth="1"/>
    <col min="9990" max="9990" width="16" style="127" customWidth="1"/>
    <col min="9991" max="10241" width="9.109375" style="127"/>
    <col min="10242" max="10242" width="44.109375" style="127" customWidth="1"/>
    <col min="10243" max="10243" width="22.33203125" style="127" customWidth="1"/>
    <col min="10244" max="10244" width="23" style="127" customWidth="1"/>
    <col min="10245" max="10245" width="17.5546875" style="127" customWidth="1"/>
    <col min="10246" max="10246" width="16" style="127" customWidth="1"/>
    <col min="10247" max="10497" width="9.109375" style="127"/>
    <col min="10498" max="10498" width="44.109375" style="127" customWidth="1"/>
    <col min="10499" max="10499" width="22.33203125" style="127" customWidth="1"/>
    <col min="10500" max="10500" width="23" style="127" customWidth="1"/>
    <col min="10501" max="10501" width="17.5546875" style="127" customWidth="1"/>
    <col min="10502" max="10502" width="16" style="127" customWidth="1"/>
    <col min="10503" max="10753" width="9.109375" style="127"/>
    <col min="10754" max="10754" width="44.109375" style="127" customWidth="1"/>
    <col min="10755" max="10755" width="22.33203125" style="127" customWidth="1"/>
    <col min="10756" max="10756" width="23" style="127" customWidth="1"/>
    <col min="10757" max="10757" width="17.5546875" style="127" customWidth="1"/>
    <col min="10758" max="10758" width="16" style="127" customWidth="1"/>
    <col min="10759" max="11009" width="9.109375" style="127"/>
    <col min="11010" max="11010" width="44.109375" style="127" customWidth="1"/>
    <col min="11011" max="11011" width="22.33203125" style="127" customWidth="1"/>
    <col min="11012" max="11012" width="23" style="127" customWidth="1"/>
    <col min="11013" max="11013" width="17.5546875" style="127" customWidth="1"/>
    <col min="11014" max="11014" width="16" style="127" customWidth="1"/>
    <col min="11015" max="11265" width="9.109375" style="127"/>
    <col min="11266" max="11266" width="44.109375" style="127" customWidth="1"/>
    <col min="11267" max="11267" width="22.33203125" style="127" customWidth="1"/>
    <col min="11268" max="11268" width="23" style="127" customWidth="1"/>
    <col min="11269" max="11269" width="17.5546875" style="127" customWidth="1"/>
    <col min="11270" max="11270" width="16" style="127" customWidth="1"/>
    <col min="11271" max="11521" width="9.109375" style="127"/>
    <col min="11522" max="11522" width="44.109375" style="127" customWidth="1"/>
    <col min="11523" max="11523" width="22.33203125" style="127" customWidth="1"/>
    <col min="11524" max="11524" width="23" style="127" customWidth="1"/>
    <col min="11525" max="11525" width="17.5546875" style="127" customWidth="1"/>
    <col min="11526" max="11526" width="16" style="127" customWidth="1"/>
    <col min="11527" max="11777" width="9.109375" style="127"/>
    <col min="11778" max="11778" width="44.109375" style="127" customWidth="1"/>
    <col min="11779" max="11779" width="22.33203125" style="127" customWidth="1"/>
    <col min="11780" max="11780" width="23" style="127" customWidth="1"/>
    <col min="11781" max="11781" width="17.5546875" style="127" customWidth="1"/>
    <col min="11782" max="11782" width="16" style="127" customWidth="1"/>
    <col min="11783" max="12033" width="9.109375" style="127"/>
    <col min="12034" max="12034" width="44.109375" style="127" customWidth="1"/>
    <col min="12035" max="12035" width="22.33203125" style="127" customWidth="1"/>
    <col min="12036" max="12036" width="23" style="127" customWidth="1"/>
    <col min="12037" max="12037" width="17.5546875" style="127" customWidth="1"/>
    <col min="12038" max="12038" width="16" style="127" customWidth="1"/>
    <col min="12039" max="12289" width="9.109375" style="127"/>
    <col min="12290" max="12290" width="44.109375" style="127" customWidth="1"/>
    <col min="12291" max="12291" width="22.33203125" style="127" customWidth="1"/>
    <col min="12292" max="12292" width="23" style="127" customWidth="1"/>
    <col min="12293" max="12293" width="17.5546875" style="127" customWidth="1"/>
    <col min="12294" max="12294" width="16" style="127" customWidth="1"/>
    <col min="12295" max="12545" width="9.109375" style="127"/>
    <col min="12546" max="12546" width="44.109375" style="127" customWidth="1"/>
    <col min="12547" max="12547" width="22.33203125" style="127" customWidth="1"/>
    <col min="12548" max="12548" width="23" style="127" customWidth="1"/>
    <col min="12549" max="12549" width="17.5546875" style="127" customWidth="1"/>
    <col min="12550" max="12550" width="16" style="127" customWidth="1"/>
    <col min="12551" max="12801" width="9.109375" style="127"/>
    <col min="12802" max="12802" width="44.109375" style="127" customWidth="1"/>
    <col min="12803" max="12803" width="22.33203125" style="127" customWidth="1"/>
    <col min="12804" max="12804" width="23" style="127" customWidth="1"/>
    <col min="12805" max="12805" width="17.5546875" style="127" customWidth="1"/>
    <col min="12806" max="12806" width="16" style="127" customWidth="1"/>
    <col min="12807" max="13057" width="9.109375" style="127"/>
    <col min="13058" max="13058" width="44.109375" style="127" customWidth="1"/>
    <col min="13059" max="13059" width="22.33203125" style="127" customWidth="1"/>
    <col min="13060" max="13060" width="23" style="127" customWidth="1"/>
    <col min="13061" max="13061" width="17.5546875" style="127" customWidth="1"/>
    <col min="13062" max="13062" width="16" style="127" customWidth="1"/>
    <col min="13063" max="13313" width="9.109375" style="127"/>
    <col min="13314" max="13314" width="44.109375" style="127" customWidth="1"/>
    <col min="13315" max="13315" width="22.33203125" style="127" customWidth="1"/>
    <col min="13316" max="13316" width="23" style="127" customWidth="1"/>
    <col min="13317" max="13317" width="17.5546875" style="127" customWidth="1"/>
    <col min="13318" max="13318" width="16" style="127" customWidth="1"/>
    <col min="13319" max="13569" width="9.109375" style="127"/>
    <col min="13570" max="13570" width="44.109375" style="127" customWidth="1"/>
    <col min="13571" max="13571" width="22.33203125" style="127" customWidth="1"/>
    <col min="13572" max="13572" width="23" style="127" customWidth="1"/>
    <col min="13573" max="13573" width="17.5546875" style="127" customWidth="1"/>
    <col min="13574" max="13574" width="16" style="127" customWidth="1"/>
    <col min="13575" max="13825" width="9.109375" style="127"/>
    <col min="13826" max="13826" width="44.109375" style="127" customWidth="1"/>
    <col min="13827" max="13827" width="22.33203125" style="127" customWidth="1"/>
    <col min="13828" max="13828" width="23" style="127" customWidth="1"/>
    <col min="13829" max="13829" width="17.5546875" style="127" customWidth="1"/>
    <col min="13830" max="13830" width="16" style="127" customWidth="1"/>
    <col min="13831" max="14081" width="9.109375" style="127"/>
    <col min="14082" max="14082" width="44.109375" style="127" customWidth="1"/>
    <col min="14083" max="14083" width="22.33203125" style="127" customWidth="1"/>
    <col min="14084" max="14084" width="23" style="127" customWidth="1"/>
    <col min="14085" max="14085" width="17.5546875" style="127" customWidth="1"/>
    <col min="14086" max="14086" width="16" style="127" customWidth="1"/>
    <col min="14087" max="14337" width="9.109375" style="127"/>
    <col min="14338" max="14338" width="44.109375" style="127" customWidth="1"/>
    <col min="14339" max="14339" width="22.33203125" style="127" customWidth="1"/>
    <col min="14340" max="14340" width="23" style="127" customWidth="1"/>
    <col min="14341" max="14341" width="17.5546875" style="127" customWidth="1"/>
    <col min="14342" max="14342" width="16" style="127" customWidth="1"/>
    <col min="14343" max="14593" width="9.109375" style="127"/>
    <col min="14594" max="14594" width="44.109375" style="127" customWidth="1"/>
    <col min="14595" max="14595" width="22.33203125" style="127" customWidth="1"/>
    <col min="14596" max="14596" width="23" style="127" customWidth="1"/>
    <col min="14597" max="14597" width="17.5546875" style="127" customWidth="1"/>
    <col min="14598" max="14598" width="16" style="127" customWidth="1"/>
    <col min="14599" max="14849" width="9.109375" style="127"/>
    <col min="14850" max="14850" width="44.109375" style="127" customWidth="1"/>
    <col min="14851" max="14851" width="22.33203125" style="127" customWidth="1"/>
    <col min="14852" max="14852" width="23" style="127" customWidth="1"/>
    <col min="14853" max="14853" width="17.5546875" style="127" customWidth="1"/>
    <col min="14854" max="14854" width="16" style="127" customWidth="1"/>
    <col min="14855" max="15105" width="9.109375" style="127"/>
    <col min="15106" max="15106" width="44.109375" style="127" customWidth="1"/>
    <col min="15107" max="15107" width="22.33203125" style="127" customWidth="1"/>
    <col min="15108" max="15108" width="23" style="127" customWidth="1"/>
    <col min="15109" max="15109" width="17.5546875" style="127" customWidth="1"/>
    <col min="15110" max="15110" width="16" style="127" customWidth="1"/>
    <col min="15111" max="15361" width="9.109375" style="127"/>
    <col min="15362" max="15362" width="44.109375" style="127" customWidth="1"/>
    <col min="15363" max="15363" width="22.33203125" style="127" customWidth="1"/>
    <col min="15364" max="15364" width="23" style="127" customWidth="1"/>
    <col min="15365" max="15365" width="17.5546875" style="127" customWidth="1"/>
    <col min="15366" max="15366" width="16" style="127" customWidth="1"/>
    <col min="15367" max="15617" width="9.109375" style="127"/>
    <col min="15618" max="15618" width="44.109375" style="127" customWidth="1"/>
    <col min="15619" max="15619" width="22.33203125" style="127" customWidth="1"/>
    <col min="15620" max="15620" width="23" style="127" customWidth="1"/>
    <col min="15621" max="15621" width="17.5546875" style="127" customWidth="1"/>
    <col min="15622" max="15622" width="16" style="127" customWidth="1"/>
    <col min="15623" max="15873" width="9.109375" style="127"/>
    <col min="15874" max="15874" width="44.109375" style="127" customWidth="1"/>
    <col min="15875" max="15875" width="22.33203125" style="127" customWidth="1"/>
    <col min="15876" max="15876" width="23" style="127" customWidth="1"/>
    <col min="15877" max="15877" width="17.5546875" style="127" customWidth="1"/>
    <col min="15878" max="15878" width="16" style="127" customWidth="1"/>
    <col min="15879" max="16129" width="9.109375" style="127"/>
    <col min="16130" max="16130" width="44.109375" style="127" customWidth="1"/>
    <col min="16131" max="16131" width="22.33203125" style="127" customWidth="1"/>
    <col min="16132" max="16132" width="23" style="127" customWidth="1"/>
    <col min="16133" max="16133" width="17.5546875" style="127" customWidth="1"/>
    <col min="16134" max="16134" width="16" style="127" customWidth="1"/>
    <col min="16135" max="16384" width="9.109375" style="127"/>
  </cols>
  <sheetData>
    <row r="1" spans="1:255" s="128" customFormat="1" ht="26.4" x14ac:dyDescent="0.25">
      <c r="A1" s="2382" t="s">
        <v>2249</v>
      </c>
      <c r="B1" s="2385" t="s">
        <v>2250</v>
      </c>
      <c r="C1" s="2385" t="s">
        <v>2251</v>
      </c>
      <c r="D1" s="2385" t="s">
        <v>2252</v>
      </c>
      <c r="E1" s="2382" t="s">
        <v>498</v>
      </c>
      <c r="F1" s="2382" t="s">
        <v>807</v>
      </c>
    </row>
    <row r="2" spans="1:255" s="128" customFormat="1" x14ac:dyDescent="0.25">
      <c r="A2" s="2382" t="s">
        <v>2253</v>
      </c>
      <c r="B2" s="2382" t="s">
        <v>2254</v>
      </c>
      <c r="C2" s="2386"/>
      <c r="D2" s="2385"/>
      <c r="E2" s="2387"/>
      <c r="F2" s="2387"/>
    </row>
    <row r="3" spans="1:255" ht="39.6" x14ac:dyDescent="0.25">
      <c r="A3" s="2388" t="s">
        <v>2255</v>
      </c>
      <c r="B3" s="2471" t="s">
        <v>2351</v>
      </c>
      <c r="C3" s="251">
        <v>157480</v>
      </c>
      <c r="D3" s="2472">
        <v>11602</v>
      </c>
      <c r="E3" s="366" t="s">
        <v>2350</v>
      </c>
      <c r="F3" s="2473" t="s">
        <v>745</v>
      </c>
    </row>
    <row r="4" spans="1:255" x14ac:dyDescent="0.25">
      <c r="A4" s="2388"/>
      <c r="B4" s="424"/>
      <c r="C4" s="302"/>
      <c r="D4" s="471"/>
      <c r="E4" s="424"/>
      <c r="F4" s="424"/>
    </row>
    <row r="5" spans="1:255" s="13" customFormat="1" ht="25.5" customHeight="1" x14ac:dyDescent="0.25">
      <c r="A5" s="2382"/>
      <c r="B5" s="2387" t="s">
        <v>2256</v>
      </c>
      <c r="C5" s="301">
        <f>SUM(C3:C4)</f>
        <v>157480</v>
      </c>
      <c r="D5" s="2382"/>
      <c r="E5" s="2387"/>
      <c r="F5" s="23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row>
    <row r="6" spans="1:255" s="128" customFormat="1" ht="21" customHeight="1" x14ac:dyDescent="0.25">
      <c r="A6" s="2384"/>
      <c r="B6" s="2389"/>
      <c r="C6" s="2390"/>
      <c r="D6" s="272"/>
      <c r="E6" s="372"/>
      <c r="F6" s="372"/>
    </row>
    <row r="8" spans="1:255" x14ac:dyDescent="0.25">
      <c r="B8" s="2391"/>
      <c r="C8" s="294"/>
      <c r="D8" s="2381"/>
    </row>
    <row r="9" spans="1:255" x14ac:dyDescent="0.25">
      <c r="B9" s="2391"/>
      <c r="C9" s="294"/>
      <c r="D9" s="2381"/>
    </row>
    <row r="10" spans="1:255" x14ac:dyDescent="0.25">
      <c r="B10" s="2391"/>
      <c r="C10" s="294"/>
      <c r="D10" s="2381"/>
    </row>
    <row r="11" spans="1:255" x14ac:dyDescent="0.25">
      <c r="B11" s="2391"/>
      <c r="C11" s="294"/>
      <c r="D11" s="2381"/>
    </row>
    <row r="12" spans="1:255" x14ac:dyDescent="0.25">
      <c r="B12" s="2391"/>
      <c r="C12" s="294"/>
      <c r="D12" s="2381"/>
    </row>
    <row r="13" spans="1:255" x14ac:dyDescent="0.25">
      <c r="B13" s="2392"/>
      <c r="C13" s="343"/>
      <c r="D13" s="315"/>
    </row>
  </sheetData>
  <pageMargins left="0.55118110236220474" right="0.19685039370078741" top="1.1811023622047245" bottom="0.31496062992125984" header="0.15748031496062992" footer="0.15748031496062992"/>
  <pageSetup paperSize="9" scale="98" orientation="landscape" r:id="rId1"/>
  <headerFooter alignWithMargins="0">
    <oddHeader>&amp;L
&amp;C
&amp;"Times New Roman,Félkövér"2020. évi költségvetés
zárolt kiadási előirányzatok&amp;R
&amp;"Times New Roman,Félkövér"&amp;11 16. melléklet a /2020. () 
önkormányzati rendelethez
ezer forintban</oddHeader>
    <oddFooter xml:space="preserve">&amp;C
&amp;"Times New Roman,Normál"&amp;8&amp;P&amp;R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6"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I2423"/>
  <sheetViews>
    <sheetView zoomScaleNormal="100" workbookViewId="0">
      <pane xSplit="1" ySplit="6" topLeftCell="CK28" activePane="bottomRight" state="frozen"/>
      <selection pane="topRight" activeCell="B1" sqref="B1"/>
      <selection pane="bottomLeft" activeCell="A7" sqref="A7"/>
      <selection pane="bottomRight" activeCell="HA81" sqref="HA81"/>
    </sheetView>
  </sheetViews>
  <sheetFormatPr defaultColWidth="10.6640625" defaultRowHeight="13.2" x14ac:dyDescent="0.25"/>
  <cols>
    <col min="1" max="1" width="51.6640625" style="20" customWidth="1"/>
    <col min="2" max="2" width="12.6640625" style="20" customWidth="1"/>
    <col min="3" max="3" width="12.6640625" style="27" customWidth="1"/>
    <col min="4" max="4" width="9.33203125" style="27" customWidth="1"/>
    <col min="5" max="5" width="12.6640625" style="27" customWidth="1"/>
    <col min="6" max="6" width="12.6640625" style="21" customWidth="1"/>
    <col min="7" max="7" width="9.33203125" style="21" customWidth="1"/>
    <col min="8" max="9" width="12.6640625" style="21" customWidth="1"/>
    <col min="10" max="10" width="9.33203125" style="21" customWidth="1"/>
    <col min="11" max="12" width="12.6640625" style="21" customWidth="1"/>
    <col min="13" max="13" width="9.33203125" style="21" customWidth="1"/>
    <col min="14" max="15" width="12.6640625" style="21" customWidth="1"/>
    <col min="16" max="16" width="9.33203125" style="21" customWidth="1"/>
    <col min="17" max="18" width="12.6640625" style="21" customWidth="1"/>
    <col min="19" max="19" width="9.33203125" style="21" customWidth="1"/>
    <col min="20" max="21" width="12.6640625" style="21" customWidth="1"/>
    <col min="22" max="22" width="9.33203125" style="21" customWidth="1"/>
    <col min="23" max="24" width="12.6640625" style="21" customWidth="1"/>
    <col min="25" max="25" width="9.33203125" style="21" customWidth="1"/>
    <col min="26" max="27" width="12.6640625" style="21" customWidth="1"/>
    <col min="28" max="28" width="9.33203125" style="21" customWidth="1"/>
    <col min="29" max="30" width="12.6640625" style="21" customWidth="1"/>
    <col min="31" max="31" width="9.33203125" style="21" customWidth="1"/>
    <col min="32" max="33" width="12.6640625" style="21" customWidth="1"/>
    <col min="34" max="34" width="9.33203125" style="21" customWidth="1"/>
    <col min="35" max="36" width="12.6640625" style="21" customWidth="1"/>
    <col min="37" max="37" width="11.109375" style="21" customWidth="1"/>
    <col min="38" max="39" width="12.6640625" style="21" customWidth="1"/>
    <col min="40" max="40" width="9.33203125" style="21" customWidth="1"/>
    <col min="41" max="42" width="12.6640625" style="21" customWidth="1"/>
    <col min="43" max="43" width="9.33203125" style="21" customWidth="1"/>
    <col min="44" max="45" width="12.6640625" style="21" customWidth="1"/>
    <col min="46" max="46" width="9.33203125" style="21" customWidth="1"/>
    <col min="47" max="48" width="12.6640625" style="21" customWidth="1"/>
    <col min="49" max="49" width="9.33203125" style="21" customWidth="1"/>
    <col min="50" max="51" width="12.6640625" style="21" customWidth="1"/>
    <col min="52" max="52" width="9.33203125" style="21" customWidth="1"/>
    <col min="53" max="54" width="12.6640625" style="21" customWidth="1"/>
    <col min="55" max="55" width="9.33203125" style="21" customWidth="1"/>
    <col min="56" max="57" width="12.6640625" style="21" customWidth="1"/>
    <col min="58" max="58" width="9.33203125" style="21" customWidth="1"/>
    <col min="59" max="60" width="12.6640625" style="21" customWidth="1"/>
    <col min="61" max="61" width="9.33203125" style="21" customWidth="1"/>
    <col min="62" max="63" width="12.6640625" style="21" customWidth="1"/>
    <col min="64" max="64" width="9.33203125" style="21" customWidth="1"/>
    <col min="65" max="66" width="12.6640625" style="21" customWidth="1"/>
    <col min="67" max="67" width="9.33203125" style="21" customWidth="1"/>
    <col min="68" max="69" width="12.6640625" style="21" customWidth="1"/>
    <col min="70" max="70" width="9.33203125" style="21" customWidth="1"/>
    <col min="71" max="72" width="12.6640625" style="21" customWidth="1"/>
    <col min="73" max="73" width="9.33203125" style="21" customWidth="1"/>
    <col min="74" max="75" width="12.6640625" style="21" customWidth="1"/>
    <col min="76" max="76" width="9.33203125" style="21" customWidth="1"/>
    <col min="77" max="78" width="12.6640625" style="21" customWidth="1"/>
    <col min="79" max="79" width="9.33203125" style="21" customWidth="1"/>
    <col min="80" max="81" width="12.6640625" style="21" customWidth="1"/>
    <col min="82" max="82" width="9.33203125" style="21" customWidth="1"/>
    <col min="83" max="84" width="12.6640625" style="21" customWidth="1"/>
    <col min="85" max="85" width="9.33203125" style="21" customWidth="1"/>
    <col min="86" max="87" width="12.6640625" style="21" customWidth="1"/>
    <col min="88" max="88" width="9.33203125" style="21" customWidth="1"/>
    <col min="89" max="90" width="12.6640625" style="21" customWidth="1"/>
    <col min="91" max="91" width="9.33203125" style="21" customWidth="1"/>
    <col min="92" max="93" width="12.6640625" style="21" customWidth="1"/>
    <col min="94" max="94" width="9.33203125" style="21" customWidth="1"/>
    <col min="95" max="96" width="12.6640625" style="21" customWidth="1"/>
    <col min="97" max="97" width="9.33203125" style="21" customWidth="1"/>
    <col min="98" max="99" width="12.6640625" style="21" customWidth="1"/>
    <col min="100" max="100" width="9.33203125" style="21" customWidth="1"/>
    <col min="101" max="102" width="12.6640625" style="21" customWidth="1"/>
    <col min="103" max="103" width="9.33203125" style="21" customWidth="1"/>
    <col min="104" max="105" width="12.6640625" style="21" customWidth="1"/>
    <col min="106" max="106" width="9.33203125" style="21" customWidth="1"/>
    <col min="107" max="108" width="12.6640625" style="21" customWidth="1"/>
    <col min="109" max="109" width="9.33203125" style="21" customWidth="1"/>
    <col min="110" max="111" width="12.6640625" style="21" customWidth="1"/>
    <col min="112" max="112" width="9.33203125" style="21" customWidth="1"/>
    <col min="113" max="114" width="12.6640625" style="21" customWidth="1"/>
    <col min="115" max="115" width="9.33203125" style="21" customWidth="1"/>
    <col min="116" max="117" width="12.6640625" style="21" customWidth="1"/>
    <col min="118" max="118" width="9.33203125" style="21" customWidth="1"/>
    <col min="119" max="120" width="12.6640625" style="21" customWidth="1"/>
    <col min="121" max="121" width="9.33203125" style="21" customWidth="1"/>
    <col min="122" max="122" width="12.6640625" style="21" customWidth="1"/>
    <col min="123" max="123" width="12.6640625" style="22" customWidth="1"/>
    <col min="124" max="124" width="9.33203125" style="22" customWidth="1"/>
    <col min="125" max="126" width="12.6640625" style="9" customWidth="1"/>
    <col min="127" max="127" width="9.33203125" style="9" customWidth="1"/>
    <col min="128" max="129" width="12.6640625" style="9" customWidth="1"/>
    <col min="130" max="130" width="9.33203125" style="9" customWidth="1"/>
    <col min="131" max="132" width="12.6640625" style="9" customWidth="1"/>
    <col min="133" max="133" width="9.33203125" style="9" customWidth="1"/>
    <col min="134" max="135" width="12.6640625" style="9" customWidth="1"/>
    <col min="136" max="136" width="9.33203125" style="9" customWidth="1"/>
    <col min="137" max="138" width="12.6640625" style="9" customWidth="1"/>
    <col min="139" max="139" width="9.33203125" style="9" customWidth="1"/>
    <col min="140" max="141" width="12.6640625" style="9" customWidth="1"/>
    <col min="142" max="142" width="9.33203125" style="9" customWidth="1"/>
    <col min="143" max="144" width="12.6640625" style="9" customWidth="1"/>
    <col min="145" max="145" width="9.33203125" style="9" customWidth="1"/>
    <col min="146" max="147" width="12.6640625" style="9" customWidth="1"/>
    <col min="148" max="148" width="9.33203125" style="9" customWidth="1"/>
    <col min="149" max="150" width="12.6640625" style="9" customWidth="1"/>
    <col min="151" max="151" width="9.33203125" style="9" customWidth="1"/>
    <col min="152" max="153" width="12.6640625" style="9" customWidth="1"/>
    <col min="154" max="154" width="9.33203125" style="9" customWidth="1"/>
    <col min="155" max="156" width="12.6640625" style="9" customWidth="1"/>
    <col min="157" max="157" width="9.33203125" style="9" customWidth="1"/>
    <col min="158" max="159" width="12.6640625" style="9" customWidth="1"/>
    <col min="160" max="160" width="9.33203125" style="9" customWidth="1"/>
    <col min="161" max="162" width="12.6640625" style="9" customWidth="1"/>
    <col min="163" max="163" width="9.33203125" style="9" customWidth="1"/>
    <col min="164" max="165" width="12.6640625" style="9" customWidth="1"/>
    <col min="166" max="166" width="9.33203125" style="9" customWidth="1"/>
    <col min="167" max="168" width="12.6640625" style="9" customWidth="1"/>
    <col min="169" max="169" width="9.6640625" style="9" customWidth="1"/>
    <col min="170" max="171" width="12.6640625" style="9" customWidth="1"/>
    <col min="172" max="172" width="9.33203125" style="9" customWidth="1"/>
    <col min="173" max="174" width="12.6640625" style="9" customWidth="1"/>
    <col min="175" max="175" width="9.33203125" style="9" customWidth="1"/>
    <col min="176" max="177" width="12.6640625" style="9" customWidth="1"/>
    <col min="178" max="178" width="9.33203125" style="9" customWidth="1"/>
    <col min="179" max="180" width="12.6640625" style="9" customWidth="1"/>
    <col min="181" max="181" width="9.33203125" style="9" customWidth="1"/>
    <col min="182" max="183" width="12.6640625" style="9" customWidth="1"/>
    <col min="184" max="184" width="9.33203125" style="9" customWidth="1"/>
    <col min="185" max="186" width="12.6640625" style="9" customWidth="1"/>
    <col min="187" max="187" width="9.33203125" style="9" customWidth="1"/>
    <col min="188" max="189" width="12.6640625" style="9" customWidth="1"/>
    <col min="190" max="190" width="9.33203125" style="9" customWidth="1"/>
    <col min="191" max="192" width="12.6640625" style="9" customWidth="1"/>
    <col min="193" max="193" width="9.33203125" style="9" customWidth="1"/>
    <col min="194" max="195" width="12.6640625" style="9" customWidth="1"/>
    <col min="196" max="196" width="9.33203125" style="9" customWidth="1"/>
    <col min="197" max="198" width="12.6640625" style="9" customWidth="1"/>
    <col min="199" max="199" width="9.33203125" style="9" customWidth="1"/>
    <col min="200" max="201" width="12.6640625" style="9" customWidth="1"/>
    <col min="202" max="202" width="9.33203125" style="9" customWidth="1"/>
    <col min="203" max="204" width="12.6640625" style="9" customWidth="1"/>
    <col min="205" max="205" width="9.33203125" style="9" customWidth="1"/>
    <col min="206" max="207" width="12.6640625" style="9" customWidth="1"/>
    <col min="208" max="208" width="9.33203125" style="9" customWidth="1"/>
    <col min="209" max="210" width="12.6640625" style="9" customWidth="1"/>
    <col min="211" max="211" width="9.33203125" style="9" customWidth="1"/>
    <col min="212" max="213" width="12.6640625" style="9" customWidth="1"/>
    <col min="214" max="214" width="9.33203125" style="9" customWidth="1"/>
    <col min="215" max="16384" width="10.6640625" style="9"/>
  </cols>
  <sheetData>
    <row r="1" spans="1:217" s="1" customFormat="1" ht="15" customHeight="1" x14ac:dyDescent="0.25">
      <c r="A1" s="233"/>
      <c r="B1" s="2584">
        <v>11101</v>
      </c>
      <c r="C1" s="2585"/>
      <c r="D1" s="2586"/>
      <c r="E1" s="2584">
        <v>11102</v>
      </c>
      <c r="F1" s="2585"/>
      <c r="G1" s="2586"/>
      <c r="H1" s="2584">
        <v>11103</v>
      </c>
      <c r="I1" s="2585"/>
      <c r="J1" s="2586"/>
      <c r="K1" s="2584">
        <v>11104</v>
      </c>
      <c r="L1" s="2585"/>
      <c r="M1" s="2586"/>
      <c r="N1" s="2584">
        <v>11105</v>
      </c>
      <c r="O1" s="2585"/>
      <c r="P1" s="2586"/>
      <c r="Q1" s="2584" t="s">
        <v>1</v>
      </c>
      <c r="R1" s="2585"/>
      <c r="S1" s="2586"/>
      <c r="T1" s="2584" t="s">
        <v>2</v>
      </c>
      <c r="U1" s="2585"/>
      <c r="V1" s="2586"/>
      <c r="W1" s="2584" t="s">
        <v>3</v>
      </c>
      <c r="X1" s="2585"/>
      <c r="Y1" s="2586"/>
      <c r="Z1" s="2584" t="s">
        <v>4</v>
      </c>
      <c r="AA1" s="2585"/>
      <c r="AB1" s="2586"/>
      <c r="AC1" s="2584" t="s">
        <v>5</v>
      </c>
      <c r="AD1" s="2585"/>
      <c r="AE1" s="2586"/>
      <c r="AF1" s="2584">
        <v>11201</v>
      </c>
      <c r="AG1" s="2585"/>
      <c r="AH1" s="2586"/>
      <c r="AI1" s="2584">
        <v>11301</v>
      </c>
      <c r="AJ1" s="2585"/>
      <c r="AK1" s="2586"/>
      <c r="AL1" s="2584">
        <v>11303</v>
      </c>
      <c r="AM1" s="2585"/>
      <c r="AN1" s="2586"/>
      <c r="AO1" s="2584">
        <v>11401</v>
      </c>
      <c r="AP1" s="2585"/>
      <c r="AQ1" s="2586"/>
      <c r="AR1" s="2584">
        <v>11402</v>
      </c>
      <c r="AS1" s="2585"/>
      <c r="AT1" s="2586"/>
      <c r="AU1" s="2584" t="s">
        <v>6</v>
      </c>
      <c r="AV1" s="2585"/>
      <c r="AW1" s="2586"/>
      <c r="AX1" s="2584" t="s">
        <v>7</v>
      </c>
      <c r="AY1" s="2585"/>
      <c r="AZ1" s="2586"/>
      <c r="BA1" s="2584">
        <v>11405</v>
      </c>
      <c r="BB1" s="2585"/>
      <c r="BC1" s="2586"/>
      <c r="BD1" s="2584">
        <v>11406</v>
      </c>
      <c r="BE1" s="2585"/>
      <c r="BF1" s="2586"/>
      <c r="BG1" s="2584">
        <v>11407</v>
      </c>
      <c r="BH1" s="2585"/>
      <c r="BI1" s="2586"/>
      <c r="BJ1" s="2584">
        <v>11501</v>
      </c>
      <c r="BK1" s="2585"/>
      <c r="BL1" s="2586"/>
      <c r="BM1" s="2584">
        <v>11502</v>
      </c>
      <c r="BN1" s="2585"/>
      <c r="BO1" s="2586"/>
      <c r="BP1" s="2584">
        <v>11601</v>
      </c>
      <c r="BQ1" s="2585"/>
      <c r="BR1" s="2586"/>
      <c r="BS1" s="2584" t="s">
        <v>8</v>
      </c>
      <c r="BT1" s="2585"/>
      <c r="BU1" s="2586"/>
      <c r="BV1" s="2584" t="s">
        <v>9</v>
      </c>
      <c r="BW1" s="2585"/>
      <c r="BX1" s="2586"/>
      <c r="BY1" s="2584" t="s">
        <v>10</v>
      </c>
      <c r="BZ1" s="2585"/>
      <c r="CA1" s="2586"/>
      <c r="CB1" s="2584" t="s">
        <v>11</v>
      </c>
      <c r="CC1" s="2585"/>
      <c r="CD1" s="2586"/>
      <c r="CE1" s="2584">
        <v>11602</v>
      </c>
      <c r="CF1" s="2585"/>
      <c r="CG1" s="2586"/>
      <c r="CH1" s="2584">
        <v>11603</v>
      </c>
      <c r="CI1" s="2585"/>
      <c r="CJ1" s="2586"/>
      <c r="CK1" s="2584">
        <v>11604</v>
      </c>
      <c r="CL1" s="2585"/>
      <c r="CM1" s="2586"/>
      <c r="CN1" s="2584">
        <v>11605</v>
      </c>
      <c r="CO1" s="2585"/>
      <c r="CP1" s="2586"/>
      <c r="CQ1" s="2584">
        <v>11701</v>
      </c>
      <c r="CR1" s="2585"/>
      <c r="CS1" s="2586"/>
      <c r="CT1" s="2584">
        <v>11702</v>
      </c>
      <c r="CU1" s="2585"/>
      <c r="CV1" s="2586"/>
      <c r="CW1" s="2584">
        <v>11703</v>
      </c>
      <c r="CX1" s="2585"/>
      <c r="CY1" s="2586"/>
      <c r="CZ1" s="2584">
        <v>11704</v>
      </c>
      <c r="DA1" s="2585"/>
      <c r="DB1" s="2586"/>
      <c r="DC1" s="2584">
        <v>11705</v>
      </c>
      <c r="DD1" s="2585"/>
      <c r="DE1" s="2586"/>
      <c r="DF1" s="2584" t="s">
        <v>12</v>
      </c>
      <c r="DG1" s="2585"/>
      <c r="DH1" s="2586"/>
      <c r="DI1" s="2584" t="s">
        <v>13</v>
      </c>
      <c r="DJ1" s="2585"/>
      <c r="DK1" s="2586"/>
      <c r="DL1" s="2584">
        <v>11803</v>
      </c>
      <c r="DM1" s="2585"/>
      <c r="DN1" s="2586"/>
      <c r="DO1" s="2584">
        <v>11805</v>
      </c>
      <c r="DP1" s="2585"/>
      <c r="DQ1" s="2586"/>
      <c r="DR1" s="2590" t="s">
        <v>1216</v>
      </c>
      <c r="DS1" s="2591"/>
      <c r="DT1" s="2592"/>
      <c r="DU1" s="2584">
        <v>20102</v>
      </c>
      <c r="DV1" s="2585"/>
      <c r="DW1" s="2586"/>
      <c r="DX1" s="2584">
        <v>20103</v>
      </c>
      <c r="DY1" s="2585"/>
      <c r="DZ1" s="2586"/>
      <c r="EA1" s="2584">
        <v>20104</v>
      </c>
      <c r="EB1" s="2585"/>
      <c r="EC1" s="2586"/>
      <c r="ED1" s="2585" t="s">
        <v>1182</v>
      </c>
      <c r="EE1" s="2585"/>
      <c r="EF1" s="2586"/>
      <c r="EG1" s="2584" t="s">
        <v>1184</v>
      </c>
      <c r="EH1" s="2585"/>
      <c r="EI1" s="2586"/>
      <c r="EJ1" s="2584" t="s">
        <v>1185</v>
      </c>
      <c r="EK1" s="2585"/>
      <c r="EL1" s="2586"/>
      <c r="EM1" s="2585" t="s">
        <v>1186</v>
      </c>
      <c r="EN1" s="2585"/>
      <c r="EO1" s="2586"/>
      <c r="EP1" s="2584">
        <v>20202</v>
      </c>
      <c r="EQ1" s="2585"/>
      <c r="ER1" s="2586"/>
      <c r="ES1" s="2584">
        <v>20203</v>
      </c>
      <c r="ET1" s="2585"/>
      <c r="EU1" s="2586"/>
      <c r="EV1" s="2590" t="s">
        <v>1215</v>
      </c>
      <c r="EW1" s="2591"/>
      <c r="EX1" s="2592"/>
      <c r="EY1" s="2584">
        <v>40101</v>
      </c>
      <c r="EZ1" s="2585"/>
      <c r="FA1" s="2586"/>
      <c r="FB1" s="2584" t="s">
        <v>14</v>
      </c>
      <c r="FC1" s="2585"/>
      <c r="FD1" s="2586"/>
      <c r="FE1" s="2584" t="s">
        <v>15</v>
      </c>
      <c r="FF1" s="2585"/>
      <c r="FG1" s="2586"/>
      <c r="FH1" s="2584" t="s">
        <v>16</v>
      </c>
      <c r="FI1" s="2585"/>
      <c r="FJ1" s="2586"/>
      <c r="FK1" s="2584" t="s">
        <v>1197</v>
      </c>
      <c r="FL1" s="2585"/>
      <c r="FM1" s="2586"/>
      <c r="FN1" s="2584">
        <v>40103</v>
      </c>
      <c r="FO1" s="2585"/>
      <c r="FP1" s="2586"/>
      <c r="FQ1" s="2584" t="s">
        <v>17</v>
      </c>
      <c r="FR1" s="2585"/>
      <c r="FS1" s="2586"/>
      <c r="FT1" s="2584" t="s">
        <v>18</v>
      </c>
      <c r="FU1" s="2585"/>
      <c r="FV1" s="2586"/>
      <c r="FW1" s="2584">
        <v>40105</v>
      </c>
      <c r="FX1" s="2585"/>
      <c r="FY1" s="2586"/>
      <c r="FZ1" s="2585">
        <v>40106</v>
      </c>
      <c r="GA1" s="2585"/>
      <c r="GB1" s="2585"/>
      <c r="GC1" s="2584">
        <v>40107</v>
      </c>
      <c r="GD1" s="2585"/>
      <c r="GE1" s="2586"/>
      <c r="GF1" s="2584" t="s">
        <v>1206</v>
      </c>
      <c r="GG1" s="2585"/>
      <c r="GH1" s="2586"/>
      <c r="GI1" s="2584" t="s">
        <v>1208</v>
      </c>
      <c r="GJ1" s="2585"/>
      <c r="GK1" s="2586"/>
      <c r="GL1" s="2584">
        <v>40109</v>
      </c>
      <c r="GM1" s="2585"/>
      <c r="GN1" s="2586"/>
      <c r="GO1" s="2584">
        <v>40100</v>
      </c>
      <c r="GP1" s="2585"/>
      <c r="GQ1" s="2586"/>
      <c r="GR1" s="2584">
        <v>40200</v>
      </c>
      <c r="GS1" s="2585"/>
      <c r="GT1" s="2586"/>
      <c r="GU1" s="2603">
        <v>50100</v>
      </c>
      <c r="GV1" s="2604"/>
      <c r="GW1" s="2605"/>
      <c r="GX1" s="2603">
        <v>70100</v>
      </c>
      <c r="GY1" s="2604"/>
      <c r="GZ1" s="2605"/>
      <c r="HA1" s="2596" t="s">
        <v>295</v>
      </c>
      <c r="HB1" s="2597"/>
      <c r="HC1" s="2606"/>
      <c r="HD1" s="2596" t="s">
        <v>82</v>
      </c>
      <c r="HE1" s="2597"/>
      <c r="HF1" s="2598"/>
    </row>
    <row r="2" spans="1:217" s="3" customFormat="1" ht="51" customHeight="1" x14ac:dyDescent="0.25">
      <c r="A2" s="234" t="s">
        <v>770</v>
      </c>
      <c r="B2" s="2610" t="s">
        <v>296</v>
      </c>
      <c r="C2" s="2611"/>
      <c r="D2" s="2612"/>
      <c r="E2" s="2610" t="s">
        <v>24</v>
      </c>
      <c r="F2" s="2611"/>
      <c r="G2" s="2612"/>
      <c r="H2" s="2610" t="s">
        <v>25</v>
      </c>
      <c r="I2" s="2611"/>
      <c r="J2" s="2612"/>
      <c r="K2" s="2610" t="s">
        <v>266</v>
      </c>
      <c r="L2" s="2611"/>
      <c r="M2" s="2612"/>
      <c r="N2" s="2610" t="s">
        <v>27</v>
      </c>
      <c r="O2" s="2611"/>
      <c r="P2" s="2612"/>
      <c r="Q2" s="2610" t="s">
        <v>28</v>
      </c>
      <c r="R2" s="2611"/>
      <c r="S2" s="2612"/>
      <c r="T2" s="2610" t="s">
        <v>29</v>
      </c>
      <c r="U2" s="2611"/>
      <c r="V2" s="2612"/>
      <c r="W2" s="2610" t="s">
        <v>30</v>
      </c>
      <c r="X2" s="2611"/>
      <c r="Y2" s="2612"/>
      <c r="Z2" s="2610" t="s">
        <v>2034</v>
      </c>
      <c r="AA2" s="2611"/>
      <c r="AB2" s="2612"/>
      <c r="AC2" s="2610" t="s">
        <v>31</v>
      </c>
      <c r="AD2" s="2611"/>
      <c r="AE2" s="2612"/>
      <c r="AF2" s="2610" t="s">
        <v>32</v>
      </c>
      <c r="AG2" s="2611"/>
      <c r="AH2" s="2612"/>
      <c r="AI2" s="2610" t="s">
        <v>33</v>
      </c>
      <c r="AJ2" s="2611"/>
      <c r="AK2" s="2612"/>
      <c r="AL2" s="2610" t="s">
        <v>34</v>
      </c>
      <c r="AM2" s="2611"/>
      <c r="AN2" s="2612"/>
      <c r="AO2" s="2587" t="s">
        <v>35</v>
      </c>
      <c r="AP2" s="2588"/>
      <c r="AQ2" s="2589"/>
      <c r="AR2" s="2587" t="s">
        <v>2239</v>
      </c>
      <c r="AS2" s="2588"/>
      <c r="AT2" s="2589"/>
      <c r="AU2" s="2587" t="s">
        <v>255</v>
      </c>
      <c r="AV2" s="2588"/>
      <c r="AW2" s="2589"/>
      <c r="AX2" s="2587" t="s">
        <v>37</v>
      </c>
      <c r="AY2" s="2588"/>
      <c r="AZ2" s="2589"/>
      <c r="BA2" s="2587" t="s">
        <v>38</v>
      </c>
      <c r="BB2" s="2588"/>
      <c r="BC2" s="2589"/>
      <c r="BD2" s="2587" t="s">
        <v>39</v>
      </c>
      <c r="BE2" s="2588"/>
      <c r="BF2" s="2589"/>
      <c r="BG2" s="2587" t="s">
        <v>40</v>
      </c>
      <c r="BH2" s="2588"/>
      <c r="BI2" s="2589"/>
      <c r="BJ2" s="2587" t="s">
        <v>1165</v>
      </c>
      <c r="BK2" s="2588"/>
      <c r="BL2" s="2589"/>
      <c r="BM2" s="2587" t="s">
        <v>245</v>
      </c>
      <c r="BN2" s="2588"/>
      <c r="BO2" s="2589"/>
      <c r="BP2" s="2587" t="s">
        <v>42</v>
      </c>
      <c r="BQ2" s="2588"/>
      <c r="BR2" s="2589"/>
      <c r="BS2" s="2587" t="s">
        <v>43</v>
      </c>
      <c r="BT2" s="2588"/>
      <c r="BU2" s="2589"/>
      <c r="BV2" s="2587" t="s">
        <v>44</v>
      </c>
      <c r="BW2" s="2588"/>
      <c r="BX2" s="2589"/>
      <c r="BY2" s="2587" t="s">
        <v>240</v>
      </c>
      <c r="BZ2" s="2588"/>
      <c r="CA2" s="2589"/>
      <c r="CB2" s="2587" t="s">
        <v>44</v>
      </c>
      <c r="CC2" s="2588"/>
      <c r="CD2" s="2589"/>
      <c r="CE2" s="2607" t="s">
        <v>287</v>
      </c>
      <c r="CF2" s="2608"/>
      <c r="CG2" s="2609"/>
      <c r="CH2" s="2587" t="s">
        <v>47</v>
      </c>
      <c r="CI2" s="2588"/>
      <c r="CJ2" s="2589"/>
      <c r="CK2" s="2587" t="s">
        <v>795</v>
      </c>
      <c r="CL2" s="2588"/>
      <c r="CM2" s="2589"/>
      <c r="CN2" s="2587" t="s">
        <v>989</v>
      </c>
      <c r="CO2" s="2588"/>
      <c r="CP2" s="2589"/>
      <c r="CQ2" s="2587" t="s">
        <v>44</v>
      </c>
      <c r="CR2" s="2588"/>
      <c r="CS2" s="2589"/>
      <c r="CT2" s="2587" t="s">
        <v>50</v>
      </c>
      <c r="CU2" s="2588"/>
      <c r="CV2" s="2589"/>
      <c r="CW2" s="2587" t="s">
        <v>231</v>
      </c>
      <c r="CX2" s="2588"/>
      <c r="CY2" s="2589"/>
      <c r="CZ2" s="2587" t="s">
        <v>51</v>
      </c>
      <c r="DA2" s="2588"/>
      <c r="DB2" s="2589"/>
      <c r="DC2" s="2587" t="s">
        <v>52</v>
      </c>
      <c r="DD2" s="2588"/>
      <c r="DE2" s="2589"/>
      <c r="DF2" s="2587" t="s">
        <v>53</v>
      </c>
      <c r="DG2" s="2588"/>
      <c r="DH2" s="2589"/>
      <c r="DI2" s="2587" t="s">
        <v>54</v>
      </c>
      <c r="DJ2" s="2588"/>
      <c r="DK2" s="2589"/>
      <c r="DL2" s="2587" t="s">
        <v>55</v>
      </c>
      <c r="DM2" s="2588"/>
      <c r="DN2" s="2589"/>
      <c r="DO2" s="2599" t="s">
        <v>56</v>
      </c>
      <c r="DP2" s="2600"/>
      <c r="DQ2" s="2602"/>
      <c r="DR2" s="2593"/>
      <c r="DS2" s="2594"/>
      <c r="DT2" s="2595"/>
      <c r="DU2" s="2587" t="s">
        <v>217</v>
      </c>
      <c r="DV2" s="2588"/>
      <c r="DW2" s="2589"/>
      <c r="DX2" s="2587" t="s">
        <v>58</v>
      </c>
      <c r="DY2" s="2588"/>
      <c r="DZ2" s="2589"/>
      <c r="EA2" s="2587" t="s">
        <v>59</v>
      </c>
      <c r="EB2" s="2588"/>
      <c r="EC2" s="2589"/>
      <c r="ED2" s="2588" t="s">
        <v>60</v>
      </c>
      <c r="EE2" s="2588"/>
      <c r="EF2" s="2589"/>
      <c r="EG2" s="2587" t="s">
        <v>61</v>
      </c>
      <c r="EH2" s="2588"/>
      <c r="EI2" s="2589"/>
      <c r="EJ2" s="2587" t="s">
        <v>62</v>
      </c>
      <c r="EK2" s="2588"/>
      <c r="EL2" s="2589"/>
      <c r="EM2" s="2588" t="s">
        <v>203</v>
      </c>
      <c r="EN2" s="2588"/>
      <c r="EO2" s="2589"/>
      <c r="EP2" s="2587" t="s">
        <v>201</v>
      </c>
      <c r="EQ2" s="2588"/>
      <c r="ER2" s="2589"/>
      <c r="ES2" s="2587" t="s">
        <v>65</v>
      </c>
      <c r="ET2" s="2588"/>
      <c r="EU2" s="2589"/>
      <c r="EV2" s="2593"/>
      <c r="EW2" s="2594"/>
      <c r="EX2" s="2595"/>
      <c r="EY2" s="2587" t="s">
        <v>67</v>
      </c>
      <c r="EZ2" s="2588"/>
      <c r="FA2" s="2589"/>
      <c r="FB2" s="2587" t="s">
        <v>68</v>
      </c>
      <c r="FC2" s="2588"/>
      <c r="FD2" s="2589"/>
      <c r="FE2" s="2587" t="s">
        <v>69</v>
      </c>
      <c r="FF2" s="2588"/>
      <c r="FG2" s="2589"/>
      <c r="FH2" s="2587" t="s">
        <v>1194</v>
      </c>
      <c r="FI2" s="2588"/>
      <c r="FJ2" s="2589"/>
      <c r="FK2" s="2587" t="s">
        <v>1224</v>
      </c>
      <c r="FL2" s="2588"/>
      <c r="FM2" s="2589"/>
      <c r="FN2" s="2587" t="s">
        <v>70</v>
      </c>
      <c r="FO2" s="2588"/>
      <c r="FP2" s="2589"/>
      <c r="FQ2" s="2587" t="s">
        <v>71</v>
      </c>
      <c r="FR2" s="2588"/>
      <c r="FS2" s="2589"/>
      <c r="FT2" s="2587" t="s">
        <v>483</v>
      </c>
      <c r="FU2" s="2588"/>
      <c r="FV2" s="2589"/>
      <c r="FW2" s="2587" t="s">
        <v>73</v>
      </c>
      <c r="FX2" s="2588"/>
      <c r="FY2" s="2589"/>
      <c r="FZ2" s="2588" t="s">
        <v>74</v>
      </c>
      <c r="GA2" s="2588"/>
      <c r="GB2" s="2588"/>
      <c r="GC2" s="2587" t="s">
        <v>189</v>
      </c>
      <c r="GD2" s="2588"/>
      <c r="GE2" s="2589"/>
      <c r="GF2" s="2587" t="s">
        <v>76</v>
      </c>
      <c r="GG2" s="2588"/>
      <c r="GH2" s="2589"/>
      <c r="GI2" s="2587" t="s">
        <v>485</v>
      </c>
      <c r="GJ2" s="2588"/>
      <c r="GK2" s="2589"/>
      <c r="GL2" s="2587" t="s">
        <v>484</v>
      </c>
      <c r="GM2" s="2588"/>
      <c r="GN2" s="2589"/>
      <c r="GO2" s="2599" t="s">
        <v>78</v>
      </c>
      <c r="GP2" s="2600"/>
      <c r="GQ2" s="2602"/>
      <c r="GR2" s="2599" t="s">
        <v>79</v>
      </c>
      <c r="GS2" s="2600"/>
      <c r="GT2" s="2602"/>
      <c r="GU2" s="2599" t="s">
        <v>80</v>
      </c>
      <c r="GV2" s="2600"/>
      <c r="GW2" s="2602"/>
      <c r="GX2" s="2599" t="s">
        <v>294</v>
      </c>
      <c r="GY2" s="2600"/>
      <c r="GZ2" s="2602"/>
      <c r="HA2" s="2599"/>
      <c r="HB2" s="2600"/>
      <c r="HC2" s="2602"/>
      <c r="HD2" s="2599"/>
      <c r="HE2" s="2600"/>
      <c r="HF2" s="2601"/>
    </row>
    <row r="3" spans="1:217" s="3" customFormat="1" ht="15" customHeight="1" x14ac:dyDescent="0.25">
      <c r="A3" s="2582" t="s">
        <v>22</v>
      </c>
      <c r="B3" s="73" t="s">
        <v>891</v>
      </c>
      <c r="C3" s="74" t="s">
        <v>1138</v>
      </c>
      <c r="D3" s="75" t="s">
        <v>311</v>
      </c>
      <c r="E3" s="73" t="s">
        <v>891</v>
      </c>
      <c r="F3" s="74" t="s">
        <v>1138</v>
      </c>
      <c r="G3" s="75" t="s">
        <v>311</v>
      </c>
      <c r="H3" s="73" t="s">
        <v>891</v>
      </c>
      <c r="I3" s="74" t="s">
        <v>1138</v>
      </c>
      <c r="J3" s="75" t="s">
        <v>311</v>
      </c>
      <c r="K3" s="73" t="s">
        <v>891</v>
      </c>
      <c r="L3" s="74" t="s">
        <v>1138</v>
      </c>
      <c r="M3" s="75" t="s">
        <v>311</v>
      </c>
      <c r="N3" s="73" t="s">
        <v>891</v>
      </c>
      <c r="O3" s="74" t="s">
        <v>1138</v>
      </c>
      <c r="P3" s="75" t="s">
        <v>311</v>
      </c>
      <c r="Q3" s="73" t="s">
        <v>891</v>
      </c>
      <c r="R3" s="74" t="s">
        <v>1138</v>
      </c>
      <c r="S3" s="75" t="s">
        <v>311</v>
      </c>
      <c r="T3" s="73" t="s">
        <v>891</v>
      </c>
      <c r="U3" s="74" t="s">
        <v>1138</v>
      </c>
      <c r="V3" s="75" t="s">
        <v>311</v>
      </c>
      <c r="W3" s="73" t="s">
        <v>891</v>
      </c>
      <c r="X3" s="74" t="s">
        <v>1138</v>
      </c>
      <c r="Y3" s="75" t="s">
        <v>311</v>
      </c>
      <c r="Z3" s="73" t="s">
        <v>891</v>
      </c>
      <c r="AA3" s="74" t="s">
        <v>1138</v>
      </c>
      <c r="AB3" s="75" t="s">
        <v>311</v>
      </c>
      <c r="AC3" s="73" t="s">
        <v>891</v>
      </c>
      <c r="AD3" s="74" t="s">
        <v>1138</v>
      </c>
      <c r="AE3" s="75" t="s">
        <v>311</v>
      </c>
      <c r="AF3" s="73" t="s">
        <v>891</v>
      </c>
      <c r="AG3" s="74" t="s">
        <v>1138</v>
      </c>
      <c r="AH3" s="75" t="s">
        <v>311</v>
      </c>
      <c r="AI3" s="73" t="s">
        <v>891</v>
      </c>
      <c r="AJ3" s="74" t="s">
        <v>1138</v>
      </c>
      <c r="AK3" s="75" t="s">
        <v>311</v>
      </c>
      <c r="AL3" s="73" t="s">
        <v>891</v>
      </c>
      <c r="AM3" s="74" t="s">
        <v>1138</v>
      </c>
      <c r="AN3" s="75" t="s">
        <v>311</v>
      </c>
      <c r="AO3" s="73" t="s">
        <v>891</v>
      </c>
      <c r="AP3" s="74" t="s">
        <v>1138</v>
      </c>
      <c r="AQ3" s="75" t="s">
        <v>311</v>
      </c>
      <c r="AR3" s="73" t="s">
        <v>891</v>
      </c>
      <c r="AS3" s="74" t="s">
        <v>1138</v>
      </c>
      <c r="AT3" s="75" t="s">
        <v>311</v>
      </c>
      <c r="AU3" s="73" t="s">
        <v>891</v>
      </c>
      <c r="AV3" s="74" t="s">
        <v>1138</v>
      </c>
      <c r="AW3" s="75" t="s">
        <v>311</v>
      </c>
      <c r="AX3" s="73" t="s">
        <v>891</v>
      </c>
      <c r="AY3" s="74" t="s">
        <v>1138</v>
      </c>
      <c r="AZ3" s="75" t="s">
        <v>311</v>
      </c>
      <c r="BA3" s="73" t="s">
        <v>891</v>
      </c>
      <c r="BB3" s="74" t="s">
        <v>1138</v>
      </c>
      <c r="BC3" s="75" t="s">
        <v>311</v>
      </c>
      <c r="BD3" s="73" t="s">
        <v>891</v>
      </c>
      <c r="BE3" s="74" t="s">
        <v>1138</v>
      </c>
      <c r="BF3" s="75" t="s">
        <v>311</v>
      </c>
      <c r="BG3" s="73" t="s">
        <v>891</v>
      </c>
      <c r="BH3" s="74" t="s">
        <v>1138</v>
      </c>
      <c r="BI3" s="75" t="s">
        <v>311</v>
      </c>
      <c r="BJ3" s="73" t="s">
        <v>891</v>
      </c>
      <c r="BK3" s="74" t="s">
        <v>1138</v>
      </c>
      <c r="BL3" s="75" t="s">
        <v>311</v>
      </c>
      <c r="BM3" s="73" t="s">
        <v>891</v>
      </c>
      <c r="BN3" s="74" t="s">
        <v>1138</v>
      </c>
      <c r="BO3" s="75" t="s">
        <v>311</v>
      </c>
      <c r="BP3" s="73" t="s">
        <v>891</v>
      </c>
      <c r="BQ3" s="74" t="s">
        <v>1138</v>
      </c>
      <c r="BR3" s="75" t="s">
        <v>311</v>
      </c>
      <c r="BS3" s="73" t="s">
        <v>891</v>
      </c>
      <c r="BT3" s="74" t="s">
        <v>1138</v>
      </c>
      <c r="BU3" s="75" t="s">
        <v>311</v>
      </c>
      <c r="BV3" s="73" t="s">
        <v>891</v>
      </c>
      <c r="BW3" s="74" t="s">
        <v>1138</v>
      </c>
      <c r="BX3" s="75" t="s">
        <v>311</v>
      </c>
      <c r="BY3" s="73" t="s">
        <v>891</v>
      </c>
      <c r="BZ3" s="74" t="s">
        <v>1138</v>
      </c>
      <c r="CA3" s="75" t="s">
        <v>311</v>
      </c>
      <c r="CB3" s="73" t="s">
        <v>891</v>
      </c>
      <c r="CC3" s="74" t="s">
        <v>1138</v>
      </c>
      <c r="CD3" s="75" t="s">
        <v>311</v>
      </c>
      <c r="CE3" s="73" t="s">
        <v>891</v>
      </c>
      <c r="CF3" s="74" t="s">
        <v>1138</v>
      </c>
      <c r="CG3" s="75" t="s">
        <v>311</v>
      </c>
      <c r="CH3" s="73" t="s">
        <v>891</v>
      </c>
      <c r="CI3" s="74" t="s">
        <v>1138</v>
      </c>
      <c r="CJ3" s="75" t="s">
        <v>311</v>
      </c>
      <c r="CK3" s="73" t="s">
        <v>891</v>
      </c>
      <c r="CL3" s="74" t="s">
        <v>1138</v>
      </c>
      <c r="CM3" s="75" t="s">
        <v>311</v>
      </c>
      <c r="CN3" s="73" t="s">
        <v>891</v>
      </c>
      <c r="CO3" s="74" t="s">
        <v>1138</v>
      </c>
      <c r="CP3" s="75" t="s">
        <v>311</v>
      </c>
      <c r="CQ3" s="73" t="s">
        <v>891</v>
      </c>
      <c r="CR3" s="74" t="s">
        <v>1138</v>
      </c>
      <c r="CS3" s="75" t="s">
        <v>311</v>
      </c>
      <c r="CT3" s="73" t="s">
        <v>891</v>
      </c>
      <c r="CU3" s="74" t="s">
        <v>1138</v>
      </c>
      <c r="CV3" s="75" t="s">
        <v>311</v>
      </c>
      <c r="CW3" s="73" t="s">
        <v>891</v>
      </c>
      <c r="CX3" s="74" t="s">
        <v>1138</v>
      </c>
      <c r="CY3" s="75" t="s">
        <v>311</v>
      </c>
      <c r="CZ3" s="73" t="s">
        <v>891</v>
      </c>
      <c r="DA3" s="74" t="s">
        <v>1138</v>
      </c>
      <c r="DB3" s="75" t="s">
        <v>311</v>
      </c>
      <c r="DC3" s="73" t="s">
        <v>891</v>
      </c>
      <c r="DD3" s="74" t="s">
        <v>1138</v>
      </c>
      <c r="DE3" s="75" t="s">
        <v>311</v>
      </c>
      <c r="DF3" s="73" t="s">
        <v>891</v>
      </c>
      <c r="DG3" s="74" t="s">
        <v>1138</v>
      </c>
      <c r="DH3" s="75" t="s">
        <v>311</v>
      </c>
      <c r="DI3" s="73" t="s">
        <v>891</v>
      </c>
      <c r="DJ3" s="74" t="s">
        <v>1138</v>
      </c>
      <c r="DK3" s="75" t="s">
        <v>311</v>
      </c>
      <c r="DL3" s="73" t="s">
        <v>891</v>
      </c>
      <c r="DM3" s="74" t="s">
        <v>1138</v>
      </c>
      <c r="DN3" s="75" t="s">
        <v>311</v>
      </c>
      <c r="DO3" s="73" t="s">
        <v>891</v>
      </c>
      <c r="DP3" s="74" t="s">
        <v>1138</v>
      </c>
      <c r="DQ3" s="75" t="s">
        <v>311</v>
      </c>
      <c r="DR3" s="73" t="s">
        <v>891</v>
      </c>
      <c r="DS3" s="74" t="s">
        <v>1138</v>
      </c>
      <c r="DT3" s="75" t="s">
        <v>311</v>
      </c>
      <c r="DU3" s="73" t="s">
        <v>891</v>
      </c>
      <c r="DV3" s="74" t="s">
        <v>1138</v>
      </c>
      <c r="DW3" s="75" t="s">
        <v>311</v>
      </c>
      <c r="DX3" s="73" t="s">
        <v>891</v>
      </c>
      <c r="DY3" s="74" t="s">
        <v>1138</v>
      </c>
      <c r="DZ3" s="75" t="s">
        <v>311</v>
      </c>
      <c r="EA3" s="73" t="s">
        <v>891</v>
      </c>
      <c r="EB3" s="74" t="s">
        <v>1138</v>
      </c>
      <c r="EC3" s="75" t="s">
        <v>311</v>
      </c>
      <c r="ED3" s="73" t="s">
        <v>891</v>
      </c>
      <c r="EE3" s="74" t="s">
        <v>1138</v>
      </c>
      <c r="EF3" s="75" t="s">
        <v>311</v>
      </c>
      <c r="EG3" s="73" t="s">
        <v>891</v>
      </c>
      <c r="EH3" s="74" t="s">
        <v>1138</v>
      </c>
      <c r="EI3" s="75" t="s">
        <v>311</v>
      </c>
      <c r="EJ3" s="73" t="s">
        <v>891</v>
      </c>
      <c r="EK3" s="74" t="s">
        <v>1138</v>
      </c>
      <c r="EL3" s="75" t="s">
        <v>311</v>
      </c>
      <c r="EM3" s="73" t="s">
        <v>891</v>
      </c>
      <c r="EN3" s="74" t="s">
        <v>1138</v>
      </c>
      <c r="EO3" s="75" t="s">
        <v>311</v>
      </c>
      <c r="EP3" s="73" t="s">
        <v>891</v>
      </c>
      <c r="EQ3" s="74" t="s">
        <v>1138</v>
      </c>
      <c r="ER3" s="75" t="s">
        <v>311</v>
      </c>
      <c r="ES3" s="73" t="s">
        <v>891</v>
      </c>
      <c r="ET3" s="74" t="s">
        <v>1138</v>
      </c>
      <c r="EU3" s="75" t="s">
        <v>311</v>
      </c>
      <c r="EV3" s="73" t="s">
        <v>891</v>
      </c>
      <c r="EW3" s="74" t="s">
        <v>1138</v>
      </c>
      <c r="EX3" s="75" t="s">
        <v>311</v>
      </c>
      <c r="EY3" s="73" t="s">
        <v>891</v>
      </c>
      <c r="EZ3" s="74" t="s">
        <v>1138</v>
      </c>
      <c r="FA3" s="75" t="s">
        <v>311</v>
      </c>
      <c r="FB3" s="73" t="s">
        <v>891</v>
      </c>
      <c r="FC3" s="74" t="s">
        <v>1138</v>
      </c>
      <c r="FD3" s="75" t="s">
        <v>311</v>
      </c>
      <c r="FE3" s="73" t="s">
        <v>891</v>
      </c>
      <c r="FF3" s="74" t="s">
        <v>1138</v>
      </c>
      <c r="FG3" s="75" t="s">
        <v>311</v>
      </c>
      <c r="FH3" s="73" t="s">
        <v>891</v>
      </c>
      <c r="FI3" s="74" t="s">
        <v>1138</v>
      </c>
      <c r="FJ3" s="75" t="s">
        <v>311</v>
      </c>
      <c r="FK3" s="73" t="s">
        <v>891</v>
      </c>
      <c r="FL3" s="74" t="s">
        <v>1138</v>
      </c>
      <c r="FM3" s="75" t="s">
        <v>311</v>
      </c>
      <c r="FN3" s="73" t="s">
        <v>891</v>
      </c>
      <c r="FO3" s="74" t="s">
        <v>1138</v>
      </c>
      <c r="FP3" s="75" t="s">
        <v>311</v>
      </c>
      <c r="FQ3" s="73" t="s">
        <v>891</v>
      </c>
      <c r="FR3" s="74" t="s">
        <v>1138</v>
      </c>
      <c r="FS3" s="75" t="s">
        <v>311</v>
      </c>
      <c r="FT3" s="73" t="s">
        <v>891</v>
      </c>
      <c r="FU3" s="74" t="s">
        <v>1138</v>
      </c>
      <c r="FV3" s="75" t="s">
        <v>311</v>
      </c>
      <c r="FW3" s="73" t="s">
        <v>891</v>
      </c>
      <c r="FX3" s="74" t="s">
        <v>1138</v>
      </c>
      <c r="FY3" s="75" t="s">
        <v>311</v>
      </c>
      <c r="FZ3" s="73" t="s">
        <v>891</v>
      </c>
      <c r="GA3" s="74" t="s">
        <v>1138</v>
      </c>
      <c r="GB3" s="75" t="s">
        <v>311</v>
      </c>
      <c r="GC3" s="73" t="s">
        <v>891</v>
      </c>
      <c r="GD3" s="74" t="s">
        <v>1138</v>
      </c>
      <c r="GE3" s="75" t="s">
        <v>311</v>
      </c>
      <c r="GF3" s="73" t="s">
        <v>891</v>
      </c>
      <c r="GG3" s="74" t="s">
        <v>1138</v>
      </c>
      <c r="GH3" s="75" t="s">
        <v>311</v>
      </c>
      <c r="GI3" s="73" t="s">
        <v>891</v>
      </c>
      <c r="GJ3" s="74" t="s">
        <v>1138</v>
      </c>
      <c r="GK3" s="75" t="s">
        <v>311</v>
      </c>
      <c r="GL3" s="73" t="s">
        <v>891</v>
      </c>
      <c r="GM3" s="74" t="s">
        <v>1138</v>
      </c>
      <c r="GN3" s="75" t="s">
        <v>311</v>
      </c>
      <c r="GO3" s="73" t="s">
        <v>891</v>
      </c>
      <c r="GP3" s="74" t="s">
        <v>1138</v>
      </c>
      <c r="GQ3" s="75" t="s">
        <v>311</v>
      </c>
      <c r="GR3" s="73" t="s">
        <v>891</v>
      </c>
      <c r="GS3" s="74" t="s">
        <v>1138</v>
      </c>
      <c r="GT3" s="75" t="s">
        <v>311</v>
      </c>
      <c r="GU3" s="73" t="s">
        <v>891</v>
      </c>
      <c r="GV3" s="74" t="s">
        <v>1138</v>
      </c>
      <c r="GW3" s="75" t="s">
        <v>311</v>
      </c>
      <c r="GX3" s="73" t="s">
        <v>891</v>
      </c>
      <c r="GY3" s="74" t="s">
        <v>1138</v>
      </c>
      <c r="GZ3" s="75" t="s">
        <v>311</v>
      </c>
      <c r="HA3" s="73" t="s">
        <v>891</v>
      </c>
      <c r="HB3" s="74" t="s">
        <v>1138</v>
      </c>
      <c r="HC3" s="75" t="s">
        <v>311</v>
      </c>
      <c r="HD3" s="73" t="s">
        <v>891</v>
      </c>
      <c r="HE3" s="74" t="s">
        <v>1138</v>
      </c>
      <c r="HF3" s="913" t="s">
        <v>311</v>
      </c>
    </row>
    <row r="4" spans="1:217" s="3" customFormat="1" ht="15" customHeight="1" x14ac:dyDescent="0.25">
      <c r="A4" s="2583"/>
      <c r="B4" s="76" t="s">
        <v>309</v>
      </c>
      <c r="C4" s="77" t="s">
        <v>310</v>
      </c>
      <c r="D4" s="78" t="s">
        <v>1139</v>
      </c>
      <c r="E4" s="76" t="s">
        <v>309</v>
      </c>
      <c r="F4" s="77" t="s">
        <v>310</v>
      </c>
      <c r="G4" s="78" t="s">
        <v>1139</v>
      </c>
      <c r="H4" s="76" t="s">
        <v>309</v>
      </c>
      <c r="I4" s="77" t="s">
        <v>310</v>
      </c>
      <c r="J4" s="78" t="s">
        <v>1139</v>
      </c>
      <c r="K4" s="76" t="s">
        <v>309</v>
      </c>
      <c r="L4" s="77" t="s">
        <v>310</v>
      </c>
      <c r="M4" s="78" t="s">
        <v>1139</v>
      </c>
      <c r="N4" s="76" t="s">
        <v>309</v>
      </c>
      <c r="O4" s="77" t="s">
        <v>310</v>
      </c>
      <c r="P4" s="78" t="s">
        <v>1139</v>
      </c>
      <c r="Q4" s="76" t="s">
        <v>309</v>
      </c>
      <c r="R4" s="77" t="s">
        <v>310</v>
      </c>
      <c r="S4" s="78" t="s">
        <v>1139</v>
      </c>
      <c r="T4" s="76" t="s">
        <v>309</v>
      </c>
      <c r="U4" s="77" t="s">
        <v>310</v>
      </c>
      <c r="V4" s="78" t="s">
        <v>1139</v>
      </c>
      <c r="W4" s="76" t="s">
        <v>309</v>
      </c>
      <c r="X4" s="77" t="s">
        <v>310</v>
      </c>
      <c r="Y4" s="78" t="s">
        <v>1139</v>
      </c>
      <c r="Z4" s="76" t="s">
        <v>309</v>
      </c>
      <c r="AA4" s="77" t="s">
        <v>310</v>
      </c>
      <c r="AB4" s="78" t="s">
        <v>1139</v>
      </c>
      <c r="AC4" s="76" t="s">
        <v>309</v>
      </c>
      <c r="AD4" s="77" t="s">
        <v>310</v>
      </c>
      <c r="AE4" s="78" t="s">
        <v>1139</v>
      </c>
      <c r="AF4" s="76" t="s">
        <v>309</v>
      </c>
      <c r="AG4" s="77" t="s">
        <v>310</v>
      </c>
      <c r="AH4" s="78" t="s">
        <v>1139</v>
      </c>
      <c r="AI4" s="76" t="s">
        <v>309</v>
      </c>
      <c r="AJ4" s="77" t="s">
        <v>310</v>
      </c>
      <c r="AK4" s="78" t="s">
        <v>1139</v>
      </c>
      <c r="AL4" s="76" t="s">
        <v>309</v>
      </c>
      <c r="AM4" s="77" t="s">
        <v>310</v>
      </c>
      <c r="AN4" s="78" t="s">
        <v>1139</v>
      </c>
      <c r="AO4" s="76" t="s">
        <v>309</v>
      </c>
      <c r="AP4" s="77" t="s">
        <v>310</v>
      </c>
      <c r="AQ4" s="78" t="s">
        <v>1139</v>
      </c>
      <c r="AR4" s="76" t="s">
        <v>309</v>
      </c>
      <c r="AS4" s="77" t="s">
        <v>310</v>
      </c>
      <c r="AT4" s="78" t="s">
        <v>1139</v>
      </c>
      <c r="AU4" s="76" t="s">
        <v>309</v>
      </c>
      <c r="AV4" s="77" t="s">
        <v>310</v>
      </c>
      <c r="AW4" s="78" t="s">
        <v>1139</v>
      </c>
      <c r="AX4" s="76" t="s">
        <v>309</v>
      </c>
      <c r="AY4" s="77" t="s">
        <v>310</v>
      </c>
      <c r="AZ4" s="78" t="s">
        <v>1139</v>
      </c>
      <c r="BA4" s="76" t="s">
        <v>309</v>
      </c>
      <c r="BB4" s="77" t="s">
        <v>310</v>
      </c>
      <c r="BC4" s="78" t="s">
        <v>1139</v>
      </c>
      <c r="BD4" s="76" t="s">
        <v>309</v>
      </c>
      <c r="BE4" s="77" t="s">
        <v>310</v>
      </c>
      <c r="BF4" s="78" t="s">
        <v>1139</v>
      </c>
      <c r="BG4" s="76" t="s">
        <v>309</v>
      </c>
      <c r="BH4" s="77" t="s">
        <v>310</v>
      </c>
      <c r="BI4" s="78" t="s">
        <v>1139</v>
      </c>
      <c r="BJ4" s="76" t="s">
        <v>309</v>
      </c>
      <c r="BK4" s="77" t="s">
        <v>310</v>
      </c>
      <c r="BL4" s="78" t="s">
        <v>1139</v>
      </c>
      <c r="BM4" s="76" t="s">
        <v>309</v>
      </c>
      <c r="BN4" s="77" t="s">
        <v>310</v>
      </c>
      <c r="BO4" s="78" t="s">
        <v>1139</v>
      </c>
      <c r="BP4" s="76" t="s">
        <v>309</v>
      </c>
      <c r="BQ4" s="77" t="s">
        <v>310</v>
      </c>
      <c r="BR4" s="78" t="s">
        <v>1139</v>
      </c>
      <c r="BS4" s="76" t="s">
        <v>309</v>
      </c>
      <c r="BT4" s="77" t="s">
        <v>310</v>
      </c>
      <c r="BU4" s="78" t="s">
        <v>1139</v>
      </c>
      <c r="BV4" s="76" t="s">
        <v>309</v>
      </c>
      <c r="BW4" s="77" t="s">
        <v>310</v>
      </c>
      <c r="BX4" s="78" t="s">
        <v>1139</v>
      </c>
      <c r="BY4" s="76" t="s">
        <v>309</v>
      </c>
      <c r="BZ4" s="77" t="s">
        <v>310</v>
      </c>
      <c r="CA4" s="78" t="s">
        <v>1139</v>
      </c>
      <c r="CB4" s="76" t="s">
        <v>309</v>
      </c>
      <c r="CC4" s="77" t="s">
        <v>310</v>
      </c>
      <c r="CD4" s="78" t="s">
        <v>1139</v>
      </c>
      <c r="CE4" s="76" t="s">
        <v>309</v>
      </c>
      <c r="CF4" s="77" t="s">
        <v>310</v>
      </c>
      <c r="CG4" s="78" t="s">
        <v>1139</v>
      </c>
      <c r="CH4" s="76" t="s">
        <v>309</v>
      </c>
      <c r="CI4" s="77" t="s">
        <v>310</v>
      </c>
      <c r="CJ4" s="78" t="s">
        <v>1139</v>
      </c>
      <c r="CK4" s="76" t="s">
        <v>309</v>
      </c>
      <c r="CL4" s="77" t="s">
        <v>310</v>
      </c>
      <c r="CM4" s="78" t="s">
        <v>1139</v>
      </c>
      <c r="CN4" s="76" t="s">
        <v>309</v>
      </c>
      <c r="CO4" s="77" t="s">
        <v>310</v>
      </c>
      <c r="CP4" s="78" t="s">
        <v>1139</v>
      </c>
      <c r="CQ4" s="76" t="s">
        <v>309</v>
      </c>
      <c r="CR4" s="77" t="s">
        <v>310</v>
      </c>
      <c r="CS4" s="78" t="s">
        <v>1139</v>
      </c>
      <c r="CT4" s="76" t="s">
        <v>309</v>
      </c>
      <c r="CU4" s="77" t="s">
        <v>310</v>
      </c>
      <c r="CV4" s="78" t="s">
        <v>1139</v>
      </c>
      <c r="CW4" s="76" t="s">
        <v>309</v>
      </c>
      <c r="CX4" s="77" t="s">
        <v>310</v>
      </c>
      <c r="CY4" s="78" t="s">
        <v>1139</v>
      </c>
      <c r="CZ4" s="76" t="s">
        <v>309</v>
      </c>
      <c r="DA4" s="77" t="s">
        <v>310</v>
      </c>
      <c r="DB4" s="78" t="s">
        <v>1139</v>
      </c>
      <c r="DC4" s="76" t="s">
        <v>309</v>
      </c>
      <c r="DD4" s="77" t="s">
        <v>310</v>
      </c>
      <c r="DE4" s="78" t="s">
        <v>1139</v>
      </c>
      <c r="DF4" s="76" t="s">
        <v>309</v>
      </c>
      <c r="DG4" s="77" t="s">
        <v>310</v>
      </c>
      <c r="DH4" s="78" t="s">
        <v>1139</v>
      </c>
      <c r="DI4" s="76" t="s">
        <v>309</v>
      </c>
      <c r="DJ4" s="77" t="s">
        <v>310</v>
      </c>
      <c r="DK4" s="78" t="s">
        <v>1139</v>
      </c>
      <c r="DL4" s="76" t="s">
        <v>309</v>
      </c>
      <c r="DM4" s="77" t="s">
        <v>310</v>
      </c>
      <c r="DN4" s="78" t="s">
        <v>1139</v>
      </c>
      <c r="DO4" s="76" t="s">
        <v>309</v>
      </c>
      <c r="DP4" s="77" t="s">
        <v>310</v>
      </c>
      <c r="DQ4" s="78" t="s">
        <v>1139</v>
      </c>
      <c r="DR4" s="76" t="s">
        <v>309</v>
      </c>
      <c r="DS4" s="77" t="s">
        <v>310</v>
      </c>
      <c r="DT4" s="78" t="s">
        <v>1139</v>
      </c>
      <c r="DU4" s="76" t="s">
        <v>309</v>
      </c>
      <c r="DV4" s="77" t="s">
        <v>310</v>
      </c>
      <c r="DW4" s="78" t="s">
        <v>1139</v>
      </c>
      <c r="DX4" s="76" t="s">
        <v>309</v>
      </c>
      <c r="DY4" s="77" t="s">
        <v>310</v>
      </c>
      <c r="DZ4" s="78" t="s">
        <v>1139</v>
      </c>
      <c r="EA4" s="76" t="s">
        <v>309</v>
      </c>
      <c r="EB4" s="77" t="s">
        <v>310</v>
      </c>
      <c r="EC4" s="78" t="s">
        <v>1139</v>
      </c>
      <c r="ED4" s="76" t="s">
        <v>309</v>
      </c>
      <c r="EE4" s="77" t="s">
        <v>310</v>
      </c>
      <c r="EF4" s="78" t="s">
        <v>1139</v>
      </c>
      <c r="EG4" s="76" t="s">
        <v>309</v>
      </c>
      <c r="EH4" s="77" t="s">
        <v>310</v>
      </c>
      <c r="EI4" s="78" t="s">
        <v>1139</v>
      </c>
      <c r="EJ4" s="76" t="s">
        <v>309</v>
      </c>
      <c r="EK4" s="77" t="s">
        <v>310</v>
      </c>
      <c r="EL4" s="78" t="s">
        <v>1139</v>
      </c>
      <c r="EM4" s="76" t="s">
        <v>309</v>
      </c>
      <c r="EN4" s="77" t="s">
        <v>310</v>
      </c>
      <c r="EO4" s="78" t="s">
        <v>1139</v>
      </c>
      <c r="EP4" s="76" t="s">
        <v>309</v>
      </c>
      <c r="EQ4" s="77" t="s">
        <v>310</v>
      </c>
      <c r="ER4" s="78" t="s">
        <v>1139</v>
      </c>
      <c r="ES4" s="76" t="s">
        <v>309</v>
      </c>
      <c r="ET4" s="77" t="s">
        <v>310</v>
      </c>
      <c r="EU4" s="78" t="s">
        <v>1139</v>
      </c>
      <c r="EV4" s="76" t="s">
        <v>309</v>
      </c>
      <c r="EW4" s="77" t="s">
        <v>310</v>
      </c>
      <c r="EX4" s="78" t="s">
        <v>1139</v>
      </c>
      <c r="EY4" s="76" t="s">
        <v>309</v>
      </c>
      <c r="EZ4" s="77" t="s">
        <v>310</v>
      </c>
      <c r="FA4" s="78" t="s">
        <v>1139</v>
      </c>
      <c r="FB4" s="76" t="s">
        <v>309</v>
      </c>
      <c r="FC4" s="77" t="s">
        <v>310</v>
      </c>
      <c r="FD4" s="78" t="s">
        <v>1139</v>
      </c>
      <c r="FE4" s="76" t="s">
        <v>309</v>
      </c>
      <c r="FF4" s="77" t="s">
        <v>310</v>
      </c>
      <c r="FG4" s="78" t="s">
        <v>1139</v>
      </c>
      <c r="FH4" s="76" t="s">
        <v>309</v>
      </c>
      <c r="FI4" s="77" t="s">
        <v>310</v>
      </c>
      <c r="FJ4" s="78" t="s">
        <v>1139</v>
      </c>
      <c r="FK4" s="76" t="s">
        <v>309</v>
      </c>
      <c r="FL4" s="77" t="s">
        <v>310</v>
      </c>
      <c r="FM4" s="78" t="s">
        <v>1139</v>
      </c>
      <c r="FN4" s="76" t="s">
        <v>309</v>
      </c>
      <c r="FO4" s="77" t="s">
        <v>310</v>
      </c>
      <c r="FP4" s="78" t="s">
        <v>1139</v>
      </c>
      <c r="FQ4" s="76" t="s">
        <v>309</v>
      </c>
      <c r="FR4" s="77" t="s">
        <v>310</v>
      </c>
      <c r="FS4" s="78" t="s">
        <v>1139</v>
      </c>
      <c r="FT4" s="76" t="s">
        <v>309</v>
      </c>
      <c r="FU4" s="77" t="s">
        <v>310</v>
      </c>
      <c r="FV4" s="78" t="s">
        <v>1139</v>
      </c>
      <c r="FW4" s="76" t="s">
        <v>309</v>
      </c>
      <c r="FX4" s="77" t="s">
        <v>310</v>
      </c>
      <c r="FY4" s="78" t="s">
        <v>1139</v>
      </c>
      <c r="FZ4" s="76" t="s">
        <v>309</v>
      </c>
      <c r="GA4" s="77" t="s">
        <v>310</v>
      </c>
      <c r="GB4" s="78" t="s">
        <v>1139</v>
      </c>
      <c r="GC4" s="76" t="s">
        <v>309</v>
      </c>
      <c r="GD4" s="77" t="s">
        <v>310</v>
      </c>
      <c r="GE4" s="78" t="s">
        <v>1139</v>
      </c>
      <c r="GF4" s="76" t="s">
        <v>309</v>
      </c>
      <c r="GG4" s="77" t="s">
        <v>310</v>
      </c>
      <c r="GH4" s="78" t="s">
        <v>1139</v>
      </c>
      <c r="GI4" s="76" t="s">
        <v>309</v>
      </c>
      <c r="GJ4" s="77" t="s">
        <v>310</v>
      </c>
      <c r="GK4" s="78" t="s">
        <v>1139</v>
      </c>
      <c r="GL4" s="76" t="s">
        <v>309</v>
      </c>
      <c r="GM4" s="77" t="s">
        <v>310</v>
      </c>
      <c r="GN4" s="78" t="s">
        <v>1139</v>
      </c>
      <c r="GO4" s="76" t="s">
        <v>309</v>
      </c>
      <c r="GP4" s="77" t="s">
        <v>310</v>
      </c>
      <c r="GQ4" s="78" t="s">
        <v>1139</v>
      </c>
      <c r="GR4" s="76" t="s">
        <v>309</v>
      </c>
      <c r="GS4" s="77" t="s">
        <v>310</v>
      </c>
      <c r="GT4" s="78" t="s">
        <v>1139</v>
      </c>
      <c r="GU4" s="76" t="s">
        <v>309</v>
      </c>
      <c r="GV4" s="77" t="s">
        <v>310</v>
      </c>
      <c r="GW4" s="78" t="s">
        <v>1139</v>
      </c>
      <c r="GX4" s="76" t="s">
        <v>309</v>
      </c>
      <c r="GY4" s="77" t="s">
        <v>310</v>
      </c>
      <c r="GZ4" s="78" t="s">
        <v>1139</v>
      </c>
      <c r="HA4" s="76" t="s">
        <v>309</v>
      </c>
      <c r="HB4" s="77" t="s">
        <v>310</v>
      </c>
      <c r="HC4" s="78" t="s">
        <v>1139</v>
      </c>
      <c r="HD4" s="76" t="s">
        <v>309</v>
      </c>
      <c r="HE4" s="77" t="s">
        <v>310</v>
      </c>
      <c r="HF4" s="914" t="s">
        <v>1139</v>
      </c>
    </row>
    <row r="5" spans="1:217" s="3" customFormat="1" ht="15" customHeight="1" thickBot="1" x14ac:dyDescent="0.3">
      <c r="A5" s="235">
        <v>1</v>
      </c>
      <c r="B5" s="70">
        <v>2</v>
      </c>
      <c r="C5" s="71">
        <v>3</v>
      </c>
      <c r="D5" s="72" t="s">
        <v>312</v>
      </c>
      <c r="E5" s="70">
        <v>4</v>
      </c>
      <c r="F5" s="71">
        <v>5</v>
      </c>
      <c r="G5" s="72" t="s">
        <v>313</v>
      </c>
      <c r="H5" s="70">
        <v>6</v>
      </c>
      <c r="I5" s="71">
        <v>7</v>
      </c>
      <c r="J5" s="72" t="s">
        <v>314</v>
      </c>
      <c r="K5" s="70">
        <v>8</v>
      </c>
      <c r="L5" s="71">
        <v>9</v>
      </c>
      <c r="M5" s="72" t="s">
        <v>315</v>
      </c>
      <c r="N5" s="70">
        <v>10</v>
      </c>
      <c r="O5" s="71">
        <v>11</v>
      </c>
      <c r="P5" s="72" t="s">
        <v>316</v>
      </c>
      <c r="Q5" s="70">
        <v>12</v>
      </c>
      <c r="R5" s="71">
        <v>13</v>
      </c>
      <c r="S5" s="72" t="s">
        <v>317</v>
      </c>
      <c r="T5" s="70">
        <v>14</v>
      </c>
      <c r="U5" s="71">
        <v>15</v>
      </c>
      <c r="V5" s="72" t="s">
        <v>318</v>
      </c>
      <c r="W5" s="70">
        <v>16</v>
      </c>
      <c r="X5" s="71">
        <v>17</v>
      </c>
      <c r="Y5" s="72" t="s">
        <v>101</v>
      </c>
      <c r="Z5" s="70">
        <v>18</v>
      </c>
      <c r="AA5" s="71">
        <v>19</v>
      </c>
      <c r="AB5" s="72" t="s">
        <v>319</v>
      </c>
      <c r="AC5" s="70">
        <v>20</v>
      </c>
      <c r="AD5" s="71">
        <v>21</v>
      </c>
      <c r="AE5" s="72" t="s">
        <v>104</v>
      </c>
      <c r="AF5" s="70">
        <v>22</v>
      </c>
      <c r="AG5" s="71">
        <v>23</v>
      </c>
      <c r="AH5" s="72" t="s">
        <v>320</v>
      </c>
      <c r="AI5" s="70">
        <v>24</v>
      </c>
      <c r="AJ5" s="71">
        <v>25</v>
      </c>
      <c r="AK5" s="72" t="s">
        <v>107</v>
      </c>
      <c r="AL5" s="70">
        <v>26</v>
      </c>
      <c r="AM5" s="71">
        <v>27</v>
      </c>
      <c r="AN5" s="72" t="s">
        <v>321</v>
      </c>
      <c r="AO5" s="70">
        <v>28</v>
      </c>
      <c r="AP5" s="71">
        <v>29</v>
      </c>
      <c r="AQ5" s="72" t="s">
        <v>110</v>
      </c>
      <c r="AR5" s="70">
        <v>30</v>
      </c>
      <c r="AS5" s="71">
        <v>31</v>
      </c>
      <c r="AT5" s="72" t="s">
        <v>112</v>
      </c>
      <c r="AU5" s="70">
        <v>32</v>
      </c>
      <c r="AV5" s="71">
        <v>33</v>
      </c>
      <c r="AW5" s="72" t="s">
        <v>322</v>
      </c>
      <c r="AX5" s="70">
        <v>34</v>
      </c>
      <c r="AY5" s="71">
        <v>35</v>
      </c>
      <c r="AZ5" s="72" t="s">
        <v>115</v>
      </c>
      <c r="BA5" s="70">
        <v>36</v>
      </c>
      <c r="BB5" s="71">
        <v>37</v>
      </c>
      <c r="BC5" s="72" t="s">
        <v>116</v>
      </c>
      <c r="BD5" s="70">
        <v>38</v>
      </c>
      <c r="BE5" s="71">
        <v>39</v>
      </c>
      <c r="BF5" s="72" t="s">
        <v>323</v>
      </c>
      <c r="BG5" s="70">
        <v>40</v>
      </c>
      <c r="BH5" s="71">
        <v>41</v>
      </c>
      <c r="BI5" s="72" t="s">
        <v>119</v>
      </c>
      <c r="BJ5" s="70">
        <v>42</v>
      </c>
      <c r="BK5" s="71">
        <v>43</v>
      </c>
      <c r="BL5" s="72" t="s">
        <v>324</v>
      </c>
      <c r="BM5" s="70">
        <v>44</v>
      </c>
      <c r="BN5" s="71">
        <v>45</v>
      </c>
      <c r="BO5" s="72" t="s">
        <v>122</v>
      </c>
      <c r="BP5" s="70">
        <v>46</v>
      </c>
      <c r="BQ5" s="71">
        <v>47</v>
      </c>
      <c r="BR5" s="72" t="s">
        <v>325</v>
      </c>
      <c r="BS5" s="70">
        <v>48</v>
      </c>
      <c r="BT5" s="71">
        <v>49</v>
      </c>
      <c r="BU5" s="72" t="s">
        <v>125</v>
      </c>
      <c r="BV5" s="70">
        <v>50</v>
      </c>
      <c r="BW5" s="71">
        <v>51</v>
      </c>
      <c r="BX5" s="72" t="s">
        <v>127</v>
      </c>
      <c r="BY5" s="70">
        <v>52</v>
      </c>
      <c r="BZ5" s="71">
        <v>53</v>
      </c>
      <c r="CA5" s="72" t="s">
        <v>129</v>
      </c>
      <c r="CB5" s="70">
        <v>54</v>
      </c>
      <c r="CC5" s="71">
        <v>55</v>
      </c>
      <c r="CD5" s="72" t="s">
        <v>326</v>
      </c>
      <c r="CE5" s="70">
        <v>56</v>
      </c>
      <c r="CF5" s="71">
        <v>57</v>
      </c>
      <c r="CG5" s="72" t="s">
        <v>132</v>
      </c>
      <c r="CH5" s="70">
        <v>58</v>
      </c>
      <c r="CI5" s="71">
        <v>59</v>
      </c>
      <c r="CJ5" s="72" t="s">
        <v>327</v>
      </c>
      <c r="CK5" s="70">
        <v>60</v>
      </c>
      <c r="CL5" s="71">
        <v>61</v>
      </c>
      <c r="CM5" s="72" t="s">
        <v>328</v>
      </c>
      <c r="CN5" s="70">
        <v>62</v>
      </c>
      <c r="CO5" s="71">
        <v>63</v>
      </c>
      <c r="CP5" s="72" t="s">
        <v>329</v>
      </c>
      <c r="CQ5" s="70">
        <v>64</v>
      </c>
      <c r="CR5" s="71">
        <v>65</v>
      </c>
      <c r="CS5" s="72" t="s">
        <v>330</v>
      </c>
      <c r="CT5" s="70">
        <v>66</v>
      </c>
      <c r="CU5" s="71">
        <v>67</v>
      </c>
      <c r="CV5" s="72" t="s">
        <v>137</v>
      </c>
      <c r="CW5" s="70">
        <v>68</v>
      </c>
      <c r="CX5" s="71">
        <v>69</v>
      </c>
      <c r="CY5" s="72" t="s">
        <v>139</v>
      </c>
      <c r="CZ5" s="70">
        <v>70</v>
      </c>
      <c r="DA5" s="71">
        <v>71</v>
      </c>
      <c r="DB5" s="72" t="s">
        <v>298</v>
      </c>
      <c r="DC5" s="70">
        <v>72</v>
      </c>
      <c r="DD5" s="71">
        <v>73</v>
      </c>
      <c r="DE5" s="72" t="s">
        <v>142</v>
      </c>
      <c r="DF5" s="70">
        <v>74</v>
      </c>
      <c r="DG5" s="71">
        <v>75</v>
      </c>
      <c r="DH5" s="72" t="s">
        <v>299</v>
      </c>
      <c r="DI5" s="70">
        <v>76</v>
      </c>
      <c r="DJ5" s="71">
        <v>77</v>
      </c>
      <c r="DK5" s="72" t="s">
        <v>145</v>
      </c>
      <c r="DL5" s="70">
        <v>78</v>
      </c>
      <c r="DM5" s="71">
        <v>79</v>
      </c>
      <c r="DN5" s="72" t="s">
        <v>300</v>
      </c>
      <c r="DO5" s="70">
        <v>80</v>
      </c>
      <c r="DP5" s="71">
        <v>81</v>
      </c>
      <c r="DQ5" s="72" t="s">
        <v>148</v>
      </c>
      <c r="DR5" s="72" t="s">
        <v>396</v>
      </c>
      <c r="DS5" s="200" t="s">
        <v>397</v>
      </c>
      <c r="DT5" s="72" t="s">
        <v>398</v>
      </c>
      <c r="DU5" s="72" t="s">
        <v>399</v>
      </c>
      <c r="DV5" s="72" t="s">
        <v>400</v>
      </c>
      <c r="DW5" s="72" t="s">
        <v>401</v>
      </c>
      <c r="DX5" s="72" t="s">
        <v>402</v>
      </c>
      <c r="DY5" s="72" t="s">
        <v>403</v>
      </c>
      <c r="DZ5" s="72" t="s">
        <v>404</v>
      </c>
      <c r="EA5" s="72" t="s">
        <v>405</v>
      </c>
      <c r="EB5" s="72" t="s">
        <v>406</v>
      </c>
      <c r="EC5" s="72" t="s">
        <v>407</v>
      </c>
      <c r="ED5" s="72" t="s">
        <v>408</v>
      </c>
      <c r="EE5" s="72" t="s">
        <v>409</v>
      </c>
      <c r="EF5" s="72" t="s">
        <v>410</v>
      </c>
      <c r="EG5" s="72" t="s">
        <v>411</v>
      </c>
      <c r="EH5" s="72" t="s">
        <v>412</v>
      </c>
      <c r="EI5" s="72" t="s">
        <v>413</v>
      </c>
      <c r="EJ5" s="72" t="s">
        <v>414</v>
      </c>
      <c r="EK5" s="72" t="s">
        <v>415</v>
      </c>
      <c r="EL5" s="72" t="s">
        <v>416</v>
      </c>
      <c r="EM5" s="72" t="s">
        <v>417</v>
      </c>
      <c r="EN5" s="72" t="s">
        <v>418</v>
      </c>
      <c r="EO5" s="72" t="s">
        <v>419</v>
      </c>
      <c r="EP5" s="72" t="s">
        <v>420</v>
      </c>
      <c r="EQ5" s="72" t="s">
        <v>421</v>
      </c>
      <c r="ER5" s="72" t="s">
        <v>422</v>
      </c>
      <c r="ES5" s="72" t="s">
        <v>423</v>
      </c>
      <c r="ET5" s="72" t="s">
        <v>424</v>
      </c>
      <c r="EU5" s="72" t="s">
        <v>425</v>
      </c>
      <c r="EV5" s="72" t="s">
        <v>426</v>
      </c>
      <c r="EW5" s="72" t="s">
        <v>427</v>
      </c>
      <c r="EX5" s="72" t="s">
        <v>428</v>
      </c>
      <c r="EY5" s="72" t="s">
        <v>429</v>
      </c>
      <c r="EZ5" s="72" t="s">
        <v>430</v>
      </c>
      <c r="FA5" s="72" t="s">
        <v>431</v>
      </c>
      <c r="FB5" s="72" t="s">
        <v>432</v>
      </c>
      <c r="FC5" s="72" t="s">
        <v>433</v>
      </c>
      <c r="FD5" s="72" t="s">
        <v>434</v>
      </c>
      <c r="FE5" s="72" t="s">
        <v>435</v>
      </c>
      <c r="FF5" s="72" t="s">
        <v>436</v>
      </c>
      <c r="FG5" s="72" t="s">
        <v>437</v>
      </c>
      <c r="FH5" s="72" t="s">
        <v>438</v>
      </c>
      <c r="FI5" s="72" t="s">
        <v>439</v>
      </c>
      <c r="FJ5" s="72" t="s">
        <v>440</v>
      </c>
      <c r="FK5" s="72" t="s">
        <v>441</v>
      </c>
      <c r="FL5" s="72" t="s">
        <v>442</v>
      </c>
      <c r="FM5" s="72" t="s">
        <v>443</v>
      </c>
      <c r="FN5" s="72" t="s">
        <v>444</v>
      </c>
      <c r="FO5" s="72" t="s">
        <v>445</v>
      </c>
      <c r="FP5" s="72" t="s">
        <v>446</v>
      </c>
      <c r="FQ5" s="72" t="s">
        <v>447</v>
      </c>
      <c r="FR5" s="72" t="s">
        <v>448</v>
      </c>
      <c r="FS5" s="72" t="s">
        <v>449</v>
      </c>
      <c r="FT5" s="2464" t="s">
        <v>450</v>
      </c>
      <c r="FU5" s="72" t="s">
        <v>451</v>
      </c>
      <c r="FV5" s="72" t="s">
        <v>452</v>
      </c>
      <c r="FW5" s="72" t="s">
        <v>453</v>
      </c>
      <c r="FX5" s="72" t="s">
        <v>454</v>
      </c>
      <c r="FY5" s="72" t="s">
        <v>455</v>
      </c>
      <c r="FZ5" s="72" t="s">
        <v>456</v>
      </c>
      <c r="GA5" s="72" t="s">
        <v>457</v>
      </c>
      <c r="GB5" s="72" t="s">
        <v>458</v>
      </c>
      <c r="GC5" s="72" t="s">
        <v>459</v>
      </c>
      <c r="GD5" s="72" t="s">
        <v>460</v>
      </c>
      <c r="GE5" s="72" t="s">
        <v>461</v>
      </c>
      <c r="GF5" s="72" t="s">
        <v>462</v>
      </c>
      <c r="GG5" s="72" t="s">
        <v>463</v>
      </c>
      <c r="GH5" s="72" t="s">
        <v>464</v>
      </c>
      <c r="GI5" s="72" t="s">
        <v>465</v>
      </c>
      <c r="GJ5" s="72" t="s">
        <v>466</v>
      </c>
      <c r="GK5" s="72" t="s">
        <v>467</v>
      </c>
      <c r="GL5" s="72" t="s">
        <v>468</v>
      </c>
      <c r="GM5" s="72" t="s">
        <v>469</v>
      </c>
      <c r="GN5" s="72" t="s">
        <v>470</v>
      </c>
      <c r="GO5" s="72" t="s">
        <v>471</v>
      </c>
      <c r="GP5" s="72" t="s">
        <v>472</v>
      </c>
      <c r="GQ5" s="72" t="s">
        <v>473</v>
      </c>
      <c r="GR5" s="72" t="s">
        <v>474</v>
      </c>
      <c r="GS5" s="72" t="s">
        <v>475</v>
      </c>
      <c r="GT5" s="72" t="s">
        <v>476</v>
      </c>
      <c r="GU5" s="2464" t="s">
        <v>477</v>
      </c>
      <c r="GV5" s="72" t="s">
        <v>478</v>
      </c>
      <c r="GW5" s="72" t="s">
        <v>479</v>
      </c>
      <c r="GX5" s="72" t="s">
        <v>480</v>
      </c>
      <c r="GY5" s="72" t="s">
        <v>481</v>
      </c>
      <c r="GZ5" s="72" t="s">
        <v>482</v>
      </c>
      <c r="HA5" s="72" t="s">
        <v>486</v>
      </c>
      <c r="HB5" s="72" t="s">
        <v>487</v>
      </c>
      <c r="HC5" s="72" t="s">
        <v>488</v>
      </c>
      <c r="HD5" s="72" t="s">
        <v>1225</v>
      </c>
      <c r="HE5" s="72" t="s">
        <v>1226</v>
      </c>
      <c r="HF5" s="945" t="s">
        <v>1227</v>
      </c>
    </row>
    <row r="6" spans="1:217" s="3" customFormat="1" ht="16.2" thickBot="1" x14ac:dyDescent="0.3">
      <c r="A6" s="207" t="s">
        <v>766</v>
      </c>
      <c r="B6" s="80">
        <f>B26+B53</f>
        <v>167015</v>
      </c>
      <c r="C6" s="80">
        <f>C26+C53</f>
        <v>206863</v>
      </c>
      <c r="D6" s="85">
        <f t="shared" ref="D6:D7" si="0">C6/B6*100</f>
        <v>123.85893482621321</v>
      </c>
      <c r="E6" s="80">
        <f t="shared" ref="E6:F6" si="1">E26+E53</f>
        <v>0</v>
      </c>
      <c r="F6" s="80">
        <f t="shared" si="1"/>
        <v>0</v>
      </c>
      <c r="G6" s="85"/>
      <c r="H6" s="80">
        <f t="shared" ref="H6:I6" si="2">H26+H53</f>
        <v>3353</v>
      </c>
      <c r="I6" s="80">
        <f t="shared" si="2"/>
        <v>3353</v>
      </c>
      <c r="J6" s="85">
        <f t="shared" ref="J6:J10" si="3">I6/H6*100</f>
        <v>100</v>
      </c>
      <c r="K6" s="80">
        <f t="shared" ref="K6:L6" si="4">K26+K53</f>
        <v>6832</v>
      </c>
      <c r="L6" s="80">
        <f t="shared" si="4"/>
        <v>22185.599999999999</v>
      </c>
      <c r="M6" s="85">
        <f t="shared" ref="M6:M10" si="5">L6/K6*100</f>
        <v>324.73067915690865</v>
      </c>
      <c r="N6" s="80">
        <f t="shared" ref="N6:O6" si="6">N26+N53</f>
        <v>160628</v>
      </c>
      <c r="O6" s="80">
        <f t="shared" si="6"/>
        <v>29715</v>
      </c>
      <c r="P6" s="85">
        <f t="shared" ref="P6:P10" si="7">O6/N6*100</f>
        <v>18.499265383370272</v>
      </c>
      <c r="Q6" s="80">
        <f t="shared" ref="Q6:R6" si="8">Q26+Q53</f>
        <v>513406</v>
      </c>
      <c r="R6" s="80">
        <f t="shared" si="8"/>
        <v>284466</v>
      </c>
      <c r="S6" s="85">
        <f t="shared" ref="S6:S7" si="9">R6/Q6*100</f>
        <v>55.407611130372459</v>
      </c>
      <c r="T6" s="80">
        <f t="shared" ref="T6:U6" si="10">T26+T53</f>
        <v>1232768</v>
      </c>
      <c r="U6" s="80">
        <f t="shared" si="10"/>
        <v>761036</v>
      </c>
      <c r="V6" s="85">
        <f t="shared" ref="V6" si="11">U6/T6*100</f>
        <v>61.733919115356663</v>
      </c>
      <c r="W6" s="80">
        <f t="shared" ref="W6:X6" si="12">W26+W53</f>
        <v>7000</v>
      </c>
      <c r="X6" s="80">
        <f t="shared" si="12"/>
        <v>5504</v>
      </c>
      <c r="Y6" s="85">
        <f t="shared" ref="Y6:Y7" si="13">X6/W6*100</f>
        <v>78.628571428571419</v>
      </c>
      <c r="Z6" s="80">
        <f t="shared" ref="Z6:AA6" si="14">Z26+Z53</f>
        <v>6933369</v>
      </c>
      <c r="AA6" s="80">
        <f t="shared" si="14"/>
        <v>6947297</v>
      </c>
      <c r="AB6" s="85">
        <f t="shared" ref="AB6" si="15">AA6/Z6*100</f>
        <v>100.20088358199311</v>
      </c>
      <c r="AC6" s="80">
        <f t="shared" ref="AC6:AD6" si="16">AC26+AC53</f>
        <v>0</v>
      </c>
      <c r="AD6" s="80">
        <f t="shared" si="16"/>
        <v>0</v>
      </c>
      <c r="AE6" s="85"/>
      <c r="AF6" s="80">
        <f t="shared" ref="AF6:AG6" si="17">AF26+AF53</f>
        <v>5050</v>
      </c>
      <c r="AG6" s="80">
        <f t="shared" si="17"/>
        <v>14850</v>
      </c>
      <c r="AH6" s="85">
        <f t="shared" ref="AH6:AH10" si="18">AG6/AF6*100</f>
        <v>294.05940594059405</v>
      </c>
      <c r="AI6" s="80">
        <f t="shared" ref="AI6:AJ6" si="19">AI26+AI53</f>
        <v>13210</v>
      </c>
      <c r="AJ6" s="80">
        <f t="shared" si="19"/>
        <v>30190</v>
      </c>
      <c r="AK6" s="85">
        <f t="shared" ref="AK6:AK10" si="20">AJ6/AI6*100</f>
        <v>228.53898561695684</v>
      </c>
      <c r="AL6" s="80">
        <f t="shared" ref="AL6:AM6" si="21">AL26+AL53</f>
        <v>143901</v>
      </c>
      <c r="AM6" s="80">
        <f t="shared" si="21"/>
        <v>124200</v>
      </c>
      <c r="AN6" s="85">
        <f t="shared" ref="AN6:AN10" si="22">AM6/AL6*100</f>
        <v>86.309337669647874</v>
      </c>
      <c r="AO6" s="80">
        <f t="shared" ref="AO6:AP6" si="23">AO26+AO53</f>
        <v>1121188</v>
      </c>
      <c r="AP6" s="80">
        <f t="shared" si="23"/>
        <v>1108100</v>
      </c>
      <c r="AQ6" s="85">
        <f t="shared" ref="AQ6:AQ10" si="24">AP6/AO6*100</f>
        <v>98.832666778452861</v>
      </c>
      <c r="AR6" s="80">
        <f t="shared" ref="AR6:AS6" si="25">AR26+AR53</f>
        <v>15000</v>
      </c>
      <c r="AS6" s="80">
        <f t="shared" si="25"/>
        <v>10000</v>
      </c>
      <c r="AT6" s="85">
        <f t="shared" ref="AT6:AT10" si="26">AS6/AR6*100</f>
        <v>66.666666666666657</v>
      </c>
      <c r="AU6" s="80">
        <f t="shared" ref="AU6:AV6" si="27">AU26+AU53</f>
        <v>172107</v>
      </c>
      <c r="AV6" s="80">
        <f t="shared" si="27"/>
        <v>186850</v>
      </c>
      <c r="AW6" s="85">
        <f t="shared" ref="AW6:AW10" si="28">AV6/AU6*100</f>
        <v>108.56618266543488</v>
      </c>
      <c r="AX6" s="80">
        <f t="shared" ref="AX6:AY6" si="29">AX26+AX53</f>
        <v>59689</v>
      </c>
      <c r="AY6" s="80">
        <f t="shared" si="29"/>
        <v>117280</v>
      </c>
      <c r="AZ6" s="85">
        <f t="shared" ref="AZ6:AZ10" si="30">AY6/AX6*100</f>
        <v>196.48511451021128</v>
      </c>
      <c r="BA6" s="80">
        <f t="shared" ref="BA6:BB6" si="31">BA26+BA53</f>
        <v>0</v>
      </c>
      <c r="BB6" s="80">
        <f t="shared" si="31"/>
        <v>20000</v>
      </c>
      <c r="BC6" s="85"/>
      <c r="BD6" s="80">
        <f t="shared" ref="BD6:BE6" si="32">BD26+BD53</f>
        <v>300</v>
      </c>
      <c r="BE6" s="80">
        <f t="shared" si="32"/>
        <v>300</v>
      </c>
      <c r="BF6" s="85">
        <f t="shared" ref="BF6:BF10" si="33">BE6/BD6*100</f>
        <v>100</v>
      </c>
      <c r="BG6" s="80">
        <f t="shared" ref="BG6:BH6" si="34">BG26+BG53</f>
        <v>146888</v>
      </c>
      <c r="BH6" s="80">
        <f t="shared" si="34"/>
        <v>170376</v>
      </c>
      <c r="BI6" s="85">
        <f t="shared" ref="BI6:BI10" si="35">BH6/BG6*100</f>
        <v>115.99041446544305</v>
      </c>
      <c r="BJ6" s="80">
        <f t="shared" ref="BJ6:BK6" si="36">BJ26+BJ53</f>
        <v>0</v>
      </c>
      <c r="BK6" s="80">
        <f t="shared" si="36"/>
        <v>0</v>
      </c>
      <c r="BL6" s="85"/>
      <c r="BM6" s="80">
        <f t="shared" ref="BM6:BN6" si="37">BM26+BM53</f>
        <v>19500</v>
      </c>
      <c r="BN6" s="80">
        <f t="shared" si="37"/>
        <v>3800</v>
      </c>
      <c r="BO6" s="85">
        <f t="shared" ref="BO6:BO10" si="38">BN6/BM6*100</f>
        <v>19.487179487179489</v>
      </c>
      <c r="BP6" s="80">
        <f t="shared" ref="BP6:BQ6" si="39">BP26+BP53</f>
        <v>909621</v>
      </c>
      <c r="BQ6" s="80">
        <f t="shared" si="39"/>
        <v>2524497</v>
      </c>
      <c r="BR6" s="85">
        <f t="shared" ref="BR6:BR10" si="40">BQ6/BP6*100</f>
        <v>277.53284060064578</v>
      </c>
      <c r="BS6" s="80">
        <f t="shared" ref="BS6:BT6" si="41">BS26+BS53</f>
        <v>137489</v>
      </c>
      <c r="BT6" s="80">
        <f t="shared" si="41"/>
        <v>128204</v>
      </c>
      <c r="BU6" s="85">
        <f t="shared" ref="BU6:BU7" si="42">BT6/BS6*100</f>
        <v>93.246732465869997</v>
      </c>
      <c r="BV6" s="80">
        <f t="shared" ref="BV6:BW6" si="43">BV26+BV53</f>
        <v>0</v>
      </c>
      <c r="BW6" s="80">
        <f t="shared" si="43"/>
        <v>0</v>
      </c>
      <c r="BX6" s="85"/>
      <c r="BY6" s="80">
        <f t="shared" ref="BY6:BZ6" si="44">BY26+BY53</f>
        <v>943567</v>
      </c>
      <c r="BZ6" s="80">
        <f t="shared" si="44"/>
        <v>1181735</v>
      </c>
      <c r="CA6" s="85">
        <f t="shared" ref="CA6:CA7" si="45">BZ6/BY6*100</f>
        <v>125.24123883094683</v>
      </c>
      <c r="CB6" s="80">
        <f t="shared" ref="CB6:CC6" si="46">CB26+CB53</f>
        <v>0</v>
      </c>
      <c r="CC6" s="80">
        <f t="shared" si="46"/>
        <v>0</v>
      </c>
      <c r="CD6" s="85"/>
      <c r="CE6" s="80">
        <f t="shared" ref="CE6:CF6" si="47">CE26+CE53</f>
        <v>4237203</v>
      </c>
      <c r="CF6" s="80">
        <f t="shared" si="47"/>
        <v>4033745</v>
      </c>
      <c r="CG6" s="85">
        <f t="shared" ref="CG6:CG10" si="48">CF6/CE6*100</f>
        <v>95.198294724137597</v>
      </c>
      <c r="CH6" s="80">
        <f t="shared" ref="CH6:CI6" si="49">CH26+CH53</f>
        <v>548054</v>
      </c>
      <c r="CI6" s="80">
        <f t="shared" si="49"/>
        <v>1298195</v>
      </c>
      <c r="CJ6" s="85">
        <f t="shared" ref="CJ6" si="50">CI6/CH6*100</f>
        <v>236.8735562554055</v>
      </c>
      <c r="CK6" s="80">
        <f t="shared" ref="CK6:CL6" si="51">CK26+CK53</f>
        <v>1568760</v>
      </c>
      <c r="CL6" s="80">
        <f t="shared" si="51"/>
        <v>193677</v>
      </c>
      <c r="CM6" s="85">
        <f t="shared" ref="CM6:CM10" si="52">CL6/CK6*100</f>
        <v>12.345865524363191</v>
      </c>
      <c r="CN6" s="80">
        <f t="shared" ref="CN6:CO6" si="53">CN26+CN53</f>
        <v>218687</v>
      </c>
      <c r="CO6" s="80">
        <f t="shared" si="53"/>
        <v>530493</v>
      </c>
      <c r="CP6" s="85">
        <f t="shared" ref="CP6:CP10" si="54">CO6/CN6*100</f>
        <v>242.58094902760567</v>
      </c>
      <c r="CQ6" s="80">
        <f t="shared" ref="CQ6:CR6" si="55">CQ26+CQ53</f>
        <v>0</v>
      </c>
      <c r="CR6" s="80">
        <f t="shared" si="55"/>
        <v>0</v>
      </c>
      <c r="CS6" s="85"/>
      <c r="CT6" s="80">
        <f t="shared" ref="CT6:CU6" si="56">CT26+CT53</f>
        <v>1000</v>
      </c>
      <c r="CU6" s="80">
        <f t="shared" si="56"/>
        <v>1000</v>
      </c>
      <c r="CV6" s="85">
        <f t="shared" ref="CV6:CV10" si="57">CU6/CT6*100</f>
        <v>100</v>
      </c>
      <c r="CW6" s="80">
        <f t="shared" ref="CW6:CX6" si="58">CW26+CW53</f>
        <v>8500</v>
      </c>
      <c r="CX6" s="80">
        <f t="shared" si="58"/>
        <v>12200</v>
      </c>
      <c r="CY6" s="85">
        <f t="shared" ref="CY6:CY10" si="59">CX6/CW6*100</f>
        <v>143.52941176470588</v>
      </c>
      <c r="CZ6" s="80">
        <f t="shared" ref="CZ6:DA6" si="60">CZ26+CZ53</f>
        <v>75742</v>
      </c>
      <c r="DA6" s="80">
        <f t="shared" si="60"/>
        <v>86096</v>
      </c>
      <c r="DB6" s="85">
        <f t="shared" ref="DB6:DB10" si="61">DA6/CZ6*100</f>
        <v>113.67009057062131</v>
      </c>
      <c r="DC6" s="80">
        <f t="shared" ref="DC6:DD6" si="62">DC26+DC53</f>
        <v>1000000</v>
      </c>
      <c r="DD6" s="80">
        <f t="shared" si="62"/>
        <v>300000</v>
      </c>
      <c r="DE6" s="85">
        <f t="shared" ref="DE6" si="63">DD6/DC6*100</f>
        <v>30</v>
      </c>
      <c r="DF6" s="80">
        <f t="shared" ref="DF6:DG6" si="64">DF26+DF53</f>
        <v>263782</v>
      </c>
      <c r="DG6" s="80">
        <f t="shared" si="64"/>
        <v>260465</v>
      </c>
      <c r="DH6" s="85">
        <f t="shared" ref="DH6:DH10" si="65">DG6/DF6*100</f>
        <v>98.742522234269202</v>
      </c>
      <c r="DI6" s="80">
        <f t="shared" ref="DI6:DJ6" si="66">DI26+DI53</f>
        <v>102568</v>
      </c>
      <c r="DJ6" s="80">
        <f t="shared" si="66"/>
        <v>124130</v>
      </c>
      <c r="DK6" s="85">
        <f t="shared" ref="DK6:DK10" si="67">DJ6/DI6*100</f>
        <v>121.02215115825598</v>
      </c>
      <c r="DL6" s="80">
        <f t="shared" ref="DL6:DM6" si="68">DL26+DL53</f>
        <v>143716</v>
      </c>
      <c r="DM6" s="80">
        <f t="shared" si="68"/>
        <v>132644</v>
      </c>
      <c r="DN6" s="85">
        <f t="shared" ref="DN6:DN10" si="69">DM6/DL6*100</f>
        <v>92.295916947312747</v>
      </c>
      <c r="DO6" s="80">
        <f t="shared" ref="DO6:DP6" si="70">DO26+DO53</f>
        <v>968958</v>
      </c>
      <c r="DP6" s="80">
        <f t="shared" si="70"/>
        <v>838769</v>
      </c>
      <c r="DQ6" s="85">
        <f t="shared" ref="DQ6:DQ7" si="71">DP6/DO6*100</f>
        <v>86.564020318734151</v>
      </c>
      <c r="DR6" s="80">
        <f>SUM(B6+E6+H6+K6+N6+Q6+T6+W6+Z6+AC6+AF6+AI6+AL6+AO6+AR6+AU6+AX6+BA6+BD6+BG6+BJ6+BM6+BP6+BS6+BV6+BY6+CB6+CE6+CH6+CK6+CN6+CQ6+CT6+CW6+CZ6+DC6+DF6+DI6+DL6+DO6)</f>
        <v>21848851</v>
      </c>
      <c r="DS6" s="80">
        <f>SUM(C6+F6+I6+L6+O6+R6+U6+X6+AA6+AD6+AG6+AJ6+AM6+AP6+AS6+AV6+AY6+BB6+BE6+BH6+BK6+BN6+BQ6+BT6+BW6+BZ6+CC6+CF6+CI6+CL6+CO6+CR6+CU6+CX6+DA6+DD6+DG6+DJ6+DM6+DP6)</f>
        <v>21692215.600000001</v>
      </c>
      <c r="DT6" s="85">
        <f>DS6/DR6*100</f>
        <v>99.283095481771568</v>
      </c>
      <c r="DU6" s="80">
        <f>DU26+DU53</f>
        <v>17608</v>
      </c>
      <c r="DV6" s="80">
        <f>DV26+DV53</f>
        <v>12303</v>
      </c>
      <c r="DW6" s="85">
        <f t="shared" ref="DW6:DW10" si="72">DV6/DU6*100</f>
        <v>69.871649250340752</v>
      </c>
      <c r="DX6" s="80">
        <f t="shared" ref="DX6:DY6" si="73">DX26+DX53</f>
        <v>5811</v>
      </c>
      <c r="DY6" s="80">
        <f t="shared" si="73"/>
        <v>5789</v>
      </c>
      <c r="DZ6" s="85">
        <f t="shared" ref="DZ6:DZ10" si="74">DY6/DX6*100</f>
        <v>99.621407675098951</v>
      </c>
      <c r="EA6" s="80">
        <f t="shared" ref="EA6:EB6" si="75">EA26+EA53</f>
        <v>5832</v>
      </c>
      <c r="EB6" s="80">
        <f t="shared" si="75"/>
        <v>5440</v>
      </c>
      <c r="EC6" s="85">
        <f t="shared" ref="EC6:EC10" si="76">EB6/EA6*100</f>
        <v>93.27846364883402</v>
      </c>
      <c r="ED6" s="80">
        <f t="shared" ref="ED6:EE6" si="77">ED26+ED53</f>
        <v>330502</v>
      </c>
      <c r="EE6" s="80">
        <f t="shared" si="77"/>
        <v>260493</v>
      </c>
      <c r="EF6" s="85">
        <f t="shared" ref="EF6:EF10" si="78">EE6/ED6*100</f>
        <v>78.817374781393156</v>
      </c>
      <c r="EG6" s="80">
        <f t="shared" ref="EG6:EH6" si="79">EG26+EG53</f>
        <v>116046</v>
      </c>
      <c r="EH6" s="80">
        <f t="shared" si="79"/>
        <v>76526</v>
      </c>
      <c r="EI6" s="85">
        <f t="shared" ref="EI6:EI10" si="80">EH6/EG6*100</f>
        <v>65.944539234441507</v>
      </c>
      <c r="EJ6" s="80">
        <f t="shared" ref="EJ6:EK6" si="81">EJ26+EJ53</f>
        <v>79759</v>
      </c>
      <c r="EK6" s="80">
        <f t="shared" si="81"/>
        <v>37118</v>
      </c>
      <c r="EL6" s="85">
        <f t="shared" ref="EL6:EL10" si="82">EK6/EJ6*100</f>
        <v>46.537694805601873</v>
      </c>
      <c r="EM6" s="80">
        <f t="shared" ref="EM6:EN6" si="83">EM26+EM53</f>
        <v>14410</v>
      </c>
      <c r="EN6" s="80">
        <f t="shared" si="83"/>
        <v>14264</v>
      </c>
      <c r="EO6" s="85">
        <f t="shared" ref="EO6:EO10" si="84">EN6/EM6*100</f>
        <v>98.986814712005554</v>
      </c>
      <c r="EP6" s="80">
        <f t="shared" ref="EP6:EQ6" si="85">EP26+EP53</f>
        <v>1445232</v>
      </c>
      <c r="EQ6" s="80">
        <f t="shared" si="85"/>
        <v>1471892</v>
      </c>
      <c r="ER6" s="85">
        <f t="shared" ref="ER6:ER10" si="86">EQ6/EP6*100</f>
        <v>101.84468652783774</v>
      </c>
      <c r="ES6" s="80">
        <f t="shared" ref="ES6:ET6" si="87">ES26+ES53</f>
        <v>534968</v>
      </c>
      <c r="ET6" s="80">
        <f t="shared" si="87"/>
        <v>538750</v>
      </c>
      <c r="EU6" s="85">
        <f t="shared" ref="EU6:EU10" si="88">ET6/ES6*100</f>
        <v>100.70695817319914</v>
      </c>
      <c r="EV6" s="80">
        <f>DU6+DX6+EA6+ED6+EG6+EJ6+EM6+EP6+ES6</f>
        <v>2550168</v>
      </c>
      <c r="EW6" s="80">
        <f>DV6+DY6+EB6+EE6+EH6+EK6+EN6+EQ6+ET6</f>
        <v>2422575</v>
      </c>
      <c r="EX6" s="85">
        <f t="shared" ref="EX6:EX19" si="89">EW6/EV6*100</f>
        <v>94.996682571501168</v>
      </c>
      <c r="EY6" s="80">
        <f t="shared" ref="EY6:EZ6" si="90">EY26+EY53</f>
        <v>69860</v>
      </c>
      <c r="EZ6" s="80">
        <f t="shared" si="90"/>
        <v>70134</v>
      </c>
      <c r="FA6" s="85">
        <f t="shared" ref="FA6:FA10" si="91">EZ6/EY6*100</f>
        <v>100.39221299742343</v>
      </c>
      <c r="FB6" s="80">
        <f t="shared" ref="FB6:FC6" si="92">FB26+FB53</f>
        <v>155006</v>
      </c>
      <c r="FC6" s="80">
        <f t="shared" si="92"/>
        <v>159215</v>
      </c>
      <c r="FD6" s="85">
        <f t="shared" ref="FD6:FD10" si="93">FC6/FB6*100</f>
        <v>102.71537875953189</v>
      </c>
      <c r="FE6" s="80">
        <f t="shared" ref="FE6:FF6" si="94">FE26+FE53</f>
        <v>63801</v>
      </c>
      <c r="FF6" s="80">
        <f t="shared" si="94"/>
        <v>69408</v>
      </c>
      <c r="FG6" s="85">
        <f t="shared" ref="FG6:FG10" si="95">FF6/FE6*100</f>
        <v>108.78826350684159</v>
      </c>
      <c r="FH6" s="80">
        <f t="shared" ref="FH6:FI6" si="96">FH26+FH53</f>
        <v>318036</v>
      </c>
      <c r="FI6" s="80">
        <f t="shared" si="96"/>
        <v>493265</v>
      </c>
      <c r="FJ6" s="85">
        <f t="shared" ref="FJ6:FJ10" si="97">FI6/FH6*100</f>
        <v>155.09722169817252</v>
      </c>
      <c r="FK6" s="85"/>
      <c r="FL6" s="80">
        <f t="shared" ref="FL6" si="98">FL26+FL53</f>
        <v>46367</v>
      </c>
      <c r="FM6" s="85"/>
      <c r="FN6" s="80">
        <f t="shared" ref="FN6:FO6" si="99">FN26+FN53</f>
        <v>124662</v>
      </c>
      <c r="FO6" s="80">
        <f t="shared" si="99"/>
        <v>136018</v>
      </c>
      <c r="FP6" s="85">
        <f t="shared" ref="FP6:FP10" si="100">FO6/FN6*100</f>
        <v>109.10943190386806</v>
      </c>
      <c r="FQ6" s="80">
        <f t="shared" ref="FQ6:FR6" si="101">FQ26+FQ53</f>
        <v>235020</v>
      </c>
      <c r="FR6" s="80">
        <f t="shared" si="101"/>
        <v>227009</v>
      </c>
      <c r="FS6" s="85">
        <f t="shared" ref="FS6:FS10" si="102">FR6/FQ6*100</f>
        <v>96.591353927325329</v>
      </c>
      <c r="FT6" s="80">
        <f t="shared" ref="FT6:FU6" si="103">FT26+FT53</f>
        <v>114364</v>
      </c>
      <c r="FU6" s="80">
        <f t="shared" si="103"/>
        <v>123230</v>
      </c>
      <c r="FV6" s="85">
        <f t="shared" ref="FV6:FV10" si="104">FU6/FT6*100</f>
        <v>107.75243957888847</v>
      </c>
      <c r="FW6" s="80">
        <f t="shared" ref="FW6:FX6" si="105">FW26+FW53</f>
        <v>166255</v>
      </c>
      <c r="FX6" s="80">
        <f t="shared" si="105"/>
        <v>173676</v>
      </c>
      <c r="FY6" s="85">
        <f t="shared" ref="FY6:FY10" si="106">FX6/FW6*100</f>
        <v>104.4636251541307</v>
      </c>
      <c r="FZ6" s="80">
        <f t="shared" ref="FZ6:GA6" si="107">FZ26+FZ53</f>
        <v>96824</v>
      </c>
      <c r="GA6" s="80">
        <f t="shared" si="107"/>
        <v>108816</v>
      </c>
      <c r="GB6" s="85">
        <f t="shared" ref="GB6:GB10" si="108">GA6/FZ6*100</f>
        <v>112.38535900190037</v>
      </c>
      <c r="GC6" s="80">
        <f t="shared" ref="GC6:GD6" si="109">GC26+GC53</f>
        <v>16644</v>
      </c>
      <c r="GD6" s="80">
        <f t="shared" si="109"/>
        <v>20276</v>
      </c>
      <c r="GE6" s="85">
        <f t="shared" ref="GE6:GE10" si="110">GD6/GC6*100</f>
        <v>121.82167748137466</v>
      </c>
      <c r="GF6" s="80">
        <f t="shared" ref="GF6:GG6" si="111">GF26+GF53</f>
        <v>59358</v>
      </c>
      <c r="GG6" s="80">
        <f t="shared" si="111"/>
        <v>57090</v>
      </c>
      <c r="GH6" s="85">
        <f t="shared" ref="GH6:GH11" si="112">GG6/GF6*100</f>
        <v>96.179116547053468</v>
      </c>
      <c r="GI6" s="80">
        <f t="shared" ref="GI6:GJ6" si="113">GI26+GI53</f>
        <v>71644</v>
      </c>
      <c r="GJ6" s="80">
        <f t="shared" si="113"/>
        <v>70550</v>
      </c>
      <c r="GK6" s="85">
        <f t="shared" ref="GK6:GK10" si="114">GJ6/GI6*100</f>
        <v>98.47300541566635</v>
      </c>
      <c r="GL6" s="80">
        <f t="shared" ref="GL6:GM6" si="115">GL26+GL53</f>
        <v>792126</v>
      </c>
      <c r="GM6" s="80">
        <f t="shared" si="115"/>
        <v>808636</v>
      </c>
      <c r="GN6" s="85">
        <f t="shared" ref="GN6:GN10" si="116">GM6/GL6*100</f>
        <v>102.08426437208222</v>
      </c>
      <c r="GO6" s="80">
        <f t="shared" ref="GO6:GO37" si="117">EY6+FB6+FE6+FH6+FN6+FQ6+FT6+FW6+FZ6+GC6+GF6+GI6+GL6</f>
        <v>2283600</v>
      </c>
      <c r="GP6" s="80">
        <f t="shared" ref="GP6" si="118">GP26+GP53</f>
        <v>2563690</v>
      </c>
      <c r="GQ6" s="85">
        <f t="shared" ref="GQ6:GQ11" si="119">GP6/GO6*100</f>
        <v>112.26528288667016</v>
      </c>
      <c r="GR6" s="80">
        <f t="shared" ref="GR6:GS6" si="120">GR26+GR53</f>
        <v>1021191</v>
      </c>
      <c r="GS6" s="80">
        <f t="shared" si="120"/>
        <v>1042919</v>
      </c>
      <c r="GT6" s="85">
        <f t="shared" ref="GT6:GT10" si="121">GS6/GR6*100</f>
        <v>102.127711662167</v>
      </c>
      <c r="GU6" s="80">
        <f t="shared" ref="GU6:GV6" si="122">GU26+GU53</f>
        <v>1713302</v>
      </c>
      <c r="GV6" s="80">
        <f t="shared" si="122"/>
        <v>1820317</v>
      </c>
      <c r="GW6" s="85">
        <f t="shared" ref="GW6:GW10" si="123">GV6/GU6*100</f>
        <v>106.24612590191337</v>
      </c>
      <c r="GX6" s="80">
        <f t="shared" ref="GX6:GY6" si="124">GX26+GX53</f>
        <v>1526944</v>
      </c>
      <c r="GY6" s="80">
        <f t="shared" si="124"/>
        <v>1340388</v>
      </c>
      <c r="GZ6" s="85">
        <f t="shared" ref="GZ6:GZ10" si="125">GY6/GX6*100</f>
        <v>87.782394115304811</v>
      </c>
      <c r="HA6" s="80">
        <f>GO6+GR6+GU6+GX6</f>
        <v>6545037</v>
      </c>
      <c r="HB6" s="80">
        <f>GP6+GS6+GV6+GY6</f>
        <v>6767314</v>
      </c>
      <c r="HC6" s="85">
        <f t="shared" ref="HC6:HC11" si="126">HB6/HA6*100</f>
        <v>103.39611525496342</v>
      </c>
      <c r="HD6" s="80">
        <f t="shared" ref="HD6:HD37" si="127">DR6+EV6+HA6</f>
        <v>30944056</v>
      </c>
      <c r="HE6" s="80">
        <f t="shared" ref="HE6:HE37" si="128">DS6+EW6+HB6</f>
        <v>30882104.600000001</v>
      </c>
      <c r="HF6" s="236">
        <f t="shared" ref="HF6:HF69" si="129">HE6/HD6*100</f>
        <v>99.799795476068169</v>
      </c>
      <c r="HH6" s="242"/>
      <c r="HI6" s="242"/>
    </row>
    <row r="7" spans="1:217" ht="15" customHeight="1" x14ac:dyDescent="0.25">
      <c r="A7" s="208" t="s">
        <v>334</v>
      </c>
      <c r="B7" s="722">
        <f>B8+B9+B10+B11+B12</f>
        <v>167015</v>
      </c>
      <c r="C7" s="722">
        <f>C8+C9+C10+C11+C12</f>
        <v>206863</v>
      </c>
      <c r="D7" s="86">
        <f t="shared" si="0"/>
        <v>123.85893482621321</v>
      </c>
      <c r="E7" s="722">
        <f t="shared" ref="E7:F7" si="130">E8+E9+E10+E11+E12</f>
        <v>0</v>
      </c>
      <c r="F7" s="722">
        <f t="shared" si="130"/>
        <v>0</v>
      </c>
      <c r="G7" s="86"/>
      <c r="H7" s="722">
        <f t="shared" ref="H7:I7" si="131">H8+H9+H10+H11+H12</f>
        <v>3353</v>
      </c>
      <c r="I7" s="722">
        <f t="shared" si="131"/>
        <v>3353</v>
      </c>
      <c r="J7" s="86">
        <f t="shared" si="3"/>
        <v>100</v>
      </c>
      <c r="K7" s="722">
        <f t="shared" ref="K7:L7" si="132">K8+K9+K10+K11+K12</f>
        <v>6832</v>
      </c>
      <c r="L7" s="722">
        <f t="shared" si="132"/>
        <v>22185.599999999999</v>
      </c>
      <c r="M7" s="86">
        <f t="shared" si="5"/>
        <v>324.73067915690865</v>
      </c>
      <c r="N7" s="722">
        <f t="shared" ref="N7:O7" si="133">N8+N9+N10+N11+N12</f>
        <v>156998</v>
      </c>
      <c r="O7" s="722">
        <f t="shared" si="133"/>
        <v>27715</v>
      </c>
      <c r="P7" s="86">
        <f t="shared" si="7"/>
        <v>17.653091122179902</v>
      </c>
      <c r="Q7" s="722">
        <f t="shared" ref="Q7:R7" si="134">Q8+Q9+Q10+Q11+Q12</f>
        <v>513406</v>
      </c>
      <c r="R7" s="722">
        <f t="shared" si="134"/>
        <v>284466</v>
      </c>
      <c r="S7" s="86">
        <f t="shared" si="9"/>
        <v>55.407611130372459</v>
      </c>
      <c r="T7" s="722">
        <f t="shared" ref="T7:U7" si="135">T8+T9+T10+T11+T12</f>
        <v>0</v>
      </c>
      <c r="U7" s="722">
        <f t="shared" si="135"/>
        <v>0</v>
      </c>
      <c r="V7" s="86"/>
      <c r="W7" s="722">
        <f t="shared" ref="W7:X7" si="136">W8+W9+W10+W11+W12</f>
        <v>7000</v>
      </c>
      <c r="X7" s="722">
        <f t="shared" si="136"/>
        <v>5504</v>
      </c>
      <c r="Y7" s="86">
        <f t="shared" si="13"/>
        <v>78.628571428571419</v>
      </c>
      <c r="Z7" s="722">
        <f t="shared" ref="Z7:AA7" si="137">Z8+Z9+Z10+Z11+Z12</f>
        <v>0</v>
      </c>
      <c r="AA7" s="722">
        <f t="shared" si="137"/>
        <v>28722</v>
      </c>
      <c r="AB7" s="86"/>
      <c r="AC7" s="722">
        <f t="shared" ref="AC7:AD7" si="138">AC8+AC9+AC10+AC11+AC12</f>
        <v>0</v>
      </c>
      <c r="AD7" s="722">
        <f t="shared" si="138"/>
        <v>0</v>
      </c>
      <c r="AE7" s="86"/>
      <c r="AF7" s="722">
        <f t="shared" ref="AF7:AG7" si="139">AF8+AF9+AF10+AF11+AF12</f>
        <v>5050</v>
      </c>
      <c r="AG7" s="722">
        <f t="shared" si="139"/>
        <v>14850</v>
      </c>
      <c r="AH7" s="86">
        <f t="shared" si="18"/>
        <v>294.05940594059405</v>
      </c>
      <c r="AI7" s="722">
        <f t="shared" ref="AI7:AJ7" si="140">AI8+AI9+AI10+AI11+AI12</f>
        <v>13210</v>
      </c>
      <c r="AJ7" s="722">
        <f t="shared" si="140"/>
        <v>30190</v>
      </c>
      <c r="AK7" s="86">
        <f t="shared" si="20"/>
        <v>228.53898561695684</v>
      </c>
      <c r="AL7" s="722">
        <f t="shared" ref="AL7:AM7" si="141">AL8+AL9+AL10+AL11+AL12</f>
        <v>143901</v>
      </c>
      <c r="AM7" s="722">
        <f t="shared" si="141"/>
        <v>124200</v>
      </c>
      <c r="AN7" s="86">
        <f t="shared" si="22"/>
        <v>86.309337669647874</v>
      </c>
      <c r="AO7" s="722">
        <f t="shared" ref="AO7:AP7" si="142">AO8+AO9+AO10+AO11+AO12</f>
        <v>1105948</v>
      </c>
      <c r="AP7" s="722">
        <f t="shared" si="142"/>
        <v>1108100</v>
      </c>
      <c r="AQ7" s="86">
        <f t="shared" si="24"/>
        <v>100.19458419383189</v>
      </c>
      <c r="AR7" s="722">
        <f t="shared" ref="AR7:AS7" si="143">AR8+AR9+AR10+AR11+AR12</f>
        <v>15000</v>
      </c>
      <c r="AS7" s="722">
        <f t="shared" si="143"/>
        <v>8200</v>
      </c>
      <c r="AT7" s="86">
        <f t="shared" si="26"/>
        <v>54.666666666666664</v>
      </c>
      <c r="AU7" s="722">
        <f t="shared" ref="AU7:AV7" si="144">AU8+AU9+AU10+AU11+AU12</f>
        <v>137107</v>
      </c>
      <c r="AV7" s="722">
        <f t="shared" si="144"/>
        <v>168350</v>
      </c>
      <c r="AW7" s="86">
        <f t="shared" si="28"/>
        <v>122.7873120993093</v>
      </c>
      <c r="AX7" s="722">
        <f t="shared" ref="AX7:AY7" si="145">AX8+AX9+AX10+AX11+AX12</f>
        <v>58189</v>
      </c>
      <c r="AY7" s="722">
        <f t="shared" si="145"/>
        <v>117280</v>
      </c>
      <c r="AZ7" s="86">
        <f t="shared" si="30"/>
        <v>201.55012115691969</v>
      </c>
      <c r="BA7" s="722">
        <f t="shared" ref="BA7:BB7" si="146">BA8+BA9+BA10+BA11+BA12</f>
        <v>0</v>
      </c>
      <c r="BB7" s="722">
        <f t="shared" si="146"/>
        <v>20000</v>
      </c>
      <c r="BC7" s="86"/>
      <c r="BD7" s="722">
        <f t="shared" ref="BD7:BE7" si="147">BD8+BD9+BD10+BD11+BD12</f>
        <v>300</v>
      </c>
      <c r="BE7" s="722">
        <f t="shared" si="147"/>
        <v>300</v>
      </c>
      <c r="BF7" s="86">
        <f t="shared" si="33"/>
        <v>100</v>
      </c>
      <c r="BG7" s="722">
        <f t="shared" ref="BG7:BH7" si="148">BG8+BG9+BG10+BG11+BG12</f>
        <v>146888</v>
      </c>
      <c r="BH7" s="722">
        <f t="shared" si="148"/>
        <v>170376</v>
      </c>
      <c r="BI7" s="86">
        <f t="shared" si="35"/>
        <v>115.99041446544305</v>
      </c>
      <c r="BJ7" s="722">
        <f t="shared" ref="BJ7:BK7" si="149">BJ8+BJ9+BJ10+BJ11+BJ12</f>
        <v>0</v>
      </c>
      <c r="BK7" s="722">
        <f t="shared" si="149"/>
        <v>0</v>
      </c>
      <c r="BL7" s="86"/>
      <c r="BM7" s="722">
        <f t="shared" ref="BM7:BN7" si="150">BM8+BM9+BM10+BM11+BM12</f>
        <v>3500</v>
      </c>
      <c r="BN7" s="722">
        <f t="shared" si="150"/>
        <v>3800</v>
      </c>
      <c r="BO7" s="86">
        <f t="shared" si="38"/>
        <v>108.57142857142857</v>
      </c>
      <c r="BP7" s="722">
        <f t="shared" ref="BP7:BQ7" si="151">BP8+BP9+BP10+BP11+BP12</f>
        <v>45078</v>
      </c>
      <c r="BQ7" s="722">
        <f t="shared" si="151"/>
        <v>111024</v>
      </c>
      <c r="BR7" s="86">
        <f t="shared" si="40"/>
        <v>246.29309197391188</v>
      </c>
      <c r="BS7" s="722">
        <f t="shared" ref="BS7:BT7" si="152">BS8+BS9+BS10+BS11+BS12</f>
        <v>137489</v>
      </c>
      <c r="BT7" s="722">
        <f t="shared" si="152"/>
        <v>128204</v>
      </c>
      <c r="BU7" s="86">
        <f t="shared" si="42"/>
        <v>93.246732465869997</v>
      </c>
      <c r="BV7" s="722">
        <f t="shared" ref="BV7:BW7" si="153">BV8+BV9+BV10+BV11+BV12</f>
        <v>0</v>
      </c>
      <c r="BW7" s="722">
        <f t="shared" si="153"/>
        <v>0</v>
      </c>
      <c r="BX7" s="86"/>
      <c r="BY7" s="722">
        <f t="shared" ref="BY7:BZ7" si="154">BY8+BY9+BY10+BY11+BY12</f>
        <v>943567</v>
      </c>
      <c r="BZ7" s="722">
        <f t="shared" si="154"/>
        <v>1124710</v>
      </c>
      <c r="CA7" s="86">
        <f t="shared" si="45"/>
        <v>119.19768283545314</v>
      </c>
      <c r="CB7" s="722">
        <f t="shared" ref="CB7:CC7" si="155">CB8+CB9+CB10+CB11+CB12</f>
        <v>0</v>
      </c>
      <c r="CC7" s="722">
        <f t="shared" si="155"/>
        <v>0</v>
      </c>
      <c r="CD7" s="86"/>
      <c r="CE7" s="722">
        <f t="shared" ref="CE7:CF7" si="156">CE8+CE9+CE10+CE11+CE12</f>
        <v>3449594</v>
      </c>
      <c r="CF7" s="722">
        <f t="shared" si="156"/>
        <v>3255440</v>
      </c>
      <c r="CG7" s="86">
        <f t="shared" si="48"/>
        <v>94.371685479508599</v>
      </c>
      <c r="CH7" s="722">
        <f t="shared" ref="CH7:CI7" si="157">CH8+CH9+CH10+CH11+CH12</f>
        <v>0</v>
      </c>
      <c r="CI7" s="722">
        <f t="shared" si="157"/>
        <v>1455</v>
      </c>
      <c r="CJ7" s="86"/>
      <c r="CK7" s="722">
        <f t="shared" ref="CK7:CL7" si="158">CK8+CK9+CK10+CK11+CK12</f>
        <v>266685</v>
      </c>
      <c r="CL7" s="722">
        <f t="shared" si="158"/>
        <v>145436</v>
      </c>
      <c r="CM7" s="86">
        <f t="shared" si="52"/>
        <v>54.534750735886902</v>
      </c>
      <c r="CN7" s="722">
        <f t="shared" ref="CN7:CO7" si="159">CN8+CN9+CN10+CN11+CN12</f>
        <v>7600</v>
      </c>
      <c r="CO7" s="722">
        <f t="shared" si="159"/>
        <v>21530</v>
      </c>
      <c r="CP7" s="86">
        <f t="shared" si="54"/>
        <v>283.28947368421052</v>
      </c>
      <c r="CQ7" s="722">
        <f t="shared" ref="CQ7:CR7" si="160">CQ8+CQ9+CQ10+CQ11+CQ12</f>
        <v>0</v>
      </c>
      <c r="CR7" s="722">
        <f t="shared" si="160"/>
        <v>0</v>
      </c>
      <c r="CS7" s="86"/>
      <c r="CT7" s="722">
        <f t="shared" ref="CT7:CU7" si="161">CT8+CT9+CT10+CT11+CT12</f>
        <v>1000</v>
      </c>
      <c r="CU7" s="722">
        <f t="shared" si="161"/>
        <v>1000</v>
      </c>
      <c r="CV7" s="86">
        <f t="shared" si="57"/>
        <v>100</v>
      </c>
      <c r="CW7" s="722">
        <f t="shared" ref="CW7:CX7" si="162">CW8+CW9+CW10+CW11+CW12</f>
        <v>6700</v>
      </c>
      <c r="CX7" s="722">
        <f t="shared" si="162"/>
        <v>10000</v>
      </c>
      <c r="CY7" s="86">
        <f t="shared" si="59"/>
        <v>149.25373134328359</v>
      </c>
      <c r="CZ7" s="722">
        <f t="shared" ref="CZ7:DA7" si="163">CZ8+CZ9+CZ10+CZ11+CZ12</f>
        <v>75742</v>
      </c>
      <c r="DA7" s="722">
        <f t="shared" si="163"/>
        <v>86096</v>
      </c>
      <c r="DB7" s="86">
        <f t="shared" si="61"/>
        <v>113.67009057062131</v>
      </c>
      <c r="DC7" s="722">
        <f t="shared" ref="DC7:DD7" si="164">DC8+DC9+DC10+DC11+DC12</f>
        <v>0</v>
      </c>
      <c r="DD7" s="722">
        <f t="shared" si="164"/>
        <v>0</v>
      </c>
      <c r="DE7" s="86"/>
      <c r="DF7" s="722">
        <f t="shared" ref="DF7:DG7" si="165">DF8+DF9+DF10+DF11+DF12</f>
        <v>263782</v>
      </c>
      <c r="DG7" s="722">
        <f t="shared" si="165"/>
        <v>260465</v>
      </c>
      <c r="DH7" s="86">
        <f t="shared" si="65"/>
        <v>98.742522234269202</v>
      </c>
      <c r="DI7" s="722">
        <f t="shared" ref="DI7:DJ7" si="166">DI8+DI9+DI10+DI11+DI12</f>
        <v>102568</v>
      </c>
      <c r="DJ7" s="722">
        <f t="shared" si="166"/>
        <v>124130</v>
      </c>
      <c r="DK7" s="86">
        <f t="shared" si="67"/>
        <v>121.02215115825598</v>
      </c>
      <c r="DL7" s="722">
        <f t="shared" ref="DL7:DM7" si="167">DL8+DL9+DL10+DL11+DL12</f>
        <v>143716</v>
      </c>
      <c r="DM7" s="722">
        <f t="shared" si="167"/>
        <v>132644</v>
      </c>
      <c r="DN7" s="86">
        <f t="shared" si="69"/>
        <v>92.295916947312747</v>
      </c>
      <c r="DO7" s="722">
        <f t="shared" ref="DO7:DP7" si="168">DO8+DO9+DO10+DO11+DO12</f>
        <v>933958</v>
      </c>
      <c r="DP7" s="722">
        <f t="shared" si="168"/>
        <v>838769</v>
      </c>
      <c r="DQ7" s="86">
        <f t="shared" si="71"/>
        <v>89.807999931474441</v>
      </c>
      <c r="DR7" s="4">
        <f t="shared" ref="DR7:DS70" si="169">SUM(B7+E7+H7+K7+N7+Q7+T7+W7+Z7+AC7+AF7+AI7+AL7+AO7+AR7+AU7+AX7+BA7+BD7+BG7+BJ7+BM7+BP7+BS7+BV7+BY7+CB7+CE7+CH7+CK7+CN7+CQ7+CT7+CW7+CZ7+DC7+DF7+DI7+DL7+DO7)</f>
        <v>8861176</v>
      </c>
      <c r="DS7" s="4">
        <f t="shared" si="169"/>
        <v>8585357.5999999996</v>
      </c>
      <c r="DT7" s="84">
        <f t="shared" ref="DT7:DT70" si="170">DS7/DR7*100</f>
        <v>96.88733865572695</v>
      </c>
      <c r="DU7" s="35">
        <f>DU8+DU9+DU10+DU11+DU12</f>
        <v>17608</v>
      </c>
      <c r="DV7" s="35">
        <f>DV8+DV9+DV10+DV11+DV12</f>
        <v>12303</v>
      </c>
      <c r="DW7" s="84">
        <f t="shared" si="72"/>
        <v>69.871649250340752</v>
      </c>
      <c r="DX7" s="35">
        <f t="shared" ref="DX7:DY7" si="171">DX8+DX9+DX10+DX11+DX12</f>
        <v>5811</v>
      </c>
      <c r="DY7" s="35">
        <f t="shared" si="171"/>
        <v>5789</v>
      </c>
      <c r="DZ7" s="84">
        <f t="shared" si="74"/>
        <v>99.621407675098951</v>
      </c>
      <c r="EA7" s="35">
        <f t="shared" ref="EA7:EB7" si="172">EA8+EA9+EA10+EA11+EA12</f>
        <v>5832</v>
      </c>
      <c r="EB7" s="35">
        <f t="shared" si="172"/>
        <v>5440</v>
      </c>
      <c r="EC7" s="84">
        <f t="shared" si="76"/>
        <v>93.27846364883402</v>
      </c>
      <c r="ED7" s="35">
        <f t="shared" ref="ED7:EE7" si="173">ED8+ED9+ED10+ED11+ED12</f>
        <v>284002</v>
      </c>
      <c r="EE7" s="35">
        <f t="shared" si="173"/>
        <v>244112</v>
      </c>
      <c r="EF7" s="84">
        <f t="shared" si="78"/>
        <v>85.954324265322086</v>
      </c>
      <c r="EG7" s="35">
        <f t="shared" ref="EG7:EH7" si="174">EG8+EG9+EG10+EG11+EG12</f>
        <v>47596</v>
      </c>
      <c r="EH7" s="35">
        <f t="shared" si="174"/>
        <v>41526</v>
      </c>
      <c r="EI7" s="84">
        <f t="shared" si="80"/>
        <v>87.24682746449281</v>
      </c>
      <c r="EJ7" s="35">
        <f t="shared" ref="EJ7:EK7" si="175">EJ8+EJ9+EJ10+EJ11+EJ12</f>
        <v>79759</v>
      </c>
      <c r="EK7" s="35">
        <f t="shared" si="175"/>
        <v>37118</v>
      </c>
      <c r="EL7" s="84">
        <f t="shared" si="82"/>
        <v>46.537694805601873</v>
      </c>
      <c r="EM7" s="35">
        <f t="shared" ref="EM7:EN7" si="176">EM8+EM9+EM10+EM11+EM12</f>
        <v>14410</v>
      </c>
      <c r="EN7" s="35">
        <f t="shared" si="176"/>
        <v>14264</v>
      </c>
      <c r="EO7" s="84">
        <f t="shared" si="84"/>
        <v>98.986814712005554</v>
      </c>
      <c r="EP7" s="35">
        <f t="shared" ref="EP7:EQ7" si="177">EP8+EP9+EP10+EP11+EP12</f>
        <v>1445232</v>
      </c>
      <c r="EQ7" s="35">
        <f t="shared" si="177"/>
        <v>1471892</v>
      </c>
      <c r="ER7" s="84">
        <f t="shared" si="86"/>
        <v>101.84468652783774</v>
      </c>
      <c r="ES7" s="35">
        <f t="shared" ref="ES7:ET7" si="178">ES8+ES9+ES10+ES11+ES12</f>
        <v>532968</v>
      </c>
      <c r="ET7" s="35">
        <f t="shared" si="178"/>
        <v>536210</v>
      </c>
      <c r="EU7" s="84">
        <f t="shared" si="88"/>
        <v>100.60829167980066</v>
      </c>
      <c r="EV7" s="4">
        <f t="shared" ref="EV7:EW70" si="179">DU7+DX7+EA7+ED7+EG7+EJ7+EM7+EP7+ES7</f>
        <v>2433218</v>
      </c>
      <c r="EW7" s="4">
        <f t="shared" si="179"/>
        <v>2368654</v>
      </c>
      <c r="EX7" s="84">
        <f t="shared" si="89"/>
        <v>97.346559165681001</v>
      </c>
      <c r="EY7" s="35">
        <f t="shared" ref="EY7:EZ7" si="180">EY8+EY9+EY10+EY11+EY12</f>
        <v>69860</v>
      </c>
      <c r="EZ7" s="35">
        <f t="shared" si="180"/>
        <v>69834</v>
      </c>
      <c r="FA7" s="84">
        <f t="shared" si="91"/>
        <v>99.962782708273693</v>
      </c>
      <c r="FB7" s="35">
        <f t="shared" ref="FB7:FC7" si="181">FB8+FB9+FB10+FB11+FB12</f>
        <v>155006</v>
      </c>
      <c r="FC7" s="35">
        <f t="shared" si="181"/>
        <v>158765</v>
      </c>
      <c r="FD7" s="84">
        <f t="shared" si="93"/>
        <v>102.42506741674515</v>
      </c>
      <c r="FE7" s="35">
        <f t="shared" ref="FE7:FF7" si="182">FE8+FE9+FE10+FE11+FE12</f>
        <v>63801</v>
      </c>
      <c r="FF7" s="35">
        <f t="shared" si="182"/>
        <v>68958</v>
      </c>
      <c r="FG7" s="84">
        <f t="shared" si="95"/>
        <v>108.08294540837917</v>
      </c>
      <c r="FH7" s="35">
        <f t="shared" ref="FH7:FI7" si="183">FH8+FH9+FH10+FH11+FH12</f>
        <v>316096</v>
      </c>
      <c r="FI7" s="35">
        <f t="shared" si="183"/>
        <v>442865</v>
      </c>
      <c r="FJ7" s="84">
        <f t="shared" si="97"/>
        <v>140.10458847944929</v>
      </c>
      <c r="FK7" s="84"/>
      <c r="FL7" s="35">
        <f t="shared" ref="FL7" si="184">FL8+FL9+FL10+FL11+FL12</f>
        <v>46367</v>
      </c>
      <c r="FM7" s="84"/>
      <c r="FN7" s="35">
        <f t="shared" ref="FN7:FO7" si="185">FN8+FN9+FN10+FN11+FN12</f>
        <v>124662</v>
      </c>
      <c r="FO7" s="35">
        <f t="shared" si="185"/>
        <v>135518</v>
      </c>
      <c r="FP7" s="84">
        <f t="shared" si="100"/>
        <v>108.70834737129198</v>
      </c>
      <c r="FQ7" s="35">
        <f t="shared" ref="FQ7:FR7" si="186">FQ8+FQ9+FQ10+FQ11+FQ12</f>
        <v>235020</v>
      </c>
      <c r="FR7" s="35">
        <f t="shared" si="186"/>
        <v>226809</v>
      </c>
      <c r="FS7" s="84">
        <f t="shared" si="102"/>
        <v>96.506254786826645</v>
      </c>
      <c r="FT7" s="35">
        <f t="shared" ref="FT7:FU7" si="187">FT8+FT9+FT10+FT11+FT12</f>
        <v>113615</v>
      </c>
      <c r="FU7" s="35">
        <f t="shared" si="187"/>
        <v>122830</v>
      </c>
      <c r="FV7" s="84">
        <f t="shared" si="104"/>
        <v>108.11072481626547</v>
      </c>
      <c r="FW7" s="35">
        <f t="shared" ref="FW7:FX7" si="188">FW8+FW9+FW10+FW11+FW12</f>
        <v>153590</v>
      </c>
      <c r="FX7" s="35">
        <f t="shared" si="188"/>
        <v>164126</v>
      </c>
      <c r="FY7" s="84">
        <f t="shared" si="106"/>
        <v>106.85982160296894</v>
      </c>
      <c r="FZ7" s="35">
        <f t="shared" ref="FZ7:GA7" si="189">FZ8+FZ9+FZ10+FZ11+FZ12</f>
        <v>93427</v>
      </c>
      <c r="GA7" s="35">
        <f t="shared" si="189"/>
        <v>105716</v>
      </c>
      <c r="GB7" s="84">
        <f t="shared" si="108"/>
        <v>113.15358515204383</v>
      </c>
      <c r="GC7" s="35">
        <f t="shared" ref="GC7:GD7" si="190">GC8+GC9+GC10+GC11+GC12</f>
        <v>16644</v>
      </c>
      <c r="GD7" s="35">
        <f t="shared" si="190"/>
        <v>20176</v>
      </c>
      <c r="GE7" s="84">
        <f t="shared" si="110"/>
        <v>121.22086037010334</v>
      </c>
      <c r="GF7" s="35">
        <f t="shared" ref="GF7:GG7" si="191">GF8+GF9+GF10+GF11+GF12</f>
        <v>57669</v>
      </c>
      <c r="GG7" s="35">
        <f t="shared" si="191"/>
        <v>56640</v>
      </c>
      <c r="GH7" s="84">
        <f t="shared" si="112"/>
        <v>98.215679134370276</v>
      </c>
      <c r="GI7" s="35">
        <f t="shared" ref="GI7:GJ7" si="192">GI8+GI9+GI10+GI11+GI12</f>
        <v>70984</v>
      </c>
      <c r="GJ7" s="35">
        <f t="shared" si="192"/>
        <v>70250</v>
      </c>
      <c r="GK7" s="84">
        <f t="shared" si="114"/>
        <v>98.965964160937688</v>
      </c>
      <c r="GL7" s="35">
        <f t="shared" ref="GL7:GM7" si="193">GL8+GL9+GL10+GL11+GL12</f>
        <v>792126</v>
      </c>
      <c r="GM7" s="35">
        <f t="shared" si="193"/>
        <v>808236</v>
      </c>
      <c r="GN7" s="84">
        <f t="shared" si="116"/>
        <v>102.03376735519349</v>
      </c>
      <c r="GO7" s="4">
        <f t="shared" si="117"/>
        <v>2262500</v>
      </c>
      <c r="GP7" s="35">
        <f t="shared" ref="GP7" si="194">GP8+GP9+GP10+GP11+GP12</f>
        <v>2497090</v>
      </c>
      <c r="GQ7" s="84">
        <f t="shared" si="119"/>
        <v>110.3686187845304</v>
      </c>
      <c r="GR7" s="35">
        <f t="shared" ref="GR7:GS7" si="195">GR8+GR9+GR10+GR11+GR12</f>
        <v>987398</v>
      </c>
      <c r="GS7" s="35">
        <f t="shared" si="195"/>
        <v>1037919</v>
      </c>
      <c r="GT7" s="84">
        <f t="shared" si="121"/>
        <v>105.11657913019876</v>
      </c>
      <c r="GU7" s="35">
        <f t="shared" ref="GU7:GV7" si="196">GU8+GU9+GU10+GU11+GU12</f>
        <v>1713302</v>
      </c>
      <c r="GV7" s="35">
        <f t="shared" si="196"/>
        <v>1820317</v>
      </c>
      <c r="GW7" s="84">
        <f t="shared" si="123"/>
        <v>106.24612590191337</v>
      </c>
      <c r="GX7" s="35">
        <f t="shared" ref="GX7:GY7" si="197">GX8+GX9+GX10+GX11+GX12</f>
        <v>1362198</v>
      </c>
      <c r="GY7" s="35">
        <f t="shared" si="197"/>
        <v>1335388</v>
      </c>
      <c r="GZ7" s="84">
        <f t="shared" si="125"/>
        <v>98.031857336451822</v>
      </c>
      <c r="HA7" s="4">
        <f t="shared" ref="HA7:HB70" si="198">GO7+GR7+GU7+GX7</f>
        <v>6325398</v>
      </c>
      <c r="HB7" s="4">
        <f t="shared" si="198"/>
        <v>6690714</v>
      </c>
      <c r="HC7" s="84">
        <f t="shared" si="126"/>
        <v>105.77538362012953</v>
      </c>
      <c r="HD7" s="4">
        <f t="shared" si="127"/>
        <v>17619792</v>
      </c>
      <c r="HE7" s="4">
        <f t="shared" si="128"/>
        <v>17644725.600000001</v>
      </c>
      <c r="HF7" s="237">
        <f t="shared" si="129"/>
        <v>100.14150904846097</v>
      </c>
      <c r="HH7" s="242"/>
      <c r="HI7" s="242"/>
    </row>
    <row r="8" spans="1:217" ht="15" customHeight="1" x14ac:dyDescent="0.25">
      <c r="A8" s="210" t="s">
        <v>335</v>
      </c>
      <c r="B8" s="7">
        <v>127382</v>
      </c>
      <c r="C8" s="7">
        <f>SUM('címrend kötelező'!B8+'címrend önként'!B8+'címrend államig'!B8)</f>
        <v>168295</v>
      </c>
      <c r="D8" s="87">
        <f>C8/B8*100</f>
        <v>132.11835267149206</v>
      </c>
      <c r="E8" s="7"/>
      <c r="F8" s="7">
        <f>SUM('címrend kötelező'!C8+'címrend önként'!C8+'címrend államig'!C8)</f>
        <v>0</v>
      </c>
      <c r="G8" s="87"/>
      <c r="H8" s="7"/>
      <c r="I8" s="7">
        <f>SUM('címrend kötelező'!D8+'címrend önként'!D8+'címrend államig'!D8)</f>
        <v>0</v>
      </c>
      <c r="J8" s="87"/>
      <c r="K8" s="7">
        <v>5550</v>
      </c>
      <c r="L8" s="7">
        <f>SUM('címrend kötelező'!E8+'címrend önként'!E8+'címrend államig'!E8)</f>
        <v>18712</v>
      </c>
      <c r="M8" s="87">
        <f t="shared" si="5"/>
        <v>337.1531531531532</v>
      </c>
      <c r="N8" s="7"/>
      <c r="O8" s="7">
        <f>SUM('címrend kötelező'!F8+'címrend önként'!F8+'címrend államig'!F8)</f>
        <v>0</v>
      </c>
      <c r="P8" s="87"/>
      <c r="Q8" s="7"/>
      <c r="R8" s="7">
        <f>SUM('címrend kötelező'!G8+'címrend önként'!G8+'címrend államig'!G8)</f>
        <v>0</v>
      </c>
      <c r="S8" s="87"/>
      <c r="T8" s="7"/>
      <c r="U8" s="7">
        <f>SUM('címrend kötelező'!H8+'címrend önként'!H8+'címrend államig'!H8)</f>
        <v>0</v>
      </c>
      <c r="V8" s="87"/>
      <c r="W8" s="7"/>
      <c r="X8" s="7">
        <f>SUM('címrend kötelező'!I8+'címrend önként'!I8+'címrend államig'!I8)</f>
        <v>0</v>
      </c>
      <c r="Y8" s="87"/>
      <c r="Z8" s="7"/>
      <c r="AA8" s="7">
        <f>SUM('címrend kötelező'!J8+'címrend önként'!J8+'címrend államig'!J8)</f>
        <v>0</v>
      </c>
      <c r="AB8" s="87"/>
      <c r="AC8" s="7"/>
      <c r="AD8" s="7">
        <f>SUM('címrend kötelező'!K8+'címrend önként'!K8+'címrend államig'!K8)</f>
        <v>0</v>
      </c>
      <c r="AE8" s="87"/>
      <c r="AF8" s="7">
        <v>150</v>
      </c>
      <c r="AG8" s="7">
        <f>SUM('címrend kötelező'!L8+'címrend önként'!L8+'címrend államig'!L8)</f>
        <v>150</v>
      </c>
      <c r="AH8" s="87">
        <f t="shared" si="18"/>
        <v>100</v>
      </c>
      <c r="AI8" s="7"/>
      <c r="AJ8" s="7">
        <f>SUM('címrend kötelező'!M8+'címrend önként'!M8+'címrend államig'!M8)</f>
        <v>0</v>
      </c>
      <c r="AK8" s="87"/>
      <c r="AL8" s="7"/>
      <c r="AM8" s="7">
        <f>SUM('címrend kötelező'!N8+'címrend önként'!N8+'címrend államig'!N8)</f>
        <v>0</v>
      </c>
      <c r="AN8" s="87"/>
      <c r="AO8" s="7"/>
      <c r="AP8" s="7">
        <f>SUM('címrend kötelező'!O8+'címrend önként'!O8+'címrend államig'!O8)</f>
        <v>0</v>
      </c>
      <c r="AQ8" s="87"/>
      <c r="AR8" s="7"/>
      <c r="AS8" s="7">
        <f>SUM('címrend kötelező'!P8+'címrend önként'!P8+'címrend államig'!P8)</f>
        <v>0</v>
      </c>
      <c r="AT8" s="87"/>
      <c r="AU8" s="7"/>
      <c r="AV8" s="7">
        <f>SUM('címrend kötelező'!Q8+'címrend önként'!Q8+'címrend államig'!Q8)</f>
        <v>0</v>
      </c>
      <c r="AW8" s="87"/>
      <c r="AX8" s="7"/>
      <c r="AY8" s="7">
        <f>SUM('címrend kötelező'!R8+'címrend önként'!R8+'címrend államig'!R8)</f>
        <v>0</v>
      </c>
      <c r="AZ8" s="87"/>
      <c r="BA8" s="7"/>
      <c r="BB8" s="7">
        <f>SUM('címrend kötelező'!S8+'címrend önként'!S8+'címrend államig'!S8)</f>
        <v>0</v>
      </c>
      <c r="BC8" s="87"/>
      <c r="BD8" s="7"/>
      <c r="BE8" s="7">
        <f>SUM('címrend kötelező'!T8+'címrend önként'!T8+'címrend államig'!T8)</f>
        <v>0</v>
      </c>
      <c r="BF8" s="87"/>
      <c r="BG8" s="7"/>
      <c r="BH8" s="7">
        <f>SUM('címrend kötelező'!U8+'címrend önként'!U8+'címrend államig'!U8)</f>
        <v>0</v>
      </c>
      <c r="BI8" s="87"/>
      <c r="BJ8" s="7"/>
      <c r="BK8" s="7">
        <f>SUM('címrend kötelező'!V8+'címrend önként'!V8+'címrend államig'!V8)</f>
        <v>0</v>
      </c>
      <c r="BL8" s="87"/>
      <c r="BM8" s="7"/>
      <c r="BN8" s="7">
        <f>SUM('címrend kötelező'!W8+'címrend önként'!W8+'címrend államig'!W8)</f>
        <v>0</v>
      </c>
      <c r="BO8" s="87"/>
      <c r="BP8" s="7"/>
      <c r="BQ8" s="7">
        <f>SUM('címrend kötelező'!X8+'címrend önként'!X8+'címrend államig'!X8)</f>
        <v>0</v>
      </c>
      <c r="BR8" s="87"/>
      <c r="BS8" s="7"/>
      <c r="BT8" s="7">
        <f>SUM('címrend kötelező'!Y8+'címrend önként'!Y8+'címrend államig'!Y8)</f>
        <v>0</v>
      </c>
      <c r="BU8" s="87"/>
      <c r="BV8" s="7"/>
      <c r="BW8" s="7">
        <f>SUM('címrend kötelező'!Z8+'címrend önként'!Z8+'címrend államig'!Z8)</f>
        <v>0</v>
      </c>
      <c r="BX8" s="87"/>
      <c r="BY8" s="7"/>
      <c r="BZ8" s="7">
        <f>SUM('címrend kötelező'!AA8+'címrend önként'!AA8+'címrend államig'!AA8)</f>
        <v>0</v>
      </c>
      <c r="CA8" s="87"/>
      <c r="CB8" s="7"/>
      <c r="CC8" s="7">
        <f>SUM('címrend kötelező'!AB8+'címrend önként'!AB8+'címrend államig'!AB8)</f>
        <v>0</v>
      </c>
      <c r="CD8" s="87"/>
      <c r="CE8" s="7"/>
      <c r="CF8" s="7">
        <f>SUM('címrend kötelező'!AC8+'címrend önként'!AC8+'címrend államig'!AC8)</f>
        <v>0</v>
      </c>
      <c r="CG8" s="87"/>
      <c r="CH8" s="7"/>
      <c r="CI8" s="7">
        <f>SUM('címrend kötelező'!AD8+'címrend önként'!AD8+'címrend államig'!AD8)</f>
        <v>0</v>
      </c>
      <c r="CJ8" s="87"/>
      <c r="CK8" s="7">
        <v>8350</v>
      </c>
      <c r="CL8" s="7">
        <f>SUM('címrend kötelező'!AE8+'címrend önként'!AE8+'címrend államig'!AE8)</f>
        <v>20000</v>
      </c>
      <c r="CM8" s="87">
        <f t="shared" si="52"/>
        <v>239.52095808383231</v>
      </c>
      <c r="CN8" s="7"/>
      <c r="CO8" s="7">
        <f>SUM('címrend kötelező'!AF8+'címrend önként'!AF8+'címrend államig'!AF8)</f>
        <v>1172</v>
      </c>
      <c r="CP8" s="87"/>
      <c r="CQ8" s="7"/>
      <c r="CR8" s="7">
        <f>SUM('címrend kötelező'!AG8+'címrend önként'!AG8+'címrend államig'!AG8)</f>
        <v>0</v>
      </c>
      <c r="CS8" s="87"/>
      <c r="CT8" s="7"/>
      <c r="CU8" s="7">
        <f>SUM('címrend kötelező'!AH8+'címrend önként'!AH8+'címrend államig'!AH8)</f>
        <v>0</v>
      </c>
      <c r="CV8" s="87"/>
      <c r="CW8" s="7"/>
      <c r="CX8" s="7">
        <f>SUM('címrend kötelező'!AI8+'címrend önként'!AI8+'címrend államig'!AI8)</f>
        <v>0</v>
      </c>
      <c r="CY8" s="87"/>
      <c r="CZ8" s="7">
        <v>3000</v>
      </c>
      <c r="DA8" s="7">
        <f>SUM('címrend kötelező'!AJ8+'címrend önként'!AJ8+'címrend államig'!AJ8)</f>
        <v>0</v>
      </c>
      <c r="DB8" s="87">
        <f t="shared" si="61"/>
        <v>0</v>
      </c>
      <c r="DC8" s="7"/>
      <c r="DD8" s="7">
        <f>SUM('címrend kötelező'!AK8+'címrend önként'!AK8+'címrend államig'!AK8)</f>
        <v>0</v>
      </c>
      <c r="DE8" s="87"/>
      <c r="DF8" s="7"/>
      <c r="DG8" s="7">
        <f>SUM('címrend kötelező'!AL8+'címrend önként'!AL8+'címrend államig'!AL8)</f>
        <v>0</v>
      </c>
      <c r="DH8" s="87"/>
      <c r="DI8" s="7"/>
      <c r="DJ8" s="7">
        <f>SUM('címrend kötelező'!AM8+'címrend önként'!AM8+'címrend államig'!AM8)</f>
        <v>9000</v>
      </c>
      <c r="DK8" s="87"/>
      <c r="DL8" s="7"/>
      <c r="DM8" s="7">
        <f>SUM('címrend kötelező'!AN8+'címrend önként'!AN8+'címrend államig'!AN8)</f>
        <v>0</v>
      </c>
      <c r="DN8" s="87"/>
      <c r="DO8" s="7"/>
      <c r="DP8" s="7">
        <f>SUM('címrend kötelező'!AO8+'címrend önként'!AO8+'címrend államig'!AO8)</f>
        <v>0</v>
      </c>
      <c r="DQ8" s="87"/>
      <c r="DR8" s="387">
        <f t="shared" si="169"/>
        <v>144432</v>
      </c>
      <c r="DS8" s="387">
        <f t="shared" si="169"/>
        <v>217329</v>
      </c>
      <c r="DT8" s="87">
        <f t="shared" si="170"/>
        <v>150.47150216018611</v>
      </c>
      <c r="DU8" s="7">
        <v>5400</v>
      </c>
      <c r="DV8" s="7">
        <f>SUM('címrend kötelező'!AQ8+'címrend önként'!AQ8+'címrend államig'!AQ8)</f>
        <v>900</v>
      </c>
      <c r="DW8" s="87">
        <f t="shared" si="72"/>
        <v>16.666666666666664</v>
      </c>
      <c r="DX8" s="7">
        <v>1200</v>
      </c>
      <c r="DY8" s="7">
        <f>SUM('címrend kötelező'!AR8+'címrend önként'!AR8+'címrend államig'!AR8)</f>
        <v>1200</v>
      </c>
      <c r="DZ8" s="87">
        <f t="shared" si="74"/>
        <v>100</v>
      </c>
      <c r="EA8" s="7"/>
      <c r="EB8" s="7">
        <f>SUM('címrend kötelező'!AS8+'címrend önként'!AS8+'címrend államig'!AS8)</f>
        <v>0</v>
      </c>
      <c r="EC8" s="87"/>
      <c r="ED8" s="7">
        <v>7100</v>
      </c>
      <c r="EE8" s="7">
        <f>SUM('címrend kötelező'!AT8+'címrend önként'!AT8+'címrend államig'!AT8)</f>
        <v>7100</v>
      </c>
      <c r="EF8" s="87">
        <f t="shared" si="78"/>
        <v>100</v>
      </c>
      <c r="EG8" s="7"/>
      <c r="EH8" s="7">
        <f>SUM('címrend kötelező'!AU8+'címrend önként'!AU8+'címrend államig'!AU8)</f>
        <v>0</v>
      </c>
      <c r="EI8" s="87"/>
      <c r="EJ8" s="7">
        <v>23632</v>
      </c>
      <c r="EK8" s="7">
        <f>SUM('címrend kötelező'!AV8+'címrend önként'!AV8+'címrend államig'!AV8)</f>
        <v>1264</v>
      </c>
      <c r="EL8" s="87">
        <f t="shared" si="82"/>
        <v>5.3486797562626949</v>
      </c>
      <c r="EM8" s="7">
        <v>8064</v>
      </c>
      <c r="EN8" s="7">
        <f>SUM('címrend kötelező'!AW8+'címrend önként'!AW8+'címrend államig'!AW8)</f>
        <v>8064</v>
      </c>
      <c r="EO8" s="87">
        <f t="shared" si="84"/>
        <v>100</v>
      </c>
      <c r="EP8" s="7">
        <v>1183969</v>
      </c>
      <c r="EQ8" s="7">
        <f>SUM('címrend kötelező'!AX8+'címrend önként'!AX8+'címrend államig'!AX8)</f>
        <v>1221243</v>
      </c>
      <c r="ER8" s="87">
        <f t="shared" si="86"/>
        <v>103.14822432006243</v>
      </c>
      <c r="ES8" s="7">
        <v>358867</v>
      </c>
      <c r="ET8" s="7">
        <f>SUM('címrend kötelező'!AY8+'címrend önként'!AY8+'címrend államig'!AY8)</f>
        <v>368411</v>
      </c>
      <c r="EU8" s="87">
        <f t="shared" si="88"/>
        <v>102.65948108909429</v>
      </c>
      <c r="EV8" s="387">
        <f t="shared" si="179"/>
        <v>1588232</v>
      </c>
      <c r="EW8" s="387">
        <f t="shared" si="179"/>
        <v>1608182</v>
      </c>
      <c r="EX8" s="87">
        <f t="shared" si="89"/>
        <v>101.25611371638401</v>
      </c>
      <c r="EY8" s="7">
        <v>36249</v>
      </c>
      <c r="EZ8" s="7">
        <f>'címrend kötelező'!BA8+'címrend önként'!BA8+'címrend államig'!BA8</f>
        <v>40870</v>
      </c>
      <c r="FA8" s="87">
        <f t="shared" si="91"/>
        <v>112.74793787414825</v>
      </c>
      <c r="FB8" s="7">
        <v>96110</v>
      </c>
      <c r="FC8" s="7">
        <f>'címrend kötelező'!BB8+'címrend önként'!BB8+'címrend államig'!BB8</f>
        <v>102468</v>
      </c>
      <c r="FD8" s="87">
        <f t="shared" si="93"/>
        <v>106.61533659348663</v>
      </c>
      <c r="FE8" s="7">
        <v>44647</v>
      </c>
      <c r="FF8" s="7">
        <f>'címrend kötelező'!BC8+'címrend önként'!BC8+'címrend államig'!BC8</f>
        <v>50078</v>
      </c>
      <c r="FG8" s="87">
        <f t="shared" si="95"/>
        <v>112.16431115192511</v>
      </c>
      <c r="FH8" s="7">
        <v>197701</v>
      </c>
      <c r="FI8" s="7">
        <f>'címrend kötelező'!BD8+'címrend önként'!BD8+'címrend államig'!BD8</f>
        <v>252379</v>
      </c>
      <c r="FJ8" s="87">
        <f t="shared" si="97"/>
        <v>127.65691625232043</v>
      </c>
      <c r="FK8" s="87"/>
      <c r="FL8" s="7">
        <f>'címrend kötelező'!BE8+'címrend önként'!BE8+'címrend államig'!BE8</f>
        <v>33808</v>
      </c>
      <c r="FM8" s="87"/>
      <c r="FN8" s="7">
        <v>89787</v>
      </c>
      <c r="FO8" s="7">
        <f>SUM('címrend kötelező'!BF8+'címrend önként'!BF8+'címrend államig'!BF8)</f>
        <v>97672</v>
      </c>
      <c r="FP8" s="87">
        <f t="shared" si="100"/>
        <v>108.78189492911001</v>
      </c>
      <c r="FQ8" s="7">
        <v>12088</v>
      </c>
      <c r="FR8" s="7">
        <f>SUM('címrend kötelező'!BG8+'címrend önként'!BG8+'címrend államig'!BG8)</f>
        <v>15490</v>
      </c>
      <c r="FS8" s="87">
        <f t="shared" si="102"/>
        <v>128.14361350099273</v>
      </c>
      <c r="FT8" s="7">
        <v>83839</v>
      </c>
      <c r="FU8" s="7">
        <f>SUM('címrend kötelező'!BH8+'címrend önként'!BH8+'címrend államig'!BH8)</f>
        <v>94731</v>
      </c>
      <c r="FV8" s="87">
        <f t="shared" si="104"/>
        <v>112.99156717040995</v>
      </c>
      <c r="FW8" s="7">
        <v>91223</v>
      </c>
      <c r="FX8" s="7">
        <f>SUM('címrend kötelező'!BI8+'címrend önként'!BI8+'címrend államig'!BI8)</f>
        <v>107060</v>
      </c>
      <c r="FY8" s="87">
        <f t="shared" si="106"/>
        <v>117.36075331879022</v>
      </c>
      <c r="FZ8" s="7">
        <v>57196</v>
      </c>
      <c r="GA8" s="7">
        <f>SUM('címrend kötelező'!BJ8+'címrend önként'!BJ8+'címrend államig'!BJ8)</f>
        <v>67736</v>
      </c>
      <c r="GB8" s="87">
        <f t="shared" si="108"/>
        <v>118.42786208825792</v>
      </c>
      <c r="GC8" s="7">
        <v>13360</v>
      </c>
      <c r="GD8" s="7">
        <f>SUM('címrend kötelező'!BK8+'címrend önként'!BK8+'címrend államig'!BK8)</f>
        <v>16812</v>
      </c>
      <c r="GE8" s="87">
        <f t="shared" si="110"/>
        <v>125.83832335329342</v>
      </c>
      <c r="GF8" s="7">
        <v>29077</v>
      </c>
      <c r="GG8" s="7">
        <f>SUM('címrend kötelező'!BL8+'címrend önként'!BL8+'címrend államig'!BL8)</f>
        <v>31573</v>
      </c>
      <c r="GH8" s="87">
        <f t="shared" si="112"/>
        <v>108.5841042748564</v>
      </c>
      <c r="GI8" s="7">
        <v>35054</v>
      </c>
      <c r="GJ8" s="7">
        <f>SUM('címrend kötelező'!BM8+'címrend önként'!BM8+'címrend államig'!BM8)</f>
        <v>39828</v>
      </c>
      <c r="GK8" s="87">
        <f t="shared" si="114"/>
        <v>113.61898784732128</v>
      </c>
      <c r="GL8" s="7">
        <v>57155</v>
      </c>
      <c r="GM8" s="7">
        <f>SUM('címrend kötelező'!BN8+'címrend önként'!BN8+'címrend államig'!BN8)</f>
        <v>73856</v>
      </c>
      <c r="GN8" s="87">
        <f t="shared" si="116"/>
        <v>129.22054063511504</v>
      </c>
      <c r="GO8" s="387">
        <f t="shared" si="117"/>
        <v>843486</v>
      </c>
      <c r="GP8" s="387">
        <f>EZ8+FC8+FF8+FI8+FL8+FO8+FR8+FU8+FX8+GA8+GD8+GG8+GJ8+GM8</f>
        <v>1024361</v>
      </c>
      <c r="GQ8" s="87">
        <f>GP8/GO8*100</f>
        <v>121.44374654706776</v>
      </c>
      <c r="GR8" s="7">
        <v>627913</v>
      </c>
      <c r="GS8" s="7">
        <f>SUM('címrend kötelező'!BP8+'címrend önként'!BP8+'címrend államig'!BP8)</f>
        <v>718910</v>
      </c>
      <c r="GT8" s="87">
        <f t="shared" si="121"/>
        <v>114.4919757991951</v>
      </c>
      <c r="GU8" s="7">
        <v>1155886</v>
      </c>
      <c r="GV8" s="7">
        <f>SUM('címrend kötelező'!BQ8+'címrend önként'!BQ8+'címrend államig'!BQ8)</f>
        <v>1237327</v>
      </c>
      <c r="GW8" s="87">
        <f t="shared" si="123"/>
        <v>107.04576402863258</v>
      </c>
      <c r="GX8" s="7">
        <v>998851</v>
      </c>
      <c r="GY8" s="7">
        <f>SUM('címrend kötelező'!BR8+'címrend önként'!BR8+'címrend államig'!BR8)</f>
        <v>1018257</v>
      </c>
      <c r="GZ8" s="87">
        <f t="shared" si="125"/>
        <v>101.94283231432917</v>
      </c>
      <c r="HA8" s="387">
        <f t="shared" si="198"/>
        <v>3626136</v>
      </c>
      <c r="HB8" s="387">
        <f t="shared" si="198"/>
        <v>3998855</v>
      </c>
      <c r="HC8" s="87">
        <f t="shared" si="126"/>
        <v>110.27868232189857</v>
      </c>
      <c r="HD8" s="38">
        <f t="shared" si="127"/>
        <v>5358800</v>
      </c>
      <c r="HE8" s="38">
        <f t="shared" si="128"/>
        <v>5824366</v>
      </c>
      <c r="HF8" s="238">
        <f t="shared" si="129"/>
        <v>108.68787788310816</v>
      </c>
      <c r="HH8" s="242"/>
      <c r="HI8" s="242"/>
    </row>
    <row r="9" spans="1:217" ht="15" customHeight="1" x14ac:dyDescent="0.25">
      <c r="A9" s="210" t="s">
        <v>336</v>
      </c>
      <c r="B9" s="7">
        <v>24748</v>
      </c>
      <c r="C9" s="7">
        <f>SUM('címrend kötelező'!B9+'címrend önként'!B9+'címrend államig'!B9)</f>
        <v>28218</v>
      </c>
      <c r="D9" s="87">
        <f t="shared" ref="D9:D26" si="199">C9/B9*100</f>
        <v>114.02133505737837</v>
      </c>
      <c r="E9" s="7"/>
      <c r="F9" s="7">
        <f>SUM('címrend kötelező'!C9+'címrend önként'!C9+'címrend államig'!C9)</f>
        <v>0</v>
      </c>
      <c r="G9" s="87"/>
      <c r="H9" s="7"/>
      <c r="I9" s="7">
        <f>SUM('címrend kötelező'!D9+'címrend önként'!D9+'címrend államig'!D9)</f>
        <v>0</v>
      </c>
      <c r="J9" s="87"/>
      <c r="K9" s="7">
        <v>1082</v>
      </c>
      <c r="L9" s="7">
        <f>SUM('címrend kötelező'!E9+'címrend önként'!E9+'címrend államig'!E9)</f>
        <v>3273.6</v>
      </c>
      <c r="M9" s="87">
        <f t="shared" si="5"/>
        <v>302.550831792976</v>
      </c>
      <c r="N9" s="7"/>
      <c r="O9" s="7">
        <f>SUM('címrend kötelező'!F9+'címrend önként'!F9+'címrend államig'!F9)</f>
        <v>0</v>
      </c>
      <c r="P9" s="87"/>
      <c r="Q9" s="7"/>
      <c r="R9" s="7">
        <f>SUM('címrend kötelező'!G9+'címrend önként'!G9+'címrend államig'!G9)</f>
        <v>0</v>
      </c>
      <c r="S9" s="87"/>
      <c r="T9" s="7"/>
      <c r="U9" s="7">
        <f>SUM('címrend kötelező'!H9+'címrend önként'!H9+'címrend államig'!H9)</f>
        <v>0</v>
      </c>
      <c r="V9" s="87"/>
      <c r="W9" s="7"/>
      <c r="X9" s="7">
        <f>SUM('címrend kötelező'!I9+'címrend önként'!I9+'címrend államig'!I9)</f>
        <v>0</v>
      </c>
      <c r="Y9" s="87"/>
      <c r="Z9" s="7"/>
      <c r="AA9" s="7">
        <f>SUM('címrend kötelező'!J9+'címrend önként'!J9+'címrend államig'!J9)</f>
        <v>0</v>
      </c>
      <c r="AB9" s="87"/>
      <c r="AC9" s="7"/>
      <c r="AD9" s="7">
        <f>SUM('címrend kötelező'!K9+'címrend önként'!K9+'címrend államig'!K9)</f>
        <v>0</v>
      </c>
      <c r="AE9" s="87"/>
      <c r="AF9" s="7">
        <v>61</v>
      </c>
      <c r="AG9" s="7">
        <f>SUM('címrend kötelező'!L9+'címrend önként'!L9+'címrend államig'!L9)</f>
        <v>58</v>
      </c>
      <c r="AH9" s="87">
        <f t="shared" si="18"/>
        <v>95.081967213114751</v>
      </c>
      <c r="AI9" s="7"/>
      <c r="AJ9" s="7">
        <f>SUM('címrend kötelező'!M9+'címrend önként'!M9+'címrend államig'!M9)</f>
        <v>0</v>
      </c>
      <c r="AK9" s="87"/>
      <c r="AL9" s="7"/>
      <c r="AM9" s="7">
        <f>SUM('címrend kötelező'!N9+'címrend önként'!N9+'címrend államig'!N9)</f>
        <v>0</v>
      </c>
      <c r="AN9" s="87"/>
      <c r="AO9" s="7"/>
      <c r="AP9" s="7">
        <f>SUM('címrend kötelező'!O9+'címrend önként'!O9+'címrend államig'!O9)</f>
        <v>0</v>
      </c>
      <c r="AQ9" s="87"/>
      <c r="AR9" s="7"/>
      <c r="AS9" s="7">
        <f>SUM('címrend kötelező'!P9+'címrend önként'!P9+'címrend államig'!P9)</f>
        <v>0</v>
      </c>
      <c r="AT9" s="87"/>
      <c r="AU9" s="7"/>
      <c r="AV9" s="7">
        <f>SUM('címrend kötelező'!Q9+'címrend önként'!Q9+'címrend államig'!Q9)</f>
        <v>0</v>
      </c>
      <c r="AW9" s="87"/>
      <c r="AX9" s="7"/>
      <c r="AY9" s="7">
        <f>SUM('címrend kötelező'!R9+'címrend önként'!R9+'címrend államig'!R9)</f>
        <v>0</v>
      </c>
      <c r="AZ9" s="87"/>
      <c r="BA9" s="7"/>
      <c r="BB9" s="7">
        <f>SUM('címrend kötelező'!S9+'címrend önként'!S9+'címrend államig'!S9)</f>
        <v>0</v>
      </c>
      <c r="BC9" s="87"/>
      <c r="BD9" s="7"/>
      <c r="BE9" s="7">
        <f>SUM('címrend kötelező'!T9+'címrend önként'!T9+'címrend államig'!T9)</f>
        <v>0</v>
      </c>
      <c r="BF9" s="87"/>
      <c r="BG9" s="7"/>
      <c r="BH9" s="7">
        <f>SUM('címrend kötelező'!U9+'címrend önként'!U9+'címrend államig'!U9)</f>
        <v>0</v>
      </c>
      <c r="BI9" s="87"/>
      <c r="BJ9" s="7"/>
      <c r="BK9" s="7">
        <f>SUM('címrend kötelező'!V9+'címrend önként'!V9+'címrend államig'!V9)</f>
        <v>0</v>
      </c>
      <c r="BL9" s="87"/>
      <c r="BM9" s="7"/>
      <c r="BN9" s="7">
        <f>SUM('címrend kötelező'!W9+'címrend önként'!W9+'címrend államig'!W9)</f>
        <v>0</v>
      </c>
      <c r="BO9" s="87"/>
      <c r="BP9" s="7"/>
      <c r="BQ9" s="7">
        <f>SUM('címrend kötelező'!X9+'címrend önként'!X9+'címrend államig'!X9)</f>
        <v>0</v>
      </c>
      <c r="BR9" s="87"/>
      <c r="BS9" s="7"/>
      <c r="BT9" s="7">
        <f>SUM('címrend kötelező'!Y9+'címrend önként'!Y9+'címrend államig'!Y9)</f>
        <v>0</v>
      </c>
      <c r="BU9" s="87"/>
      <c r="BV9" s="7"/>
      <c r="BW9" s="7">
        <f>SUM('címrend kötelező'!Z9+'címrend önként'!Z9+'címrend államig'!Z9)</f>
        <v>0</v>
      </c>
      <c r="BX9" s="87"/>
      <c r="BY9" s="7"/>
      <c r="BZ9" s="7">
        <f>SUM('címrend kötelező'!AA9+'címrend önként'!AA9+'címrend államig'!AA9)</f>
        <v>0</v>
      </c>
      <c r="CA9" s="87"/>
      <c r="CB9" s="7"/>
      <c r="CC9" s="7">
        <f>SUM('címrend kötelező'!AB9+'címrend önként'!AB9+'címrend államig'!AB9)</f>
        <v>0</v>
      </c>
      <c r="CD9" s="87"/>
      <c r="CE9" s="7">
        <v>1000</v>
      </c>
      <c r="CF9" s="7">
        <f>SUM('címrend kötelező'!AC9+'címrend önként'!AC9+'címrend államig'!AC9)</f>
        <v>0</v>
      </c>
      <c r="CG9" s="87">
        <f t="shared" si="48"/>
        <v>0</v>
      </c>
      <c r="CH9" s="7"/>
      <c r="CI9" s="7">
        <f>SUM('címrend kötelező'!AD9+'címrend önként'!AD9+'címrend államig'!AD9)</f>
        <v>0</v>
      </c>
      <c r="CJ9" s="87"/>
      <c r="CK9" s="7">
        <v>3338</v>
      </c>
      <c r="CL9" s="7">
        <f>SUM('címrend kötelező'!AE9+'címrend önként'!AE9+'címrend államig'!AE9)</f>
        <v>21745</v>
      </c>
      <c r="CM9" s="87">
        <f t="shared" si="52"/>
        <v>651.43798681845419</v>
      </c>
      <c r="CN9" s="7"/>
      <c r="CO9" s="7">
        <f>SUM('címrend kötelező'!AF9+'címrend önként'!AF9+'címrend államig'!AF9)</f>
        <v>228</v>
      </c>
      <c r="CP9" s="87"/>
      <c r="CQ9" s="7"/>
      <c r="CR9" s="7">
        <f>SUM('címrend kötelező'!AG9+'címrend önként'!AG9+'címrend államig'!AG9)</f>
        <v>0</v>
      </c>
      <c r="CS9" s="87"/>
      <c r="CT9" s="7"/>
      <c r="CU9" s="7">
        <f>SUM('címrend kötelező'!AH9+'címrend önként'!AH9+'címrend államig'!AH9)</f>
        <v>0</v>
      </c>
      <c r="CV9" s="87"/>
      <c r="CW9" s="7"/>
      <c r="CX9" s="7">
        <f>SUM('címrend kötelező'!AI9+'címrend önként'!AI9+'címrend államig'!AI9)</f>
        <v>0</v>
      </c>
      <c r="CY9" s="87"/>
      <c r="CZ9" s="7">
        <v>527</v>
      </c>
      <c r="DA9" s="7">
        <f>SUM('címrend kötelező'!AJ9+'címrend önként'!AJ9+'címrend államig'!AJ9)</f>
        <v>998</v>
      </c>
      <c r="DB9" s="87">
        <f t="shared" si="61"/>
        <v>189.37381404174573</v>
      </c>
      <c r="DC9" s="7"/>
      <c r="DD9" s="7">
        <f>SUM('címrend kötelező'!AK9+'címrend önként'!AK9+'címrend államig'!AK9)</f>
        <v>0</v>
      </c>
      <c r="DE9" s="87"/>
      <c r="DF9" s="7"/>
      <c r="DG9" s="7">
        <f>SUM('címrend kötelező'!AL9+'címrend önként'!AL9+'címrend államig'!AL9)</f>
        <v>0</v>
      </c>
      <c r="DH9" s="87"/>
      <c r="DI9" s="7"/>
      <c r="DJ9" s="7">
        <f>SUM('címrend kötelező'!AM9+'címrend önként'!AM9+'címrend államig'!AM9)</f>
        <v>1418</v>
      </c>
      <c r="DK9" s="87"/>
      <c r="DL9" s="7"/>
      <c r="DM9" s="7">
        <f>SUM('címrend kötelező'!AN9+'címrend önként'!AN9+'címrend államig'!AN9)</f>
        <v>0</v>
      </c>
      <c r="DN9" s="87"/>
      <c r="DO9" s="7"/>
      <c r="DP9" s="7">
        <f>SUM('címrend kötelező'!AO9+'címrend önként'!AO9+'címrend államig'!AO9)</f>
        <v>0</v>
      </c>
      <c r="DQ9" s="87"/>
      <c r="DR9" s="387">
        <f t="shared" si="169"/>
        <v>30756</v>
      </c>
      <c r="DS9" s="387">
        <f t="shared" si="169"/>
        <v>55938.6</v>
      </c>
      <c r="DT9" s="87">
        <f t="shared" si="170"/>
        <v>181.87865782286383</v>
      </c>
      <c r="DU9" s="7">
        <v>948</v>
      </c>
      <c r="DV9" s="7">
        <f>SUM('címrend kötelező'!AQ9+'címrend önként'!AQ9+'címrend államig'!AQ9)</f>
        <v>143</v>
      </c>
      <c r="DW9" s="87">
        <f t="shared" si="72"/>
        <v>15.084388185654007</v>
      </c>
      <c r="DX9" s="7">
        <v>211</v>
      </c>
      <c r="DY9" s="7">
        <f>SUM('címrend kötelező'!AR9+'címrend önként'!AR9+'címrend államig'!AR9)</f>
        <v>189</v>
      </c>
      <c r="DZ9" s="87">
        <f t="shared" si="74"/>
        <v>89.573459715639814</v>
      </c>
      <c r="EA9" s="7"/>
      <c r="EB9" s="7">
        <f>SUM('címrend kötelező'!AS9+'címrend önként'!AS9+'címrend államig'!AS9)</f>
        <v>0</v>
      </c>
      <c r="EC9" s="87"/>
      <c r="ED9" s="7">
        <v>2891</v>
      </c>
      <c r="EE9" s="7">
        <f>SUM('címrend kötelező'!AT9+'címrend önként'!AT9+'címrend államig'!AT9)</f>
        <v>2723</v>
      </c>
      <c r="EF9" s="87">
        <f t="shared" si="78"/>
        <v>94.188861985472144</v>
      </c>
      <c r="EG9" s="7"/>
      <c r="EH9" s="7">
        <f>SUM('címrend kötelező'!AU9+'címrend önként'!AU9+'címrend államig'!AU9)</f>
        <v>0</v>
      </c>
      <c r="EI9" s="87"/>
      <c r="EJ9" s="7">
        <v>5387</v>
      </c>
      <c r="EK9" s="7">
        <f>SUM('címrend kötelező'!AV9+'címrend önként'!AV9+'címrend államig'!AV9)</f>
        <v>111</v>
      </c>
      <c r="EL9" s="87">
        <f t="shared" si="82"/>
        <v>2.0605160571746794</v>
      </c>
      <c r="EM9" s="7">
        <v>1416</v>
      </c>
      <c r="EN9" s="7">
        <f>SUM('címrend kötelező'!AW9+'címrend önként'!AW9+'címrend államig'!AW9)</f>
        <v>1270</v>
      </c>
      <c r="EO9" s="87">
        <f t="shared" si="84"/>
        <v>89.689265536723155</v>
      </c>
      <c r="EP9" s="7">
        <v>248846</v>
      </c>
      <c r="EQ9" s="7">
        <f>SUM('címrend kötelező'!AX9+'címrend önként'!AX9+'címrend államig'!AX9)</f>
        <v>239063</v>
      </c>
      <c r="ER9" s="87">
        <f t="shared" si="86"/>
        <v>96.068652901794678</v>
      </c>
      <c r="ES9" s="7">
        <v>69692</v>
      </c>
      <c r="ET9" s="7">
        <f>SUM('címrend kötelező'!AY9+'címrend önként'!AY9+'címrend államig'!AY9)</f>
        <v>68439</v>
      </c>
      <c r="EU9" s="87">
        <f t="shared" si="88"/>
        <v>98.202089192446763</v>
      </c>
      <c r="EV9" s="387">
        <f>DU9+DX9+EA9+ED9+EG9+EJ9+EM9+EP9+ES9</f>
        <v>329391</v>
      </c>
      <c r="EW9" s="387">
        <f t="shared" si="179"/>
        <v>311938</v>
      </c>
      <c r="EX9" s="87">
        <f t="shared" si="89"/>
        <v>94.70143385824143</v>
      </c>
      <c r="EY9" s="7">
        <v>7230</v>
      </c>
      <c r="EZ9" s="7">
        <f>'címrend kötelező'!BA9+'címrend önként'!BA9+'címrend államig'!BA9</f>
        <v>7311</v>
      </c>
      <c r="FA9" s="87">
        <f t="shared" si="91"/>
        <v>101.12033195020746</v>
      </c>
      <c r="FB9" s="7">
        <v>33477</v>
      </c>
      <c r="FC9" s="7">
        <f>'címrend kötelező'!BB9+'címrend önként'!BB9+'címrend államig'!BB9</f>
        <v>36058</v>
      </c>
      <c r="FD9" s="87">
        <f t="shared" si="93"/>
        <v>107.70977088747497</v>
      </c>
      <c r="FE9" s="7">
        <v>8913</v>
      </c>
      <c r="FF9" s="7">
        <f>'címrend kötelező'!BC9+'címrend önként'!BC9+'címrend államig'!BC9</f>
        <v>8930</v>
      </c>
      <c r="FG9" s="87">
        <f t="shared" si="95"/>
        <v>100.19073263772017</v>
      </c>
      <c r="FH9" s="7">
        <v>37364</v>
      </c>
      <c r="FI9" s="7">
        <f>'címrend kötelező'!BD9+'címrend önként'!BD9+'címrend államig'!BD9</f>
        <v>49246</v>
      </c>
      <c r="FJ9" s="87">
        <f t="shared" si="97"/>
        <v>131.80066374049889</v>
      </c>
      <c r="FK9" s="87"/>
      <c r="FL9" s="7">
        <f>'címrend kötelező'!BE9+'címrend önként'!BE9+'címrend államig'!BE9</f>
        <v>6102</v>
      </c>
      <c r="FM9" s="87"/>
      <c r="FN9" s="7">
        <v>17195</v>
      </c>
      <c r="FO9" s="7">
        <f>SUM('címrend kötelező'!BF9+'címrend önként'!BF9+'címrend államig'!BF9)</f>
        <v>17058</v>
      </c>
      <c r="FP9" s="87">
        <f t="shared" si="100"/>
        <v>99.203256760686244</v>
      </c>
      <c r="FQ9" s="7">
        <v>2428</v>
      </c>
      <c r="FR9" s="7">
        <f>SUM('címrend kötelező'!BG9+'címrend önként'!BG9+'címrend államig'!BG9)</f>
        <v>2727</v>
      </c>
      <c r="FS9" s="87">
        <f t="shared" si="102"/>
        <v>112.3146622734761</v>
      </c>
      <c r="FT9" s="7">
        <v>16800</v>
      </c>
      <c r="FU9" s="7">
        <f>SUM('címrend kötelező'!BH9+'címrend önként'!BH9+'címrend államig'!BH9)</f>
        <v>17039</v>
      </c>
      <c r="FV9" s="87">
        <f t="shared" si="104"/>
        <v>101.42261904761905</v>
      </c>
      <c r="FW9" s="7">
        <v>18066</v>
      </c>
      <c r="FX9" s="7">
        <f>SUM('címrend kötelező'!BI9+'címrend önként'!BI9+'címrend államig'!BI9)</f>
        <v>19001</v>
      </c>
      <c r="FY9" s="87">
        <f t="shared" si="106"/>
        <v>105.17546772943651</v>
      </c>
      <c r="FZ9" s="7">
        <v>11229</v>
      </c>
      <c r="GA9" s="7">
        <f>SUM('címrend kötelező'!BJ9+'címrend önként'!BJ9+'címrend államig'!BJ9)</f>
        <v>11872</v>
      </c>
      <c r="GB9" s="87">
        <f t="shared" si="108"/>
        <v>105.72624454537359</v>
      </c>
      <c r="GC9" s="7">
        <v>2693</v>
      </c>
      <c r="GD9" s="7">
        <f>SUM('címrend kötelező'!BK9+'címrend önként'!BK9+'címrend államig'!BK9)</f>
        <v>2854</v>
      </c>
      <c r="GE9" s="87">
        <f t="shared" si="110"/>
        <v>105.97846268102489</v>
      </c>
      <c r="GF9" s="7">
        <v>5815</v>
      </c>
      <c r="GG9" s="7">
        <f>SUM('címrend kötelező'!BL9+'címrend önként'!BL9+'címrend államig'!BL9)</f>
        <v>5704</v>
      </c>
      <c r="GH9" s="87">
        <f t="shared" si="112"/>
        <v>98.091143594153053</v>
      </c>
      <c r="GI9" s="7">
        <v>6866</v>
      </c>
      <c r="GJ9" s="7">
        <f>SUM('címrend kötelező'!BM9+'címrend önként'!BM9+'címrend államig'!BM9)</f>
        <v>7018</v>
      </c>
      <c r="GK9" s="87">
        <f t="shared" si="114"/>
        <v>102.21380716574424</v>
      </c>
      <c r="GL9" s="7">
        <v>11595</v>
      </c>
      <c r="GM9" s="7">
        <f>SUM('címrend kötelező'!BN9+'címrend önként'!BN9+'címrend államig'!BN9)</f>
        <v>13420</v>
      </c>
      <c r="GN9" s="87">
        <f t="shared" si="116"/>
        <v>115.73954290642519</v>
      </c>
      <c r="GO9" s="387">
        <f t="shared" si="117"/>
        <v>179671</v>
      </c>
      <c r="GP9" s="387">
        <f t="shared" ref="GP9:GP25" si="200">EZ9+FC9+FF9+FI9+FL9+FO9+FR9+FU9+FX9+GA9+GD9+GG9+GJ9+GM9</f>
        <v>204340</v>
      </c>
      <c r="GQ9" s="87">
        <f t="shared" si="119"/>
        <v>113.73009556355784</v>
      </c>
      <c r="GR9" s="7">
        <v>135901</v>
      </c>
      <c r="GS9" s="7">
        <f>SUM('címrend kötelező'!BP9+'címrend önként'!BP9+'címrend államig'!BP9)</f>
        <v>141994</v>
      </c>
      <c r="GT9" s="87">
        <f t="shared" si="121"/>
        <v>104.48341071809625</v>
      </c>
      <c r="GU9" s="7">
        <v>236972</v>
      </c>
      <c r="GV9" s="7">
        <f>SUM('címrend kötelező'!BQ9+'címrend önként'!BQ9+'címrend államig'!BQ9)</f>
        <v>228624</v>
      </c>
      <c r="GW9" s="87">
        <f t="shared" si="123"/>
        <v>96.477220937494721</v>
      </c>
      <c r="GX9" s="7">
        <v>215424</v>
      </c>
      <c r="GY9" s="7">
        <f>SUM('címrend kötelező'!BR9+'címrend önként'!BR9+'címrend államig'!BR9)</f>
        <v>201593</v>
      </c>
      <c r="GZ9" s="87">
        <f t="shared" si="125"/>
        <v>93.579638294711813</v>
      </c>
      <c r="HA9" s="387">
        <f t="shared" si="198"/>
        <v>767968</v>
      </c>
      <c r="HB9" s="387">
        <f t="shared" si="198"/>
        <v>776551</v>
      </c>
      <c r="HC9" s="87">
        <f t="shared" si="126"/>
        <v>101.11762469269551</v>
      </c>
      <c r="HD9" s="38">
        <f t="shared" si="127"/>
        <v>1128115</v>
      </c>
      <c r="HE9" s="38">
        <f t="shared" si="128"/>
        <v>1144427.6000000001</v>
      </c>
      <c r="HF9" s="238">
        <f t="shared" si="129"/>
        <v>101.44600506154072</v>
      </c>
      <c r="HH9" s="242"/>
      <c r="HI9" s="242"/>
    </row>
    <row r="10" spans="1:217" ht="15" customHeight="1" x14ac:dyDescent="0.25">
      <c r="A10" s="210" t="s">
        <v>337</v>
      </c>
      <c r="B10" s="7">
        <v>14885</v>
      </c>
      <c r="C10" s="7">
        <f>SUM('címrend kötelező'!B10+'címrend önként'!B10+'címrend államig'!B10)</f>
        <v>10350</v>
      </c>
      <c r="D10" s="87">
        <f t="shared" si="199"/>
        <v>69.533087000335911</v>
      </c>
      <c r="E10" s="7"/>
      <c r="F10" s="7">
        <f>SUM('címrend kötelező'!C10+'címrend önként'!C10+'címrend államig'!C10)</f>
        <v>0</v>
      </c>
      <c r="G10" s="87"/>
      <c r="H10" s="7">
        <v>3353</v>
      </c>
      <c r="I10" s="7">
        <f>SUM('címrend kötelező'!D10+'címrend önként'!D10+'címrend államig'!D10)</f>
        <v>3353</v>
      </c>
      <c r="J10" s="87">
        <f t="shared" si="3"/>
        <v>100</v>
      </c>
      <c r="K10" s="7">
        <v>200</v>
      </c>
      <c r="L10" s="7">
        <f>SUM('címrend kötelező'!E10+'címrend önként'!E10+'címrend államig'!E10)</f>
        <v>200</v>
      </c>
      <c r="M10" s="87">
        <f t="shared" si="5"/>
        <v>100</v>
      </c>
      <c r="N10" s="7">
        <v>400</v>
      </c>
      <c r="O10" s="7">
        <f>SUM('címrend kötelező'!F10+'címrend önként'!F10+'címrend államig'!F10)</f>
        <v>0</v>
      </c>
      <c r="P10" s="87">
        <f t="shared" si="7"/>
        <v>0</v>
      </c>
      <c r="Q10" s="7"/>
      <c r="R10" s="7">
        <f>SUM('címrend kötelező'!G10+'címrend önként'!G10+'címrend államig'!G10)</f>
        <v>0</v>
      </c>
      <c r="S10" s="87"/>
      <c r="T10" s="7"/>
      <c r="U10" s="7">
        <f>SUM('címrend kötelező'!H10+'címrend önként'!H10+'címrend államig'!H10)</f>
        <v>0</v>
      </c>
      <c r="V10" s="87"/>
      <c r="W10" s="7"/>
      <c r="X10" s="7">
        <f>SUM('címrend kötelező'!I10+'címrend önként'!I10+'címrend államig'!I10)</f>
        <v>0</v>
      </c>
      <c r="Y10" s="87"/>
      <c r="Z10" s="7"/>
      <c r="AA10" s="7">
        <f>SUM('címrend kötelező'!J10+'címrend önként'!J10+'címrend államig'!J10)</f>
        <v>5</v>
      </c>
      <c r="AB10" s="87"/>
      <c r="AC10" s="7"/>
      <c r="AD10" s="7">
        <f>SUM('címrend kötelező'!K10+'címrend önként'!K10+'címrend államig'!K10)</f>
        <v>0</v>
      </c>
      <c r="AE10" s="87"/>
      <c r="AF10" s="7">
        <v>1289</v>
      </c>
      <c r="AG10" s="7">
        <f>SUM('címrend kötelező'!L10+'címrend önként'!L10+'címrend államig'!L10)</f>
        <v>11992</v>
      </c>
      <c r="AH10" s="87">
        <f t="shared" si="18"/>
        <v>930.33359193172998</v>
      </c>
      <c r="AI10" s="7">
        <v>13210</v>
      </c>
      <c r="AJ10" s="7">
        <f>SUM('címrend kötelező'!M10+'címrend önként'!M10+'címrend államig'!M10)</f>
        <v>30190</v>
      </c>
      <c r="AK10" s="87">
        <f t="shared" si="20"/>
        <v>228.53898561695684</v>
      </c>
      <c r="AL10" s="7">
        <v>2050</v>
      </c>
      <c r="AM10" s="7">
        <f>SUM('címrend kötelező'!N10+'címrend önként'!N10+'címrend államig'!N10)</f>
        <v>1000</v>
      </c>
      <c r="AN10" s="87">
        <f t="shared" si="22"/>
        <v>48.780487804878049</v>
      </c>
      <c r="AO10" s="7">
        <v>1105948</v>
      </c>
      <c r="AP10" s="7">
        <f>SUM('címrend kötelező'!O10+'címrend önként'!O10+'címrend államig'!O10)</f>
        <v>1108100</v>
      </c>
      <c r="AQ10" s="87">
        <f t="shared" si="24"/>
        <v>100.19458419383189</v>
      </c>
      <c r="AR10" s="7">
        <v>15000</v>
      </c>
      <c r="AS10" s="7">
        <f>SUM('címrend kötelező'!P10+'címrend önként'!P10+'címrend államig'!P10)</f>
        <v>8200</v>
      </c>
      <c r="AT10" s="87">
        <f t="shared" si="26"/>
        <v>54.666666666666664</v>
      </c>
      <c r="AU10" s="7">
        <v>32650</v>
      </c>
      <c r="AV10" s="7">
        <f>SUM('címrend kötelező'!Q10+'címrend önként'!Q10+'címrend államig'!Q10)</f>
        <v>38350</v>
      </c>
      <c r="AW10" s="87">
        <f t="shared" si="28"/>
        <v>117.45788667687596</v>
      </c>
      <c r="AX10" s="7">
        <v>58189</v>
      </c>
      <c r="AY10" s="7">
        <f>SUM('címrend kötelező'!R10+'címrend önként'!R10+'címrend államig'!R10)</f>
        <v>114780</v>
      </c>
      <c r="AZ10" s="87">
        <f t="shared" si="30"/>
        <v>197.25377648696488</v>
      </c>
      <c r="BA10" s="7"/>
      <c r="BB10" s="7">
        <f>SUM('címrend kötelező'!S10+'címrend önként'!S10+'címrend államig'!S10)</f>
        <v>20000</v>
      </c>
      <c r="BC10" s="87"/>
      <c r="BD10" s="7">
        <v>300</v>
      </c>
      <c r="BE10" s="7">
        <f>SUM('címrend kötelező'!T10+'címrend önként'!T10+'címrend államig'!T10)</f>
        <v>300</v>
      </c>
      <c r="BF10" s="87">
        <f t="shared" si="33"/>
        <v>100</v>
      </c>
      <c r="BG10" s="7">
        <v>146888</v>
      </c>
      <c r="BH10" s="7">
        <f>SUM('címrend kötelező'!U10+'címrend önként'!U10+'címrend államig'!U10)</f>
        <v>170376</v>
      </c>
      <c r="BI10" s="87">
        <f t="shared" si="35"/>
        <v>115.99041446544305</v>
      </c>
      <c r="BJ10" s="7"/>
      <c r="BK10" s="7">
        <f>SUM('címrend kötelező'!V10+'címrend önként'!V10+'címrend államig'!V10)</f>
        <v>0</v>
      </c>
      <c r="BL10" s="87"/>
      <c r="BM10" s="7">
        <v>3500</v>
      </c>
      <c r="BN10" s="7">
        <f>SUM('címrend kötelező'!W10+'címrend önként'!W10+'címrend államig'!W10)</f>
        <v>3800</v>
      </c>
      <c r="BO10" s="87">
        <f t="shared" si="38"/>
        <v>108.57142857142857</v>
      </c>
      <c r="BP10" s="7">
        <v>45078</v>
      </c>
      <c r="BQ10" s="7">
        <f>SUM('címrend kötelező'!X10+'címrend önként'!X10+'címrend államig'!X10)</f>
        <v>111024</v>
      </c>
      <c r="BR10" s="87">
        <f t="shared" si="40"/>
        <v>246.29309197391188</v>
      </c>
      <c r="BS10" s="7"/>
      <c r="BT10" s="7">
        <f>SUM('címrend kötelező'!Y10+'címrend önként'!Y10+'címrend államig'!Y10)</f>
        <v>0</v>
      </c>
      <c r="BU10" s="87"/>
      <c r="BV10" s="7"/>
      <c r="BW10" s="7">
        <f>SUM('címrend kötelező'!Z10+'címrend önként'!Z10+'címrend államig'!Z10)</f>
        <v>0</v>
      </c>
      <c r="BX10" s="87"/>
      <c r="BY10" s="7"/>
      <c r="BZ10" s="7">
        <f>SUM('címrend kötelező'!AA10+'címrend önként'!AA10+'címrend államig'!AA10)</f>
        <v>0</v>
      </c>
      <c r="CA10" s="87"/>
      <c r="CB10" s="7"/>
      <c r="CC10" s="7">
        <f>SUM('címrend kötelező'!AB10+'címrend önként'!AB10+'címrend államig'!AB10)</f>
        <v>0</v>
      </c>
      <c r="CD10" s="87"/>
      <c r="CE10" s="7">
        <v>3448594</v>
      </c>
      <c r="CF10" s="7">
        <f>SUM('címrend kötelező'!AC10+'címrend önként'!AC10+'címrend államig'!AC10)</f>
        <v>3255440</v>
      </c>
      <c r="CG10" s="87">
        <f t="shared" si="48"/>
        <v>94.3990507435784</v>
      </c>
      <c r="CH10" s="7"/>
      <c r="CI10" s="7">
        <f>SUM('címrend kötelező'!AD10+'címrend önként'!AD10+'címrend államig'!AD10)</f>
        <v>1455</v>
      </c>
      <c r="CJ10" s="87"/>
      <c r="CK10" s="7">
        <v>254997</v>
      </c>
      <c r="CL10" s="7">
        <f>SUM('címrend kötelező'!AE10+'címrend önként'!AE10+'címrend államig'!AE10)</f>
        <v>103691</v>
      </c>
      <c r="CM10" s="87">
        <f t="shared" si="52"/>
        <v>40.663615650380201</v>
      </c>
      <c r="CN10" s="7">
        <v>6100</v>
      </c>
      <c r="CO10" s="7">
        <f>SUM('címrend kötelező'!AF10+'címrend önként'!AF10+'címrend államig'!AF10)</f>
        <v>20130</v>
      </c>
      <c r="CP10" s="87">
        <f t="shared" si="54"/>
        <v>330</v>
      </c>
      <c r="CQ10" s="7"/>
      <c r="CR10" s="7">
        <f>SUM('címrend kötelező'!AG10+'címrend önként'!AG10+'címrend államig'!AG10)</f>
        <v>0</v>
      </c>
      <c r="CS10" s="87"/>
      <c r="CT10" s="7">
        <v>1000</v>
      </c>
      <c r="CU10" s="7">
        <f>SUM('címrend kötelező'!AH10+'címrend önként'!AH10+'címrend államig'!AH10)</f>
        <v>1000</v>
      </c>
      <c r="CV10" s="87">
        <f t="shared" si="57"/>
        <v>100</v>
      </c>
      <c r="CW10" s="7">
        <v>6700</v>
      </c>
      <c r="CX10" s="7">
        <f>SUM('címrend kötelező'!AI10+'címrend önként'!AI10+'címrend államig'!AI10)</f>
        <v>10000</v>
      </c>
      <c r="CY10" s="87">
        <f t="shared" si="59"/>
        <v>149.25373134328359</v>
      </c>
      <c r="CZ10" s="7">
        <v>58612</v>
      </c>
      <c r="DA10" s="7">
        <f>SUM('címrend kötelező'!AJ10+'címrend önként'!AJ10+'címrend államig'!AJ10)</f>
        <v>63614</v>
      </c>
      <c r="DB10" s="87">
        <f t="shared" si="61"/>
        <v>108.53408858254284</v>
      </c>
      <c r="DC10" s="7"/>
      <c r="DD10" s="7">
        <f>SUM('címrend kötelező'!AK10+'címrend önként'!AK10+'címrend államig'!AK10)</f>
        <v>0</v>
      </c>
      <c r="DE10" s="87"/>
      <c r="DF10" s="7">
        <v>263782</v>
      </c>
      <c r="DG10" s="7">
        <f>SUM('címrend kötelező'!AL10+'címrend önként'!AL10+'címrend államig'!AL10)</f>
        <v>260465</v>
      </c>
      <c r="DH10" s="87">
        <f t="shared" si="65"/>
        <v>98.742522234269202</v>
      </c>
      <c r="DI10" s="7">
        <v>102568</v>
      </c>
      <c r="DJ10" s="7">
        <f>SUM('címrend kötelező'!AM10+'címrend önként'!AM10+'címrend államig'!AM10)</f>
        <v>113712</v>
      </c>
      <c r="DK10" s="87">
        <f t="shared" si="67"/>
        <v>110.86498713048904</v>
      </c>
      <c r="DL10" s="7">
        <v>143716</v>
      </c>
      <c r="DM10" s="7">
        <f>SUM('címrend kötelező'!AN10+'címrend önként'!AN10+'címrend államig'!AN10)</f>
        <v>132644</v>
      </c>
      <c r="DN10" s="87">
        <f t="shared" si="69"/>
        <v>92.295916947312747</v>
      </c>
      <c r="DO10" s="7"/>
      <c r="DP10" s="7">
        <f>SUM('címrend kötelező'!AO10+'címrend önként'!AO10+'címrend államig'!AO10)</f>
        <v>0</v>
      </c>
      <c r="DQ10" s="87"/>
      <c r="DR10" s="387">
        <f t="shared" si="169"/>
        <v>5729009</v>
      </c>
      <c r="DS10" s="387">
        <f t="shared" si="169"/>
        <v>5594171</v>
      </c>
      <c r="DT10" s="87">
        <f t="shared" si="170"/>
        <v>97.646399228906773</v>
      </c>
      <c r="DU10" s="7">
        <v>11260</v>
      </c>
      <c r="DV10" s="7">
        <f>SUM('címrend kötelező'!AQ10+'címrend önként'!AQ10+'címrend államig'!AQ10)</f>
        <v>11260</v>
      </c>
      <c r="DW10" s="87">
        <f t="shared" si="72"/>
        <v>100</v>
      </c>
      <c r="DX10" s="7">
        <v>4400</v>
      </c>
      <c r="DY10" s="7">
        <f>SUM('címrend kötelező'!AR10+'címrend önként'!AR10+'címrend államig'!AR10)</f>
        <v>4400</v>
      </c>
      <c r="DZ10" s="87">
        <f t="shared" si="74"/>
        <v>100</v>
      </c>
      <c r="EA10" s="7">
        <v>5832</v>
      </c>
      <c r="EB10" s="7">
        <f>SUM('címrend kötelező'!AS10+'címrend önként'!AS10+'címrend államig'!AS10)</f>
        <v>5440</v>
      </c>
      <c r="EC10" s="87">
        <f t="shared" si="76"/>
        <v>93.27846364883402</v>
      </c>
      <c r="ED10" s="7">
        <v>274011</v>
      </c>
      <c r="EE10" s="7">
        <f>SUM('címrend kötelező'!AT10+'címrend önként'!AT10+'címrend államig'!AT10)</f>
        <v>234289</v>
      </c>
      <c r="EF10" s="87">
        <f t="shared" si="78"/>
        <v>85.503501684238955</v>
      </c>
      <c r="EG10" s="7">
        <v>47596</v>
      </c>
      <c r="EH10" s="7">
        <f>SUM('címrend kötelező'!AU10+'címrend önként'!AU10+'címrend államig'!AU10)</f>
        <v>41526</v>
      </c>
      <c r="EI10" s="87">
        <f t="shared" si="80"/>
        <v>87.24682746449281</v>
      </c>
      <c r="EJ10" s="7">
        <v>50740</v>
      </c>
      <c r="EK10" s="7">
        <f>SUM('címrend kötelező'!AV10+'címrend önként'!AV10+'címrend államig'!AV10)</f>
        <v>35743</v>
      </c>
      <c r="EL10" s="87">
        <f t="shared" si="82"/>
        <v>70.44343713046905</v>
      </c>
      <c r="EM10" s="7">
        <v>4930</v>
      </c>
      <c r="EN10" s="7">
        <f>SUM('címrend kötelező'!AW10+'címrend önként'!AW10+'címrend államig'!AW10)</f>
        <v>4930</v>
      </c>
      <c r="EO10" s="87">
        <f t="shared" si="84"/>
        <v>100</v>
      </c>
      <c r="EP10" s="7">
        <v>12417</v>
      </c>
      <c r="EQ10" s="7">
        <f>SUM('címrend kötelező'!AX10+'címrend önként'!AX10+'címrend államig'!AX10)</f>
        <v>11586</v>
      </c>
      <c r="ER10" s="87">
        <f t="shared" si="86"/>
        <v>93.307562213094954</v>
      </c>
      <c r="ES10" s="7">
        <v>104409</v>
      </c>
      <c r="ET10" s="7">
        <f>SUM('címrend kötelező'!AY10+'címrend önként'!AY10+'címrend államig'!AY10)</f>
        <v>99360</v>
      </c>
      <c r="EU10" s="87">
        <f t="shared" si="88"/>
        <v>95.164209981898111</v>
      </c>
      <c r="EV10" s="387">
        <f t="shared" si="179"/>
        <v>515595</v>
      </c>
      <c r="EW10" s="387">
        <f t="shared" si="179"/>
        <v>448534</v>
      </c>
      <c r="EX10" s="87">
        <f t="shared" si="89"/>
        <v>86.993473559673774</v>
      </c>
      <c r="EY10" s="7">
        <v>26381</v>
      </c>
      <c r="EZ10" s="7">
        <f>'címrend kötelező'!BA10+'címrend önként'!BA10+'címrend államig'!BA10</f>
        <v>21653</v>
      </c>
      <c r="FA10" s="87">
        <f t="shared" si="91"/>
        <v>82.078010689511387</v>
      </c>
      <c r="FB10" s="7">
        <v>25419</v>
      </c>
      <c r="FC10" s="7">
        <f>'címrend kötelező'!BB10+'címrend önként'!BB10+'címrend államig'!BB10</f>
        <v>20239</v>
      </c>
      <c r="FD10" s="87">
        <f t="shared" si="93"/>
        <v>79.621542940320239</v>
      </c>
      <c r="FE10" s="7">
        <v>10241</v>
      </c>
      <c r="FF10" s="7">
        <f>'címrend kötelező'!BC10+'címrend önként'!BC10+'címrend államig'!BC10</f>
        <v>9950</v>
      </c>
      <c r="FG10" s="87">
        <f t="shared" si="95"/>
        <v>97.158480617127225</v>
      </c>
      <c r="FH10" s="7">
        <v>81031</v>
      </c>
      <c r="FI10" s="7">
        <f>'címrend kötelező'!BD10+'címrend önként'!BD10+'címrend államig'!BD10</f>
        <v>141240</v>
      </c>
      <c r="FJ10" s="87">
        <f t="shared" si="97"/>
        <v>174.30366156162455</v>
      </c>
      <c r="FK10" s="87"/>
      <c r="FL10" s="7">
        <f>'címrend kötelező'!BE10+'címrend önként'!BE10+'címrend államig'!BE10</f>
        <v>6457</v>
      </c>
      <c r="FM10" s="87"/>
      <c r="FN10" s="7">
        <v>17680</v>
      </c>
      <c r="FO10" s="7">
        <f>SUM('címrend kötelező'!BF10+'címrend önként'!BF10+'címrend államig'!BF10)</f>
        <v>20788</v>
      </c>
      <c r="FP10" s="87">
        <f t="shared" si="100"/>
        <v>117.57918552036199</v>
      </c>
      <c r="FQ10" s="7">
        <v>220504</v>
      </c>
      <c r="FR10" s="7">
        <f>SUM('címrend kötelező'!BG10+'címrend önként'!BG10+'címrend államig'!BG10)</f>
        <v>208592</v>
      </c>
      <c r="FS10" s="87">
        <f t="shared" si="102"/>
        <v>94.597830424844901</v>
      </c>
      <c r="FT10" s="7">
        <v>12976</v>
      </c>
      <c r="FU10" s="7">
        <f>SUM('címrend kötelező'!BH10+'címrend önként'!BH10+'címrend államig'!BH10)</f>
        <v>11060</v>
      </c>
      <c r="FV10" s="87">
        <f t="shared" si="104"/>
        <v>85.234278668310722</v>
      </c>
      <c r="FW10" s="7">
        <v>44301</v>
      </c>
      <c r="FX10" s="7">
        <f>SUM('címrend kötelező'!BI10+'címrend önként'!BI10+'címrend államig'!BI10)</f>
        <v>38065</v>
      </c>
      <c r="FY10" s="87">
        <f t="shared" si="106"/>
        <v>85.923568316742276</v>
      </c>
      <c r="FZ10" s="7">
        <v>25002</v>
      </c>
      <c r="GA10" s="7">
        <f>SUM('címrend kötelező'!BJ10+'címrend önként'!BJ10+'címrend államig'!BJ10)</f>
        <v>26108</v>
      </c>
      <c r="GB10" s="87">
        <f t="shared" si="108"/>
        <v>104.42364610831135</v>
      </c>
      <c r="GC10" s="7">
        <v>591</v>
      </c>
      <c r="GD10" s="7">
        <f>SUM('címrend kötelező'!BK10+'címrend önként'!BK10+'címrend államig'!BK10)</f>
        <v>510</v>
      </c>
      <c r="GE10" s="87">
        <f t="shared" si="110"/>
        <v>86.294416243654823</v>
      </c>
      <c r="GF10" s="7">
        <v>21548</v>
      </c>
      <c r="GG10" s="7">
        <f>SUM('címrend kötelező'!BL10+'címrend önként'!BL10+'címrend államig'!BL10)</f>
        <v>18134</v>
      </c>
      <c r="GH10" s="87">
        <f t="shared" si="112"/>
        <v>84.156302209021717</v>
      </c>
      <c r="GI10" s="7">
        <v>29064</v>
      </c>
      <c r="GJ10" s="7">
        <f>SUM('címrend kötelező'!BM10+'címrend önként'!BM10+'címrend államig'!BM10)</f>
        <v>23404</v>
      </c>
      <c r="GK10" s="87">
        <f t="shared" si="114"/>
        <v>80.525736306083132</v>
      </c>
      <c r="GL10" s="7">
        <v>723376</v>
      </c>
      <c r="GM10" s="7">
        <f>SUM('címrend kötelező'!BN10+'címrend önként'!BN10+'címrend államig'!BN10)</f>
        <v>720960</v>
      </c>
      <c r="GN10" s="87">
        <f t="shared" si="116"/>
        <v>99.666010484174208</v>
      </c>
      <c r="GO10" s="387">
        <f t="shared" si="117"/>
        <v>1238114</v>
      </c>
      <c r="GP10" s="387">
        <f t="shared" si="200"/>
        <v>1267160</v>
      </c>
      <c r="GQ10" s="87">
        <f t="shared" si="119"/>
        <v>102.34598752618902</v>
      </c>
      <c r="GR10" s="7">
        <v>223584</v>
      </c>
      <c r="GS10" s="7">
        <f>SUM('címrend kötelező'!BP10+'címrend önként'!BP10+'címrend államig'!BP10)</f>
        <v>177015</v>
      </c>
      <c r="GT10" s="87">
        <f t="shared" si="121"/>
        <v>79.17158651781881</v>
      </c>
      <c r="GU10" s="7">
        <v>320444</v>
      </c>
      <c r="GV10" s="7">
        <f>SUM('címrend kötelező'!BQ10+'címrend önként'!BQ10+'címrend államig'!BQ10)</f>
        <v>354366</v>
      </c>
      <c r="GW10" s="87">
        <f t="shared" si="123"/>
        <v>110.58593701239529</v>
      </c>
      <c r="GX10" s="7">
        <v>147923</v>
      </c>
      <c r="GY10" s="7">
        <f>SUM('címrend kötelező'!BR10+'címrend önként'!BR10+'címrend államig'!BR10)</f>
        <v>115538</v>
      </c>
      <c r="GZ10" s="87">
        <f t="shared" si="125"/>
        <v>78.106852889679089</v>
      </c>
      <c r="HA10" s="387">
        <f t="shared" si="198"/>
        <v>1930065</v>
      </c>
      <c r="HB10" s="387">
        <f t="shared" si="198"/>
        <v>1914079</v>
      </c>
      <c r="HC10" s="87">
        <f t="shared" si="126"/>
        <v>99.171737739402559</v>
      </c>
      <c r="HD10" s="38">
        <f t="shared" si="127"/>
        <v>8174669</v>
      </c>
      <c r="HE10" s="38">
        <f t="shared" si="128"/>
        <v>7956784</v>
      </c>
      <c r="HF10" s="238">
        <f t="shared" si="129"/>
        <v>97.33463214229225</v>
      </c>
      <c r="HH10" s="242"/>
      <c r="HI10" s="242"/>
    </row>
    <row r="11" spans="1:217" ht="15" customHeight="1" x14ac:dyDescent="0.25">
      <c r="A11" s="210" t="s">
        <v>338</v>
      </c>
      <c r="B11" s="7"/>
      <c r="C11" s="7">
        <f>SUM('címrend kötelező'!B11+'címrend önként'!B11+'címrend államig'!B11)</f>
        <v>0</v>
      </c>
      <c r="D11" s="82"/>
      <c r="E11" s="7"/>
      <c r="F11" s="7">
        <f>SUM('címrend kötelező'!C11+'címrend önként'!C11+'címrend államig'!C11)</f>
        <v>0</v>
      </c>
      <c r="G11" s="82"/>
      <c r="H11" s="7"/>
      <c r="I11" s="7">
        <f>SUM('címrend kötelező'!D11+'címrend önként'!D11+'címrend államig'!D11)</f>
        <v>0</v>
      </c>
      <c r="J11" s="82"/>
      <c r="K11" s="7"/>
      <c r="L11" s="7">
        <f>SUM('címrend kötelező'!E11+'címrend önként'!E11+'címrend államig'!E11)</f>
        <v>0</v>
      </c>
      <c r="M11" s="82"/>
      <c r="N11" s="7"/>
      <c r="O11" s="7">
        <f>SUM('címrend kötelező'!F11+'címrend önként'!F11+'címrend államig'!F11)</f>
        <v>0</v>
      </c>
      <c r="P11" s="82"/>
      <c r="Q11" s="7"/>
      <c r="R11" s="7">
        <f>SUM('címrend kötelező'!G11+'címrend önként'!G11+'címrend államig'!G11)</f>
        <v>0</v>
      </c>
      <c r="S11" s="82"/>
      <c r="T11" s="7"/>
      <c r="U11" s="7">
        <f>SUM('címrend kötelező'!H11+'címrend önként'!H11+'címrend államig'!H11)</f>
        <v>0</v>
      </c>
      <c r="V11" s="82"/>
      <c r="W11" s="7"/>
      <c r="X11" s="7">
        <f>SUM('címrend kötelező'!I11+'címrend önként'!I11+'címrend államig'!I11)</f>
        <v>0</v>
      </c>
      <c r="Y11" s="82"/>
      <c r="Z11" s="7"/>
      <c r="AA11" s="7">
        <f>SUM('címrend kötelező'!J11+'címrend önként'!J11+'címrend államig'!J11)</f>
        <v>0</v>
      </c>
      <c r="AB11" s="82"/>
      <c r="AC11" s="7"/>
      <c r="AD11" s="7">
        <f>SUM('címrend kötelező'!K11+'címrend önként'!K11+'címrend államig'!K11)</f>
        <v>0</v>
      </c>
      <c r="AE11" s="82"/>
      <c r="AF11" s="7"/>
      <c r="AG11" s="7">
        <f>SUM('címrend kötelező'!L11+'címrend önként'!L11+'címrend államig'!L11)</f>
        <v>0</v>
      </c>
      <c r="AH11" s="82"/>
      <c r="AI11" s="7"/>
      <c r="AJ11" s="7">
        <f>SUM('címrend kötelező'!M11+'címrend önként'!M11+'címrend államig'!M11)</f>
        <v>0</v>
      </c>
      <c r="AK11" s="82"/>
      <c r="AL11" s="7">
        <v>136851</v>
      </c>
      <c r="AM11" s="7">
        <f>SUM('címrend kötelező'!N11+'címrend önként'!N11+'címrend államig'!N11)</f>
        <v>118200</v>
      </c>
      <c r="AN11" s="82"/>
      <c r="AO11" s="7"/>
      <c r="AP11" s="7">
        <f>SUM('címrend kötelező'!O11+'címrend önként'!O11+'címrend államig'!O11)</f>
        <v>0</v>
      </c>
      <c r="AQ11" s="82"/>
      <c r="AR11" s="7"/>
      <c r="AS11" s="7">
        <f>SUM('címrend kötelező'!P11+'címrend önként'!P11+'címrend államig'!P11)</f>
        <v>0</v>
      </c>
      <c r="AT11" s="82"/>
      <c r="AU11" s="7"/>
      <c r="AV11" s="7">
        <f>SUM('címrend kötelező'!Q11+'címrend önként'!Q11+'címrend államig'!Q11)</f>
        <v>0</v>
      </c>
      <c r="AW11" s="82"/>
      <c r="AX11" s="7"/>
      <c r="AY11" s="7">
        <f>SUM('címrend kötelező'!R11+'címrend önként'!R11+'címrend államig'!R11)</f>
        <v>0</v>
      </c>
      <c r="AZ11" s="82"/>
      <c r="BA11" s="7"/>
      <c r="BB11" s="7">
        <f>SUM('címrend kötelező'!S11+'címrend önként'!S11+'címrend államig'!S11)</f>
        <v>0</v>
      </c>
      <c r="BC11" s="82"/>
      <c r="BD11" s="7"/>
      <c r="BE11" s="7">
        <f>SUM('címrend kötelező'!T11+'címrend önként'!T11+'címrend államig'!T11)</f>
        <v>0</v>
      </c>
      <c r="BF11" s="82"/>
      <c r="BG11" s="7"/>
      <c r="BH11" s="7">
        <f>SUM('címrend kötelező'!U11+'címrend önként'!U11+'címrend államig'!U11)</f>
        <v>0</v>
      </c>
      <c r="BI11" s="82"/>
      <c r="BJ11" s="7"/>
      <c r="BK11" s="7">
        <f>SUM('címrend kötelező'!V11+'címrend önként'!V11+'címrend államig'!V11)</f>
        <v>0</v>
      </c>
      <c r="BL11" s="82"/>
      <c r="BM11" s="7"/>
      <c r="BN11" s="7">
        <f>SUM('címrend kötelező'!W11+'címrend önként'!W11+'címrend államig'!W11)</f>
        <v>0</v>
      </c>
      <c r="BO11" s="82"/>
      <c r="BP11" s="7"/>
      <c r="BQ11" s="7">
        <f>SUM('címrend kötelező'!X11+'címrend önként'!X11+'címrend államig'!X11)</f>
        <v>0</v>
      </c>
      <c r="BR11" s="82"/>
      <c r="BS11" s="7"/>
      <c r="BT11" s="7">
        <f>SUM('címrend kötelező'!Y11+'címrend önként'!Y11+'címrend államig'!Y11)</f>
        <v>0</v>
      </c>
      <c r="BU11" s="82"/>
      <c r="BV11" s="7"/>
      <c r="BW11" s="7">
        <f>SUM('címrend kötelező'!Z11+'címrend önként'!Z11+'címrend államig'!Z11)</f>
        <v>0</v>
      </c>
      <c r="BX11" s="82"/>
      <c r="BY11" s="7"/>
      <c r="BZ11" s="7">
        <f>SUM('címrend kötelező'!AA11+'címrend önként'!AA11+'címrend államig'!AA11)</f>
        <v>0</v>
      </c>
      <c r="CA11" s="82"/>
      <c r="CB11" s="7"/>
      <c r="CC11" s="7">
        <f>SUM('címrend kötelező'!AB11+'címrend önként'!AB11+'címrend államig'!AB11)</f>
        <v>0</v>
      </c>
      <c r="CD11" s="82"/>
      <c r="CE11" s="7"/>
      <c r="CF11" s="7">
        <f>SUM('címrend kötelező'!AC11+'címrend önként'!AC11+'címrend államig'!AC11)</f>
        <v>0</v>
      </c>
      <c r="CG11" s="82"/>
      <c r="CH11" s="7"/>
      <c r="CI11" s="7">
        <f>SUM('címrend kötelező'!AD11+'címrend önként'!AD11+'címrend államig'!AD11)</f>
        <v>0</v>
      </c>
      <c r="CJ11" s="82"/>
      <c r="CK11" s="7"/>
      <c r="CL11" s="7">
        <f>SUM('címrend kötelező'!AE11+'címrend önként'!AE11+'címrend államig'!AE11)</f>
        <v>0</v>
      </c>
      <c r="CM11" s="82"/>
      <c r="CN11" s="7"/>
      <c r="CO11" s="7">
        <f>SUM('címrend kötelező'!AF11+'címrend önként'!AF11+'címrend államig'!AF11)</f>
        <v>0</v>
      </c>
      <c r="CP11" s="82"/>
      <c r="CQ11" s="7"/>
      <c r="CR11" s="7">
        <f>SUM('címrend kötelező'!AG11+'címrend önként'!AG11+'címrend államig'!AG11)</f>
        <v>0</v>
      </c>
      <c r="CS11" s="82"/>
      <c r="CT11" s="7"/>
      <c r="CU11" s="7">
        <f>SUM('címrend kötelező'!AH11+'címrend önként'!AH11+'címrend államig'!AH11)</f>
        <v>0</v>
      </c>
      <c r="CV11" s="82"/>
      <c r="CW11" s="7"/>
      <c r="CX11" s="7">
        <f>SUM('címrend kötelező'!AI11+'címrend önként'!AI11+'címrend államig'!AI11)</f>
        <v>0</v>
      </c>
      <c r="CY11" s="82"/>
      <c r="CZ11" s="7"/>
      <c r="DA11" s="7">
        <f>SUM('címrend kötelező'!AJ11+'címrend önként'!AJ11+'címrend államig'!AJ11)</f>
        <v>0</v>
      </c>
      <c r="DB11" s="82"/>
      <c r="DC11" s="7"/>
      <c r="DD11" s="7">
        <f>SUM('címrend kötelező'!AK11+'címrend önként'!AK11+'címrend államig'!AK11)</f>
        <v>0</v>
      </c>
      <c r="DE11" s="82"/>
      <c r="DF11" s="7"/>
      <c r="DG11" s="7">
        <f>SUM('címrend kötelező'!AL11+'címrend önként'!AL11+'címrend államig'!AL11)</f>
        <v>0</v>
      </c>
      <c r="DH11" s="82"/>
      <c r="DI11" s="7"/>
      <c r="DJ11" s="7">
        <f>SUM('címrend kötelező'!AM11+'címrend önként'!AM11+'címrend államig'!AM11)</f>
        <v>0</v>
      </c>
      <c r="DK11" s="82"/>
      <c r="DL11" s="7"/>
      <c r="DM11" s="7">
        <f>SUM('címrend kötelező'!AN11+'címrend önként'!AN11+'címrend államig'!AN11)</f>
        <v>0</v>
      </c>
      <c r="DN11" s="82"/>
      <c r="DO11" s="7"/>
      <c r="DP11" s="7">
        <f>SUM('címrend kötelező'!AO11+'címrend önként'!AO11+'címrend államig'!AO11)</f>
        <v>0</v>
      </c>
      <c r="DQ11" s="82"/>
      <c r="DR11" s="387">
        <f t="shared" si="169"/>
        <v>136851</v>
      </c>
      <c r="DS11" s="387">
        <f t="shared" si="169"/>
        <v>118200</v>
      </c>
      <c r="DT11" s="87">
        <f t="shared" si="170"/>
        <v>86.37130894184186</v>
      </c>
      <c r="DU11" s="7"/>
      <c r="DV11" s="7">
        <f>SUM('címrend kötelező'!AQ11+'címrend önként'!AQ11+'címrend államig'!AQ11)</f>
        <v>0</v>
      </c>
      <c r="DW11" s="38"/>
      <c r="DX11" s="7"/>
      <c r="DY11" s="7">
        <f>SUM('címrend kötelező'!AR11+'címrend önként'!AR11+'címrend államig'!AR11)</f>
        <v>0</v>
      </c>
      <c r="DZ11" s="38"/>
      <c r="EA11" s="7"/>
      <c r="EB11" s="7">
        <f>SUM('címrend kötelező'!AS11+'címrend önként'!AS11+'címrend államig'!AS11)</f>
        <v>0</v>
      </c>
      <c r="EC11" s="38"/>
      <c r="ED11" s="7"/>
      <c r="EE11" s="7">
        <f>SUM('címrend kötelező'!AT11+'címrend önként'!AT11+'címrend államig'!AT11)</f>
        <v>0</v>
      </c>
      <c r="EF11" s="38"/>
      <c r="EG11" s="7"/>
      <c r="EH11" s="7">
        <f>SUM('címrend kötelező'!AU11+'címrend önként'!AU11+'címrend államig'!AU11)</f>
        <v>0</v>
      </c>
      <c r="EI11" s="38"/>
      <c r="EJ11" s="7"/>
      <c r="EK11" s="7">
        <f>SUM('címrend kötelező'!AV11+'címrend önként'!AV11+'címrend államig'!AV11)</f>
        <v>0</v>
      </c>
      <c r="EL11" s="38"/>
      <c r="EM11" s="7"/>
      <c r="EN11" s="7">
        <f>SUM('címrend kötelező'!AW11+'címrend önként'!AW11+'címrend államig'!AW11)</f>
        <v>0</v>
      </c>
      <c r="EO11" s="38"/>
      <c r="EP11" s="7"/>
      <c r="EQ11" s="7">
        <f>SUM('címrend kötelező'!AX11+'címrend önként'!AX11+'címrend államig'!AX11)</f>
        <v>0</v>
      </c>
      <c r="ER11" s="38"/>
      <c r="ES11" s="7"/>
      <c r="ET11" s="7">
        <f>SUM('címrend kötelező'!AY11+'címrend önként'!AY11+'címrend államig'!AY11)</f>
        <v>0</v>
      </c>
      <c r="EU11" s="38"/>
      <c r="EV11" s="38">
        <f t="shared" si="179"/>
        <v>0</v>
      </c>
      <c r="EW11" s="38">
        <f t="shared" si="179"/>
        <v>0</v>
      </c>
      <c r="EX11" s="82"/>
      <c r="EY11" s="7"/>
      <c r="EZ11" s="7">
        <f>'címrend kötelező'!BA11+'címrend önként'!BA11+'címrend államig'!BA11</f>
        <v>0</v>
      </c>
      <c r="FA11" s="38"/>
      <c r="FB11" s="7"/>
      <c r="FC11" s="7">
        <f>'címrend kötelező'!BB11+'címrend önként'!BB11+'címrend államig'!BB11</f>
        <v>0</v>
      </c>
      <c r="FD11" s="38"/>
      <c r="FE11" s="7"/>
      <c r="FF11" s="7">
        <f>'címrend kötelező'!BC11+'címrend önként'!BC11+'címrend államig'!BC11</f>
        <v>0</v>
      </c>
      <c r="FG11" s="38"/>
      <c r="FH11" s="7"/>
      <c r="FI11" s="7">
        <f>'címrend kötelező'!BD11+'címrend önként'!BD11+'címrend államig'!BD11</f>
        <v>0</v>
      </c>
      <c r="FJ11" s="38"/>
      <c r="FK11" s="38"/>
      <c r="FL11" s="7">
        <f>'címrend kötelező'!BE11+'címrend önként'!BE11+'címrend államig'!BE11</f>
        <v>0</v>
      </c>
      <c r="FM11" s="38"/>
      <c r="FN11" s="7"/>
      <c r="FO11" s="7">
        <f>SUM('címrend kötelező'!BF11+'címrend önként'!BF11+'címrend államig'!BF11)</f>
        <v>0</v>
      </c>
      <c r="FP11" s="38"/>
      <c r="FQ11" s="7"/>
      <c r="FR11" s="7">
        <f>SUM('címrend kötelező'!BG11+'címrend önként'!BG11+'címrend államig'!BG11)</f>
        <v>0</v>
      </c>
      <c r="FS11" s="38"/>
      <c r="FT11" s="7"/>
      <c r="FU11" s="7">
        <f>SUM('címrend kötelező'!BH11+'címrend önként'!BH11+'címrend államig'!BH11)</f>
        <v>0</v>
      </c>
      <c r="FV11" s="38"/>
      <c r="FW11" s="7"/>
      <c r="FX11" s="7">
        <f>SUM('címrend kötelező'!BI11+'címrend önként'!BI11+'címrend államig'!BI11)</f>
        <v>0</v>
      </c>
      <c r="FY11" s="38"/>
      <c r="FZ11" s="7"/>
      <c r="GA11" s="7">
        <f>SUM('címrend kötelező'!BJ11+'címrend önként'!BJ11+'címrend államig'!BJ11)</f>
        <v>0</v>
      </c>
      <c r="GB11" s="38"/>
      <c r="GC11" s="7"/>
      <c r="GD11" s="7">
        <f>SUM('címrend kötelező'!BK11+'címrend önként'!BK11+'címrend államig'!BK11)</f>
        <v>0</v>
      </c>
      <c r="GE11" s="38"/>
      <c r="GF11" s="7">
        <v>1229</v>
      </c>
      <c r="GG11" s="7">
        <f>SUM('címrend kötelező'!BL11+'címrend önként'!BL11+'címrend államig'!BL11)</f>
        <v>1229</v>
      </c>
      <c r="GH11" s="38">
        <f t="shared" si="112"/>
        <v>100</v>
      </c>
      <c r="GI11" s="7"/>
      <c r="GJ11" s="7">
        <f>SUM('címrend kötelező'!BM11+'címrend önként'!BM11+'címrend államig'!BM11)</f>
        <v>0</v>
      </c>
      <c r="GK11" s="38"/>
      <c r="GL11" s="7"/>
      <c r="GM11" s="7">
        <f>SUM('címrend kötelező'!BN11+'címrend önként'!BN11+'címrend államig'!BN11)</f>
        <v>0</v>
      </c>
      <c r="GN11" s="38"/>
      <c r="GO11" s="387">
        <f t="shared" si="117"/>
        <v>1229</v>
      </c>
      <c r="GP11" s="387">
        <f t="shared" si="200"/>
        <v>1229</v>
      </c>
      <c r="GQ11" s="87">
        <f t="shared" si="119"/>
        <v>100</v>
      </c>
      <c r="GR11" s="7"/>
      <c r="GS11" s="7">
        <f>SUM('címrend kötelező'!BP11+'címrend önként'!BP11+'címrend államig'!BP11)</f>
        <v>0</v>
      </c>
      <c r="GT11" s="38"/>
      <c r="GU11" s="7"/>
      <c r="GV11" s="7">
        <f>SUM('címrend kötelező'!BQ11+'címrend önként'!BQ11+'címrend államig'!BQ11)</f>
        <v>0</v>
      </c>
      <c r="GW11" s="38"/>
      <c r="GX11" s="7"/>
      <c r="GY11" s="7">
        <f>SUM('címrend kötelező'!BR11+'címrend önként'!BR11+'címrend államig'!BR11)</f>
        <v>0</v>
      </c>
      <c r="GZ11" s="38"/>
      <c r="HA11" s="387">
        <f t="shared" si="198"/>
        <v>1229</v>
      </c>
      <c r="HB11" s="387">
        <f t="shared" si="198"/>
        <v>1229</v>
      </c>
      <c r="HC11" s="87">
        <f t="shared" si="126"/>
        <v>100</v>
      </c>
      <c r="HD11" s="38">
        <f t="shared" si="127"/>
        <v>138080</v>
      </c>
      <c r="HE11" s="38">
        <f t="shared" si="128"/>
        <v>119429</v>
      </c>
      <c r="HF11" s="238">
        <f t="shared" si="129"/>
        <v>86.492612977983768</v>
      </c>
      <c r="HH11" s="242"/>
      <c r="HI11" s="242"/>
    </row>
    <row r="12" spans="1:217" s="13" customFormat="1" ht="15" customHeight="1" x14ac:dyDescent="0.25">
      <c r="A12" s="212" t="s">
        <v>339</v>
      </c>
      <c r="B12" s="6">
        <f>B13+B14+B15+B16+B17</f>
        <v>0</v>
      </c>
      <c r="C12" s="6">
        <f>C13+C14+C15+C16+C17</f>
        <v>0</v>
      </c>
      <c r="D12" s="82"/>
      <c r="E12" s="6">
        <f t="shared" ref="E12:F12" si="201">E13+E14+E15+E16+E17</f>
        <v>0</v>
      </c>
      <c r="F12" s="6">
        <f t="shared" si="201"/>
        <v>0</v>
      </c>
      <c r="G12" s="82"/>
      <c r="H12" s="6">
        <f t="shared" ref="H12:I12" si="202">H13+H14+H15+H16+H17</f>
        <v>0</v>
      </c>
      <c r="I12" s="6">
        <f t="shared" si="202"/>
        <v>0</v>
      </c>
      <c r="J12" s="82"/>
      <c r="K12" s="6">
        <f t="shared" ref="K12:L12" si="203">K13+K14+K15+K16+K17</f>
        <v>0</v>
      </c>
      <c r="L12" s="6">
        <f t="shared" si="203"/>
        <v>0</v>
      </c>
      <c r="M12" s="82"/>
      <c r="N12" s="6">
        <f t="shared" ref="N12:O12" si="204">N13+N14+N15+N16+N17</f>
        <v>156598</v>
      </c>
      <c r="O12" s="6">
        <f t="shared" si="204"/>
        <v>27715</v>
      </c>
      <c r="P12" s="82"/>
      <c r="Q12" s="6">
        <f t="shared" ref="Q12:R12" si="205">Q13+Q14+Q15+Q16+Q17</f>
        <v>513406</v>
      </c>
      <c r="R12" s="6">
        <f t="shared" si="205"/>
        <v>284466</v>
      </c>
      <c r="S12" s="82"/>
      <c r="T12" s="6">
        <f t="shared" ref="T12:U12" si="206">T13+T14+T15+T16+T17</f>
        <v>0</v>
      </c>
      <c r="U12" s="6">
        <f t="shared" si="206"/>
        <v>0</v>
      </c>
      <c r="V12" s="82"/>
      <c r="W12" s="6">
        <f t="shared" ref="W12:X12" si="207">W13+W14+W15+W16+W17</f>
        <v>7000</v>
      </c>
      <c r="X12" s="6">
        <f t="shared" si="207"/>
        <v>5504</v>
      </c>
      <c r="Y12" s="82"/>
      <c r="Z12" s="6">
        <f t="shared" ref="Z12:AA12" si="208">Z13+Z14+Z15+Z16+Z17</f>
        <v>0</v>
      </c>
      <c r="AA12" s="6">
        <f t="shared" si="208"/>
        <v>28717</v>
      </c>
      <c r="AB12" s="82"/>
      <c r="AC12" s="6">
        <f t="shared" ref="AC12:AD12" si="209">AC13+AC14+AC15+AC16+AC17</f>
        <v>0</v>
      </c>
      <c r="AD12" s="6">
        <f t="shared" si="209"/>
        <v>0</v>
      </c>
      <c r="AE12" s="82"/>
      <c r="AF12" s="6">
        <f t="shared" ref="AF12:AG12" si="210">AF13+AF14+AF15+AF16+AF17</f>
        <v>3550</v>
      </c>
      <c r="AG12" s="6">
        <f t="shared" si="210"/>
        <v>2650</v>
      </c>
      <c r="AH12" s="82"/>
      <c r="AI12" s="6">
        <f t="shared" ref="AI12:AJ12" si="211">AI13+AI14+AI15+AI16+AI17</f>
        <v>0</v>
      </c>
      <c r="AJ12" s="6">
        <f t="shared" si="211"/>
        <v>0</v>
      </c>
      <c r="AK12" s="82"/>
      <c r="AL12" s="6">
        <f t="shared" ref="AL12:AM12" si="212">AL13+AL14+AL15+AL16+AL17</f>
        <v>5000</v>
      </c>
      <c r="AM12" s="6">
        <f t="shared" si="212"/>
        <v>5000</v>
      </c>
      <c r="AN12" s="82"/>
      <c r="AO12" s="6">
        <f t="shared" ref="AO12:AP12" si="213">AO13+AO14+AO15+AO16+AO17</f>
        <v>0</v>
      </c>
      <c r="AP12" s="6">
        <f t="shared" si="213"/>
        <v>0</v>
      </c>
      <c r="AQ12" s="82"/>
      <c r="AR12" s="6">
        <f t="shared" ref="AR12:AS12" si="214">AR13+AR14+AR15+AR16+AR17</f>
        <v>0</v>
      </c>
      <c r="AS12" s="6">
        <f t="shared" si="214"/>
        <v>0</v>
      </c>
      <c r="AT12" s="82"/>
      <c r="AU12" s="6">
        <f t="shared" ref="AU12:AV12" si="215">AU13+AU14+AU15+AU16+AU17</f>
        <v>104457</v>
      </c>
      <c r="AV12" s="6">
        <f t="shared" si="215"/>
        <v>130000</v>
      </c>
      <c r="AW12" s="82"/>
      <c r="AX12" s="6">
        <f t="shared" ref="AX12:AY12" si="216">AX13+AX14+AX15+AX16+AX17</f>
        <v>0</v>
      </c>
      <c r="AY12" s="6">
        <f t="shared" si="216"/>
        <v>2500</v>
      </c>
      <c r="AZ12" s="82"/>
      <c r="BA12" s="6">
        <f t="shared" ref="BA12:BB12" si="217">BA13+BA14+BA15+BA16+BA17</f>
        <v>0</v>
      </c>
      <c r="BB12" s="6">
        <f t="shared" si="217"/>
        <v>0</v>
      </c>
      <c r="BC12" s="82"/>
      <c r="BD12" s="6">
        <f t="shared" ref="BD12:BE12" si="218">BD13+BD14+BD15+BD16+BD17</f>
        <v>0</v>
      </c>
      <c r="BE12" s="6">
        <f t="shared" si="218"/>
        <v>0</v>
      </c>
      <c r="BF12" s="82"/>
      <c r="BG12" s="6">
        <f t="shared" ref="BG12:BH12" si="219">BG13+BG14+BG15+BG16+BG17</f>
        <v>0</v>
      </c>
      <c r="BH12" s="6">
        <f t="shared" si="219"/>
        <v>0</v>
      </c>
      <c r="BI12" s="82"/>
      <c r="BJ12" s="6">
        <f t="shared" ref="BJ12:BK12" si="220">BJ13+BJ14+BJ15+BJ16+BJ17</f>
        <v>0</v>
      </c>
      <c r="BK12" s="6">
        <f t="shared" si="220"/>
        <v>0</v>
      </c>
      <c r="BL12" s="82"/>
      <c r="BM12" s="6">
        <f t="shared" ref="BM12:BN12" si="221">BM13+BM14+BM15+BM16+BM17</f>
        <v>0</v>
      </c>
      <c r="BN12" s="6">
        <f t="shared" si="221"/>
        <v>0</v>
      </c>
      <c r="BO12" s="82"/>
      <c r="BP12" s="6">
        <f t="shared" ref="BP12:BQ12" si="222">BP13+BP14+BP15+BP16+BP17</f>
        <v>0</v>
      </c>
      <c r="BQ12" s="6">
        <f t="shared" si="222"/>
        <v>0</v>
      </c>
      <c r="BR12" s="82"/>
      <c r="BS12" s="6">
        <f t="shared" ref="BS12:BT12" si="223">BS13+BS14+BS15+BS16+BS17</f>
        <v>137489</v>
      </c>
      <c r="BT12" s="6">
        <f t="shared" si="223"/>
        <v>128204</v>
      </c>
      <c r="BU12" s="82"/>
      <c r="BV12" s="6">
        <f t="shared" ref="BV12:BW12" si="224">BV13+BV14+BV15+BV16+BV17</f>
        <v>0</v>
      </c>
      <c r="BW12" s="6">
        <f t="shared" si="224"/>
        <v>0</v>
      </c>
      <c r="BX12" s="82"/>
      <c r="BY12" s="6">
        <f t="shared" ref="BY12:BZ12" si="225">BY13+BY14+BY15+BY16+BY17</f>
        <v>943567</v>
      </c>
      <c r="BZ12" s="6">
        <f t="shared" si="225"/>
        <v>1124710</v>
      </c>
      <c r="CA12" s="82"/>
      <c r="CB12" s="6">
        <f t="shared" ref="CB12:CC12" si="226">CB13+CB14+CB15+CB16+CB17</f>
        <v>0</v>
      </c>
      <c r="CC12" s="6">
        <f t="shared" si="226"/>
        <v>0</v>
      </c>
      <c r="CD12" s="82"/>
      <c r="CE12" s="6">
        <f t="shared" ref="CE12:CF12" si="227">CE13+CE14+CE15+CE16+CE17</f>
        <v>0</v>
      </c>
      <c r="CF12" s="6">
        <f t="shared" si="227"/>
        <v>0</v>
      </c>
      <c r="CG12" s="82"/>
      <c r="CH12" s="6">
        <f t="shared" ref="CH12:CI12" si="228">CH13+CH14+CH15+CH16+CH17</f>
        <v>0</v>
      </c>
      <c r="CI12" s="6">
        <f t="shared" si="228"/>
        <v>0</v>
      </c>
      <c r="CJ12" s="82"/>
      <c r="CK12" s="6">
        <f t="shared" ref="CK12:CL12" si="229">CK13+CK14+CK15+CK16+CK17</f>
        <v>0</v>
      </c>
      <c r="CL12" s="6">
        <f t="shared" si="229"/>
        <v>0</v>
      </c>
      <c r="CM12" s="82"/>
      <c r="CN12" s="6">
        <f t="shared" ref="CN12:CO12" si="230">CN13+CN14+CN15+CN16+CN17</f>
        <v>1500</v>
      </c>
      <c r="CO12" s="6">
        <f t="shared" si="230"/>
        <v>0</v>
      </c>
      <c r="CP12" s="82"/>
      <c r="CQ12" s="6">
        <f t="shared" ref="CQ12:CR12" si="231">CQ13+CQ14+CQ15+CQ16+CQ17</f>
        <v>0</v>
      </c>
      <c r="CR12" s="6">
        <f t="shared" si="231"/>
        <v>0</v>
      </c>
      <c r="CS12" s="82"/>
      <c r="CT12" s="6">
        <f t="shared" ref="CT12:CU12" si="232">CT13+CT14+CT15+CT16+CT17</f>
        <v>0</v>
      </c>
      <c r="CU12" s="6">
        <f t="shared" si="232"/>
        <v>0</v>
      </c>
      <c r="CV12" s="82"/>
      <c r="CW12" s="6">
        <f t="shared" ref="CW12:CX12" si="233">CW13+CW14+CW15+CW16+CW17</f>
        <v>0</v>
      </c>
      <c r="CX12" s="6">
        <f t="shared" si="233"/>
        <v>0</v>
      </c>
      <c r="CY12" s="82"/>
      <c r="CZ12" s="6">
        <f t="shared" ref="CZ12:DA12" si="234">CZ13+CZ14+CZ15+CZ16+CZ17</f>
        <v>13603</v>
      </c>
      <c r="DA12" s="6">
        <f t="shared" si="234"/>
        <v>21484</v>
      </c>
      <c r="DB12" s="82"/>
      <c r="DC12" s="6">
        <f t="shared" ref="DC12:DD12" si="235">DC13+DC14+DC15+DC16+DC17</f>
        <v>0</v>
      </c>
      <c r="DD12" s="6">
        <f t="shared" si="235"/>
        <v>0</v>
      </c>
      <c r="DE12" s="82"/>
      <c r="DF12" s="6">
        <f t="shared" ref="DF12:DG12" si="236">DF13+DF14+DF15+DF16+DF17</f>
        <v>0</v>
      </c>
      <c r="DG12" s="6">
        <f t="shared" si="236"/>
        <v>0</v>
      </c>
      <c r="DH12" s="82"/>
      <c r="DI12" s="6">
        <f t="shared" ref="DI12:DJ12" si="237">DI13+DI14+DI15+DI16+DI17</f>
        <v>0</v>
      </c>
      <c r="DJ12" s="6">
        <f t="shared" si="237"/>
        <v>0</v>
      </c>
      <c r="DK12" s="82"/>
      <c r="DL12" s="6">
        <f t="shared" ref="DL12:DM12" si="238">DL13+DL14+DL15+DL16+DL17</f>
        <v>0</v>
      </c>
      <c r="DM12" s="6">
        <f t="shared" si="238"/>
        <v>0</v>
      </c>
      <c r="DN12" s="82"/>
      <c r="DO12" s="6">
        <f t="shared" ref="DO12:DP12" si="239">DO13+DO14+DO15+DO16+DO17</f>
        <v>933958</v>
      </c>
      <c r="DP12" s="6">
        <f t="shared" si="239"/>
        <v>838769</v>
      </c>
      <c r="DQ12" s="82"/>
      <c r="DR12" s="38">
        <f t="shared" si="169"/>
        <v>2820128</v>
      </c>
      <c r="DS12" s="38">
        <f t="shared" si="169"/>
        <v>2599719</v>
      </c>
      <c r="DT12" s="82">
        <f t="shared" si="170"/>
        <v>92.184432763335565</v>
      </c>
      <c r="DU12" s="6">
        <f>DU13+DU14+DU15+DU16+DU17</f>
        <v>0</v>
      </c>
      <c r="DV12" s="6">
        <f>DV13+DV14+DV15+DV16+DV17</f>
        <v>0</v>
      </c>
      <c r="DW12" s="38"/>
      <c r="DX12" s="6">
        <f t="shared" ref="DX12:DY12" si="240">DX13+DX14+DX15+DX16+DX17</f>
        <v>0</v>
      </c>
      <c r="DY12" s="6">
        <f t="shared" si="240"/>
        <v>0</v>
      </c>
      <c r="DZ12" s="38"/>
      <c r="EA12" s="6">
        <f t="shared" ref="EA12:EB12" si="241">EA13+EA14+EA15+EA16+EA17</f>
        <v>0</v>
      </c>
      <c r="EB12" s="6">
        <f t="shared" si="241"/>
        <v>0</v>
      </c>
      <c r="EC12" s="38"/>
      <c r="ED12" s="6">
        <f t="shared" ref="ED12:EE12" si="242">ED13+ED14+ED15+ED16+ED17</f>
        <v>0</v>
      </c>
      <c r="EE12" s="6">
        <f t="shared" si="242"/>
        <v>0</v>
      </c>
      <c r="EF12" s="38"/>
      <c r="EG12" s="6">
        <f t="shared" ref="EG12:EH12" si="243">EG13+EG14+EG15+EG16+EG17</f>
        <v>0</v>
      </c>
      <c r="EH12" s="6">
        <f t="shared" si="243"/>
        <v>0</v>
      </c>
      <c r="EI12" s="38"/>
      <c r="EJ12" s="6">
        <f t="shared" ref="EJ12:EK12" si="244">EJ13+EJ14+EJ15+EJ16+EJ17</f>
        <v>0</v>
      </c>
      <c r="EK12" s="6">
        <f t="shared" si="244"/>
        <v>0</v>
      </c>
      <c r="EL12" s="38"/>
      <c r="EM12" s="6">
        <f t="shared" ref="EM12:EN12" si="245">EM13+EM14+EM15+EM16+EM17</f>
        <v>0</v>
      </c>
      <c r="EN12" s="6">
        <f t="shared" si="245"/>
        <v>0</v>
      </c>
      <c r="EO12" s="38"/>
      <c r="EP12" s="6">
        <f t="shared" ref="EP12:EQ12" si="246">EP13+EP14+EP15+EP16+EP17</f>
        <v>0</v>
      </c>
      <c r="EQ12" s="6">
        <f t="shared" si="246"/>
        <v>0</v>
      </c>
      <c r="ER12" s="38"/>
      <c r="ES12" s="6">
        <f t="shared" ref="ES12:ET12" si="247">ES13+ES14+ES15+ES16+ES17</f>
        <v>0</v>
      </c>
      <c r="ET12" s="6">
        <f t="shared" si="247"/>
        <v>0</v>
      </c>
      <c r="EU12" s="38"/>
      <c r="EV12" s="38">
        <f t="shared" si="179"/>
        <v>0</v>
      </c>
      <c r="EW12" s="38">
        <f t="shared" si="179"/>
        <v>0</v>
      </c>
      <c r="EX12" s="82"/>
      <c r="EY12" s="6">
        <f t="shared" ref="EY12:EZ12" si="248">EY13+EY14+EY15+EY16+EY17</f>
        <v>0</v>
      </c>
      <c r="EZ12" s="6">
        <f t="shared" si="248"/>
        <v>0</v>
      </c>
      <c r="FA12" s="38"/>
      <c r="FB12" s="6">
        <f t="shared" ref="FB12:FC12" si="249">FB13+FB14+FB15+FB16+FB17</f>
        <v>0</v>
      </c>
      <c r="FC12" s="6">
        <f t="shared" si="249"/>
        <v>0</v>
      </c>
      <c r="FD12" s="38"/>
      <c r="FE12" s="6">
        <f t="shared" ref="FE12:FF12" si="250">FE13+FE14+FE15+FE16+FE17</f>
        <v>0</v>
      </c>
      <c r="FF12" s="6">
        <f t="shared" si="250"/>
        <v>0</v>
      </c>
      <c r="FG12" s="38"/>
      <c r="FH12" s="6">
        <f t="shared" ref="FH12:FI12" si="251">FH13+FH14+FH15+FH16+FH17</f>
        <v>0</v>
      </c>
      <c r="FI12" s="6">
        <f t="shared" si="251"/>
        <v>0</v>
      </c>
      <c r="FJ12" s="38"/>
      <c r="FK12" s="38"/>
      <c r="FL12" s="6">
        <f t="shared" ref="FL12" si="252">FL13+FL14+FL15+FL16+FL17</f>
        <v>0</v>
      </c>
      <c r="FM12" s="38"/>
      <c r="FN12" s="6">
        <f t="shared" ref="FN12:FO12" si="253">FN13+FN14+FN15+FN16+FN17</f>
        <v>0</v>
      </c>
      <c r="FO12" s="6">
        <f t="shared" si="253"/>
        <v>0</v>
      </c>
      <c r="FP12" s="38"/>
      <c r="FQ12" s="6">
        <f t="shared" ref="FQ12:FR12" si="254">FQ13+FQ14+FQ15+FQ16+FQ17</f>
        <v>0</v>
      </c>
      <c r="FR12" s="6">
        <f t="shared" si="254"/>
        <v>0</v>
      </c>
      <c r="FS12" s="38"/>
      <c r="FT12" s="6">
        <f t="shared" ref="FT12:FU12" si="255">FT13+FT14+FT15+FT16+FT17</f>
        <v>0</v>
      </c>
      <c r="FU12" s="6">
        <f t="shared" si="255"/>
        <v>0</v>
      </c>
      <c r="FV12" s="38"/>
      <c r="FW12" s="6">
        <f t="shared" ref="FW12:FX12" si="256">FW13+FW14+FW15+FW16+FW17</f>
        <v>0</v>
      </c>
      <c r="FX12" s="6">
        <f t="shared" si="256"/>
        <v>0</v>
      </c>
      <c r="FY12" s="38"/>
      <c r="FZ12" s="6">
        <f t="shared" ref="FZ12:GA12" si="257">FZ13+FZ14+FZ15+FZ16+FZ17</f>
        <v>0</v>
      </c>
      <c r="GA12" s="6">
        <f t="shared" si="257"/>
        <v>0</v>
      </c>
      <c r="GB12" s="38"/>
      <c r="GC12" s="6">
        <f t="shared" ref="GC12:GD12" si="258">GC13+GC14+GC15+GC16+GC17</f>
        <v>0</v>
      </c>
      <c r="GD12" s="6">
        <f t="shared" si="258"/>
        <v>0</v>
      </c>
      <c r="GE12" s="38"/>
      <c r="GF12" s="6">
        <f t="shared" ref="GF12:GG12" si="259">GF13+GF14+GF15+GF16+GF17</f>
        <v>0</v>
      </c>
      <c r="GG12" s="6">
        <f t="shared" si="259"/>
        <v>0</v>
      </c>
      <c r="GH12" s="38"/>
      <c r="GI12" s="6">
        <f t="shared" ref="GI12:GJ12" si="260">GI13+GI14+GI15+GI16+GI17</f>
        <v>0</v>
      </c>
      <c r="GJ12" s="6">
        <f t="shared" si="260"/>
        <v>0</v>
      </c>
      <c r="GK12" s="38"/>
      <c r="GL12" s="6">
        <f t="shared" ref="GL12:GM12" si="261">GL13+GL14+GL15+GL16+GL17</f>
        <v>0</v>
      </c>
      <c r="GM12" s="6">
        <f t="shared" si="261"/>
        <v>0</v>
      </c>
      <c r="GN12" s="38"/>
      <c r="GO12" s="38">
        <f t="shared" si="117"/>
        <v>0</v>
      </c>
      <c r="GP12" s="6">
        <f t="shared" ref="GP12" si="262">GP13+GP14+GP15+GP16+GP17</f>
        <v>0</v>
      </c>
      <c r="GQ12" s="38"/>
      <c r="GR12" s="6">
        <f t="shared" ref="GR12:GS12" si="263">GR13+GR14+GR15+GR16+GR17</f>
        <v>0</v>
      </c>
      <c r="GS12" s="6">
        <f t="shared" si="263"/>
        <v>0</v>
      </c>
      <c r="GT12" s="38"/>
      <c r="GU12" s="6">
        <f t="shared" ref="GU12:GV12" si="264">GU13+GU14+GU15+GU16+GU17</f>
        <v>0</v>
      </c>
      <c r="GV12" s="6">
        <f t="shared" si="264"/>
        <v>0</v>
      </c>
      <c r="GW12" s="38"/>
      <c r="GX12" s="6">
        <f t="shared" ref="GX12:GY12" si="265">GX13+GX14+GX15+GX16+GX17</f>
        <v>0</v>
      </c>
      <c r="GY12" s="6">
        <f t="shared" si="265"/>
        <v>0</v>
      </c>
      <c r="GZ12" s="38"/>
      <c r="HA12" s="38">
        <f t="shared" si="198"/>
        <v>0</v>
      </c>
      <c r="HB12" s="38">
        <f t="shared" si="198"/>
        <v>0</v>
      </c>
      <c r="HC12" s="38"/>
      <c r="HD12" s="38">
        <f t="shared" si="127"/>
        <v>2820128</v>
      </c>
      <c r="HE12" s="38">
        <f t="shared" si="128"/>
        <v>2599719</v>
      </c>
      <c r="HF12" s="238">
        <f t="shared" si="129"/>
        <v>92.184432763335565</v>
      </c>
      <c r="HH12" s="242"/>
      <c r="HI12" s="242"/>
    </row>
    <row r="13" spans="1:217" ht="15" customHeight="1" x14ac:dyDescent="0.25">
      <c r="A13" s="210" t="s">
        <v>340</v>
      </c>
      <c r="B13" s="7"/>
      <c r="C13" s="7">
        <f>SUM('címrend kötelező'!B13+'címrend önként'!B13+'címrend államig'!B13)</f>
        <v>0</v>
      </c>
      <c r="D13" s="82"/>
      <c r="E13" s="7"/>
      <c r="F13" s="7">
        <f>SUM('címrend kötelező'!C13+'címrend önként'!C13+'címrend államig'!C13)</f>
        <v>0</v>
      </c>
      <c r="G13" s="82"/>
      <c r="H13" s="7"/>
      <c r="I13" s="7">
        <f>SUM('címrend kötelező'!D13+'címrend önként'!D13+'címrend államig'!D13)</f>
        <v>0</v>
      </c>
      <c r="J13" s="82"/>
      <c r="K13" s="7"/>
      <c r="L13" s="7">
        <f>SUM('címrend kötelező'!E13+'címrend önként'!E13+'címrend államig'!E13)</f>
        <v>0</v>
      </c>
      <c r="M13" s="82"/>
      <c r="N13" s="7"/>
      <c r="O13" s="7">
        <f>SUM('címrend kötelező'!F13+'címrend önként'!F13+'címrend államig'!F13)</f>
        <v>0</v>
      </c>
      <c r="P13" s="82"/>
      <c r="Q13" s="7"/>
      <c r="R13" s="7">
        <f>SUM('címrend kötelező'!G13+'címrend önként'!G13+'címrend államig'!G13)</f>
        <v>0</v>
      </c>
      <c r="S13" s="82"/>
      <c r="T13" s="7"/>
      <c r="U13" s="7">
        <f>SUM('címrend kötelező'!H13+'címrend önként'!H13+'címrend államig'!H13)</f>
        <v>0</v>
      </c>
      <c r="V13" s="82"/>
      <c r="W13" s="7"/>
      <c r="X13" s="7">
        <f>SUM('címrend kötelező'!I13+'címrend önként'!I13+'címrend államig'!I13)</f>
        <v>0</v>
      </c>
      <c r="Y13" s="82"/>
      <c r="Z13" s="7"/>
      <c r="AA13" s="7">
        <f>SUM('címrend kötelező'!J13+'címrend önként'!J13+'címrend államig'!J13)</f>
        <v>28717</v>
      </c>
      <c r="AB13" s="82"/>
      <c r="AC13" s="7"/>
      <c r="AD13" s="7">
        <f>SUM('címrend kötelező'!K13+'címrend önként'!K13+'címrend államig'!K13)</f>
        <v>0</v>
      </c>
      <c r="AE13" s="82"/>
      <c r="AF13" s="7"/>
      <c r="AG13" s="7">
        <f>SUM('címrend kötelező'!L13+'címrend önként'!L13+'címrend államig'!L13)</f>
        <v>0</v>
      </c>
      <c r="AH13" s="82"/>
      <c r="AI13" s="7"/>
      <c r="AJ13" s="7">
        <f>SUM('címrend kötelező'!M13+'címrend önként'!M13+'címrend államig'!M13)</f>
        <v>0</v>
      </c>
      <c r="AK13" s="82"/>
      <c r="AL13" s="7"/>
      <c r="AM13" s="7">
        <f>SUM('címrend kötelező'!N13+'címrend önként'!N13+'címrend államig'!N13)</f>
        <v>0</v>
      </c>
      <c r="AN13" s="82"/>
      <c r="AO13" s="7"/>
      <c r="AP13" s="7">
        <f>SUM('címrend kötelező'!O13+'címrend önként'!O13+'címrend államig'!O13)</f>
        <v>0</v>
      </c>
      <c r="AQ13" s="82"/>
      <c r="AR13" s="7"/>
      <c r="AS13" s="7">
        <f>SUM('címrend kötelező'!P13+'címrend önként'!P13+'címrend államig'!P13)</f>
        <v>0</v>
      </c>
      <c r="AT13" s="82"/>
      <c r="AU13" s="7"/>
      <c r="AV13" s="7">
        <f>SUM('címrend kötelező'!Q13+'címrend önként'!Q13+'címrend államig'!Q13)</f>
        <v>0</v>
      </c>
      <c r="AW13" s="82"/>
      <c r="AX13" s="7"/>
      <c r="AY13" s="7">
        <f>SUM('címrend kötelező'!R13+'címrend önként'!R13+'címrend államig'!R13)</f>
        <v>0</v>
      </c>
      <c r="AZ13" s="82"/>
      <c r="BA13" s="7"/>
      <c r="BB13" s="7">
        <f>SUM('címrend kötelező'!S13+'címrend önként'!S13+'címrend államig'!S13)</f>
        <v>0</v>
      </c>
      <c r="BC13" s="82"/>
      <c r="BD13" s="7"/>
      <c r="BE13" s="7">
        <f>SUM('címrend kötelező'!T13+'címrend önként'!T13+'címrend államig'!T13)</f>
        <v>0</v>
      </c>
      <c r="BF13" s="82"/>
      <c r="BG13" s="7"/>
      <c r="BH13" s="7">
        <f>SUM('címrend kötelező'!U13+'címrend önként'!U13+'címrend államig'!U13)</f>
        <v>0</v>
      </c>
      <c r="BI13" s="82"/>
      <c r="BJ13" s="7"/>
      <c r="BK13" s="7">
        <f>SUM('címrend kötelező'!V13+'címrend önként'!V13+'címrend államig'!V13)</f>
        <v>0</v>
      </c>
      <c r="BL13" s="82"/>
      <c r="BM13" s="7"/>
      <c r="BN13" s="7">
        <f>SUM('címrend kötelező'!W13+'címrend önként'!W13+'címrend államig'!W13)</f>
        <v>0</v>
      </c>
      <c r="BO13" s="82"/>
      <c r="BP13" s="7"/>
      <c r="BQ13" s="7">
        <f>SUM('címrend kötelező'!X13+'címrend önként'!X13+'címrend államig'!X13)</f>
        <v>0</v>
      </c>
      <c r="BR13" s="82"/>
      <c r="BS13" s="7"/>
      <c r="BT13" s="7">
        <f>SUM('címrend kötelező'!Y13+'címrend önként'!Y13+'címrend államig'!Y13)</f>
        <v>0</v>
      </c>
      <c r="BU13" s="82"/>
      <c r="BV13" s="7"/>
      <c r="BW13" s="7">
        <f>SUM('címrend kötelező'!Z13+'címrend önként'!Z13+'címrend államig'!Z13)</f>
        <v>0</v>
      </c>
      <c r="BX13" s="82"/>
      <c r="BY13" s="7"/>
      <c r="BZ13" s="7">
        <f>SUM('címrend kötelező'!AA13+'címrend önként'!AA13+'címrend államig'!AA13)</f>
        <v>0</v>
      </c>
      <c r="CA13" s="82"/>
      <c r="CB13" s="7"/>
      <c r="CC13" s="7">
        <f>SUM('címrend kötelező'!AB13+'címrend önként'!AB13+'címrend államig'!AB13)</f>
        <v>0</v>
      </c>
      <c r="CD13" s="82"/>
      <c r="CE13" s="7"/>
      <c r="CF13" s="7">
        <f>SUM('címrend kötelező'!AC13+'címrend önként'!AC13+'címrend államig'!AC13)</f>
        <v>0</v>
      </c>
      <c r="CG13" s="82"/>
      <c r="CH13" s="7"/>
      <c r="CI13" s="7">
        <f>SUM('címrend kötelező'!AD13+'címrend önként'!AD13+'címrend államig'!AD13)</f>
        <v>0</v>
      </c>
      <c r="CJ13" s="82"/>
      <c r="CK13" s="7"/>
      <c r="CL13" s="7">
        <f>SUM('címrend kötelező'!AE13+'címrend önként'!AE13+'címrend államig'!AE13)</f>
        <v>0</v>
      </c>
      <c r="CM13" s="82"/>
      <c r="CN13" s="7"/>
      <c r="CO13" s="7">
        <f>SUM('címrend kötelező'!AF13+'címrend önként'!AF13+'címrend államig'!AF13)</f>
        <v>0</v>
      </c>
      <c r="CP13" s="82"/>
      <c r="CQ13" s="7"/>
      <c r="CR13" s="7">
        <f>SUM('címrend kötelező'!AG13+'címrend önként'!AG13+'címrend államig'!AG13)</f>
        <v>0</v>
      </c>
      <c r="CS13" s="82"/>
      <c r="CT13" s="7"/>
      <c r="CU13" s="7">
        <f>SUM('címrend kötelező'!AH13+'címrend önként'!AH13+'címrend államig'!AH13)</f>
        <v>0</v>
      </c>
      <c r="CV13" s="82"/>
      <c r="CW13" s="7"/>
      <c r="CX13" s="7">
        <f>SUM('címrend kötelező'!AI13+'címrend önként'!AI13+'címrend államig'!AI13)</f>
        <v>0</v>
      </c>
      <c r="CY13" s="82"/>
      <c r="CZ13" s="7"/>
      <c r="DA13" s="7">
        <f>SUM('címrend kötelező'!AJ13+'címrend önként'!AJ13+'címrend államig'!AJ13)</f>
        <v>0</v>
      </c>
      <c r="DB13" s="82"/>
      <c r="DC13" s="7"/>
      <c r="DD13" s="7">
        <f>SUM('címrend kötelező'!AK13+'címrend önként'!AK13+'címrend államig'!AK13)</f>
        <v>0</v>
      </c>
      <c r="DE13" s="82"/>
      <c r="DF13" s="7"/>
      <c r="DG13" s="7">
        <f>SUM('címrend kötelező'!AL13+'címrend önként'!AL13+'címrend államig'!AL13)</f>
        <v>0</v>
      </c>
      <c r="DH13" s="82"/>
      <c r="DI13" s="7"/>
      <c r="DJ13" s="7">
        <f>SUM('címrend kötelező'!AM13+'címrend önként'!AM13+'címrend államig'!AM13)</f>
        <v>0</v>
      </c>
      <c r="DK13" s="82"/>
      <c r="DL13" s="7"/>
      <c r="DM13" s="7">
        <f>SUM('címrend kötelező'!AN13+'címrend önként'!AN13+'címrend államig'!AN13)</f>
        <v>0</v>
      </c>
      <c r="DN13" s="82"/>
      <c r="DO13" s="7"/>
      <c r="DP13" s="7">
        <f>SUM('címrend kötelező'!AO13+'címrend önként'!AO13+'címrend államig'!AO13)</f>
        <v>0</v>
      </c>
      <c r="DQ13" s="82"/>
      <c r="DR13" s="387">
        <f t="shared" si="169"/>
        <v>0</v>
      </c>
      <c r="DS13" s="387">
        <f t="shared" si="169"/>
        <v>28717</v>
      </c>
      <c r="DT13" s="82"/>
      <c r="DU13" s="7"/>
      <c r="DV13" s="7">
        <f>SUM('címrend kötelező'!AQ13+'címrend önként'!AQ13+'címrend államig'!AQ13)</f>
        <v>0</v>
      </c>
      <c r="DW13" s="38"/>
      <c r="DX13" s="7"/>
      <c r="DY13" s="7">
        <f>SUM('címrend kötelező'!AR13+'címrend önként'!AR13+'címrend államig'!AR13)</f>
        <v>0</v>
      </c>
      <c r="DZ13" s="38"/>
      <c r="EA13" s="7"/>
      <c r="EB13" s="7">
        <f>SUM('címrend kötelező'!AS13+'címrend önként'!AS13+'címrend államig'!AS13)</f>
        <v>0</v>
      </c>
      <c r="EC13" s="38"/>
      <c r="ED13" s="7"/>
      <c r="EE13" s="7">
        <f>SUM('címrend kötelező'!AT13+'címrend önként'!AT13+'címrend államig'!AT13)</f>
        <v>0</v>
      </c>
      <c r="EF13" s="38"/>
      <c r="EG13" s="7"/>
      <c r="EH13" s="7">
        <f>SUM('címrend kötelező'!AU13+'címrend önként'!AU13+'címrend államig'!AU13)</f>
        <v>0</v>
      </c>
      <c r="EI13" s="38"/>
      <c r="EJ13" s="7"/>
      <c r="EK13" s="7">
        <f>SUM('címrend kötelező'!AV13+'címrend önként'!AV13+'címrend államig'!AV13)</f>
        <v>0</v>
      </c>
      <c r="EL13" s="38"/>
      <c r="EM13" s="7"/>
      <c r="EN13" s="7">
        <f>SUM('címrend kötelező'!AW13+'címrend önként'!AW13+'címrend államig'!AW13)</f>
        <v>0</v>
      </c>
      <c r="EO13" s="38"/>
      <c r="EP13" s="7"/>
      <c r="EQ13" s="7">
        <f>SUM('címrend kötelező'!AX13+'címrend önként'!AX13+'címrend államig'!AX13)</f>
        <v>0</v>
      </c>
      <c r="ER13" s="38"/>
      <c r="ES13" s="7"/>
      <c r="ET13" s="7">
        <f>SUM('címrend kötelező'!AY13+'címrend önként'!AY13+'címrend államig'!AY13)</f>
        <v>0</v>
      </c>
      <c r="EU13" s="38"/>
      <c r="EV13" s="387">
        <f t="shared" si="179"/>
        <v>0</v>
      </c>
      <c r="EW13" s="387">
        <f t="shared" si="179"/>
        <v>0</v>
      </c>
      <c r="EX13" s="82"/>
      <c r="EY13" s="7"/>
      <c r="EZ13" s="7">
        <f>'címrend kötelező'!BA13+'címrend önként'!BA13+'címrend államig'!BA13</f>
        <v>0</v>
      </c>
      <c r="FA13" s="38"/>
      <c r="FB13" s="7"/>
      <c r="FC13" s="7">
        <f>'címrend kötelező'!BB13+'címrend önként'!BB13+'címrend államig'!BB13</f>
        <v>0</v>
      </c>
      <c r="FD13" s="38"/>
      <c r="FE13" s="7"/>
      <c r="FF13" s="7">
        <f>'címrend kötelező'!BC13+'címrend önként'!BC13+'címrend államig'!BC13</f>
        <v>0</v>
      </c>
      <c r="FG13" s="38"/>
      <c r="FH13" s="7"/>
      <c r="FI13" s="7">
        <f>'címrend kötelező'!BD13+'címrend önként'!BD13+'címrend államig'!BD13</f>
        <v>0</v>
      </c>
      <c r="FJ13" s="38"/>
      <c r="FK13" s="38"/>
      <c r="FL13" s="7">
        <f>'címrend kötelező'!BE13+'címrend önként'!BE13+'címrend államig'!BE13</f>
        <v>0</v>
      </c>
      <c r="FM13" s="38"/>
      <c r="FN13" s="7"/>
      <c r="FO13" s="7">
        <f>SUM('címrend kötelező'!BF13+'címrend önként'!BF13+'címrend államig'!BF13)</f>
        <v>0</v>
      </c>
      <c r="FP13" s="38"/>
      <c r="FQ13" s="7"/>
      <c r="FR13" s="7">
        <f>SUM('címrend kötelező'!BG13+'címrend önként'!BG13+'címrend államig'!BG13)</f>
        <v>0</v>
      </c>
      <c r="FS13" s="38"/>
      <c r="FT13" s="7"/>
      <c r="FU13" s="7">
        <f>SUM('címrend kötelező'!BH13+'címrend önként'!BH13+'címrend államig'!BH13)</f>
        <v>0</v>
      </c>
      <c r="FV13" s="38"/>
      <c r="FW13" s="7"/>
      <c r="FX13" s="7">
        <f>SUM('címrend kötelező'!BI13+'címrend önként'!BI13+'címrend államig'!BI13)</f>
        <v>0</v>
      </c>
      <c r="FY13" s="38"/>
      <c r="FZ13" s="7"/>
      <c r="GA13" s="7">
        <f>SUM('címrend kötelező'!BJ13+'címrend önként'!BJ13+'címrend államig'!BJ13)</f>
        <v>0</v>
      </c>
      <c r="GB13" s="38"/>
      <c r="GC13" s="7"/>
      <c r="GD13" s="7">
        <f>SUM('címrend kötelező'!BK13+'címrend önként'!BK13+'címrend államig'!BK13)</f>
        <v>0</v>
      </c>
      <c r="GE13" s="38"/>
      <c r="GF13" s="7"/>
      <c r="GG13" s="7">
        <f>SUM('címrend kötelező'!BL13+'címrend önként'!BL13+'címrend államig'!BL13)</f>
        <v>0</v>
      </c>
      <c r="GH13" s="38"/>
      <c r="GI13" s="7"/>
      <c r="GJ13" s="7">
        <f>SUM('címrend kötelező'!BM13+'címrend önként'!BM13+'címrend államig'!BM13)</f>
        <v>0</v>
      </c>
      <c r="GK13" s="38"/>
      <c r="GL13" s="7"/>
      <c r="GM13" s="7">
        <f>SUM('címrend kötelező'!BN13+'címrend önként'!BN13+'címrend államig'!BN13)</f>
        <v>0</v>
      </c>
      <c r="GN13" s="38"/>
      <c r="GO13" s="387">
        <f t="shared" si="117"/>
        <v>0</v>
      </c>
      <c r="GP13" s="387">
        <f t="shared" si="200"/>
        <v>0</v>
      </c>
      <c r="GQ13" s="38"/>
      <c r="GR13" s="7"/>
      <c r="GS13" s="7">
        <f>SUM('címrend kötelező'!BP13+'címrend önként'!BP13+'címrend államig'!BP13)</f>
        <v>0</v>
      </c>
      <c r="GT13" s="38"/>
      <c r="GU13" s="7"/>
      <c r="GV13" s="7">
        <f>SUM('címrend kötelező'!BQ13+'címrend önként'!BQ13+'címrend államig'!BQ13)</f>
        <v>0</v>
      </c>
      <c r="GW13" s="38"/>
      <c r="GX13" s="7"/>
      <c r="GY13" s="7">
        <f>SUM('címrend kötelező'!BR13+'címrend önként'!BR13+'címrend államig'!BR13)</f>
        <v>0</v>
      </c>
      <c r="GZ13" s="38"/>
      <c r="HA13" s="38">
        <f t="shared" si="198"/>
        <v>0</v>
      </c>
      <c r="HB13" s="38">
        <f t="shared" si="198"/>
        <v>0</v>
      </c>
      <c r="HC13" s="38"/>
      <c r="HD13" s="38">
        <f t="shared" si="127"/>
        <v>0</v>
      </c>
      <c r="HE13" s="38">
        <f t="shared" si="128"/>
        <v>28717</v>
      </c>
      <c r="HF13" s="238"/>
      <c r="HH13" s="242"/>
      <c r="HI13" s="242"/>
    </row>
    <row r="14" spans="1:217" ht="15" customHeight="1" x14ac:dyDescent="0.25">
      <c r="A14" s="210" t="s">
        <v>341</v>
      </c>
      <c r="B14" s="7"/>
      <c r="C14" s="7">
        <f>SUM('címrend kötelező'!B14+'címrend önként'!B14+'címrend államig'!B14)</f>
        <v>0</v>
      </c>
      <c r="D14" s="82"/>
      <c r="E14" s="7"/>
      <c r="F14" s="7">
        <f>SUM('címrend kötelező'!C14+'címrend önként'!C14+'címrend államig'!C14)</f>
        <v>0</v>
      </c>
      <c r="G14" s="82"/>
      <c r="H14" s="7"/>
      <c r="I14" s="7">
        <f>SUM('címrend kötelező'!D14+'címrend önként'!D14+'címrend államig'!D14)</f>
        <v>0</v>
      </c>
      <c r="J14" s="82"/>
      <c r="K14" s="7"/>
      <c r="L14" s="7">
        <f>SUM('címrend kötelező'!E14+'címrend önként'!E14+'címrend államig'!E14)</f>
        <v>0</v>
      </c>
      <c r="M14" s="82"/>
      <c r="N14" s="7"/>
      <c r="O14" s="7">
        <f>SUM('címrend kötelező'!F14+'címrend önként'!F14+'címrend államig'!F14)</f>
        <v>0</v>
      </c>
      <c r="P14" s="82"/>
      <c r="Q14" s="7"/>
      <c r="R14" s="7">
        <f>SUM('címrend kötelező'!G14+'címrend önként'!G14+'címrend államig'!G14)</f>
        <v>0</v>
      </c>
      <c r="S14" s="82"/>
      <c r="T14" s="7"/>
      <c r="U14" s="7">
        <f>SUM('címrend kötelező'!H14+'címrend önként'!H14+'címrend államig'!H14)</f>
        <v>0</v>
      </c>
      <c r="V14" s="82"/>
      <c r="W14" s="7"/>
      <c r="X14" s="7">
        <f>SUM('címrend kötelező'!I14+'címrend önként'!I14+'címrend államig'!I14)</f>
        <v>0</v>
      </c>
      <c r="Y14" s="82"/>
      <c r="Z14" s="7"/>
      <c r="AA14" s="7">
        <f>SUM('címrend kötelező'!J14+'címrend önként'!J14+'címrend államig'!J14)</f>
        <v>0</v>
      </c>
      <c r="AB14" s="82"/>
      <c r="AC14" s="7"/>
      <c r="AD14" s="7">
        <f>SUM('címrend kötelező'!K14+'címrend önként'!K14+'címrend államig'!K14)</f>
        <v>0</v>
      </c>
      <c r="AE14" s="82"/>
      <c r="AF14" s="7"/>
      <c r="AG14" s="7">
        <f>SUM('címrend kötelező'!L14+'címrend önként'!L14+'címrend államig'!L14)</f>
        <v>0</v>
      </c>
      <c r="AH14" s="82"/>
      <c r="AI14" s="7"/>
      <c r="AJ14" s="7">
        <f>SUM('címrend kötelező'!M14+'címrend önként'!M14+'címrend államig'!M14)</f>
        <v>0</v>
      </c>
      <c r="AK14" s="82"/>
      <c r="AL14" s="7"/>
      <c r="AM14" s="7">
        <f>SUM('címrend kötelező'!N14+'címrend önként'!N14+'címrend államig'!N14)</f>
        <v>0</v>
      </c>
      <c r="AN14" s="82"/>
      <c r="AO14" s="7"/>
      <c r="AP14" s="7">
        <f>SUM('címrend kötelező'!O14+'címrend önként'!O14+'címrend államig'!O14)</f>
        <v>0</v>
      </c>
      <c r="AQ14" s="82"/>
      <c r="AR14" s="7"/>
      <c r="AS14" s="7">
        <f>SUM('címrend kötelező'!P14+'címrend önként'!P14+'címrend államig'!P14)</f>
        <v>0</v>
      </c>
      <c r="AT14" s="82"/>
      <c r="AU14" s="7"/>
      <c r="AV14" s="7">
        <f>SUM('címrend kötelező'!Q14+'címrend önként'!Q14+'címrend államig'!Q14)</f>
        <v>0</v>
      </c>
      <c r="AW14" s="82"/>
      <c r="AX14" s="7"/>
      <c r="AY14" s="7">
        <f>SUM('címrend kötelező'!R14+'címrend önként'!R14+'címrend államig'!R14)</f>
        <v>0</v>
      </c>
      <c r="AZ14" s="82"/>
      <c r="BA14" s="7"/>
      <c r="BB14" s="7">
        <f>SUM('címrend kötelező'!S14+'címrend önként'!S14+'címrend államig'!S14)</f>
        <v>0</v>
      </c>
      <c r="BC14" s="82"/>
      <c r="BD14" s="7"/>
      <c r="BE14" s="7">
        <f>SUM('címrend kötelező'!T14+'címrend önként'!T14+'címrend államig'!T14)</f>
        <v>0</v>
      </c>
      <c r="BF14" s="82"/>
      <c r="BG14" s="7"/>
      <c r="BH14" s="7">
        <f>SUM('címrend kötelező'!U14+'címrend önként'!U14+'címrend államig'!U14)</f>
        <v>0</v>
      </c>
      <c r="BI14" s="82"/>
      <c r="BJ14" s="7"/>
      <c r="BK14" s="7">
        <f>SUM('címrend kötelező'!V14+'címrend önként'!V14+'címrend államig'!V14)</f>
        <v>0</v>
      </c>
      <c r="BL14" s="82"/>
      <c r="BM14" s="7"/>
      <c r="BN14" s="7">
        <f>SUM('címrend kötelező'!W14+'címrend önként'!W14+'címrend államig'!W14)</f>
        <v>0</v>
      </c>
      <c r="BO14" s="82"/>
      <c r="BP14" s="7"/>
      <c r="BQ14" s="7">
        <f>SUM('címrend kötelező'!X14+'címrend önként'!X14+'címrend államig'!X14)</f>
        <v>0</v>
      </c>
      <c r="BR14" s="82"/>
      <c r="BS14" s="7"/>
      <c r="BT14" s="7">
        <f>SUM('címrend kötelező'!Y14+'címrend önként'!Y14+'címrend államig'!Y14)</f>
        <v>0</v>
      </c>
      <c r="BU14" s="82"/>
      <c r="BV14" s="7"/>
      <c r="BW14" s="7">
        <f>SUM('címrend kötelező'!Z14+'címrend önként'!Z14+'címrend államig'!Z14)</f>
        <v>0</v>
      </c>
      <c r="BX14" s="82"/>
      <c r="BY14" s="7"/>
      <c r="BZ14" s="7">
        <f>SUM('címrend kötelező'!AA14+'címrend önként'!AA14+'címrend államig'!AA14)</f>
        <v>0</v>
      </c>
      <c r="CA14" s="82"/>
      <c r="CB14" s="7"/>
      <c r="CC14" s="7">
        <f>SUM('címrend kötelező'!AB14+'címrend önként'!AB14+'címrend államig'!AB14)</f>
        <v>0</v>
      </c>
      <c r="CD14" s="82"/>
      <c r="CE14" s="7"/>
      <c r="CF14" s="7">
        <f>SUM('címrend kötelező'!AC14+'címrend önként'!AC14+'címrend államig'!AC14)</f>
        <v>0</v>
      </c>
      <c r="CG14" s="82"/>
      <c r="CH14" s="7"/>
      <c r="CI14" s="7">
        <f>SUM('címrend kötelező'!AD14+'címrend önként'!AD14+'címrend államig'!AD14)</f>
        <v>0</v>
      </c>
      <c r="CJ14" s="82"/>
      <c r="CK14" s="7"/>
      <c r="CL14" s="7">
        <f>SUM('címrend kötelező'!AE14+'címrend önként'!AE14+'címrend államig'!AE14)</f>
        <v>0</v>
      </c>
      <c r="CM14" s="82"/>
      <c r="CN14" s="7"/>
      <c r="CO14" s="7">
        <f>SUM('címrend kötelező'!AF14+'címrend önként'!AF14+'címrend államig'!AF14)</f>
        <v>0</v>
      </c>
      <c r="CP14" s="82"/>
      <c r="CQ14" s="7"/>
      <c r="CR14" s="7">
        <f>SUM('címrend kötelező'!AG14+'címrend önként'!AG14+'címrend államig'!AG14)</f>
        <v>0</v>
      </c>
      <c r="CS14" s="82"/>
      <c r="CT14" s="7"/>
      <c r="CU14" s="7">
        <f>SUM('címrend kötelező'!AH14+'címrend önként'!AH14+'címrend államig'!AH14)</f>
        <v>0</v>
      </c>
      <c r="CV14" s="82"/>
      <c r="CW14" s="7"/>
      <c r="CX14" s="7">
        <f>SUM('címrend kötelező'!AI14+'címrend önként'!AI14+'címrend államig'!AI14)</f>
        <v>0</v>
      </c>
      <c r="CY14" s="82"/>
      <c r="CZ14" s="7"/>
      <c r="DA14" s="7">
        <f>SUM('címrend kötelező'!AJ14+'címrend önként'!AJ14+'címrend államig'!AJ14)</f>
        <v>0</v>
      </c>
      <c r="DB14" s="82"/>
      <c r="DC14" s="7"/>
      <c r="DD14" s="7">
        <f>SUM('címrend kötelező'!AK14+'címrend önként'!AK14+'címrend államig'!AK14)</f>
        <v>0</v>
      </c>
      <c r="DE14" s="82"/>
      <c r="DF14" s="7"/>
      <c r="DG14" s="7">
        <f>SUM('címrend kötelező'!AL14+'címrend önként'!AL14+'címrend államig'!AL14)</f>
        <v>0</v>
      </c>
      <c r="DH14" s="82"/>
      <c r="DI14" s="7"/>
      <c r="DJ14" s="7">
        <f>SUM('címrend kötelező'!AM14+'címrend önként'!AM14+'címrend államig'!AM14)</f>
        <v>0</v>
      </c>
      <c r="DK14" s="82"/>
      <c r="DL14" s="7"/>
      <c r="DM14" s="7">
        <f>SUM('címrend kötelező'!AN14+'címrend önként'!AN14+'címrend államig'!AN14)</f>
        <v>0</v>
      </c>
      <c r="DN14" s="82"/>
      <c r="DO14" s="7"/>
      <c r="DP14" s="7">
        <f>SUM('címrend kötelező'!AO14+'címrend önként'!AO14+'címrend államig'!AO14)</f>
        <v>0</v>
      </c>
      <c r="DQ14" s="82"/>
      <c r="DR14" s="387">
        <f t="shared" si="169"/>
        <v>0</v>
      </c>
      <c r="DS14" s="387">
        <f t="shared" si="169"/>
        <v>0</v>
      </c>
      <c r="DT14" s="38"/>
      <c r="DU14" s="7"/>
      <c r="DV14" s="7">
        <f>SUM('címrend kötelező'!AQ14+'címrend önként'!AQ14+'címrend államig'!AQ14)</f>
        <v>0</v>
      </c>
      <c r="DW14" s="38"/>
      <c r="DX14" s="7"/>
      <c r="DY14" s="7">
        <f>SUM('címrend kötelező'!AR14+'címrend önként'!AR14+'címrend államig'!AR14)</f>
        <v>0</v>
      </c>
      <c r="DZ14" s="38"/>
      <c r="EA14" s="7"/>
      <c r="EB14" s="7">
        <f>SUM('címrend kötelező'!AS14+'címrend önként'!AS14+'címrend államig'!AS14)</f>
        <v>0</v>
      </c>
      <c r="EC14" s="38"/>
      <c r="ED14" s="7"/>
      <c r="EE14" s="7">
        <f>SUM('címrend kötelező'!AT14+'címrend önként'!AT14+'címrend államig'!AT14)</f>
        <v>0</v>
      </c>
      <c r="EF14" s="38"/>
      <c r="EG14" s="7"/>
      <c r="EH14" s="7">
        <f>SUM('címrend kötelező'!AU14+'címrend önként'!AU14+'címrend államig'!AU14)</f>
        <v>0</v>
      </c>
      <c r="EI14" s="38"/>
      <c r="EJ14" s="7"/>
      <c r="EK14" s="7">
        <f>SUM('címrend kötelező'!AV14+'címrend önként'!AV14+'címrend államig'!AV14)</f>
        <v>0</v>
      </c>
      <c r="EL14" s="38"/>
      <c r="EM14" s="7"/>
      <c r="EN14" s="7">
        <f>SUM('címrend kötelező'!AW14+'címrend önként'!AW14+'címrend államig'!AW14)</f>
        <v>0</v>
      </c>
      <c r="EO14" s="38"/>
      <c r="EP14" s="7"/>
      <c r="EQ14" s="7">
        <f>SUM('címrend kötelező'!AX14+'címrend önként'!AX14+'címrend államig'!AX14)</f>
        <v>0</v>
      </c>
      <c r="ER14" s="38"/>
      <c r="ES14" s="7"/>
      <c r="ET14" s="7">
        <f>SUM('címrend kötelező'!AY14+'címrend önként'!AY14+'címrend államig'!AY14)</f>
        <v>0</v>
      </c>
      <c r="EU14" s="38"/>
      <c r="EV14" s="387">
        <f t="shared" si="179"/>
        <v>0</v>
      </c>
      <c r="EW14" s="387">
        <f t="shared" si="179"/>
        <v>0</v>
      </c>
      <c r="EX14" s="82"/>
      <c r="EY14" s="7"/>
      <c r="EZ14" s="7">
        <f>'címrend kötelező'!BA14+'címrend önként'!BA14+'címrend államig'!BA14</f>
        <v>0</v>
      </c>
      <c r="FA14" s="38"/>
      <c r="FB14" s="7"/>
      <c r="FC14" s="7">
        <f>'címrend kötelező'!BB14+'címrend önként'!BB14+'címrend államig'!BB14</f>
        <v>0</v>
      </c>
      <c r="FD14" s="38"/>
      <c r="FE14" s="7"/>
      <c r="FF14" s="7">
        <f>'címrend kötelező'!BC14+'címrend önként'!BC14+'címrend államig'!BC14</f>
        <v>0</v>
      </c>
      <c r="FG14" s="38"/>
      <c r="FH14" s="7"/>
      <c r="FI14" s="7">
        <f>'címrend kötelező'!BD14+'címrend önként'!BD14+'címrend államig'!BD14</f>
        <v>0</v>
      </c>
      <c r="FJ14" s="38"/>
      <c r="FK14" s="38"/>
      <c r="FL14" s="7">
        <f>'címrend kötelező'!BE14+'címrend önként'!BE14+'címrend államig'!BE14</f>
        <v>0</v>
      </c>
      <c r="FM14" s="38"/>
      <c r="FN14" s="7"/>
      <c r="FO14" s="7">
        <f>SUM('címrend kötelező'!BF14+'címrend önként'!BF14+'címrend államig'!BF14)</f>
        <v>0</v>
      </c>
      <c r="FP14" s="38"/>
      <c r="FQ14" s="7"/>
      <c r="FR14" s="7">
        <f>SUM('címrend kötelező'!BG14+'címrend önként'!BG14+'címrend államig'!BG14)</f>
        <v>0</v>
      </c>
      <c r="FS14" s="38"/>
      <c r="FT14" s="7"/>
      <c r="FU14" s="7">
        <f>SUM('címrend kötelező'!BH14+'címrend önként'!BH14+'címrend államig'!BH14)</f>
        <v>0</v>
      </c>
      <c r="FV14" s="38"/>
      <c r="FW14" s="7"/>
      <c r="FX14" s="7">
        <f>SUM('címrend kötelező'!BI14+'címrend önként'!BI14+'címrend államig'!BI14)</f>
        <v>0</v>
      </c>
      <c r="FY14" s="38"/>
      <c r="FZ14" s="7"/>
      <c r="GA14" s="7">
        <f>SUM('címrend kötelező'!BJ14+'címrend önként'!BJ14+'címrend államig'!BJ14)</f>
        <v>0</v>
      </c>
      <c r="GB14" s="38"/>
      <c r="GC14" s="7"/>
      <c r="GD14" s="7">
        <f>SUM('címrend kötelező'!BK14+'címrend önként'!BK14+'címrend államig'!BK14)</f>
        <v>0</v>
      </c>
      <c r="GE14" s="38"/>
      <c r="GF14" s="7"/>
      <c r="GG14" s="7">
        <f>SUM('címrend kötelező'!BL14+'címrend önként'!BL14+'címrend államig'!BL14)</f>
        <v>0</v>
      </c>
      <c r="GH14" s="38"/>
      <c r="GI14" s="7"/>
      <c r="GJ14" s="7">
        <f>SUM('címrend kötelező'!BM14+'címrend önként'!BM14+'címrend államig'!BM14)</f>
        <v>0</v>
      </c>
      <c r="GK14" s="38"/>
      <c r="GL14" s="7"/>
      <c r="GM14" s="7">
        <f>SUM('címrend kötelező'!BN14+'címrend önként'!BN14+'címrend államig'!BN14)</f>
        <v>0</v>
      </c>
      <c r="GN14" s="38"/>
      <c r="GO14" s="387">
        <f t="shared" si="117"/>
        <v>0</v>
      </c>
      <c r="GP14" s="387">
        <f t="shared" si="200"/>
        <v>0</v>
      </c>
      <c r="GQ14" s="38"/>
      <c r="GR14" s="7"/>
      <c r="GS14" s="7">
        <f>SUM('címrend kötelező'!BP14+'címrend önként'!BP14+'címrend államig'!BP14)</f>
        <v>0</v>
      </c>
      <c r="GT14" s="38"/>
      <c r="GU14" s="7"/>
      <c r="GV14" s="7">
        <f>SUM('címrend kötelező'!BQ14+'címrend önként'!BQ14+'címrend államig'!BQ14)</f>
        <v>0</v>
      </c>
      <c r="GW14" s="38"/>
      <c r="GX14" s="7"/>
      <c r="GY14" s="7">
        <f>SUM('címrend kötelező'!BR14+'címrend önként'!BR14+'címrend államig'!BR14)</f>
        <v>0</v>
      </c>
      <c r="GZ14" s="38"/>
      <c r="HA14" s="38">
        <f t="shared" si="198"/>
        <v>0</v>
      </c>
      <c r="HB14" s="38">
        <f t="shared" si="198"/>
        <v>0</v>
      </c>
      <c r="HC14" s="38"/>
      <c r="HD14" s="38">
        <f t="shared" si="127"/>
        <v>0</v>
      </c>
      <c r="HE14" s="38">
        <f t="shared" si="128"/>
        <v>0</v>
      </c>
      <c r="HF14" s="238"/>
      <c r="HH14" s="242"/>
      <c r="HI14" s="242"/>
    </row>
    <row r="15" spans="1:217" ht="15" customHeight="1" x14ac:dyDescent="0.25">
      <c r="A15" s="210" t="s">
        <v>342</v>
      </c>
      <c r="B15" s="7"/>
      <c r="C15" s="7">
        <f>SUM('címrend kötelező'!B15+'címrend önként'!B15+'címrend államig'!B15)</f>
        <v>0</v>
      </c>
      <c r="D15" s="82"/>
      <c r="E15" s="7"/>
      <c r="F15" s="7">
        <f>SUM('címrend kötelező'!C15+'címrend önként'!C15+'címrend államig'!C15)</f>
        <v>0</v>
      </c>
      <c r="G15" s="82"/>
      <c r="H15" s="7"/>
      <c r="I15" s="7">
        <f>SUM('címrend kötelező'!D15+'címrend önként'!D15+'címrend államig'!D15)</f>
        <v>0</v>
      </c>
      <c r="J15" s="82"/>
      <c r="K15" s="7"/>
      <c r="L15" s="7">
        <f>SUM('címrend kötelező'!E15+'címrend önként'!E15+'címrend államig'!E15)</f>
        <v>0</v>
      </c>
      <c r="M15" s="82"/>
      <c r="N15" s="7">
        <v>20870</v>
      </c>
      <c r="O15" s="7">
        <f>SUM('címrend kötelező'!F15+'címrend önként'!F15+'címrend államig'!F15)</f>
        <v>14870</v>
      </c>
      <c r="P15" s="82"/>
      <c r="Q15" s="7"/>
      <c r="R15" s="7">
        <f>SUM('címrend kötelező'!G15+'címrend önként'!G15+'címrend államig'!G15)</f>
        <v>0</v>
      </c>
      <c r="S15" s="82"/>
      <c r="T15" s="7"/>
      <c r="U15" s="7">
        <f>SUM('címrend kötelező'!H15+'címrend önként'!H15+'címrend államig'!H15)</f>
        <v>0</v>
      </c>
      <c r="V15" s="82"/>
      <c r="W15" s="7">
        <v>7000</v>
      </c>
      <c r="X15" s="7">
        <f>SUM('címrend kötelező'!I15+'címrend önként'!I15+'címrend államig'!I15)</f>
        <v>5504</v>
      </c>
      <c r="Y15" s="82"/>
      <c r="Z15" s="7"/>
      <c r="AA15" s="7">
        <f>SUM('címrend kötelező'!J15+'címrend önként'!J15+'címrend államig'!J15)</f>
        <v>0</v>
      </c>
      <c r="AB15" s="82"/>
      <c r="AC15" s="7"/>
      <c r="AD15" s="7">
        <f>SUM('címrend kötelező'!K15+'címrend önként'!K15+'címrend államig'!K15)</f>
        <v>0</v>
      </c>
      <c r="AE15" s="82"/>
      <c r="AF15" s="7">
        <v>3550</v>
      </c>
      <c r="AG15" s="7">
        <f>SUM('címrend kötelező'!L15+'címrend önként'!L15+'címrend államig'!L15)</f>
        <v>2650</v>
      </c>
      <c r="AH15" s="82"/>
      <c r="AI15" s="7"/>
      <c r="AJ15" s="7">
        <f>SUM('címrend kötelező'!M15+'címrend önként'!M15+'címrend államig'!M15)</f>
        <v>0</v>
      </c>
      <c r="AK15" s="82"/>
      <c r="AL15" s="7">
        <v>5000</v>
      </c>
      <c r="AM15" s="7">
        <f>SUM('címrend kötelező'!N15+'címrend önként'!N15+'címrend államig'!N15)</f>
        <v>5000</v>
      </c>
      <c r="AN15" s="82"/>
      <c r="AO15" s="7"/>
      <c r="AP15" s="7">
        <f>SUM('címrend kötelező'!O15+'címrend önként'!O15+'címrend államig'!O15)</f>
        <v>0</v>
      </c>
      <c r="AQ15" s="82"/>
      <c r="AR15" s="7"/>
      <c r="AS15" s="7">
        <f>SUM('címrend kötelező'!P15+'címrend önként'!P15+'címrend államig'!P15)</f>
        <v>0</v>
      </c>
      <c r="AT15" s="82"/>
      <c r="AU15" s="7">
        <v>104457</v>
      </c>
      <c r="AV15" s="7">
        <f>SUM('címrend kötelező'!Q15+'címrend önként'!Q15+'címrend államig'!Q15)</f>
        <v>130000</v>
      </c>
      <c r="AW15" s="82"/>
      <c r="AX15" s="7"/>
      <c r="AY15" s="7">
        <f>SUM('címrend kötelező'!R15+'címrend önként'!R15+'címrend államig'!R15)</f>
        <v>0</v>
      </c>
      <c r="AZ15" s="82"/>
      <c r="BA15" s="7"/>
      <c r="BB15" s="7">
        <f>SUM('címrend kötelező'!S15+'címrend önként'!S15+'címrend államig'!S15)</f>
        <v>0</v>
      </c>
      <c r="BC15" s="82"/>
      <c r="BD15" s="7"/>
      <c r="BE15" s="7">
        <f>SUM('címrend kötelező'!T15+'címrend önként'!T15+'címrend államig'!T15)</f>
        <v>0</v>
      </c>
      <c r="BF15" s="82"/>
      <c r="BG15" s="7"/>
      <c r="BH15" s="7">
        <f>SUM('címrend kötelező'!U15+'címrend önként'!U15+'címrend államig'!U15)</f>
        <v>0</v>
      </c>
      <c r="BI15" s="82"/>
      <c r="BJ15" s="7"/>
      <c r="BK15" s="7">
        <f>SUM('címrend kötelező'!V15+'címrend önként'!V15+'címrend államig'!V15)</f>
        <v>0</v>
      </c>
      <c r="BL15" s="82"/>
      <c r="BM15" s="7"/>
      <c r="BN15" s="7">
        <f>SUM('címrend kötelező'!W15+'címrend önként'!W15+'címrend államig'!W15)</f>
        <v>0</v>
      </c>
      <c r="BO15" s="82"/>
      <c r="BP15" s="7"/>
      <c r="BQ15" s="7">
        <f>SUM('címrend kötelező'!X15+'címrend önként'!X15+'címrend államig'!X15)</f>
        <v>0</v>
      </c>
      <c r="BR15" s="82"/>
      <c r="BS15" s="7"/>
      <c r="BT15" s="7">
        <f>SUM('címrend kötelező'!Y15+'címrend önként'!Y15+'címrend államig'!Y15)</f>
        <v>0</v>
      </c>
      <c r="BU15" s="82"/>
      <c r="BV15" s="7"/>
      <c r="BW15" s="7">
        <f>SUM('címrend kötelező'!Z15+'címrend önként'!Z15+'címrend államig'!Z15)</f>
        <v>0</v>
      </c>
      <c r="BX15" s="82"/>
      <c r="BY15" s="7"/>
      <c r="BZ15" s="7">
        <f>SUM('címrend kötelező'!AA15+'címrend önként'!AA15+'címrend államig'!AA15)</f>
        <v>0</v>
      </c>
      <c r="CA15" s="82"/>
      <c r="CB15" s="7"/>
      <c r="CC15" s="7">
        <f>SUM('címrend kötelező'!AB15+'címrend önként'!AB15+'címrend államig'!AB15)</f>
        <v>0</v>
      </c>
      <c r="CD15" s="82"/>
      <c r="CE15" s="7"/>
      <c r="CF15" s="7">
        <f>SUM('címrend kötelező'!AC15+'címrend önként'!AC15+'címrend államig'!AC15)</f>
        <v>0</v>
      </c>
      <c r="CG15" s="82"/>
      <c r="CH15" s="7"/>
      <c r="CI15" s="7">
        <f>SUM('címrend kötelező'!AD15+'címrend önként'!AD15+'címrend államig'!AD15)</f>
        <v>0</v>
      </c>
      <c r="CJ15" s="82"/>
      <c r="CK15" s="7"/>
      <c r="CL15" s="7">
        <f>SUM('címrend kötelező'!AE15+'címrend önként'!AE15+'címrend államig'!AE15)</f>
        <v>0</v>
      </c>
      <c r="CM15" s="82"/>
      <c r="CN15" s="7"/>
      <c r="CO15" s="7">
        <f>SUM('címrend kötelező'!AF15+'címrend önként'!AF15+'címrend államig'!AF15)</f>
        <v>0</v>
      </c>
      <c r="CP15" s="82"/>
      <c r="CQ15" s="7"/>
      <c r="CR15" s="7">
        <f>SUM('címrend kötelező'!AG15+'címrend önként'!AG15+'címrend államig'!AG15)</f>
        <v>0</v>
      </c>
      <c r="CS15" s="82"/>
      <c r="CT15" s="7"/>
      <c r="CU15" s="7">
        <f>SUM('címrend kötelező'!AH15+'címrend önként'!AH15+'címrend államig'!AH15)</f>
        <v>0</v>
      </c>
      <c r="CV15" s="82"/>
      <c r="CW15" s="7"/>
      <c r="CX15" s="7">
        <f>SUM('címrend kötelező'!AI15+'címrend önként'!AI15+'címrend államig'!AI15)</f>
        <v>0</v>
      </c>
      <c r="CY15" s="82"/>
      <c r="CZ15" s="7"/>
      <c r="DA15" s="7">
        <f>SUM('címrend kötelező'!AJ15+'címrend önként'!AJ15+'címrend államig'!AJ15)</f>
        <v>0</v>
      </c>
      <c r="DB15" s="82"/>
      <c r="DC15" s="7"/>
      <c r="DD15" s="7">
        <f>SUM('címrend kötelező'!AK15+'címrend önként'!AK15+'címrend államig'!AK15)</f>
        <v>0</v>
      </c>
      <c r="DE15" s="82"/>
      <c r="DF15" s="7"/>
      <c r="DG15" s="7">
        <f>SUM('címrend kötelező'!AL15+'címrend önként'!AL15+'címrend államig'!AL15)</f>
        <v>0</v>
      </c>
      <c r="DH15" s="82"/>
      <c r="DI15" s="7"/>
      <c r="DJ15" s="7">
        <f>SUM('címrend kötelező'!AM15+'címrend önként'!AM15+'címrend államig'!AM15)</f>
        <v>0</v>
      </c>
      <c r="DK15" s="82"/>
      <c r="DL15" s="7"/>
      <c r="DM15" s="7">
        <f>SUM('címrend kötelező'!AN15+'címrend önként'!AN15+'címrend államig'!AN15)</f>
        <v>0</v>
      </c>
      <c r="DN15" s="82"/>
      <c r="DO15" s="7"/>
      <c r="DP15" s="7">
        <f>SUM('címrend kötelező'!AO15+'címrend önként'!AO15+'címrend államig'!AO15)</f>
        <v>0</v>
      </c>
      <c r="DQ15" s="82"/>
      <c r="DR15" s="387">
        <f t="shared" si="169"/>
        <v>140877</v>
      </c>
      <c r="DS15" s="387">
        <f t="shared" si="169"/>
        <v>158024</v>
      </c>
      <c r="DT15" s="87">
        <f t="shared" si="170"/>
        <v>112.17161069585524</v>
      </c>
      <c r="DU15" s="7"/>
      <c r="DV15" s="7">
        <f>SUM('címrend kötelező'!AQ15+'címrend önként'!AQ15+'címrend államig'!AQ15)</f>
        <v>0</v>
      </c>
      <c r="DW15" s="38"/>
      <c r="DX15" s="7"/>
      <c r="DY15" s="7">
        <f>SUM('címrend kötelező'!AR15+'címrend önként'!AR15+'címrend államig'!AR15)</f>
        <v>0</v>
      </c>
      <c r="DZ15" s="38"/>
      <c r="EA15" s="7"/>
      <c r="EB15" s="7">
        <f>SUM('címrend kötelező'!AS15+'címrend önként'!AS15+'címrend államig'!AS15)</f>
        <v>0</v>
      </c>
      <c r="EC15" s="38"/>
      <c r="ED15" s="7"/>
      <c r="EE15" s="7">
        <f>SUM('címrend kötelező'!AT15+'címrend önként'!AT15+'címrend államig'!AT15)</f>
        <v>0</v>
      </c>
      <c r="EF15" s="38"/>
      <c r="EG15" s="7"/>
      <c r="EH15" s="7">
        <f>SUM('címrend kötelező'!AU15+'címrend önként'!AU15+'címrend államig'!AU15)</f>
        <v>0</v>
      </c>
      <c r="EI15" s="38"/>
      <c r="EJ15" s="7"/>
      <c r="EK15" s="7">
        <f>SUM('címrend kötelező'!AV15+'címrend önként'!AV15+'címrend államig'!AV15)</f>
        <v>0</v>
      </c>
      <c r="EL15" s="38"/>
      <c r="EM15" s="7"/>
      <c r="EN15" s="7">
        <f>SUM('címrend kötelező'!AW15+'címrend önként'!AW15+'címrend államig'!AW15)</f>
        <v>0</v>
      </c>
      <c r="EO15" s="38"/>
      <c r="EP15" s="7"/>
      <c r="EQ15" s="7">
        <f>SUM('címrend kötelező'!AX15+'címrend önként'!AX15+'címrend államig'!AX15)</f>
        <v>0</v>
      </c>
      <c r="ER15" s="38"/>
      <c r="ES15" s="7"/>
      <c r="ET15" s="7">
        <f>SUM('címrend kötelező'!AY15+'címrend önként'!AY15+'címrend államig'!AY15)</f>
        <v>0</v>
      </c>
      <c r="EU15" s="38"/>
      <c r="EV15" s="387">
        <f t="shared" si="179"/>
        <v>0</v>
      </c>
      <c r="EW15" s="387">
        <f t="shared" si="179"/>
        <v>0</v>
      </c>
      <c r="EX15" s="82"/>
      <c r="EY15" s="7"/>
      <c r="EZ15" s="7">
        <f>'címrend kötelező'!BA15+'címrend önként'!BA15+'címrend államig'!BA15</f>
        <v>0</v>
      </c>
      <c r="FA15" s="38"/>
      <c r="FB15" s="7"/>
      <c r="FC15" s="7">
        <f>'címrend kötelező'!BB15+'címrend önként'!BB15+'címrend államig'!BB15</f>
        <v>0</v>
      </c>
      <c r="FD15" s="38"/>
      <c r="FE15" s="7"/>
      <c r="FF15" s="7">
        <f>'címrend kötelező'!BC15+'címrend önként'!BC15+'címrend államig'!BC15</f>
        <v>0</v>
      </c>
      <c r="FG15" s="38"/>
      <c r="FH15" s="7"/>
      <c r="FI15" s="7">
        <f>'címrend kötelező'!BD15+'címrend önként'!BD15+'címrend államig'!BD15</f>
        <v>0</v>
      </c>
      <c r="FJ15" s="38"/>
      <c r="FK15" s="38"/>
      <c r="FL15" s="7">
        <f>'címrend kötelező'!BE15+'címrend önként'!BE15+'címrend államig'!BE15</f>
        <v>0</v>
      </c>
      <c r="FM15" s="38"/>
      <c r="FN15" s="7"/>
      <c r="FO15" s="7">
        <f>SUM('címrend kötelező'!BF15+'címrend önként'!BF15+'címrend államig'!BF15)</f>
        <v>0</v>
      </c>
      <c r="FP15" s="38"/>
      <c r="FQ15" s="7"/>
      <c r="FR15" s="7">
        <f>SUM('címrend kötelező'!BG15+'címrend önként'!BG15+'címrend államig'!BG15)</f>
        <v>0</v>
      </c>
      <c r="FS15" s="38"/>
      <c r="FT15" s="7"/>
      <c r="FU15" s="7">
        <f>SUM('címrend kötelező'!BH15+'címrend önként'!BH15+'címrend államig'!BH15)</f>
        <v>0</v>
      </c>
      <c r="FV15" s="38"/>
      <c r="FW15" s="7"/>
      <c r="FX15" s="7">
        <f>SUM('címrend kötelező'!BI15+'címrend önként'!BI15+'címrend államig'!BI15)</f>
        <v>0</v>
      </c>
      <c r="FY15" s="38"/>
      <c r="FZ15" s="7"/>
      <c r="GA15" s="7">
        <f>SUM('címrend kötelező'!BJ15+'címrend önként'!BJ15+'címrend államig'!BJ15)</f>
        <v>0</v>
      </c>
      <c r="GB15" s="38"/>
      <c r="GC15" s="7"/>
      <c r="GD15" s="7">
        <f>SUM('címrend kötelező'!BK15+'címrend önként'!BK15+'címrend államig'!BK15)</f>
        <v>0</v>
      </c>
      <c r="GE15" s="38"/>
      <c r="GF15" s="7"/>
      <c r="GG15" s="7">
        <f>SUM('címrend kötelező'!BL15+'címrend önként'!BL15+'címrend államig'!BL15)</f>
        <v>0</v>
      </c>
      <c r="GH15" s="38"/>
      <c r="GI15" s="7"/>
      <c r="GJ15" s="7">
        <f>SUM('címrend kötelező'!BM15+'címrend önként'!BM15+'címrend államig'!BM15)</f>
        <v>0</v>
      </c>
      <c r="GK15" s="38"/>
      <c r="GL15" s="7"/>
      <c r="GM15" s="7">
        <f>SUM('címrend kötelező'!BN15+'címrend önként'!BN15+'címrend államig'!BN15)</f>
        <v>0</v>
      </c>
      <c r="GN15" s="38"/>
      <c r="GO15" s="387">
        <f t="shared" si="117"/>
        <v>0</v>
      </c>
      <c r="GP15" s="387">
        <f t="shared" si="200"/>
        <v>0</v>
      </c>
      <c r="GQ15" s="38"/>
      <c r="GR15" s="7"/>
      <c r="GS15" s="7">
        <f>SUM('címrend kötelező'!BP15+'címrend önként'!BP15+'címrend államig'!BP15)</f>
        <v>0</v>
      </c>
      <c r="GT15" s="38"/>
      <c r="GU15" s="7"/>
      <c r="GV15" s="7">
        <f>SUM('címrend kötelező'!BQ15+'címrend önként'!BQ15+'címrend államig'!BQ15)</f>
        <v>0</v>
      </c>
      <c r="GW15" s="38"/>
      <c r="GX15" s="7"/>
      <c r="GY15" s="7">
        <f>SUM('címrend kötelező'!BR15+'címrend önként'!BR15+'címrend államig'!BR15)</f>
        <v>0</v>
      </c>
      <c r="GZ15" s="38"/>
      <c r="HA15" s="38">
        <f t="shared" si="198"/>
        <v>0</v>
      </c>
      <c r="HB15" s="38">
        <f t="shared" si="198"/>
        <v>0</v>
      </c>
      <c r="HC15" s="38"/>
      <c r="HD15" s="38">
        <f t="shared" si="127"/>
        <v>140877</v>
      </c>
      <c r="HE15" s="38">
        <f t="shared" si="128"/>
        <v>158024</v>
      </c>
      <c r="HF15" s="238">
        <f t="shared" si="129"/>
        <v>112.17161069585524</v>
      </c>
      <c r="HH15" s="242"/>
      <c r="HI15" s="242"/>
    </row>
    <row r="16" spans="1:217" ht="15" customHeight="1" x14ac:dyDescent="0.25">
      <c r="A16" s="210" t="s">
        <v>343</v>
      </c>
      <c r="B16" s="7"/>
      <c r="C16" s="7">
        <f>SUM('címrend kötelező'!B16+'címrend önként'!B16+'címrend államig'!B16)</f>
        <v>0</v>
      </c>
      <c r="D16" s="82"/>
      <c r="E16" s="7"/>
      <c r="F16" s="7">
        <f>SUM('címrend kötelező'!C16+'címrend önként'!C16+'címrend államig'!C16)</f>
        <v>0</v>
      </c>
      <c r="G16" s="82"/>
      <c r="H16" s="7"/>
      <c r="I16" s="7">
        <f>SUM('címrend kötelező'!D16+'címrend önként'!D16+'címrend államig'!D16)</f>
        <v>0</v>
      </c>
      <c r="J16" s="82"/>
      <c r="K16" s="7"/>
      <c r="L16" s="7">
        <f>SUM('címrend kötelező'!E16+'címrend önként'!E16+'címrend államig'!E16)</f>
        <v>0</v>
      </c>
      <c r="M16" s="82"/>
      <c r="N16" s="7">
        <v>135728</v>
      </c>
      <c r="O16" s="7">
        <f>SUM('címrend kötelező'!F16+'címrend önként'!F16+'címrend államig'!F16)</f>
        <v>12845</v>
      </c>
      <c r="P16" s="82"/>
      <c r="Q16" s="7"/>
      <c r="R16" s="7">
        <f>SUM('címrend kötelező'!G16+'címrend önként'!G16+'címrend államig'!G16)</f>
        <v>0</v>
      </c>
      <c r="S16" s="82"/>
      <c r="T16" s="7"/>
      <c r="U16" s="7">
        <f>SUM('címrend kötelező'!H16+'címrend önként'!H16+'címrend államig'!H16)</f>
        <v>0</v>
      </c>
      <c r="V16" s="82"/>
      <c r="W16" s="7"/>
      <c r="X16" s="7">
        <f>SUM('címrend kötelező'!I16+'címrend önként'!I16+'címrend államig'!I16)</f>
        <v>0</v>
      </c>
      <c r="Y16" s="82"/>
      <c r="Z16" s="7"/>
      <c r="AA16" s="7">
        <f>SUM('címrend kötelező'!J16+'címrend önként'!J16+'címrend államig'!J16)</f>
        <v>0</v>
      </c>
      <c r="AB16" s="82"/>
      <c r="AC16" s="7"/>
      <c r="AD16" s="7">
        <f>SUM('címrend kötelező'!K16+'címrend önként'!K16+'címrend államig'!K16)</f>
        <v>0</v>
      </c>
      <c r="AE16" s="82"/>
      <c r="AF16" s="7"/>
      <c r="AG16" s="7">
        <f>SUM('címrend kötelező'!L16+'címrend önként'!L16+'címrend államig'!L16)</f>
        <v>0</v>
      </c>
      <c r="AH16" s="82"/>
      <c r="AI16" s="7"/>
      <c r="AJ16" s="7">
        <f>SUM('címrend kötelező'!M16+'címrend önként'!M16+'címrend államig'!M16)</f>
        <v>0</v>
      </c>
      <c r="AK16" s="82"/>
      <c r="AL16" s="7"/>
      <c r="AM16" s="7">
        <f>SUM('címrend kötelező'!N16+'címrend önként'!N16+'címrend államig'!N16)</f>
        <v>0</v>
      </c>
      <c r="AN16" s="82"/>
      <c r="AO16" s="7"/>
      <c r="AP16" s="7">
        <f>SUM('címrend kötelező'!O16+'címrend önként'!O16+'címrend államig'!O16)</f>
        <v>0</v>
      </c>
      <c r="AQ16" s="82"/>
      <c r="AR16" s="7"/>
      <c r="AS16" s="7">
        <f>SUM('címrend kötelező'!P16+'címrend önként'!P16+'címrend államig'!P16)</f>
        <v>0</v>
      </c>
      <c r="AT16" s="82"/>
      <c r="AU16" s="7"/>
      <c r="AV16" s="7">
        <f>SUM('címrend kötelező'!Q16+'címrend önként'!Q16+'címrend államig'!Q16)</f>
        <v>0</v>
      </c>
      <c r="AW16" s="82"/>
      <c r="AX16" s="7"/>
      <c r="AY16" s="7">
        <f>SUM('címrend kötelező'!R16+'címrend önként'!R16+'címrend államig'!R16)</f>
        <v>2500</v>
      </c>
      <c r="AZ16" s="82"/>
      <c r="BA16" s="7"/>
      <c r="BB16" s="7">
        <f>SUM('címrend kötelező'!S16+'címrend önként'!S16+'címrend államig'!S16)</f>
        <v>0</v>
      </c>
      <c r="BC16" s="82"/>
      <c r="BD16" s="7"/>
      <c r="BE16" s="7">
        <f>SUM('címrend kötelező'!T16+'címrend önként'!T16+'címrend államig'!T16)</f>
        <v>0</v>
      </c>
      <c r="BF16" s="82"/>
      <c r="BG16" s="7"/>
      <c r="BH16" s="7">
        <f>SUM('címrend kötelező'!U16+'címrend önként'!U16+'címrend államig'!U16)</f>
        <v>0</v>
      </c>
      <c r="BI16" s="82"/>
      <c r="BJ16" s="7"/>
      <c r="BK16" s="7">
        <f>SUM('címrend kötelező'!V16+'címrend önként'!V16+'címrend államig'!V16)</f>
        <v>0</v>
      </c>
      <c r="BL16" s="82"/>
      <c r="BM16" s="7"/>
      <c r="BN16" s="7">
        <f>SUM('címrend kötelező'!W16+'címrend önként'!W16+'címrend államig'!W16)</f>
        <v>0</v>
      </c>
      <c r="BO16" s="82"/>
      <c r="BP16" s="7"/>
      <c r="BQ16" s="7">
        <f>SUM('címrend kötelező'!X16+'címrend önként'!X16+'címrend államig'!X16)</f>
        <v>0</v>
      </c>
      <c r="BR16" s="82"/>
      <c r="BS16" s="7">
        <v>137489</v>
      </c>
      <c r="BT16" s="7">
        <f>SUM('címrend kötelező'!Y16+'címrend önként'!Y16+'címrend államig'!Y16)</f>
        <v>128204</v>
      </c>
      <c r="BU16" s="82"/>
      <c r="BV16" s="7"/>
      <c r="BW16" s="7">
        <f>SUM('címrend kötelező'!Z16+'címrend önként'!Z16+'címrend államig'!Z16)</f>
        <v>0</v>
      </c>
      <c r="BX16" s="82"/>
      <c r="BY16" s="7">
        <v>943567</v>
      </c>
      <c r="BZ16" s="7">
        <f>SUM('címrend kötelező'!AA16+'címrend önként'!AA16+'címrend államig'!AA16)</f>
        <v>1124710</v>
      </c>
      <c r="CA16" s="82"/>
      <c r="CB16" s="7"/>
      <c r="CC16" s="7">
        <f>SUM('címrend kötelező'!AB16+'címrend önként'!AB16+'címrend államig'!AB16)</f>
        <v>0</v>
      </c>
      <c r="CD16" s="82"/>
      <c r="CE16" s="7"/>
      <c r="CF16" s="7">
        <f>SUM('címrend kötelező'!AC16+'címrend önként'!AC16+'címrend államig'!AC16)</f>
        <v>0</v>
      </c>
      <c r="CG16" s="82"/>
      <c r="CH16" s="7"/>
      <c r="CI16" s="7">
        <f>SUM('címrend kötelező'!AD16+'címrend önként'!AD16+'címrend államig'!AD16)</f>
        <v>0</v>
      </c>
      <c r="CJ16" s="82"/>
      <c r="CK16" s="7"/>
      <c r="CL16" s="7">
        <f>SUM('címrend kötelező'!AE16+'címrend önként'!AE16+'címrend államig'!AE16)</f>
        <v>0</v>
      </c>
      <c r="CM16" s="82"/>
      <c r="CN16" s="7">
        <v>1500</v>
      </c>
      <c r="CO16" s="7">
        <f>SUM('címrend kötelező'!AF16+'címrend önként'!AF16+'címrend államig'!AF16)</f>
        <v>0</v>
      </c>
      <c r="CP16" s="82"/>
      <c r="CQ16" s="7"/>
      <c r="CR16" s="7">
        <f>SUM('címrend kötelező'!AG16+'címrend önként'!AG16+'címrend államig'!AG16)</f>
        <v>0</v>
      </c>
      <c r="CS16" s="82"/>
      <c r="CT16" s="7"/>
      <c r="CU16" s="7">
        <f>SUM('címrend kötelező'!AH16+'címrend önként'!AH16+'címrend államig'!AH16)</f>
        <v>0</v>
      </c>
      <c r="CV16" s="82"/>
      <c r="CW16" s="7"/>
      <c r="CX16" s="7">
        <f>SUM('címrend kötelező'!AI16+'címrend önként'!AI16+'címrend államig'!AI16)</f>
        <v>0</v>
      </c>
      <c r="CY16" s="82"/>
      <c r="CZ16" s="7">
        <v>13603</v>
      </c>
      <c r="DA16" s="7">
        <f>SUM('címrend kötelező'!AJ16+'címrend önként'!AJ16+'címrend államig'!AJ16)</f>
        <v>21484</v>
      </c>
      <c r="DB16" s="82"/>
      <c r="DC16" s="7"/>
      <c r="DD16" s="7">
        <f>SUM('címrend kötelező'!AK16+'címrend önként'!AK16+'címrend államig'!AK16)</f>
        <v>0</v>
      </c>
      <c r="DE16" s="82"/>
      <c r="DF16" s="7"/>
      <c r="DG16" s="7">
        <f>SUM('címrend kötelező'!AL16+'címrend önként'!AL16+'címrend államig'!AL16)</f>
        <v>0</v>
      </c>
      <c r="DH16" s="82"/>
      <c r="DI16" s="7"/>
      <c r="DJ16" s="7">
        <f>SUM('címrend kötelező'!AM16+'címrend önként'!AM16+'címrend államig'!AM16)</f>
        <v>0</v>
      </c>
      <c r="DK16" s="82"/>
      <c r="DL16" s="7"/>
      <c r="DM16" s="7">
        <f>SUM('címrend kötelező'!AN16+'címrend önként'!AN16+'címrend államig'!AN16)</f>
        <v>0</v>
      </c>
      <c r="DN16" s="82"/>
      <c r="DO16" s="7">
        <v>933958</v>
      </c>
      <c r="DP16" s="7">
        <f>SUM('címrend kötelező'!AO16+'címrend önként'!AO16+'címrend államig'!AO16)</f>
        <v>838769</v>
      </c>
      <c r="DQ16" s="82"/>
      <c r="DR16" s="387">
        <f t="shared" si="169"/>
        <v>2165845</v>
      </c>
      <c r="DS16" s="387">
        <f t="shared" si="169"/>
        <v>2128512</v>
      </c>
      <c r="DT16" s="87">
        <f t="shared" si="170"/>
        <v>98.276284775688012</v>
      </c>
      <c r="DU16" s="7"/>
      <c r="DV16" s="7">
        <f>SUM('címrend kötelező'!AQ16+'címrend önként'!AQ16+'címrend államig'!AQ16)</f>
        <v>0</v>
      </c>
      <c r="DW16" s="38"/>
      <c r="DX16" s="7"/>
      <c r="DY16" s="7">
        <f>SUM('címrend kötelező'!AR16+'címrend önként'!AR16+'címrend államig'!AR16)</f>
        <v>0</v>
      </c>
      <c r="DZ16" s="38"/>
      <c r="EA16" s="7"/>
      <c r="EB16" s="7">
        <f>SUM('címrend kötelező'!AS16+'címrend önként'!AS16+'címrend államig'!AS16)</f>
        <v>0</v>
      </c>
      <c r="EC16" s="38"/>
      <c r="ED16" s="7"/>
      <c r="EE16" s="7">
        <f>SUM('címrend kötelező'!AT16+'címrend önként'!AT16+'címrend államig'!AT16)</f>
        <v>0</v>
      </c>
      <c r="EF16" s="38"/>
      <c r="EG16" s="7"/>
      <c r="EH16" s="7">
        <f>SUM('címrend kötelező'!AU16+'címrend önként'!AU16+'címrend államig'!AU16)</f>
        <v>0</v>
      </c>
      <c r="EI16" s="38"/>
      <c r="EJ16" s="7"/>
      <c r="EK16" s="7">
        <f>SUM('címrend kötelező'!AV16+'címrend önként'!AV16+'címrend államig'!AV16)</f>
        <v>0</v>
      </c>
      <c r="EL16" s="38"/>
      <c r="EM16" s="7"/>
      <c r="EN16" s="7">
        <f>SUM('címrend kötelező'!AW16+'címrend önként'!AW16+'címrend államig'!AW16)</f>
        <v>0</v>
      </c>
      <c r="EO16" s="38"/>
      <c r="EP16" s="7"/>
      <c r="EQ16" s="7">
        <f>SUM('címrend kötelező'!AX16+'címrend önként'!AX16+'címrend államig'!AX16)</f>
        <v>0</v>
      </c>
      <c r="ER16" s="38"/>
      <c r="ES16" s="7"/>
      <c r="ET16" s="7">
        <f>SUM('címrend kötelező'!AY16+'címrend önként'!AY16+'címrend államig'!AY16)</f>
        <v>0</v>
      </c>
      <c r="EU16" s="38"/>
      <c r="EV16" s="387">
        <f t="shared" si="179"/>
        <v>0</v>
      </c>
      <c r="EW16" s="387">
        <f t="shared" si="179"/>
        <v>0</v>
      </c>
      <c r="EX16" s="82"/>
      <c r="EY16" s="7"/>
      <c r="EZ16" s="7">
        <f>'címrend kötelező'!BA16+'címrend önként'!BA16+'címrend államig'!BA16</f>
        <v>0</v>
      </c>
      <c r="FA16" s="38"/>
      <c r="FB16" s="7"/>
      <c r="FC16" s="7">
        <f>'címrend kötelező'!BB16+'címrend önként'!BB16+'címrend államig'!BB16</f>
        <v>0</v>
      </c>
      <c r="FD16" s="38"/>
      <c r="FE16" s="7"/>
      <c r="FF16" s="7">
        <f>'címrend kötelező'!BC16+'címrend önként'!BC16+'címrend államig'!BC16</f>
        <v>0</v>
      </c>
      <c r="FG16" s="38"/>
      <c r="FH16" s="7"/>
      <c r="FI16" s="7">
        <f>'címrend kötelező'!BD16+'címrend önként'!BD16+'címrend államig'!BD16</f>
        <v>0</v>
      </c>
      <c r="FJ16" s="38"/>
      <c r="FK16" s="38"/>
      <c r="FL16" s="7">
        <f>'címrend kötelező'!BE16+'címrend önként'!BE16+'címrend államig'!BE16</f>
        <v>0</v>
      </c>
      <c r="FM16" s="38"/>
      <c r="FN16" s="7"/>
      <c r="FO16" s="7">
        <f>SUM('címrend kötelező'!BF16+'címrend önként'!BF16+'címrend államig'!BF16)</f>
        <v>0</v>
      </c>
      <c r="FP16" s="38"/>
      <c r="FQ16" s="7"/>
      <c r="FR16" s="7">
        <f>SUM('címrend kötelező'!BG16+'címrend önként'!BG16+'címrend államig'!BG16)</f>
        <v>0</v>
      </c>
      <c r="FS16" s="38"/>
      <c r="FT16" s="7"/>
      <c r="FU16" s="7">
        <f>SUM('címrend kötelező'!BH16+'címrend önként'!BH16+'címrend államig'!BH16)</f>
        <v>0</v>
      </c>
      <c r="FV16" s="38"/>
      <c r="FW16" s="7"/>
      <c r="FX16" s="7">
        <f>SUM('címrend kötelező'!BI16+'címrend önként'!BI16+'címrend államig'!BI16)</f>
        <v>0</v>
      </c>
      <c r="FY16" s="38"/>
      <c r="FZ16" s="7"/>
      <c r="GA16" s="7">
        <f>SUM('címrend kötelező'!BJ16+'címrend önként'!BJ16+'címrend államig'!BJ16)</f>
        <v>0</v>
      </c>
      <c r="GB16" s="38"/>
      <c r="GC16" s="7"/>
      <c r="GD16" s="7">
        <f>SUM('címrend kötelező'!BK16+'címrend önként'!BK16+'címrend államig'!BK16)</f>
        <v>0</v>
      </c>
      <c r="GE16" s="38"/>
      <c r="GF16" s="7"/>
      <c r="GG16" s="7">
        <f>SUM('címrend kötelező'!BL16+'címrend önként'!BL16+'címrend államig'!BL16)</f>
        <v>0</v>
      </c>
      <c r="GH16" s="38"/>
      <c r="GI16" s="7"/>
      <c r="GJ16" s="7">
        <f>SUM('címrend kötelező'!BM16+'címrend önként'!BM16+'címrend államig'!BM16)</f>
        <v>0</v>
      </c>
      <c r="GK16" s="38"/>
      <c r="GL16" s="7"/>
      <c r="GM16" s="7">
        <f>SUM('címrend kötelező'!BN16+'címrend önként'!BN16+'címrend államig'!BN16)</f>
        <v>0</v>
      </c>
      <c r="GN16" s="38"/>
      <c r="GO16" s="387">
        <f t="shared" si="117"/>
        <v>0</v>
      </c>
      <c r="GP16" s="387">
        <f t="shared" si="200"/>
        <v>0</v>
      </c>
      <c r="GQ16" s="38"/>
      <c r="GR16" s="7"/>
      <c r="GS16" s="7">
        <f>SUM('címrend kötelező'!BP16+'címrend önként'!BP16+'címrend államig'!BP16)</f>
        <v>0</v>
      </c>
      <c r="GT16" s="38"/>
      <c r="GU16" s="7"/>
      <c r="GV16" s="7">
        <f>SUM('címrend kötelező'!BQ16+'címrend önként'!BQ16+'címrend államig'!BQ16)</f>
        <v>0</v>
      </c>
      <c r="GW16" s="38"/>
      <c r="GX16" s="7"/>
      <c r="GY16" s="7">
        <f>SUM('címrend kötelező'!BR16+'címrend önként'!BR16+'címrend államig'!BR16)</f>
        <v>0</v>
      </c>
      <c r="GZ16" s="38"/>
      <c r="HA16" s="38">
        <f t="shared" si="198"/>
        <v>0</v>
      </c>
      <c r="HB16" s="38">
        <f t="shared" si="198"/>
        <v>0</v>
      </c>
      <c r="HC16" s="38"/>
      <c r="HD16" s="38">
        <f t="shared" si="127"/>
        <v>2165845</v>
      </c>
      <c r="HE16" s="38">
        <f t="shared" si="128"/>
        <v>2128512</v>
      </c>
      <c r="HF16" s="238">
        <f t="shared" si="129"/>
        <v>98.276284775688012</v>
      </c>
      <c r="HH16" s="242"/>
      <c r="HI16" s="242"/>
    </row>
    <row r="17" spans="1:217" ht="15" customHeight="1" x14ac:dyDescent="0.25">
      <c r="A17" s="210" t="s">
        <v>344</v>
      </c>
      <c r="B17" s="7"/>
      <c r="C17" s="7">
        <f>SUM('címrend kötelező'!B17+'címrend önként'!B17+'címrend államig'!B17)</f>
        <v>0</v>
      </c>
      <c r="D17" s="82"/>
      <c r="E17" s="7"/>
      <c r="F17" s="7">
        <f>SUM('címrend kötelező'!C17+'címrend önként'!C17+'címrend államig'!C17)</f>
        <v>0</v>
      </c>
      <c r="G17" s="82"/>
      <c r="H17" s="7"/>
      <c r="I17" s="7">
        <f>SUM('címrend kötelező'!D17+'címrend önként'!D17+'címrend államig'!D17)</f>
        <v>0</v>
      </c>
      <c r="J17" s="82"/>
      <c r="K17" s="7"/>
      <c r="L17" s="7">
        <f>SUM('címrend kötelező'!E17+'címrend önként'!E17+'címrend államig'!E17)</f>
        <v>0</v>
      </c>
      <c r="M17" s="82"/>
      <c r="N17" s="7"/>
      <c r="O17" s="7">
        <f>SUM('címrend kötelező'!F17+'címrend önként'!F17+'címrend államig'!F17)</f>
        <v>0</v>
      </c>
      <c r="P17" s="82"/>
      <c r="Q17" s="7">
        <v>513406</v>
      </c>
      <c r="R17" s="7">
        <f>SUM('címrend kötelező'!G17+'címrend önként'!G17+'címrend államig'!G17)</f>
        <v>284466</v>
      </c>
      <c r="S17" s="82"/>
      <c r="T17" s="7"/>
      <c r="U17" s="7">
        <f>SUM('címrend kötelező'!H17+'címrend önként'!H17+'címrend államig'!H17)</f>
        <v>0</v>
      </c>
      <c r="V17" s="82"/>
      <c r="W17" s="7"/>
      <c r="X17" s="7">
        <f>SUM('címrend kötelező'!I17+'címrend önként'!I17+'címrend államig'!I17)</f>
        <v>0</v>
      </c>
      <c r="Y17" s="82"/>
      <c r="Z17" s="7"/>
      <c r="AA17" s="7">
        <f>SUM('címrend kötelező'!J17+'címrend önként'!J17+'címrend államig'!J17)</f>
        <v>0</v>
      </c>
      <c r="AB17" s="82"/>
      <c r="AC17" s="7"/>
      <c r="AD17" s="7">
        <f>SUM('címrend kötelező'!K17+'címrend önként'!K17+'címrend államig'!K17)</f>
        <v>0</v>
      </c>
      <c r="AE17" s="82"/>
      <c r="AF17" s="7"/>
      <c r="AG17" s="7">
        <f>SUM('címrend kötelező'!L17+'címrend önként'!L17+'címrend államig'!L17)</f>
        <v>0</v>
      </c>
      <c r="AH17" s="82"/>
      <c r="AI17" s="7"/>
      <c r="AJ17" s="7">
        <f>SUM('címrend kötelező'!M17+'címrend önként'!M17+'címrend államig'!M17)</f>
        <v>0</v>
      </c>
      <c r="AK17" s="82"/>
      <c r="AL17" s="7"/>
      <c r="AM17" s="7">
        <f>SUM('címrend kötelező'!N17+'címrend önként'!N17+'címrend államig'!N17)</f>
        <v>0</v>
      </c>
      <c r="AN17" s="82"/>
      <c r="AO17" s="7"/>
      <c r="AP17" s="7">
        <f>SUM('címrend kötelező'!O17+'címrend önként'!O17+'címrend államig'!O17)</f>
        <v>0</v>
      </c>
      <c r="AQ17" s="82"/>
      <c r="AR17" s="7"/>
      <c r="AS17" s="7">
        <f>SUM('címrend kötelező'!P17+'címrend önként'!P17+'címrend államig'!P17)</f>
        <v>0</v>
      </c>
      <c r="AT17" s="82"/>
      <c r="AU17" s="7"/>
      <c r="AV17" s="7">
        <f>SUM('címrend kötelező'!Q17+'címrend önként'!Q17+'címrend államig'!Q17)</f>
        <v>0</v>
      </c>
      <c r="AW17" s="82"/>
      <c r="AX17" s="7"/>
      <c r="AY17" s="7">
        <f>SUM('címrend kötelező'!R17+'címrend önként'!R17+'címrend államig'!R17)</f>
        <v>0</v>
      </c>
      <c r="AZ17" s="82"/>
      <c r="BA17" s="7"/>
      <c r="BB17" s="7">
        <f>SUM('címrend kötelező'!S17+'címrend önként'!S17+'címrend államig'!S17)</f>
        <v>0</v>
      </c>
      <c r="BC17" s="82"/>
      <c r="BD17" s="7"/>
      <c r="BE17" s="7">
        <f>SUM('címrend kötelező'!T17+'címrend önként'!T17+'címrend államig'!T17)</f>
        <v>0</v>
      </c>
      <c r="BF17" s="82"/>
      <c r="BG17" s="7"/>
      <c r="BH17" s="7">
        <f>SUM('címrend kötelező'!U17+'címrend önként'!U17+'címrend államig'!U17)</f>
        <v>0</v>
      </c>
      <c r="BI17" s="82"/>
      <c r="BJ17" s="7"/>
      <c r="BK17" s="7">
        <f>SUM('címrend kötelező'!V17+'címrend önként'!V17+'címrend államig'!V17)</f>
        <v>0</v>
      </c>
      <c r="BL17" s="82"/>
      <c r="BM17" s="7"/>
      <c r="BN17" s="7">
        <f>SUM('címrend kötelező'!W17+'címrend önként'!W17+'címrend államig'!W17)</f>
        <v>0</v>
      </c>
      <c r="BO17" s="82"/>
      <c r="BP17" s="7"/>
      <c r="BQ17" s="7">
        <f>SUM('címrend kötelező'!X17+'címrend önként'!X17+'címrend államig'!X17)</f>
        <v>0</v>
      </c>
      <c r="BR17" s="82"/>
      <c r="BS17" s="7"/>
      <c r="BT17" s="7">
        <f>SUM('címrend kötelező'!Y17+'címrend önként'!Y17+'címrend államig'!Y17)</f>
        <v>0</v>
      </c>
      <c r="BU17" s="82"/>
      <c r="BV17" s="7"/>
      <c r="BW17" s="7">
        <f>SUM('címrend kötelező'!Z17+'címrend önként'!Z17+'címrend államig'!Z17)</f>
        <v>0</v>
      </c>
      <c r="BX17" s="82"/>
      <c r="BY17" s="7"/>
      <c r="BZ17" s="7">
        <f>SUM('címrend kötelező'!AA17+'címrend önként'!AA17+'címrend államig'!AA17)</f>
        <v>0</v>
      </c>
      <c r="CA17" s="82"/>
      <c r="CB17" s="7"/>
      <c r="CC17" s="7">
        <f>SUM('címrend kötelező'!AB17+'címrend önként'!AB17+'címrend államig'!AB17)</f>
        <v>0</v>
      </c>
      <c r="CD17" s="82"/>
      <c r="CE17" s="7"/>
      <c r="CF17" s="7">
        <f>SUM('címrend kötelező'!AC17+'címrend önként'!AC17+'címrend államig'!AC17)</f>
        <v>0</v>
      </c>
      <c r="CG17" s="82"/>
      <c r="CH17" s="7"/>
      <c r="CI17" s="7">
        <f>SUM('címrend kötelező'!AD17+'címrend önként'!AD17+'címrend államig'!AD17)</f>
        <v>0</v>
      </c>
      <c r="CJ17" s="82"/>
      <c r="CK17" s="7"/>
      <c r="CL17" s="7">
        <f>SUM('címrend kötelező'!AE17+'címrend önként'!AE17+'címrend államig'!AE17)</f>
        <v>0</v>
      </c>
      <c r="CM17" s="82"/>
      <c r="CN17" s="7"/>
      <c r="CO17" s="7">
        <f>SUM('címrend kötelező'!AF17+'címrend önként'!AF17+'címrend államig'!AF17)</f>
        <v>0</v>
      </c>
      <c r="CP17" s="82"/>
      <c r="CQ17" s="7"/>
      <c r="CR17" s="7">
        <f>SUM('címrend kötelező'!AG17+'címrend önként'!AG17+'címrend államig'!AG17)</f>
        <v>0</v>
      </c>
      <c r="CS17" s="82"/>
      <c r="CT17" s="7"/>
      <c r="CU17" s="7">
        <f>SUM('címrend kötelező'!AH17+'címrend önként'!AH17+'címrend államig'!AH17)</f>
        <v>0</v>
      </c>
      <c r="CV17" s="82"/>
      <c r="CW17" s="7"/>
      <c r="CX17" s="7">
        <f>SUM('címrend kötelező'!AI17+'címrend önként'!AI17+'címrend államig'!AI17)</f>
        <v>0</v>
      </c>
      <c r="CY17" s="82"/>
      <c r="CZ17" s="7"/>
      <c r="DA17" s="7">
        <f>SUM('címrend kötelező'!AJ17+'címrend önként'!AJ17+'címrend államig'!AJ17)</f>
        <v>0</v>
      </c>
      <c r="DB17" s="82"/>
      <c r="DC17" s="7"/>
      <c r="DD17" s="7">
        <f>SUM('címrend kötelező'!AK17+'címrend önként'!AK17+'címrend államig'!AK17)</f>
        <v>0</v>
      </c>
      <c r="DE17" s="82"/>
      <c r="DF17" s="7"/>
      <c r="DG17" s="7">
        <f>SUM('címrend kötelező'!AL17+'címrend önként'!AL17+'címrend államig'!AL17)</f>
        <v>0</v>
      </c>
      <c r="DH17" s="82"/>
      <c r="DI17" s="7"/>
      <c r="DJ17" s="7">
        <f>SUM('címrend kötelező'!AM17+'címrend önként'!AM17+'címrend államig'!AM17)</f>
        <v>0</v>
      </c>
      <c r="DK17" s="82"/>
      <c r="DL17" s="7"/>
      <c r="DM17" s="7">
        <f>SUM('címrend kötelező'!AN17+'címrend önként'!AN17+'címrend államig'!AN17)</f>
        <v>0</v>
      </c>
      <c r="DN17" s="82"/>
      <c r="DO17" s="7"/>
      <c r="DP17" s="7">
        <f>SUM('címrend kötelező'!AO17+'címrend önként'!AO17+'címrend államig'!AO17)</f>
        <v>0</v>
      </c>
      <c r="DQ17" s="82"/>
      <c r="DR17" s="387">
        <f t="shared" si="169"/>
        <v>513406</v>
      </c>
      <c r="DS17" s="387">
        <f t="shared" si="169"/>
        <v>284466</v>
      </c>
      <c r="DT17" s="87">
        <f t="shared" si="170"/>
        <v>55.407611130372459</v>
      </c>
      <c r="DU17" s="7"/>
      <c r="DV17" s="7">
        <f>SUM('címrend kötelező'!AQ17+'címrend önként'!AQ17+'címrend államig'!AQ17)</f>
        <v>0</v>
      </c>
      <c r="DW17" s="38"/>
      <c r="DX17" s="7"/>
      <c r="DY17" s="7">
        <f>SUM('címrend kötelező'!AR17+'címrend önként'!AR17+'címrend államig'!AR17)</f>
        <v>0</v>
      </c>
      <c r="DZ17" s="38"/>
      <c r="EA17" s="7"/>
      <c r="EB17" s="7">
        <f>SUM('címrend kötelező'!AS17+'címrend önként'!AS17+'címrend államig'!AS17)</f>
        <v>0</v>
      </c>
      <c r="EC17" s="38"/>
      <c r="ED17" s="7"/>
      <c r="EE17" s="7">
        <f>SUM('címrend kötelező'!AT17+'címrend önként'!AT17+'címrend államig'!AT17)</f>
        <v>0</v>
      </c>
      <c r="EF17" s="38"/>
      <c r="EG17" s="7"/>
      <c r="EH17" s="7">
        <f>SUM('címrend kötelező'!AU17+'címrend önként'!AU17+'címrend államig'!AU17)</f>
        <v>0</v>
      </c>
      <c r="EI17" s="38"/>
      <c r="EJ17" s="7"/>
      <c r="EK17" s="7">
        <f>SUM('címrend kötelező'!AV17+'címrend önként'!AV17+'címrend államig'!AV17)</f>
        <v>0</v>
      </c>
      <c r="EL17" s="38"/>
      <c r="EM17" s="7"/>
      <c r="EN17" s="7">
        <f>SUM('címrend kötelező'!AW17+'címrend önként'!AW17+'címrend államig'!AW17)</f>
        <v>0</v>
      </c>
      <c r="EO17" s="38"/>
      <c r="EP17" s="7"/>
      <c r="EQ17" s="7">
        <f>SUM('címrend kötelező'!AX17+'címrend önként'!AX17+'címrend államig'!AX17)</f>
        <v>0</v>
      </c>
      <c r="ER17" s="38"/>
      <c r="ES17" s="7"/>
      <c r="ET17" s="7">
        <f>SUM('címrend kötelező'!AY17+'címrend önként'!AY17+'címrend államig'!AY17)</f>
        <v>0</v>
      </c>
      <c r="EU17" s="38"/>
      <c r="EV17" s="387">
        <f t="shared" si="179"/>
        <v>0</v>
      </c>
      <c r="EW17" s="387">
        <f t="shared" si="179"/>
        <v>0</v>
      </c>
      <c r="EX17" s="82"/>
      <c r="EY17" s="7"/>
      <c r="EZ17" s="7">
        <f>'címrend kötelező'!BA17+'címrend önként'!BA17+'címrend államig'!BA17</f>
        <v>0</v>
      </c>
      <c r="FA17" s="38"/>
      <c r="FB17" s="7"/>
      <c r="FC17" s="7">
        <f>'címrend kötelező'!BB17+'címrend önként'!BB17+'címrend államig'!BB17</f>
        <v>0</v>
      </c>
      <c r="FD17" s="38"/>
      <c r="FE17" s="7"/>
      <c r="FF17" s="7">
        <f>'címrend kötelező'!BC17+'címrend önként'!BC17+'címrend államig'!BC17</f>
        <v>0</v>
      </c>
      <c r="FG17" s="38"/>
      <c r="FH17" s="7"/>
      <c r="FI17" s="7">
        <f>'címrend kötelező'!BD17+'címrend önként'!BD17+'címrend államig'!BD17</f>
        <v>0</v>
      </c>
      <c r="FJ17" s="38"/>
      <c r="FK17" s="38"/>
      <c r="FL17" s="7">
        <f>'címrend kötelező'!BE17+'címrend önként'!BE17+'címrend államig'!BE17</f>
        <v>0</v>
      </c>
      <c r="FM17" s="38"/>
      <c r="FN17" s="7"/>
      <c r="FO17" s="7">
        <f>SUM('címrend kötelező'!BF17+'címrend önként'!BF17+'címrend államig'!BF17)</f>
        <v>0</v>
      </c>
      <c r="FP17" s="38"/>
      <c r="FQ17" s="7"/>
      <c r="FR17" s="7">
        <f>SUM('címrend kötelező'!BG17+'címrend önként'!BG17+'címrend államig'!BG17)</f>
        <v>0</v>
      </c>
      <c r="FS17" s="38"/>
      <c r="FT17" s="7"/>
      <c r="FU17" s="7">
        <f>SUM('címrend kötelező'!BH17+'címrend önként'!BH17+'címrend államig'!BH17)</f>
        <v>0</v>
      </c>
      <c r="FV17" s="38"/>
      <c r="FW17" s="7"/>
      <c r="FX17" s="7">
        <f>SUM('címrend kötelező'!BI17+'címrend önként'!BI17+'címrend államig'!BI17)</f>
        <v>0</v>
      </c>
      <c r="FY17" s="38"/>
      <c r="FZ17" s="7"/>
      <c r="GA17" s="7">
        <f>SUM('címrend kötelező'!BJ17+'címrend önként'!BJ17+'címrend államig'!BJ17)</f>
        <v>0</v>
      </c>
      <c r="GB17" s="38"/>
      <c r="GC17" s="7"/>
      <c r="GD17" s="7">
        <f>SUM('címrend kötelező'!BK17+'címrend önként'!BK17+'címrend államig'!BK17)</f>
        <v>0</v>
      </c>
      <c r="GE17" s="38"/>
      <c r="GF17" s="7"/>
      <c r="GG17" s="7">
        <f>SUM('címrend kötelező'!BL17+'címrend önként'!BL17+'címrend államig'!BL17)</f>
        <v>0</v>
      </c>
      <c r="GH17" s="38"/>
      <c r="GI17" s="7"/>
      <c r="GJ17" s="7">
        <f>SUM('címrend kötelező'!BM17+'címrend önként'!BM17+'címrend államig'!BM17)</f>
        <v>0</v>
      </c>
      <c r="GK17" s="38"/>
      <c r="GL17" s="7"/>
      <c r="GM17" s="7">
        <f>SUM('címrend kötelező'!BN17+'címrend önként'!BN17+'címrend államig'!BN17)</f>
        <v>0</v>
      </c>
      <c r="GN17" s="38"/>
      <c r="GO17" s="387">
        <f t="shared" si="117"/>
        <v>0</v>
      </c>
      <c r="GP17" s="387">
        <f t="shared" si="200"/>
        <v>0</v>
      </c>
      <c r="GQ17" s="38"/>
      <c r="GR17" s="7"/>
      <c r="GS17" s="7">
        <f>SUM('címrend kötelező'!BP17+'címrend önként'!BP17+'címrend államig'!BP17)</f>
        <v>0</v>
      </c>
      <c r="GT17" s="38"/>
      <c r="GU17" s="7"/>
      <c r="GV17" s="7">
        <f>SUM('címrend kötelező'!BQ17+'címrend önként'!BQ17+'címrend államig'!BQ17)</f>
        <v>0</v>
      </c>
      <c r="GW17" s="38"/>
      <c r="GX17" s="7"/>
      <c r="GY17" s="7">
        <f>SUM('címrend kötelező'!BR17+'címrend önként'!BR17+'címrend államig'!BR17)</f>
        <v>0</v>
      </c>
      <c r="GZ17" s="38"/>
      <c r="HA17" s="38">
        <f t="shared" si="198"/>
        <v>0</v>
      </c>
      <c r="HB17" s="38">
        <f t="shared" si="198"/>
        <v>0</v>
      </c>
      <c r="HC17" s="38"/>
      <c r="HD17" s="38">
        <f t="shared" si="127"/>
        <v>513406</v>
      </c>
      <c r="HE17" s="38">
        <f t="shared" si="128"/>
        <v>284466</v>
      </c>
      <c r="HF17" s="238">
        <f t="shared" si="129"/>
        <v>55.407611130372459</v>
      </c>
      <c r="HH17" s="242"/>
      <c r="HI17" s="242"/>
    </row>
    <row r="18" spans="1:217" ht="15" customHeight="1" x14ac:dyDescent="0.25">
      <c r="A18" s="212" t="s">
        <v>345</v>
      </c>
      <c r="B18" s="6">
        <f>B19+B20+B21</f>
        <v>0</v>
      </c>
      <c r="C18" s="6">
        <f>C19+C20+C21</f>
        <v>0</v>
      </c>
      <c r="D18" s="82"/>
      <c r="E18" s="6">
        <f t="shared" ref="E18:F18" si="266">E19+E20+E21</f>
        <v>0</v>
      </c>
      <c r="F18" s="6">
        <f t="shared" si="266"/>
        <v>0</v>
      </c>
      <c r="G18" s="82"/>
      <c r="H18" s="6">
        <f t="shared" ref="H18:I18" si="267">H19+H20+H21</f>
        <v>0</v>
      </c>
      <c r="I18" s="6">
        <f t="shared" si="267"/>
        <v>0</v>
      </c>
      <c r="J18" s="82"/>
      <c r="K18" s="6">
        <f t="shared" ref="K18:L18" si="268">K19+K20+K21</f>
        <v>0</v>
      </c>
      <c r="L18" s="6">
        <f t="shared" si="268"/>
        <v>0</v>
      </c>
      <c r="M18" s="82"/>
      <c r="N18" s="6">
        <f t="shared" ref="N18:O18" si="269">N19+N20+N21</f>
        <v>3630</v>
      </c>
      <c r="O18" s="6">
        <f t="shared" si="269"/>
        <v>2000</v>
      </c>
      <c r="P18" s="82"/>
      <c r="Q18" s="6">
        <f t="shared" ref="Q18:R18" si="270">Q19+Q20+Q21</f>
        <v>0</v>
      </c>
      <c r="R18" s="6">
        <f t="shared" si="270"/>
        <v>0</v>
      </c>
      <c r="S18" s="82"/>
      <c r="T18" s="6">
        <f t="shared" ref="T18:U18" si="271">T19+T20+T21</f>
        <v>1232768</v>
      </c>
      <c r="U18" s="6">
        <f t="shared" si="271"/>
        <v>761036</v>
      </c>
      <c r="V18" s="82"/>
      <c r="W18" s="6">
        <f t="shared" ref="W18:X18" si="272">W19+W20+W21</f>
        <v>0</v>
      </c>
      <c r="X18" s="6">
        <f t="shared" si="272"/>
        <v>0</v>
      </c>
      <c r="Y18" s="82"/>
      <c r="Z18" s="6">
        <f t="shared" ref="Z18:AA18" si="273">Z19+Z20+Z21</f>
        <v>0</v>
      </c>
      <c r="AA18" s="6">
        <f t="shared" si="273"/>
        <v>0</v>
      </c>
      <c r="AB18" s="82"/>
      <c r="AC18" s="6">
        <f t="shared" ref="AC18:AD18" si="274">AC19+AC20+AC21</f>
        <v>0</v>
      </c>
      <c r="AD18" s="6">
        <f t="shared" si="274"/>
        <v>0</v>
      </c>
      <c r="AE18" s="82"/>
      <c r="AF18" s="6">
        <f t="shared" ref="AF18:AG18" si="275">AF19+AF20+AF21</f>
        <v>0</v>
      </c>
      <c r="AG18" s="6">
        <f t="shared" si="275"/>
        <v>0</v>
      </c>
      <c r="AH18" s="82"/>
      <c r="AI18" s="6">
        <f t="shared" ref="AI18:AJ18" si="276">AI19+AI20+AI21</f>
        <v>0</v>
      </c>
      <c r="AJ18" s="6">
        <f t="shared" si="276"/>
        <v>0</v>
      </c>
      <c r="AK18" s="82"/>
      <c r="AL18" s="6">
        <f t="shared" ref="AL18:AM18" si="277">AL19+AL20+AL21</f>
        <v>0</v>
      </c>
      <c r="AM18" s="6">
        <f t="shared" si="277"/>
        <v>0</v>
      </c>
      <c r="AN18" s="82"/>
      <c r="AO18" s="6">
        <f t="shared" ref="AO18:AP18" si="278">AO19+AO20+AO21</f>
        <v>15240</v>
      </c>
      <c r="AP18" s="6">
        <f t="shared" si="278"/>
        <v>0</v>
      </c>
      <c r="AQ18" s="82"/>
      <c r="AR18" s="6">
        <f t="shared" ref="AR18:AS18" si="279">AR19+AR20+AR21</f>
        <v>0</v>
      </c>
      <c r="AS18" s="6">
        <f t="shared" si="279"/>
        <v>1800</v>
      </c>
      <c r="AT18" s="82"/>
      <c r="AU18" s="6">
        <f t="shared" ref="AU18:AV18" si="280">AU19+AU20+AU21</f>
        <v>35000</v>
      </c>
      <c r="AV18" s="6">
        <f t="shared" si="280"/>
        <v>18500</v>
      </c>
      <c r="AW18" s="82"/>
      <c r="AX18" s="6">
        <f t="shared" ref="AX18:AY18" si="281">AX19+AX20+AX21</f>
        <v>1500</v>
      </c>
      <c r="AY18" s="6">
        <f t="shared" si="281"/>
        <v>0</v>
      </c>
      <c r="AZ18" s="82"/>
      <c r="BA18" s="6">
        <f t="shared" ref="BA18:BB18" si="282">BA19+BA20+BA21</f>
        <v>0</v>
      </c>
      <c r="BB18" s="6">
        <f t="shared" si="282"/>
        <v>0</v>
      </c>
      <c r="BC18" s="82"/>
      <c r="BD18" s="6">
        <f t="shared" ref="BD18:BE18" si="283">BD19+BD20+BD21</f>
        <v>0</v>
      </c>
      <c r="BE18" s="6">
        <f t="shared" si="283"/>
        <v>0</v>
      </c>
      <c r="BF18" s="82"/>
      <c r="BG18" s="6">
        <f t="shared" ref="BG18:BH18" si="284">BG19+BG20+BG21</f>
        <v>0</v>
      </c>
      <c r="BH18" s="6">
        <f t="shared" si="284"/>
        <v>0</v>
      </c>
      <c r="BI18" s="82"/>
      <c r="BJ18" s="6">
        <f t="shared" ref="BJ18:BK18" si="285">BJ19+BJ20+BJ21</f>
        <v>0</v>
      </c>
      <c r="BK18" s="6">
        <f t="shared" si="285"/>
        <v>0</v>
      </c>
      <c r="BL18" s="82"/>
      <c r="BM18" s="6">
        <f t="shared" ref="BM18:BN18" si="286">BM19+BM20+BM21</f>
        <v>16000</v>
      </c>
      <c r="BN18" s="6">
        <f t="shared" si="286"/>
        <v>0</v>
      </c>
      <c r="BO18" s="82"/>
      <c r="BP18" s="6">
        <f t="shared" ref="BP18:BQ18" si="287">BP19+BP20+BP21</f>
        <v>864543</v>
      </c>
      <c r="BQ18" s="6">
        <f t="shared" si="287"/>
        <v>2413473</v>
      </c>
      <c r="BR18" s="82"/>
      <c r="BS18" s="6">
        <f t="shared" ref="BS18:BT18" si="288">BS19+BS20+BS21</f>
        <v>0</v>
      </c>
      <c r="BT18" s="6">
        <f t="shared" si="288"/>
        <v>0</v>
      </c>
      <c r="BU18" s="82"/>
      <c r="BV18" s="6">
        <f t="shared" ref="BV18:BW18" si="289">BV19+BV20+BV21</f>
        <v>0</v>
      </c>
      <c r="BW18" s="6">
        <f t="shared" si="289"/>
        <v>0</v>
      </c>
      <c r="BX18" s="82"/>
      <c r="BY18" s="6">
        <f t="shared" ref="BY18:BZ18" si="290">BY19+BY20+BY21</f>
        <v>0</v>
      </c>
      <c r="BZ18" s="6">
        <f t="shared" si="290"/>
        <v>57025</v>
      </c>
      <c r="CA18" s="82"/>
      <c r="CB18" s="6">
        <f t="shared" ref="CB18:CC18" si="291">CB19+CB20+CB21</f>
        <v>0</v>
      </c>
      <c r="CC18" s="6">
        <f t="shared" si="291"/>
        <v>0</v>
      </c>
      <c r="CD18" s="82"/>
      <c r="CE18" s="6">
        <f t="shared" ref="CE18:CF18" si="292">CE19+CE20+CE21</f>
        <v>787609</v>
      </c>
      <c r="CF18" s="6">
        <f t="shared" si="292"/>
        <v>778305</v>
      </c>
      <c r="CG18" s="82"/>
      <c r="CH18" s="6">
        <f t="shared" ref="CH18:CI18" si="293">CH19+CH20+CH21</f>
        <v>548054</v>
      </c>
      <c r="CI18" s="6">
        <f t="shared" si="293"/>
        <v>1296740</v>
      </c>
      <c r="CJ18" s="82"/>
      <c r="CK18" s="6">
        <f t="shared" ref="CK18:CL18" si="294">CK19+CK20+CK21</f>
        <v>1302075</v>
      </c>
      <c r="CL18" s="6">
        <f t="shared" si="294"/>
        <v>48241</v>
      </c>
      <c r="CM18" s="82"/>
      <c r="CN18" s="6">
        <f t="shared" ref="CN18:CO18" si="295">CN19+CN20+CN21</f>
        <v>211087</v>
      </c>
      <c r="CO18" s="6">
        <f t="shared" si="295"/>
        <v>508963</v>
      </c>
      <c r="CP18" s="82"/>
      <c r="CQ18" s="6">
        <f t="shared" ref="CQ18:CR18" si="296">CQ19+CQ20+CQ21</f>
        <v>0</v>
      </c>
      <c r="CR18" s="6">
        <f t="shared" si="296"/>
        <v>0</v>
      </c>
      <c r="CS18" s="82"/>
      <c r="CT18" s="6">
        <f t="shared" ref="CT18:CU18" si="297">CT19+CT20+CT21</f>
        <v>0</v>
      </c>
      <c r="CU18" s="6">
        <f t="shared" si="297"/>
        <v>0</v>
      </c>
      <c r="CV18" s="82"/>
      <c r="CW18" s="6">
        <f t="shared" ref="CW18:CX18" si="298">CW19+CW20+CW21</f>
        <v>1800</v>
      </c>
      <c r="CX18" s="6">
        <f t="shared" si="298"/>
        <v>2200</v>
      </c>
      <c r="CY18" s="82"/>
      <c r="CZ18" s="6">
        <f t="shared" ref="CZ18:DA18" si="299">CZ19+CZ20+CZ21</f>
        <v>0</v>
      </c>
      <c r="DA18" s="6">
        <f t="shared" si="299"/>
        <v>0</v>
      </c>
      <c r="DB18" s="82"/>
      <c r="DC18" s="6">
        <f t="shared" ref="DC18:DD18" si="300">DC19+DC20+DC21</f>
        <v>1000000</v>
      </c>
      <c r="DD18" s="6">
        <f t="shared" si="300"/>
        <v>300000</v>
      </c>
      <c r="DE18" s="82"/>
      <c r="DF18" s="6">
        <f t="shared" ref="DF18:DG18" si="301">DF19+DF20+DF21</f>
        <v>0</v>
      </c>
      <c r="DG18" s="6">
        <f t="shared" si="301"/>
        <v>0</v>
      </c>
      <c r="DH18" s="82"/>
      <c r="DI18" s="6">
        <f t="shared" ref="DI18:DJ18" si="302">DI19+DI20+DI21</f>
        <v>0</v>
      </c>
      <c r="DJ18" s="6">
        <f t="shared" si="302"/>
        <v>0</v>
      </c>
      <c r="DK18" s="82"/>
      <c r="DL18" s="6">
        <f t="shared" ref="DL18:DM18" si="303">DL19+DL20+DL21</f>
        <v>0</v>
      </c>
      <c r="DM18" s="6">
        <f t="shared" si="303"/>
        <v>0</v>
      </c>
      <c r="DN18" s="82"/>
      <c r="DO18" s="6">
        <f t="shared" ref="DO18:DP18" si="304">DO19+DO20+DO21</f>
        <v>35000</v>
      </c>
      <c r="DP18" s="6">
        <f t="shared" si="304"/>
        <v>0</v>
      </c>
      <c r="DQ18" s="82"/>
      <c r="DR18" s="38">
        <f t="shared" si="169"/>
        <v>6054306</v>
      </c>
      <c r="DS18" s="38">
        <f t="shared" si="169"/>
        <v>6188283</v>
      </c>
      <c r="DT18" s="82">
        <f t="shared" si="170"/>
        <v>102.21292085335627</v>
      </c>
      <c r="DU18" s="6">
        <f>DU19+DU20+DU21</f>
        <v>0</v>
      </c>
      <c r="DV18" s="6">
        <f>DV19+DV20+DV21</f>
        <v>0</v>
      </c>
      <c r="DW18" s="38"/>
      <c r="DX18" s="6">
        <f t="shared" ref="DX18:DY18" si="305">DX19+DX20+DX21</f>
        <v>0</v>
      </c>
      <c r="DY18" s="6">
        <f t="shared" si="305"/>
        <v>0</v>
      </c>
      <c r="DZ18" s="38"/>
      <c r="EA18" s="6">
        <f t="shared" ref="EA18:EB18" si="306">EA19+EA20+EA21</f>
        <v>0</v>
      </c>
      <c r="EB18" s="6">
        <f t="shared" si="306"/>
        <v>0</v>
      </c>
      <c r="EC18" s="38"/>
      <c r="ED18" s="6">
        <f t="shared" ref="ED18:EE18" si="307">ED19+ED20+ED21</f>
        <v>46500</v>
      </c>
      <c r="EE18" s="6">
        <f t="shared" si="307"/>
        <v>16381</v>
      </c>
      <c r="EF18" s="38"/>
      <c r="EG18" s="6">
        <f t="shared" ref="EG18:EH18" si="308">EG19+EG20+EG21</f>
        <v>68450</v>
      </c>
      <c r="EH18" s="6">
        <f t="shared" si="308"/>
        <v>35000</v>
      </c>
      <c r="EI18" s="38"/>
      <c r="EJ18" s="6">
        <f t="shared" ref="EJ18:EK18" si="309">EJ19+EJ20+EJ21</f>
        <v>0</v>
      </c>
      <c r="EK18" s="6">
        <f t="shared" si="309"/>
        <v>0</v>
      </c>
      <c r="EL18" s="38"/>
      <c r="EM18" s="6">
        <f t="shared" ref="EM18:EN18" si="310">EM19+EM20+EM21</f>
        <v>0</v>
      </c>
      <c r="EN18" s="6">
        <f t="shared" si="310"/>
        <v>0</v>
      </c>
      <c r="EO18" s="38"/>
      <c r="EP18" s="6">
        <f t="shared" ref="EP18:EQ18" si="311">EP19+EP20+EP21</f>
        <v>0</v>
      </c>
      <c r="EQ18" s="6">
        <f t="shared" si="311"/>
        <v>0</v>
      </c>
      <c r="ER18" s="38"/>
      <c r="ES18" s="6">
        <f t="shared" ref="ES18:ET18" si="312">ES19+ES20+ES21</f>
        <v>2000</v>
      </c>
      <c r="ET18" s="6">
        <f t="shared" si="312"/>
        <v>2540</v>
      </c>
      <c r="EU18" s="38"/>
      <c r="EV18" s="38">
        <f t="shared" si="179"/>
        <v>116950</v>
      </c>
      <c r="EW18" s="38">
        <f t="shared" si="179"/>
        <v>53921</v>
      </c>
      <c r="EX18" s="82">
        <f t="shared" si="89"/>
        <v>46.106028217186832</v>
      </c>
      <c r="EY18" s="6">
        <f t="shared" ref="EY18:EZ18" si="313">EY19+EY20+EY21</f>
        <v>0</v>
      </c>
      <c r="EZ18" s="6">
        <f t="shared" si="313"/>
        <v>300</v>
      </c>
      <c r="FA18" s="38"/>
      <c r="FB18" s="6">
        <f t="shared" ref="FB18:FC18" si="314">FB19+FB20+FB21</f>
        <v>0</v>
      </c>
      <c r="FC18" s="6">
        <f t="shared" si="314"/>
        <v>450</v>
      </c>
      <c r="FD18" s="38"/>
      <c r="FE18" s="6">
        <f t="shared" ref="FE18:FF18" si="315">FE19+FE20+FE21</f>
        <v>0</v>
      </c>
      <c r="FF18" s="6">
        <f t="shared" si="315"/>
        <v>450</v>
      </c>
      <c r="FG18" s="38"/>
      <c r="FH18" s="6">
        <f t="shared" ref="FH18:FI18" si="316">FH19+FH20+FH21</f>
        <v>1940</v>
      </c>
      <c r="FI18" s="6">
        <f t="shared" si="316"/>
        <v>50400</v>
      </c>
      <c r="FJ18" s="38"/>
      <c r="FK18" s="38"/>
      <c r="FL18" s="6">
        <f t="shared" ref="FL18" si="317">FL19+FL20+FL21</f>
        <v>0</v>
      </c>
      <c r="FM18" s="38"/>
      <c r="FN18" s="6">
        <f t="shared" ref="FN18:FO18" si="318">FN19+FN20+FN21</f>
        <v>0</v>
      </c>
      <c r="FO18" s="6">
        <f t="shared" si="318"/>
        <v>500</v>
      </c>
      <c r="FP18" s="38"/>
      <c r="FQ18" s="6">
        <f t="shared" ref="FQ18:FR18" si="319">FQ19+FQ20+FQ21</f>
        <v>0</v>
      </c>
      <c r="FR18" s="6">
        <f t="shared" si="319"/>
        <v>200</v>
      </c>
      <c r="FS18" s="38"/>
      <c r="FT18" s="6">
        <f t="shared" ref="FT18:FU18" si="320">FT19+FT20+FT21</f>
        <v>749</v>
      </c>
      <c r="FU18" s="6">
        <f t="shared" si="320"/>
        <v>400</v>
      </c>
      <c r="FV18" s="38"/>
      <c r="FW18" s="6">
        <f t="shared" ref="FW18:FX18" si="321">FW19+FW20+FW21</f>
        <v>12665</v>
      </c>
      <c r="FX18" s="6">
        <f t="shared" si="321"/>
        <v>9550</v>
      </c>
      <c r="FY18" s="38"/>
      <c r="FZ18" s="6">
        <f t="shared" ref="FZ18:GA18" si="322">FZ19+FZ20+FZ21</f>
        <v>3397</v>
      </c>
      <c r="GA18" s="6">
        <f t="shared" si="322"/>
        <v>3100</v>
      </c>
      <c r="GB18" s="38"/>
      <c r="GC18" s="6">
        <f t="shared" ref="GC18:GD18" si="323">GC19+GC20+GC21</f>
        <v>0</v>
      </c>
      <c r="GD18" s="6">
        <f t="shared" si="323"/>
        <v>100</v>
      </c>
      <c r="GE18" s="38"/>
      <c r="GF18" s="6">
        <f t="shared" ref="GF18:GG18" si="324">GF19+GF20+GF21</f>
        <v>1689</v>
      </c>
      <c r="GG18" s="6">
        <f t="shared" si="324"/>
        <v>450</v>
      </c>
      <c r="GH18" s="38"/>
      <c r="GI18" s="6">
        <f t="shared" ref="GI18:GJ18" si="325">GI19+GI20+GI21</f>
        <v>660</v>
      </c>
      <c r="GJ18" s="6">
        <f t="shared" si="325"/>
        <v>300</v>
      </c>
      <c r="GK18" s="38"/>
      <c r="GL18" s="6">
        <f t="shared" ref="GL18:GM18" si="326">GL19+GL20+GL21</f>
        <v>0</v>
      </c>
      <c r="GM18" s="6">
        <f t="shared" si="326"/>
        <v>400</v>
      </c>
      <c r="GN18" s="38"/>
      <c r="GO18" s="38">
        <f t="shared" si="117"/>
        <v>21100</v>
      </c>
      <c r="GP18" s="6">
        <f t="shared" ref="GP18" si="327">GP19+GP20+GP21</f>
        <v>66600</v>
      </c>
      <c r="GQ18" s="82">
        <f t="shared" ref="GQ18:GQ19" si="328">GP18/GO18*100</f>
        <v>315.63981042654029</v>
      </c>
      <c r="GR18" s="6">
        <f t="shared" ref="GR18:GS18" si="329">GR19+GR20+GR21</f>
        <v>33793</v>
      </c>
      <c r="GS18" s="6">
        <f t="shared" si="329"/>
        <v>5000</v>
      </c>
      <c r="GT18" s="38"/>
      <c r="GU18" s="6">
        <f t="shared" ref="GU18:GV18" si="330">GU19+GU20+GU21</f>
        <v>0</v>
      </c>
      <c r="GV18" s="6">
        <f t="shared" si="330"/>
        <v>0</v>
      </c>
      <c r="GW18" s="38"/>
      <c r="GX18" s="6">
        <f t="shared" ref="GX18:GY18" si="331">GX19+GX20+GX21</f>
        <v>164746</v>
      </c>
      <c r="GY18" s="6">
        <f t="shared" si="331"/>
        <v>5000</v>
      </c>
      <c r="GZ18" s="38"/>
      <c r="HA18" s="38">
        <f t="shared" si="198"/>
        <v>219639</v>
      </c>
      <c r="HB18" s="38">
        <f t="shared" si="198"/>
        <v>76600</v>
      </c>
      <c r="HC18" s="82">
        <f t="shared" ref="HC18:HC20" si="332">HB18/HA18*100</f>
        <v>34.87540919417772</v>
      </c>
      <c r="HD18" s="38">
        <f t="shared" si="127"/>
        <v>6390895</v>
      </c>
      <c r="HE18" s="38">
        <f t="shared" si="128"/>
        <v>6318804</v>
      </c>
      <c r="HF18" s="238">
        <f t="shared" si="129"/>
        <v>98.871973330808899</v>
      </c>
      <c r="HH18" s="242"/>
      <c r="HI18" s="242"/>
    </row>
    <row r="19" spans="1:217" ht="15" customHeight="1" x14ac:dyDescent="0.25">
      <c r="A19" s="210" t="s">
        <v>346</v>
      </c>
      <c r="B19" s="7"/>
      <c r="C19" s="7">
        <f>SUM('címrend kötelező'!B19+'címrend önként'!B19+'címrend államig'!B19)</f>
        <v>0</v>
      </c>
      <c r="D19" s="82"/>
      <c r="E19" s="7"/>
      <c r="F19" s="7">
        <f>SUM('címrend kötelező'!C19+'címrend önként'!C19+'címrend államig'!C19)</f>
        <v>0</v>
      </c>
      <c r="G19" s="82"/>
      <c r="H19" s="7"/>
      <c r="I19" s="7">
        <f>SUM('címrend kötelező'!D19+'címrend önként'!D19+'címrend államig'!D19)</f>
        <v>0</v>
      </c>
      <c r="J19" s="82"/>
      <c r="K19" s="7"/>
      <c r="L19" s="7">
        <f>SUM('címrend kötelező'!E19+'címrend önként'!E19+'címrend államig'!E19)</f>
        <v>0</v>
      </c>
      <c r="M19" s="82"/>
      <c r="N19" s="7"/>
      <c r="O19" s="7">
        <f>SUM('címrend kötelező'!F19+'címrend önként'!F19+'címrend államig'!F19)</f>
        <v>0</v>
      </c>
      <c r="P19" s="82"/>
      <c r="Q19" s="7"/>
      <c r="R19" s="7">
        <f>SUM('címrend kötelező'!G19+'címrend önként'!G19+'címrend államig'!G19)</f>
        <v>0</v>
      </c>
      <c r="S19" s="82"/>
      <c r="T19" s="7"/>
      <c r="U19" s="7">
        <f>SUM('címrend kötelező'!H19+'címrend önként'!H19+'címrend államig'!H19)</f>
        <v>0</v>
      </c>
      <c r="V19" s="82"/>
      <c r="W19" s="7"/>
      <c r="X19" s="7">
        <f>SUM('címrend kötelező'!I19+'címrend önként'!I19+'címrend államig'!I19)</f>
        <v>0</v>
      </c>
      <c r="Y19" s="82"/>
      <c r="Z19" s="7"/>
      <c r="AA19" s="7">
        <f>SUM('címrend kötelező'!J19+'címrend önként'!J19+'címrend államig'!J19)</f>
        <v>0</v>
      </c>
      <c r="AB19" s="82"/>
      <c r="AC19" s="7"/>
      <c r="AD19" s="7">
        <f>SUM('címrend kötelező'!K19+'címrend önként'!K19+'címrend államig'!K19)</f>
        <v>0</v>
      </c>
      <c r="AE19" s="82"/>
      <c r="AF19" s="7"/>
      <c r="AG19" s="7">
        <f>SUM('címrend kötelező'!L19+'címrend önként'!L19+'címrend államig'!L19)</f>
        <v>0</v>
      </c>
      <c r="AH19" s="82"/>
      <c r="AI19" s="7"/>
      <c r="AJ19" s="7">
        <f>SUM('címrend kötelező'!M19+'címrend önként'!M19+'címrend államig'!M19)</f>
        <v>0</v>
      </c>
      <c r="AK19" s="82"/>
      <c r="AL19" s="7"/>
      <c r="AM19" s="7">
        <f>SUM('címrend kötelező'!N19+'címrend önként'!N19+'címrend államig'!N19)</f>
        <v>0</v>
      </c>
      <c r="AN19" s="82"/>
      <c r="AO19" s="7">
        <v>15240</v>
      </c>
      <c r="AP19" s="7">
        <f>SUM('címrend kötelező'!O19+'címrend önként'!O19+'címrend államig'!O19)</f>
        <v>0</v>
      </c>
      <c r="AQ19" s="82"/>
      <c r="AR19" s="7"/>
      <c r="AS19" s="7">
        <f>SUM('címrend kötelező'!P19+'címrend önként'!P19+'címrend államig'!P19)</f>
        <v>1800</v>
      </c>
      <c r="AT19" s="82"/>
      <c r="AU19" s="7">
        <v>16500</v>
      </c>
      <c r="AV19" s="7">
        <f>SUM('címrend kötelező'!Q19+'címrend önként'!Q19+'címrend államig'!Q19)</f>
        <v>18500</v>
      </c>
      <c r="AW19" s="82"/>
      <c r="AX19" s="7"/>
      <c r="AY19" s="7">
        <f>SUM('címrend kötelező'!R19+'címrend önként'!R19+'címrend államig'!R19)</f>
        <v>0</v>
      </c>
      <c r="AZ19" s="82"/>
      <c r="BA19" s="7"/>
      <c r="BB19" s="7">
        <f>SUM('címrend kötelező'!S19+'címrend önként'!S19+'címrend államig'!S19)</f>
        <v>0</v>
      </c>
      <c r="BC19" s="82"/>
      <c r="BD19" s="7"/>
      <c r="BE19" s="7">
        <f>SUM('címrend kötelező'!T19+'címrend önként'!T19+'címrend államig'!T19)</f>
        <v>0</v>
      </c>
      <c r="BF19" s="82"/>
      <c r="BG19" s="7"/>
      <c r="BH19" s="7">
        <f>SUM('címrend kötelező'!U19+'címrend önként'!U19+'címrend államig'!U19)</f>
        <v>0</v>
      </c>
      <c r="BI19" s="82"/>
      <c r="BJ19" s="7"/>
      <c r="BK19" s="7">
        <f>SUM('címrend kötelező'!V19+'címrend önként'!V19+'címrend államig'!V19)</f>
        <v>0</v>
      </c>
      <c r="BL19" s="82"/>
      <c r="BM19" s="7">
        <v>16000</v>
      </c>
      <c r="BN19" s="7">
        <f>SUM('címrend kötelező'!W19+'címrend önként'!W19+'címrend államig'!W19)</f>
        <v>0</v>
      </c>
      <c r="BO19" s="82"/>
      <c r="BP19" s="7">
        <v>282526</v>
      </c>
      <c r="BQ19" s="7">
        <f>SUM('címrend kötelező'!X19+'címrend önként'!X19+'címrend államig'!X19)</f>
        <v>2354094</v>
      </c>
      <c r="BR19" s="82"/>
      <c r="BS19" s="7"/>
      <c r="BT19" s="7">
        <f>SUM('címrend kötelező'!Y19+'címrend önként'!Y19+'címrend államig'!Y19)</f>
        <v>0</v>
      </c>
      <c r="BU19" s="82"/>
      <c r="BV19" s="7"/>
      <c r="BW19" s="7">
        <f>SUM('címrend kötelező'!Z19+'címrend önként'!Z19+'címrend államig'!Z19)</f>
        <v>0</v>
      </c>
      <c r="BX19" s="82"/>
      <c r="BY19" s="7"/>
      <c r="BZ19" s="7">
        <f>SUM('címrend kötelező'!AA19+'címrend önként'!AA19+'címrend államig'!AA19)</f>
        <v>46000</v>
      </c>
      <c r="CA19" s="82"/>
      <c r="CB19" s="7"/>
      <c r="CC19" s="7">
        <f>SUM('címrend kötelező'!AB19+'címrend önként'!AB19+'címrend államig'!AB19)</f>
        <v>0</v>
      </c>
      <c r="CD19" s="82"/>
      <c r="CE19" s="7">
        <v>179640</v>
      </c>
      <c r="CF19" s="7">
        <f>SUM('címrend kötelező'!AC19+'címrend önként'!AC19+'címrend államig'!AC19)</f>
        <v>0</v>
      </c>
      <c r="CG19" s="82"/>
      <c r="CH19" s="7"/>
      <c r="CI19" s="7">
        <f>SUM('címrend kötelező'!AD19+'címrend önként'!AD19+'címrend államig'!AD19)</f>
        <v>0</v>
      </c>
      <c r="CJ19" s="82"/>
      <c r="CK19" s="7">
        <v>119853</v>
      </c>
      <c r="CL19" s="7">
        <f>SUM('címrend kötelező'!AE19+'címrend önként'!AE19+'címrend államig'!AE19)</f>
        <v>0</v>
      </c>
      <c r="CM19" s="82"/>
      <c r="CN19" s="7">
        <v>58484</v>
      </c>
      <c r="CO19" s="7">
        <f>SUM('címrend kötelező'!AF19+'címrend önként'!AF19+'címrend államig'!AF19)</f>
        <v>0</v>
      </c>
      <c r="CP19" s="82"/>
      <c r="CQ19" s="7"/>
      <c r="CR19" s="7">
        <f>SUM('címrend kötelező'!AG19+'címrend önként'!AG19+'címrend államig'!AG19)</f>
        <v>0</v>
      </c>
      <c r="CS19" s="82"/>
      <c r="CT19" s="7"/>
      <c r="CU19" s="7">
        <f>SUM('címrend kötelező'!AH19+'címrend önként'!AH19+'címrend államig'!AH19)</f>
        <v>0</v>
      </c>
      <c r="CV19" s="82"/>
      <c r="CW19" s="7">
        <v>1800</v>
      </c>
      <c r="CX19" s="7">
        <f>SUM('címrend kötelező'!AI19+'címrend önként'!AI19+'címrend államig'!AI19)</f>
        <v>2200</v>
      </c>
      <c r="CY19" s="82"/>
      <c r="CZ19" s="7"/>
      <c r="DA19" s="7">
        <f>SUM('címrend kötelező'!AJ19+'címrend önként'!AJ19+'címrend államig'!AJ19)</f>
        <v>0</v>
      </c>
      <c r="DB19" s="82"/>
      <c r="DC19" s="7"/>
      <c r="DD19" s="7">
        <f>SUM('címrend kötelező'!AK19+'címrend önként'!AK19+'címrend államig'!AK19)</f>
        <v>0</v>
      </c>
      <c r="DE19" s="82"/>
      <c r="DF19" s="7"/>
      <c r="DG19" s="7">
        <f>SUM('címrend kötelező'!AL19+'címrend önként'!AL19+'címrend államig'!AL19)</f>
        <v>0</v>
      </c>
      <c r="DH19" s="82"/>
      <c r="DI19" s="7"/>
      <c r="DJ19" s="7">
        <f>SUM('címrend kötelező'!AM19+'címrend önként'!AM19+'címrend államig'!AM19)</f>
        <v>0</v>
      </c>
      <c r="DK19" s="82"/>
      <c r="DL19" s="7"/>
      <c r="DM19" s="7">
        <f>SUM('címrend kötelező'!AN19+'címrend önként'!AN19+'címrend államig'!AN19)</f>
        <v>0</v>
      </c>
      <c r="DN19" s="82"/>
      <c r="DO19" s="7"/>
      <c r="DP19" s="7">
        <f>SUM('címrend kötelező'!AO19+'címrend önként'!AO19+'címrend államig'!AO19)</f>
        <v>0</v>
      </c>
      <c r="DQ19" s="82"/>
      <c r="DR19" s="387">
        <f t="shared" si="169"/>
        <v>690043</v>
      </c>
      <c r="DS19" s="387">
        <f t="shared" si="169"/>
        <v>2422594</v>
      </c>
      <c r="DT19" s="87">
        <f t="shared" si="170"/>
        <v>351.07870089255306</v>
      </c>
      <c r="DU19" s="7"/>
      <c r="DV19" s="7">
        <f>SUM('címrend kötelező'!AQ19+'címrend önként'!AQ19+'címrend államig'!AQ19)</f>
        <v>0</v>
      </c>
      <c r="DW19" s="38"/>
      <c r="DX19" s="7"/>
      <c r="DY19" s="7">
        <f>SUM('címrend kötelező'!AR19+'címrend önként'!AR19+'címrend államig'!AR19)</f>
        <v>0</v>
      </c>
      <c r="DZ19" s="38"/>
      <c r="EA19" s="7"/>
      <c r="EB19" s="7">
        <f>SUM('címrend kötelező'!AS19+'címrend önként'!AS19+'címrend államig'!AS19)</f>
        <v>0</v>
      </c>
      <c r="EC19" s="38"/>
      <c r="ED19" s="7">
        <v>29700</v>
      </c>
      <c r="EE19" s="7">
        <f>SUM('címrend kötelező'!AT19+'címrend önként'!AT19+'címrend államig'!AT19)</f>
        <v>16381</v>
      </c>
      <c r="EF19" s="38"/>
      <c r="EG19" s="7">
        <v>68450</v>
      </c>
      <c r="EH19" s="7">
        <f>SUM('címrend kötelező'!AU19+'címrend önként'!AU19+'címrend államig'!AU19)</f>
        <v>35000</v>
      </c>
      <c r="EI19" s="38"/>
      <c r="EJ19" s="7"/>
      <c r="EK19" s="7">
        <f>SUM('címrend kötelező'!AV19+'címrend önként'!AV19+'címrend államig'!AV19)</f>
        <v>0</v>
      </c>
      <c r="EL19" s="38"/>
      <c r="EM19" s="7"/>
      <c r="EN19" s="7">
        <f>SUM('címrend kötelező'!AW19+'címrend önként'!AW19+'címrend államig'!AW19)</f>
        <v>0</v>
      </c>
      <c r="EO19" s="38"/>
      <c r="EP19" s="7"/>
      <c r="EQ19" s="7">
        <f>SUM('címrend kötelező'!AX19+'címrend önként'!AX19+'címrend államig'!AX19)</f>
        <v>0</v>
      </c>
      <c r="ER19" s="38"/>
      <c r="ES19" s="7">
        <v>2000</v>
      </c>
      <c r="ET19" s="7">
        <f>SUM('címrend kötelező'!AY19+'címrend önként'!AY19+'címrend államig'!AY19)</f>
        <v>2540</v>
      </c>
      <c r="EU19" s="38"/>
      <c r="EV19" s="387">
        <f t="shared" si="179"/>
        <v>100150</v>
      </c>
      <c r="EW19" s="387">
        <f t="shared" si="179"/>
        <v>53921</v>
      </c>
      <c r="EX19" s="87">
        <f t="shared" si="89"/>
        <v>53.840239640539188</v>
      </c>
      <c r="EY19" s="7"/>
      <c r="EZ19" s="7">
        <f>'címrend kötelező'!BA19+'címrend önként'!BA19+'címrend államig'!BA19</f>
        <v>300</v>
      </c>
      <c r="FA19" s="38"/>
      <c r="FB19" s="7"/>
      <c r="FC19" s="7">
        <f>'címrend kötelező'!BB19+'címrend önként'!BB19+'címrend államig'!BB19</f>
        <v>450</v>
      </c>
      <c r="FD19" s="38"/>
      <c r="FE19" s="7"/>
      <c r="FF19" s="7">
        <f>'címrend kötelező'!BC19+'címrend önként'!BC19+'címrend államig'!BC19</f>
        <v>450</v>
      </c>
      <c r="FG19" s="38"/>
      <c r="FH19" s="7">
        <v>1940</v>
      </c>
      <c r="FI19" s="7">
        <f>'címrend kötelező'!BD19+'címrend önként'!BD19+'címrend államig'!BD19</f>
        <v>50400</v>
      </c>
      <c r="FJ19" s="38"/>
      <c r="FK19" s="38"/>
      <c r="FL19" s="7">
        <f>'címrend kötelező'!BE19+'címrend önként'!BE19+'címrend államig'!BE19</f>
        <v>0</v>
      </c>
      <c r="FM19" s="38"/>
      <c r="FN19" s="7"/>
      <c r="FO19" s="7">
        <f>SUM('címrend kötelező'!BF19+'címrend önként'!BF19+'címrend államig'!BF19)</f>
        <v>500</v>
      </c>
      <c r="FP19" s="38"/>
      <c r="FQ19" s="7"/>
      <c r="FR19" s="7">
        <f>SUM('címrend kötelező'!BG19+'címrend önként'!BG19+'címrend államig'!BG19)</f>
        <v>200</v>
      </c>
      <c r="FS19" s="38"/>
      <c r="FT19" s="7">
        <v>749</v>
      </c>
      <c r="FU19" s="7">
        <f>SUM('címrend kötelező'!BH19+'címrend önként'!BH19+'címrend államig'!BH19)</f>
        <v>400</v>
      </c>
      <c r="FV19" s="38"/>
      <c r="FW19" s="7">
        <v>1165</v>
      </c>
      <c r="FX19" s="7">
        <f>SUM('címrend kötelező'!BI19+'címrend önként'!BI19+'címrend államig'!BI19)</f>
        <v>550</v>
      </c>
      <c r="FY19" s="38"/>
      <c r="FZ19" s="7">
        <v>797</v>
      </c>
      <c r="GA19" s="7">
        <f>SUM('címrend kötelező'!BJ19+'címrend önként'!BJ19+'címrend államig'!BJ19)</f>
        <v>500</v>
      </c>
      <c r="GB19" s="38"/>
      <c r="GC19" s="7"/>
      <c r="GD19" s="7">
        <f>SUM('címrend kötelező'!BK19+'címrend önként'!BK19+'címrend államig'!BK19)</f>
        <v>100</v>
      </c>
      <c r="GE19" s="38"/>
      <c r="GF19" s="7">
        <v>1689</v>
      </c>
      <c r="GG19" s="7">
        <f>SUM('címrend kötelező'!BL19+'címrend önként'!BL19+'címrend államig'!BL19)</f>
        <v>450</v>
      </c>
      <c r="GH19" s="38"/>
      <c r="GI19" s="7">
        <v>660</v>
      </c>
      <c r="GJ19" s="7">
        <f>SUM('címrend kötelező'!BM19+'címrend önként'!BM19+'címrend államig'!BM19)</f>
        <v>300</v>
      </c>
      <c r="GK19" s="38"/>
      <c r="GL19" s="7"/>
      <c r="GM19" s="7">
        <f>SUM('címrend kötelező'!BN19+'címrend önként'!BN19+'címrend államig'!BN19)</f>
        <v>400</v>
      </c>
      <c r="GN19" s="38"/>
      <c r="GO19" s="387">
        <f t="shared" si="117"/>
        <v>7000</v>
      </c>
      <c r="GP19" s="387">
        <f t="shared" si="200"/>
        <v>55000</v>
      </c>
      <c r="GQ19" s="87">
        <f t="shared" si="328"/>
        <v>785.71428571428567</v>
      </c>
      <c r="GR19" s="7">
        <v>21525</v>
      </c>
      <c r="GS19" s="7">
        <f>SUM('címrend kötelező'!BP19+'címrend önként'!BP19+'címrend államig'!BP19)</f>
        <v>5000</v>
      </c>
      <c r="GT19" s="38"/>
      <c r="GU19" s="7"/>
      <c r="GV19" s="7">
        <f>SUM('címrend kötelező'!BQ19+'címrend önként'!BQ19+'címrend államig'!BQ19)</f>
        <v>0</v>
      </c>
      <c r="GW19" s="38"/>
      <c r="GX19" s="7">
        <v>10454</v>
      </c>
      <c r="GY19" s="7">
        <f>SUM('címrend kötelező'!BR19+'címrend önként'!BR19+'címrend államig'!BR19)</f>
        <v>5000</v>
      </c>
      <c r="GZ19" s="38"/>
      <c r="HA19" s="387">
        <f t="shared" si="198"/>
        <v>38979</v>
      </c>
      <c r="HB19" s="387">
        <f t="shared" si="198"/>
        <v>65000</v>
      </c>
      <c r="HC19" s="87">
        <f t="shared" si="332"/>
        <v>166.75645860591601</v>
      </c>
      <c r="HD19" s="38">
        <f t="shared" si="127"/>
        <v>829172</v>
      </c>
      <c r="HE19" s="38">
        <f t="shared" si="128"/>
        <v>2541515</v>
      </c>
      <c r="HF19" s="238">
        <f t="shared" si="129"/>
        <v>306.51240032224922</v>
      </c>
      <c r="HH19" s="242"/>
      <c r="HI19" s="242"/>
    </row>
    <row r="20" spans="1:217" ht="15" customHeight="1" x14ac:dyDescent="0.25">
      <c r="A20" s="210" t="s">
        <v>347</v>
      </c>
      <c r="B20" s="7"/>
      <c r="C20" s="7">
        <f>SUM('címrend kötelező'!B20+'címrend önként'!B20+'címrend államig'!B20)</f>
        <v>0</v>
      </c>
      <c r="D20" s="82"/>
      <c r="E20" s="7"/>
      <c r="F20" s="7">
        <f>SUM('címrend kötelező'!C20+'címrend önként'!C20+'címrend államig'!C20)</f>
        <v>0</v>
      </c>
      <c r="G20" s="82"/>
      <c r="H20" s="7"/>
      <c r="I20" s="7">
        <f>SUM('címrend kötelező'!D20+'címrend önként'!D20+'címrend államig'!D20)</f>
        <v>0</v>
      </c>
      <c r="J20" s="82"/>
      <c r="K20" s="7"/>
      <c r="L20" s="7">
        <f>SUM('címrend kötelező'!E20+'címrend önként'!E20+'címrend államig'!E20)</f>
        <v>0</v>
      </c>
      <c r="M20" s="82"/>
      <c r="N20" s="7"/>
      <c r="O20" s="7">
        <f>SUM('címrend kötelező'!F20+'címrend önként'!F20+'címrend államig'!F20)</f>
        <v>0</v>
      </c>
      <c r="P20" s="82"/>
      <c r="Q20" s="7"/>
      <c r="R20" s="7">
        <f>SUM('címrend kötelező'!G20+'címrend önként'!G20+'címrend államig'!G20)</f>
        <v>0</v>
      </c>
      <c r="S20" s="82"/>
      <c r="T20" s="7"/>
      <c r="U20" s="7">
        <f>SUM('címrend kötelező'!H20+'címrend önként'!H20+'címrend államig'!H20)</f>
        <v>0</v>
      </c>
      <c r="V20" s="82"/>
      <c r="W20" s="7"/>
      <c r="X20" s="7">
        <f>SUM('címrend kötelező'!I20+'címrend önként'!I20+'címrend államig'!I20)</f>
        <v>0</v>
      </c>
      <c r="Y20" s="82"/>
      <c r="Z20" s="7"/>
      <c r="AA20" s="7">
        <f>SUM('címrend kötelező'!J20+'címrend önként'!J20+'címrend államig'!J20)</f>
        <v>0</v>
      </c>
      <c r="AB20" s="82"/>
      <c r="AC20" s="7"/>
      <c r="AD20" s="7">
        <f>SUM('címrend kötelező'!K20+'címrend önként'!K20+'címrend államig'!K20)</f>
        <v>0</v>
      </c>
      <c r="AE20" s="82"/>
      <c r="AF20" s="7"/>
      <c r="AG20" s="7">
        <f>SUM('címrend kötelező'!L20+'címrend önként'!L20+'címrend államig'!L20)</f>
        <v>0</v>
      </c>
      <c r="AH20" s="82"/>
      <c r="AI20" s="7"/>
      <c r="AJ20" s="7">
        <f>SUM('címrend kötelező'!M20+'címrend önként'!M20+'címrend államig'!M20)</f>
        <v>0</v>
      </c>
      <c r="AK20" s="82"/>
      <c r="AL20" s="7"/>
      <c r="AM20" s="7">
        <f>SUM('címrend kötelező'!N20+'címrend önként'!N20+'címrend államig'!N20)</f>
        <v>0</v>
      </c>
      <c r="AN20" s="82"/>
      <c r="AO20" s="7"/>
      <c r="AP20" s="7">
        <f>SUM('címrend kötelező'!O20+'címrend önként'!O20+'címrend államig'!O20)</f>
        <v>0</v>
      </c>
      <c r="AQ20" s="82"/>
      <c r="AR20" s="7"/>
      <c r="AS20" s="7">
        <f>SUM('címrend kötelező'!P20+'címrend önként'!P20+'címrend államig'!P20)</f>
        <v>0</v>
      </c>
      <c r="AT20" s="82"/>
      <c r="AU20" s="7">
        <v>18500</v>
      </c>
      <c r="AV20" s="7">
        <f>SUM('címrend kötelező'!Q20+'címrend önként'!Q20+'címrend államig'!Q20)</f>
        <v>0</v>
      </c>
      <c r="AW20" s="82"/>
      <c r="AX20" s="7"/>
      <c r="AY20" s="7">
        <f>SUM('címrend kötelező'!R20+'címrend önként'!R20+'címrend államig'!R20)</f>
        <v>0</v>
      </c>
      <c r="AZ20" s="82"/>
      <c r="BA20" s="7"/>
      <c r="BB20" s="7">
        <f>SUM('címrend kötelező'!S20+'címrend önként'!S20+'címrend államig'!S20)</f>
        <v>0</v>
      </c>
      <c r="BC20" s="82"/>
      <c r="BD20" s="7"/>
      <c r="BE20" s="7">
        <f>SUM('címrend kötelező'!T20+'címrend önként'!T20+'címrend államig'!T20)</f>
        <v>0</v>
      </c>
      <c r="BF20" s="82"/>
      <c r="BG20" s="7"/>
      <c r="BH20" s="7">
        <f>SUM('címrend kötelező'!U20+'címrend önként'!U20+'címrend államig'!U20)</f>
        <v>0</v>
      </c>
      <c r="BI20" s="82"/>
      <c r="BJ20" s="7"/>
      <c r="BK20" s="7">
        <f>SUM('címrend kötelező'!V20+'címrend önként'!V20+'címrend államig'!V20)</f>
        <v>0</v>
      </c>
      <c r="BL20" s="82"/>
      <c r="BM20" s="7"/>
      <c r="BN20" s="7">
        <f>SUM('címrend kötelező'!W20+'címrend önként'!W20+'címrend államig'!W20)</f>
        <v>0</v>
      </c>
      <c r="BO20" s="82"/>
      <c r="BP20" s="7">
        <v>543917</v>
      </c>
      <c r="BQ20" s="7">
        <f>SUM('címrend kötelező'!X20+'címrend önként'!X20+'címrend államig'!X20)</f>
        <v>59379</v>
      </c>
      <c r="BR20" s="82"/>
      <c r="BS20" s="7"/>
      <c r="BT20" s="7">
        <f>SUM('címrend kötelező'!Y20+'címrend önként'!Y20+'címrend államig'!Y20)</f>
        <v>0</v>
      </c>
      <c r="BU20" s="82"/>
      <c r="BV20" s="7"/>
      <c r="BW20" s="7">
        <f>SUM('címrend kötelező'!Z20+'címrend önként'!Z20+'címrend államig'!Z20)</f>
        <v>0</v>
      </c>
      <c r="BX20" s="82"/>
      <c r="BY20" s="7"/>
      <c r="BZ20" s="7">
        <f>SUM('címrend kötelező'!AA20+'címrend önként'!AA20+'címrend államig'!AA20)</f>
        <v>0</v>
      </c>
      <c r="CA20" s="82"/>
      <c r="CB20" s="7"/>
      <c r="CC20" s="7">
        <f>SUM('címrend kötelező'!AB20+'címrend önként'!AB20+'címrend államig'!AB20)</f>
        <v>0</v>
      </c>
      <c r="CD20" s="82"/>
      <c r="CE20" s="7">
        <v>273939</v>
      </c>
      <c r="CF20" s="7">
        <f>SUM('címrend kötelező'!AC20+'címrend önként'!AC20+'címrend államig'!AC20)</f>
        <v>400000</v>
      </c>
      <c r="CG20" s="82"/>
      <c r="CH20" s="7">
        <v>548054</v>
      </c>
      <c r="CI20" s="7">
        <f>SUM('címrend kötelező'!AD20+'címrend önként'!AD20+'címrend államig'!AD20)</f>
        <v>1296740</v>
      </c>
      <c r="CJ20" s="82"/>
      <c r="CK20" s="7">
        <v>956339</v>
      </c>
      <c r="CL20" s="7">
        <f>SUM('címrend kötelező'!AE20+'címrend önként'!AE20+'címrend államig'!AE20)</f>
        <v>48241</v>
      </c>
      <c r="CM20" s="82"/>
      <c r="CN20" s="7">
        <v>152603</v>
      </c>
      <c r="CO20" s="7">
        <f>SUM('címrend kötelező'!AF20+'címrend önként'!AF20+'címrend államig'!AF20)</f>
        <v>155239</v>
      </c>
      <c r="CP20" s="82"/>
      <c r="CQ20" s="7"/>
      <c r="CR20" s="7">
        <f>SUM('címrend kötelező'!AG20+'címrend önként'!AG20+'címrend államig'!AG20)</f>
        <v>0</v>
      </c>
      <c r="CS20" s="82"/>
      <c r="CT20" s="7"/>
      <c r="CU20" s="7">
        <f>SUM('címrend kötelező'!AH20+'címrend önként'!AH20+'címrend államig'!AH20)</f>
        <v>0</v>
      </c>
      <c r="CV20" s="82"/>
      <c r="CW20" s="7"/>
      <c r="CX20" s="7">
        <f>SUM('címrend kötelező'!AI20+'címrend önként'!AI20+'címrend államig'!AI20)</f>
        <v>0</v>
      </c>
      <c r="CY20" s="82"/>
      <c r="CZ20" s="7"/>
      <c r="DA20" s="7">
        <f>SUM('címrend kötelező'!AJ20+'címrend önként'!AJ20+'címrend államig'!AJ20)</f>
        <v>0</v>
      </c>
      <c r="DB20" s="82"/>
      <c r="DC20" s="7"/>
      <c r="DD20" s="7">
        <f>SUM('címrend kötelező'!AK20+'címrend önként'!AK20+'címrend államig'!AK20)</f>
        <v>0</v>
      </c>
      <c r="DE20" s="82"/>
      <c r="DF20" s="7"/>
      <c r="DG20" s="7">
        <f>SUM('címrend kötelező'!AL20+'címrend önként'!AL20+'címrend államig'!AL20)</f>
        <v>0</v>
      </c>
      <c r="DH20" s="82"/>
      <c r="DI20" s="7"/>
      <c r="DJ20" s="7">
        <f>SUM('címrend kötelező'!AM20+'címrend önként'!AM20+'címrend államig'!AM20)</f>
        <v>0</v>
      </c>
      <c r="DK20" s="82"/>
      <c r="DL20" s="7"/>
      <c r="DM20" s="7">
        <f>SUM('címrend kötelező'!AN20+'címrend önként'!AN20+'címrend államig'!AN20)</f>
        <v>0</v>
      </c>
      <c r="DN20" s="82"/>
      <c r="DO20" s="7"/>
      <c r="DP20" s="7">
        <f>SUM('címrend kötelező'!AO20+'címrend önként'!AO20+'címrend államig'!AO20)</f>
        <v>0</v>
      </c>
      <c r="DQ20" s="82"/>
      <c r="DR20" s="387">
        <f t="shared" si="169"/>
        <v>2493352</v>
      </c>
      <c r="DS20" s="387">
        <f t="shared" si="169"/>
        <v>1959599</v>
      </c>
      <c r="DT20" s="87">
        <f t="shared" si="170"/>
        <v>78.592954384298736</v>
      </c>
      <c r="DU20" s="7"/>
      <c r="DV20" s="7">
        <f>SUM('címrend kötelező'!AQ20+'címrend önként'!AQ20+'címrend államig'!AQ20)</f>
        <v>0</v>
      </c>
      <c r="DW20" s="38"/>
      <c r="DX20" s="7"/>
      <c r="DY20" s="7">
        <f>SUM('címrend kötelező'!AR20+'címrend önként'!AR20+'címrend államig'!AR20)</f>
        <v>0</v>
      </c>
      <c r="DZ20" s="38"/>
      <c r="EA20" s="7"/>
      <c r="EB20" s="7">
        <f>SUM('címrend kötelező'!AS20+'címrend önként'!AS20+'címrend államig'!AS20)</f>
        <v>0</v>
      </c>
      <c r="EC20" s="38"/>
      <c r="ED20" s="7">
        <v>16800</v>
      </c>
      <c r="EE20" s="7">
        <f>SUM('címrend kötelező'!AT20+'címrend önként'!AT20+'címrend államig'!AT20)</f>
        <v>0</v>
      </c>
      <c r="EF20" s="38"/>
      <c r="EG20" s="7"/>
      <c r="EH20" s="7">
        <f>SUM('címrend kötelező'!AU20+'címrend önként'!AU20+'címrend államig'!AU20)</f>
        <v>0</v>
      </c>
      <c r="EI20" s="38"/>
      <c r="EJ20" s="7"/>
      <c r="EK20" s="7">
        <f>SUM('címrend kötelező'!AV20+'címrend önként'!AV20+'címrend államig'!AV20)</f>
        <v>0</v>
      </c>
      <c r="EL20" s="38"/>
      <c r="EM20" s="7"/>
      <c r="EN20" s="7">
        <f>SUM('címrend kötelező'!AW20+'címrend önként'!AW20+'címrend államig'!AW20)</f>
        <v>0</v>
      </c>
      <c r="EO20" s="38"/>
      <c r="EP20" s="7"/>
      <c r="EQ20" s="7">
        <f>SUM('címrend kötelező'!AX20+'címrend önként'!AX20+'címrend államig'!AX20)</f>
        <v>0</v>
      </c>
      <c r="ER20" s="38"/>
      <c r="ES20" s="7"/>
      <c r="ET20" s="7">
        <f>SUM('címrend kötelező'!AY20+'címrend önként'!AY20+'címrend államig'!AY20)</f>
        <v>0</v>
      </c>
      <c r="EU20" s="38"/>
      <c r="EV20" s="387">
        <f t="shared" si="179"/>
        <v>16800</v>
      </c>
      <c r="EW20" s="387">
        <f t="shared" si="179"/>
        <v>0</v>
      </c>
      <c r="EX20" s="87"/>
      <c r="EY20" s="7"/>
      <c r="EZ20" s="7">
        <f>'címrend kötelező'!BA20+'címrend önként'!BA20+'címrend államig'!BA20</f>
        <v>0</v>
      </c>
      <c r="FA20" s="38"/>
      <c r="FB20" s="7"/>
      <c r="FC20" s="7">
        <f>'címrend kötelező'!BB20+'címrend önként'!BB20+'címrend államig'!BB20</f>
        <v>0</v>
      </c>
      <c r="FD20" s="38"/>
      <c r="FE20" s="7"/>
      <c r="FF20" s="7">
        <f>'címrend kötelező'!BC20+'címrend önként'!BC20+'címrend államig'!BC20</f>
        <v>0</v>
      </c>
      <c r="FG20" s="38"/>
      <c r="FH20" s="7"/>
      <c r="FI20" s="7">
        <f>'címrend kötelező'!BD20+'címrend önként'!BD20+'címrend államig'!BD20</f>
        <v>0</v>
      </c>
      <c r="FJ20" s="38"/>
      <c r="FK20" s="38"/>
      <c r="FL20" s="7">
        <f>'címrend kötelező'!BE20+'címrend önként'!BE20+'címrend államig'!BE20</f>
        <v>0</v>
      </c>
      <c r="FM20" s="38"/>
      <c r="FN20" s="7"/>
      <c r="FO20" s="7">
        <f>SUM('címrend kötelező'!BF20+'címrend önként'!BF20+'címrend államig'!BF20)</f>
        <v>0</v>
      </c>
      <c r="FP20" s="38"/>
      <c r="FQ20" s="7"/>
      <c r="FR20" s="7">
        <f>SUM('címrend kötelező'!BG20+'címrend önként'!BG20+'címrend államig'!BG20)</f>
        <v>0</v>
      </c>
      <c r="FS20" s="38"/>
      <c r="FT20" s="7"/>
      <c r="FU20" s="7">
        <f>SUM('címrend kötelező'!BH20+'címrend önként'!BH20+'címrend államig'!BH20)</f>
        <v>0</v>
      </c>
      <c r="FV20" s="38"/>
      <c r="FW20" s="7">
        <v>11500</v>
      </c>
      <c r="FX20" s="7">
        <f>SUM('címrend kötelező'!BI20+'címrend önként'!BI20+'címrend államig'!BI20)</f>
        <v>9000</v>
      </c>
      <c r="FY20" s="38"/>
      <c r="FZ20" s="7">
        <v>2600</v>
      </c>
      <c r="GA20" s="7">
        <f>SUM('címrend kötelező'!BJ20+'címrend önként'!BJ20+'címrend államig'!BJ20)</f>
        <v>2600</v>
      </c>
      <c r="GB20" s="38"/>
      <c r="GC20" s="7"/>
      <c r="GD20" s="7">
        <f>SUM('címrend kötelező'!BK20+'címrend önként'!BK20+'címrend államig'!BK20)</f>
        <v>0</v>
      </c>
      <c r="GE20" s="38"/>
      <c r="GF20" s="7"/>
      <c r="GG20" s="7">
        <f>SUM('címrend kötelező'!BL20+'címrend önként'!BL20+'címrend államig'!BL20)</f>
        <v>0</v>
      </c>
      <c r="GH20" s="38"/>
      <c r="GI20" s="7"/>
      <c r="GJ20" s="7">
        <f>SUM('címrend kötelező'!BM20+'címrend önként'!BM20+'címrend államig'!BM20)</f>
        <v>0</v>
      </c>
      <c r="GK20" s="38"/>
      <c r="GL20" s="7"/>
      <c r="GM20" s="7">
        <f>SUM('címrend kötelező'!BN20+'címrend önként'!BN20+'címrend államig'!BN20)</f>
        <v>0</v>
      </c>
      <c r="GN20" s="38"/>
      <c r="GO20" s="387">
        <f t="shared" si="117"/>
        <v>14100</v>
      </c>
      <c r="GP20" s="387">
        <f t="shared" si="200"/>
        <v>11600</v>
      </c>
      <c r="GQ20" s="38"/>
      <c r="GR20" s="7">
        <v>12268</v>
      </c>
      <c r="GS20" s="7">
        <f>SUM('címrend kötelező'!BP20+'címrend önként'!BP20+'címrend államig'!BP20)</f>
        <v>0</v>
      </c>
      <c r="GT20" s="38"/>
      <c r="GU20" s="7"/>
      <c r="GV20" s="7">
        <f>SUM('címrend kötelező'!BQ20+'címrend önként'!BQ20+'címrend államig'!BQ20)</f>
        <v>0</v>
      </c>
      <c r="GW20" s="38"/>
      <c r="GX20" s="7">
        <v>154292</v>
      </c>
      <c r="GY20" s="7">
        <f>SUM('címrend kötelező'!BR20+'címrend önként'!BR20+'címrend államig'!BR20)</f>
        <v>0</v>
      </c>
      <c r="GZ20" s="38"/>
      <c r="HA20" s="387">
        <f t="shared" si="198"/>
        <v>180660</v>
      </c>
      <c r="HB20" s="387">
        <f t="shared" si="198"/>
        <v>11600</v>
      </c>
      <c r="HC20" s="87">
        <f t="shared" si="332"/>
        <v>6.4209011402634779</v>
      </c>
      <c r="HD20" s="38">
        <f t="shared" si="127"/>
        <v>2690812</v>
      </c>
      <c r="HE20" s="38">
        <f t="shared" si="128"/>
        <v>1971199</v>
      </c>
      <c r="HF20" s="238">
        <f t="shared" si="129"/>
        <v>73.256660071383664</v>
      </c>
      <c r="HH20" s="242"/>
      <c r="HI20" s="242"/>
    </row>
    <row r="21" spans="1:217" s="13" customFormat="1" ht="15" customHeight="1" x14ac:dyDescent="0.25">
      <c r="A21" s="212" t="s">
        <v>348</v>
      </c>
      <c r="B21" s="6">
        <f>B22+B23+B24+B25</f>
        <v>0</v>
      </c>
      <c r="C21" s="6">
        <f>SUM('címrend kötelező'!B21+'címrend önként'!B21+'címrend államig'!B21)</f>
        <v>0</v>
      </c>
      <c r="D21" s="82"/>
      <c r="E21" s="6">
        <f t="shared" ref="E21" si="333">E22+E23+E24+E25</f>
        <v>0</v>
      </c>
      <c r="F21" s="6">
        <f>SUM('címrend kötelező'!C21+'címrend önként'!C21+'címrend államig'!C21)</f>
        <v>0</v>
      </c>
      <c r="G21" s="82"/>
      <c r="H21" s="6">
        <f t="shared" ref="H21" si="334">H22+H23+H24+H25</f>
        <v>0</v>
      </c>
      <c r="I21" s="6">
        <f>SUM('címrend kötelező'!D21+'címrend önként'!D21+'címrend államig'!D21)</f>
        <v>0</v>
      </c>
      <c r="J21" s="82"/>
      <c r="K21" s="6">
        <f t="shared" ref="K21" si="335">K22+K23+K24+K25</f>
        <v>0</v>
      </c>
      <c r="L21" s="6">
        <f>SUM('címrend kötelező'!E21+'címrend önként'!E21+'címrend államig'!E21)</f>
        <v>0</v>
      </c>
      <c r="M21" s="82"/>
      <c r="N21" s="6">
        <f t="shared" ref="N21" si="336">N22+N23+N24+N25</f>
        <v>3630</v>
      </c>
      <c r="O21" s="6">
        <f>SUM('címrend kötelező'!F21+'címrend önként'!F21+'címrend államig'!F21)</f>
        <v>2000</v>
      </c>
      <c r="P21" s="82"/>
      <c r="Q21" s="6">
        <f t="shared" ref="Q21" si="337">Q22+Q23+Q24+Q25</f>
        <v>0</v>
      </c>
      <c r="R21" s="6">
        <f>SUM('címrend kötelező'!G21+'címrend önként'!G21+'címrend államig'!G21)</f>
        <v>0</v>
      </c>
      <c r="S21" s="82"/>
      <c r="T21" s="6">
        <f t="shared" ref="T21" si="338">T22+T23+T24+T25</f>
        <v>1232768</v>
      </c>
      <c r="U21" s="6">
        <f>SUM('címrend kötelező'!H21+'címrend önként'!H21+'címrend államig'!H21)</f>
        <v>761036</v>
      </c>
      <c r="V21" s="82"/>
      <c r="W21" s="6">
        <f t="shared" ref="W21" si="339">W22+W23+W24+W25</f>
        <v>0</v>
      </c>
      <c r="X21" s="6">
        <f>SUM('címrend kötelező'!I21+'címrend önként'!I21+'címrend államig'!I21)</f>
        <v>0</v>
      </c>
      <c r="Y21" s="82"/>
      <c r="Z21" s="6">
        <f t="shared" ref="Z21" si="340">Z22+Z23+Z24+Z25</f>
        <v>0</v>
      </c>
      <c r="AA21" s="6">
        <f>SUM('címrend kötelező'!J21+'címrend önként'!J21+'címrend államig'!J21)</f>
        <v>0</v>
      </c>
      <c r="AB21" s="82"/>
      <c r="AC21" s="6">
        <f t="shared" ref="AC21" si="341">AC22+AC23+AC24+AC25</f>
        <v>0</v>
      </c>
      <c r="AD21" s="6">
        <f>SUM('címrend kötelező'!K21+'címrend önként'!K21+'címrend államig'!K21)</f>
        <v>0</v>
      </c>
      <c r="AE21" s="82"/>
      <c r="AF21" s="6">
        <f t="shared" ref="AF21" si="342">AF22+AF23+AF24+AF25</f>
        <v>0</v>
      </c>
      <c r="AG21" s="6">
        <f>SUM('címrend kötelező'!L21+'címrend önként'!L21+'címrend államig'!L21)</f>
        <v>0</v>
      </c>
      <c r="AH21" s="82"/>
      <c r="AI21" s="6">
        <f t="shared" ref="AI21" si="343">AI22+AI23+AI24+AI25</f>
        <v>0</v>
      </c>
      <c r="AJ21" s="6">
        <f>SUM('címrend kötelező'!M21+'címrend önként'!M21+'címrend államig'!M21)</f>
        <v>0</v>
      </c>
      <c r="AK21" s="82"/>
      <c r="AL21" s="6">
        <f t="shared" ref="AL21" si="344">AL22+AL23+AL24+AL25</f>
        <v>0</v>
      </c>
      <c r="AM21" s="6">
        <f>SUM('címrend kötelező'!N21+'címrend önként'!N21+'címrend államig'!N21)</f>
        <v>0</v>
      </c>
      <c r="AN21" s="82"/>
      <c r="AO21" s="6">
        <f t="shared" ref="AO21" si="345">AO22+AO23+AO24+AO25</f>
        <v>0</v>
      </c>
      <c r="AP21" s="6">
        <f>SUM('címrend kötelező'!O21+'címrend önként'!O21+'címrend államig'!O21)</f>
        <v>0</v>
      </c>
      <c r="AQ21" s="82"/>
      <c r="AR21" s="6">
        <f t="shared" ref="AR21" si="346">AR22+AR23+AR24+AR25</f>
        <v>0</v>
      </c>
      <c r="AS21" s="6">
        <f>SUM('címrend kötelező'!P21+'címrend önként'!P21+'címrend államig'!P21)</f>
        <v>0</v>
      </c>
      <c r="AT21" s="82"/>
      <c r="AU21" s="6">
        <f t="shared" ref="AU21" si="347">AU22+AU23+AU24+AU25</f>
        <v>0</v>
      </c>
      <c r="AV21" s="6">
        <f>SUM('címrend kötelező'!Q21+'címrend önként'!Q21+'címrend államig'!Q21)</f>
        <v>0</v>
      </c>
      <c r="AW21" s="82"/>
      <c r="AX21" s="6">
        <f t="shared" ref="AX21" si="348">AX22+AX23+AX24+AX25</f>
        <v>1500</v>
      </c>
      <c r="AY21" s="6">
        <f>SUM('címrend kötelező'!R21+'címrend önként'!R21+'címrend államig'!R21)</f>
        <v>0</v>
      </c>
      <c r="AZ21" s="82"/>
      <c r="BA21" s="6">
        <f t="shared" ref="BA21" si="349">BA22+BA23+BA24+BA25</f>
        <v>0</v>
      </c>
      <c r="BB21" s="6">
        <f>SUM('címrend kötelező'!S21+'címrend önként'!S21+'címrend államig'!S21)</f>
        <v>0</v>
      </c>
      <c r="BC21" s="82"/>
      <c r="BD21" s="6">
        <f t="shared" ref="BD21" si="350">BD22+BD23+BD24+BD25</f>
        <v>0</v>
      </c>
      <c r="BE21" s="6">
        <f>SUM('címrend kötelező'!T21+'címrend önként'!T21+'címrend államig'!T21)</f>
        <v>0</v>
      </c>
      <c r="BF21" s="82"/>
      <c r="BG21" s="6">
        <f t="shared" ref="BG21" si="351">BG22+BG23+BG24+BG25</f>
        <v>0</v>
      </c>
      <c r="BH21" s="6">
        <f>SUM('címrend kötelező'!U21+'címrend önként'!U21+'címrend államig'!U21)</f>
        <v>0</v>
      </c>
      <c r="BI21" s="82"/>
      <c r="BJ21" s="6">
        <f t="shared" ref="BJ21" si="352">BJ22+BJ23+BJ24+BJ25</f>
        <v>0</v>
      </c>
      <c r="BK21" s="6">
        <f>SUM('címrend kötelező'!V21+'címrend önként'!V21+'címrend államig'!V21)</f>
        <v>0</v>
      </c>
      <c r="BL21" s="82"/>
      <c r="BM21" s="6">
        <f t="shared" ref="BM21" si="353">BM22+BM23+BM24+BM25</f>
        <v>0</v>
      </c>
      <c r="BN21" s="6">
        <f>SUM('címrend kötelező'!W21+'címrend önként'!W21+'címrend államig'!W21)</f>
        <v>0</v>
      </c>
      <c r="BO21" s="82"/>
      <c r="BP21" s="6">
        <f t="shared" ref="BP21" si="354">BP22+BP23+BP24+BP25</f>
        <v>38100</v>
      </c>
      <c r="BQ21" s="6">
        <f>SUM('címrend kötelező'!X21+'címrend önként'!X21+'címrend államig'!X21)</f>
        <v>0</v>
      </c>
      <c r="BR21" s="82"/>
      <c r="BS21" s="6">
        <f t="shared" ref="BS21" si="355">BS22+BS23+BS24+BS25</f>
        <v>0</v>
      </c>
      <c r="BT21" s="6">
        <f>SUM('címrend kötelező'!Y21+'címrend önként'!Y21+'címrend államig'!Y21)</f>
        <v>0</v>
      </c>
      <c r="BU21" s="82"/>
      <c r="BV21" s="6">
        <f t="shared" ref="BV21" si="356">BV22+BV23+BV24+BV25</f>
        <v>0</v>
      </c>
      <c r="BW21" s="6">
        <f>SUM('címrend kötelező'!Z21+'címrend önként'!Z21+'címrend államig'!Z21)</f>
        <v>0</v>
      </c>
      <c r="BX21" s="82"/>
      <c r="BY21" s="6">
        <f t="shared" ref="BY21" si="357">BY22+BY23+BY24+BY25</f>
        <v>0</v>
      </c>
      <c r="BZ21" s="6">
        <f>SUM('címrend kötelező'!AA21+'címrend önként'!AA21+'címrend államig'!AA21)</f>
        <v>11025</v>
      </c>
      <c r="CA21" s="82"/>
      <c r="CB21" s="6">
        <f t="shared" ref="CB21" si="358">CB22+CB23+CB24+CB25</f>
        <v>0</v>
      </c>
      <c r="CC21" s="6">
        <f>SUM('címrend kötelező'!AB21+'címrend önként'!AB21+'címrend államig'!AB21)</f>
        <v>0</v>
      </c>
      <c r="CD21" s="82"/>
      <c r="CE21" s="6">
        <f t="shared" ref="CE21" si="359">CE22+CE23+CE24+CE25</f>
        <v>334030</v>
      </c>
      <c r="CF21" s="6">
        <f>SUM('címrend kötelező'!AC21+'címrend önként'!AC21+'címrend államig'!AC21)</f>
        <v>378305</v>
      </c>
      <c r="CG21" s="82"/>
      <c r="CH21" s="6">
        <f t="shared" ref="CH21" si="360">CH22+CH23+CH24+CH25</f>
        <v>0</v>
      </c>
      <c r="CI21" s="6">
        <f>SUM('címrend kötelező'!AD21+'címrend önként'!AD21+'címrend államig'!AD21)</f>
        <v>0</v>
      </c>
      <c r="CJ21" s="82"/>
      <c r="CK21" s="6">
        <f t="shared" ref="CK21" si="361">CK22+CK23+CK24+CK25</f>
        <v>225883</v>
      </c>
      <c r="CL21" s="6">
        <f>SUM('címrend kötelező'!AE21+'címrend önként'!AE21+'címrend államig'!AE21)</f>
        <v>0</v>
      </c>
      <c r="CM21" s="82"/>
      <c r="CN21" s="6">
        <f t="shared" ref="CN21" si="362">CN22+CN23+CN24+CN25</f>
        <v>0</v>
      </c>
      <c r="CO21" s="6">
        <f>SUM('címrend kötelező'!AF21+'címrend önként'!AF21+'címrend államig'!AF21)</f>
        <v>353724</v>
      </c>
      <c r="CP21" s="82"/>
      <c r="CQ21" s="6">
        <f t="shared" ref="CQ21" si="363">CQ22+CQ23+CQ24+CQ25</f>
        <v>0</v>
      </c>
      <c r="CR21" s="6">
        <f>SUM('címrend kötelező'!AG21+'címrend önként'!AG21+'címrend államig'!AG21)</f>
        <v>0</v>
      </c>
      <c r="CS21" s="82"/>
      <c r="CT21" s="6">
        <f t="shared" ref="CT21" si="364">CT22+CT23+CT24+CT25</f>
        <v>0</v>
      </c>
      <c r="CU21" s="6">
        <f>SUM('címrend kötelező'!AH21+'címrend önként'!AH21+'címrend államig'!AH21)</f>
        <v>0</v>
      </c>
      <c r="CV21" s="82"/>
      <c r="CW21" s="6">
        <f t="shared" ref="CW21" si="365">CW22+CW23+CW24+CW25</f>
        <v>0</v>
      </c>
      <c r="CX21" s="6">
        <f>SUM('címrend kötelező'!AI21+'címrend önként'!AI21+'címrend államig'!AI21)</f>
        <v>0</v>
      </c>
      <c r="CY21" s="82"/>
      <c r="CZ21" s="6">
        <f t="shared" ref="CZ21" si="366">CZ22+CZ23+CZ24+CZ25</f>
        <v>0</v>
      </c>
      <c r="DA21" s="6">
        <f>SUM('címrend kötelező'!AJ21+'címrend önként'!AJ21+'címrend államig'!AJ21)</f>
        <v>0</v>
      </c>
      <c r="DB21" s="82"/>
      <c r="DC21" s="6">
        <f t="shared" ref="DC21" si="367">DC22+DC23+DC24+DC25</f>
        <v>1000000</v>
      </c>
      <c r="DD21" s="6">
        <f>SUM('címrend kötelező'!AK21+'címrend önként'!AK21+'címrend államig'!AK21)</f>
        <v>300000</v>
      </c>
      <c r="DE21" s="82"/>
      <c r="DF21" s="6">
        <f t="shared" ref="DF21" si="368">DF22+DF23+DF24+DF25</f>
        <v>0</v>
      </c>
      <c r="DG21" s="6">
        <f>SUM('címrend kötelező'!AL21+'címrend önként'!AL21+'címrend államig'!AL21)</f>
        <v>0</v>
      </c>
      <c r="DH21" s="82"/>
      <c r="DI21" s="6">
        <f t="shared" ref="DI21" si="369">DI22+DI23+DI24+DI25</f>
        <v>0</v>
      </c>
      <c r="DJ21" s="6">
        <f>SUM('címrend kötelező'!AM21+'címrend önként'!AM21+'címrend államig'!AM21)</f>
        <v>0</v>
      </c>
      <c r="DK21" s="82"/>
      <c r="DL21" s="6">
        <f t="shared" ref="DL21" si="370">DL22+DL23+DL24+DL25</f>
        <v>0</v>
      </c>
      <c r="DM21" s="6">
        <f>SUM('címrend kötelező'!AN21+'címrend önként'!AN21+'címrend államig'!AN21)</f>
        <v>0</v>
      </c>
      <c r="DN21" s="82"/>
      <c r="DO21" s="6">
        <f t="shared" ref="DO21" si="371">DO22+DO23+DO24+DO25</f>
        <v>35000</v>
      </c>
      <c r="DP21" s="6">
        <f>SUM('címrend kötelező'!AO21+'címrend önként'!AO21+'címrend államig'!AO21)</f>
        <v>0</v>
      </c>
      <c r="DQ21" s="82"/>
      <c r="DR21" s="38">
        <f t="shared" si="169"/>
        <v>2870911</v>
      </c>
      <c r="DS21" s="38">
        <f t="shared" si="169"/>
        <v>1806090</v>
      </c>
      <c r="DT21" s="82">
        <f t="shared" si="170"/>
        <v>62.909996164980384</v>
      </c>
      <c r="DU21" s="6">
        <f>DU22+DU23+DU24+DU25</f>
        <v>0</v>
      </c>
      <c r="DV21" s="6">
        <f>DV22+DV23+DV24+DV25</f>
        <v>0</v>
      </c>
      <c r="DW21" s="38"/>
      <c r="DX21" s="6">
        <f t="shared" ref="DX21:DY21" si="372">DX22+DX23+DX24+DX25</f>
        <v>0</v>
      </c>
      <c r="DY21" s="6">
        <f t="shared" si="372"/>
        <v>0</v>
      </c>
      <c r="DZ21" s="38"/>
      <c r="EA21" s="6">
        <f t="shared" ref="EA21:EB21" si="373">EA22+EA23+EA24+EA25</f>
        <v>0</v>
      </c>
      <c r="EB21" s="6">
        <f t="shared" si="373"/>
        <v>0</v>
      </c>
      <c r="EC21" s="38"/>
      <c r="ED21" s="6">
        <f t="shared" ref="ED21:EE21" si="374">ED22+ED23+ED24+ED25</f>
        <v>0</v>
      </c>
      <c r="EE21" s="6">
        <f t="shared" si="374"/>
        <v>0</v>
      </c>
      <c r="EF21" s="38"/>
      <c r="EG21" s="6">
        <f t="shared" ref="EG21:EH21" si="375">EG22+EG23+EG24+EG25</f>
        <v>0</v>
      </c>
      <c r="EH21" s="6">
        <f t="shared" si="375"/>
        <v>0</v>
      </c>
      <c r="EI21" s="38"/>
      <c r="EJ21" s="6">
        <f t="shared" ref="EJ21:EK21" si="376">EJ22+EJ23+EJ24+EJ25</f>
        <v>0</v>
      </c>
      <c r="EK21" s="6">
        <f t="shared" si="376"/>
        <v>0</v>
      </c>
      <c r="EL21" s="38"/>
      <c r="EM21" s="6">
        <f t="shared" ref="EM21:EN21" si="377">EM22+EM23+EM24+EM25</f>
        <v>0</v>
      </c>
      <c r="EN21" s="6">
        <f t="shared" si="377"/>
        <v>0</v>
      </c>
      <c r="EO21" s="38"/>
      <c r="EP21" s="6">
        <f t="shared" ref="EP21:EQ21" si="378">EP22+EP23+EP24+EP25</f>
        <v>0</v>
      </c>
      <c r="EQ21" s="6">
        <f t="shared" si="378"/>
        <v>0</v>
      </c>
      <c r="ER21" s="38"/>
      <c r="ES21" s="6">
        <f t="shared" ref="ES21:ET21" si="379">ES22+ES23+ES24+ES25</f>
        <v>0</v>
      </c>
      <c r="ET21" s="6">
        <f t="shared" si="379"/>
        <v>0</v>
      </c>
      <c r="EU21" s="38"/>
      <c r="EV21" s="38">
        <f t="shared" si="179"/>
        <v>0</v>
      </c>
      <c r="EW21" s="38">
        <f t="shared" si="179"/>
        <v>0</v>
      </c>
      <c r="EX21" s="82"/>
      <c r="EY21" s="6">
        <f t="shared" ref="EY21:EZ21" si="380">EY22+EY23+EY24+EY25</f>
        <v>0</v>
      </c>
      <c r="EZ21" s="6">
        <f t="shared" si="380"/>
        <v>0</v>
      </c>
      <c r="FA21" s="38"/>
      <c r="FB21" s="6">
        <f t="shared" ref="FB21:FC21" si="381">FB22+FB23+FB24+FB25</f>
        <v>0</v>
      </c>
      <c r="FC21" s="6">
        <f t="shared" si="381"/>
        <v>0</v>
      </c>
      <c r="FD21" s="38"/>
      <c r="FE21" s="6">
        <f t="shared" ref="FE21:FF21" si="382">FE22+FE23+FE24+FE25</f>
        <v>0</v>
      </c>
      <c r="FF21" s="6">
        <f t="shared" si="382"/>
        <v>0</v>
      </c>
      <c r="FG21" s="38"/>
      <c r="FH21" s="6">
        <f t="shared" ref="FH21:FI21" si="383">FH22+FH23+FH24+FH25</f>
        <v>0</v>
      </c>
      <c r="FI21" s="6">
        <f t="shared" si="383"/>
        <v>0</v>
      </c>
      <c r="FJ21" s="38"/>
      <c r="FK21" s="38"/>
      <c r="FL21" s="6">
        <f t="shared" ref="FL21" si="384">FL22+FL23+FL24+FL25</f>
        <v>0</v>
      </c>
      <c r="FM21" s="38"/>
      <c r="FN21" s="6">
        <f t="shared" ref="FN21:FO21" si="385">FN22+FN23+FN24+FN25</f>
        <v>0</v>
      </c>
      <c r="FO21" s="6">
        <f t="shared" si="385"/>
        <v>0</v>
      </c>
      <c r="FP21" s="38"/>
      <c r="FQ21" s="6">
        <f t="shared" ref="FQ21:FR21" si="386">FQ22+FQ23+FQ24+FQ25</f>
        <v>0</v>
      </c>
      <c r="FR21" s="6">
        <f t="shared" si="386"/>
        <v>0</v>
      </c>
      <c r="FS21" s="38"/>
      <c r="FT21" s="6">
        <f t="shared" ref="FT21:FU21" si="387">FT22+FT23+FT24+FT25</f>
        <v>0</v>
      </c>
      <c r="FU21" s="6">
        <f t="shared" si="387"/>
        <v>0</v>
      </c>
      <c r="FV21" s="38"/>
      <c r="FW21" s="6">
        <f t="shared" ref="FW21:FX21" si="388">FW22+FW23+FW24+FW25</f>
        <v>0</v>
      </c>
      <c r="FX21" s="6">
        <f t="shared" si="388"/>
        <v>0</v>
      </c>
      <c r="FY21" s="38"/>
      <c r="FZ21" s="6">
        <f t="shared" ref="FZ21:GA21" si="389">FZ22+FZ23+FZ24+FZ25</f>
        <v>0</v>
      </c>
      <c r="GA21" s="6">
        <f t="shared" si="389"/>
        <v>0</v>
      </c>
      <c r="GB21" s="38"/>
      <c r="GC21" s="6">
        <f t="shared" ref="GC21:GD21" si="390">GC22+GC23+GC24+GC25</f>
        <v>0</v>
      </c>
      <c r="GD21" s="6">
        <f t="shared" si="390"/>
        <v>0</v>
      </c>
      <c r="GE21" s="38"/>
      <c r="GF21" s="6">
        <f t="shared" ref="GF21:GG21" si="391">GF22+GF23+GF24+GF25</f>
        <v>0</v>
      </c>
      <c r="GG21" s="6">
        <f t="shared" si="391"/>
        <v>0</v>
      </c>
      <c r="GH21" s="38"/>
      <c r="GI21" s="6">
        <f t="shared" ref="GI21:GJ21" si="392">GI22+GI23+GI24+GI25</f>
        <v>0</v>
      </c>
      <c r="GJ21" s="6">
        <f t="shared" si="392"/>
        <v>0</v>
      </c>
      <c r="GK21" s="38"/>
      <c r="GL21" s="6">
        <f t="shared" ref="GL21:GM21" si="393">GL22+GL23+GL24+GL25</f>
        <v>0</v>
      </c>
      <c r="GM21" s="6">
        <f t="shared" si="393"/>
        <v>0</v>
      </c>
      <c r="GN21" s="38"/>
      <c r="GO21" s="38">
        <f t="shared" si="117"/>
        <v>0</v>
      </c>
      <c r="GP21" s="6">
        <f t="shared" ref="GP21" si="394">GP22+GP23+GP24+GP25</f>
        <v>0</v>
      </c>
      <c r="GQ21" s="38"/>
      <c r="GR21" s="6">
        <f t="shared" ref="GR21:GS21" si="395">GR22+GR23+GR24+GR25</f>
        <v>0</v>
      </c>
      <c r="GS21" s="6">
        <f t="shared" si="395"/>
        <v>0</v>
      </c>
      <c r="GT21" s="38"/>
      <c r="GU21" s="6">
        <f t="shared" ref="GU21:GV21" si="396">GU22+GU23+GU24+GU25</f>
        <v>0</v>
      </c>
      <c r="GV21" s="6">
        <f t="shared" si="396"/>
        <v>0</v>
      </c>
      <c r="GW21" s="38"/>
      <c r="GX21" s="6">
        <f t="shared" ref="GX21:GY21" si="397">GX22+GX23+GX24+GX25</f>
        <v>0</v>
      </c>
      <c r="GY21" s="6">
        <f t="shared" si="397"/>
        <v>0</v>
      </c>
      <c r="GZ21" s="38"/>
      <c r="HA21" s="38">
        <f t="shared" si="198"/>
        <v>0</v>
      </c>
      <c r="HB21" s="38">
        <f t="shared" si="198"/>
        <v>0</v>
      </c>
      <c r="HC21" s="38"/>
      <c r="HD21" s="38">
        <f t="shared" si="127"/>
        <v>2870911</v>
      </c>
      <c r="HE21" s="38">
        <f t="shared" si="128"/>
        <v>1806090</v>
      </c>
      <c r="HF21" s="238">
        <f t="shared" si="129"/>
        <v>62.909996164980384</v>
      </c>
      <c r="HH21" s="242"/>
      <c r="HI21" s="242"/>
    </row>
    <row r="22" spans="1:217" ht="24.9" customHeight="1" x14ac:dyDescent="0.25">
      <c r="A22" s="210" t="s">
        <v>349</v>
      </c>
      <c r="B22" s="7"/>
      <c r="C22" s="7">
        <f>SUM('címrend kötelező'!B22+'címrend önként'!B22+'címrend államig'!B22)</f>
        <v>0</v>
      </c>
      <c r="D22" s="82"/>
      <c r="E22" s="7"/>
      <c r="F22" s="7">
        <f>SUM('címrend kötelező'!C22+'címrend önként'!C22+'címrend államig'!C22)</f>
        <v>0</v>
      </c>
      <c r="G22" s="82"/>
      <c r="H22" s="7"/>
      <c r="I22" s="7">
        <f>SUM('címrend kötelező'!D22+'címrend önként'!D22+'címrend államig'!D22)</f>
        <v>0</v>
      </c>
      <c r="J22" s="82"/>
      <c r="K22" s="7"/>
      <c r="L22" s="7">
        <f>SUM('címrend kötelező'!E22+'címrend önként'!E22+'címrend államig'!E22)</f>
        <v>0</v>
      </c>
      <c r="M22" s="82"/>
      <c r="N22" s="7"/>
      <c r="O22" s="7">
        <f>SUM('címrend kötelező'!F22+'címrend önként'!F22+'címrend államig'!F22)</f>
        <v>0</v>
      </c>
      <c r="P22" s="82"/>
      <c r="Q22" s="7"/>
      <c r="R22" s="7">
        <f>SUM('címrend kötelező'!G22+'címrend önként'!G22+'címrend államig'!G22)</f>
        <v>0</v>
      </c>
      <c r="S22" s="82"/>
      <c r="T22" s="7"/>
      <c r="U22" s="7">
        <f>SUM('címrend kötelező'!H22+'címrend önként'!H22+'címrend államig'!H22)</f>
        <v>0</v>
      </c>
      <c r="V22" s="82"/>
      <c r="W22" s="7"/>
      <c r="X22" s="7">
        <f>SUM('címrend kötelező'!I22+'címrend önként'!I22+'címrend államig'!I22)</f>
        <v>0</v>
      </c>
      <c r="Y22" s="82"/>
      <c r="Z22" s="7"/>
      <c r="AA22" s="7">
        <f>SUM('címrend kötelező'!J22+'címrend önként'!J22+'címrend államig'!J22)</f>
        <v>0</v>
      </c>
      <c r="AB22" s="82"/>
      <c r="AC22" s="7"/>
      <c r="AD22" s="7">
        <f>SUM('címrend kötelező'!K22+'címrend önként'!K22+'címrend államig'!K22)</f>
        <v>0</v>
      </c>
      <c r="AE22" s="82"/>
      <c r="AF22" s="7"/>
      <c r="AG22" s="7">
        <f>SUM('címrend kötelező'!L22+'címrend önként'!L22+'címrend államig'!L22)</f>
        <v>0</v>
      </c>
      <c r="AH22" s="82"/>
      <c r="AI22" s="7"/>
      <c r="AJ22" s="7">
        <f>SUM('címrend kötelező'!M22+'címrend önként'!M22+'címrend államig'!M22)</f>
        <v>0</v>
      </c>
      <c r="AK22" s="82"/>
      <c r="AL22" s="7"/>
      <c r="AM22" s="7">
        <f>SUM('címrend kötelező'!N22+'címrend önként'!N22+'címrend államig'!N22)</f>
        <v>0</v>
      </c>
      <c r="AN22" s="82"/>
      <c r="AO22" s="7"/>
      <c r="AP22" s="7">
        <f>SUM('címrend kötelező'!O22+'címrend önként'!O22+'címrend államig'!O22)</f>
        <v>0</v>
      </c>
      <c r="AQ22" s="82"/>
      <c r="AR22" s="7"/>
      <c r="AS22" s="7">
        <f>SUM('címrend kötelező'!P22+'címrend önként'!P22+'címrend államig'!P22)</f>
        <v>0</v>
      </c>
      <c r="AT22" s="82"/>
      <c r="AU22" s="7"/>
      <c r="AV22" s="7">
        <f>SUM('címrend kötelező'!Q22+'címrend önként'!Q22+'címrend államig'!Q22)</f>
        <v>0</v>
      </c>
      <c r="AW22" s="82"/>
      <c r="AX22" s="7"/>
      <c r="AY22" s="7">
        <f>SUM('címrend kötelező'!R22+'címrend önként'!R22+'címrend államig'!R22)</f>
        <v>0</v>
      </c>
      <c r="AZ22" s="82"/>
      <c r="BA22" s="7"/>
      <c r="BB22" s="7">
        <f>SUM('címrend kötelező'!S22+'címrend önként'!S22+'címrend államig'!S22)</f>
        <v>0</v>
      </c>
      <c r="BC22" s="82"/>
      <c r="BD22" s="7"/>
      <c r="BE22" s="7">
        <f>SUM('címrend kötelező'!T22+'címrend önként'!T22+'címrend államig'!T22)</f>
        <v>0</v>
      </c>
      <c r="BF22" s="82"/>
      <c r="BG22" s="7"/>
      <c r="BH22" s="7">
        <f>SUM('címrend kötelező'!U22+'címrend önként'!U22+'címrend államig'!U22)</f>
        <v>0</v>
      </c>
      <c r="BI22" s="82"/>
      <c r="BJ22" s="7"/>
      <c r="BK22" s="7">
        <f>SUM('címrend kötelező'!V22+'címrend önként'!V22+'címrend államig'!V22)</f>
        <v>0</v>
      </c>
      <c r="BL22" s="82"/>
      <c r="BM22" s="7"/>
      <c r="BN22" s="7">
        <f>SUM('címrend kötelező'!W22+'címrend önként'!W22+'címrend államig'!W22)</f>
        <v>0</v>
      </c>
      <c r="BO22" s="82"/>
      <c r="BP22" s="7"/>
      <c r="BQ22" s="7">
        <f>SUM('címrend kötelező'!X22+'címrend önként'!X22+'címrend államig'!X22)</f>
        <v>0</v>
      </c>
      <c r="BR22" s="82"/>
      <c r="BS22" s="7"/>
      <c r="BT22" s="7">
        <f>SUM('címrend kötelező'!Y22+'címrend önként'!Y22+'címrend államig'!Y22)</f>
        <v>0</v>
      </c>
      <c r="BU22" s="82"/>
      <c r="BV22" s="7"/>
      <c r="BW22" s="7">
        <f>SUM('címrend kötelező'!Z22+'címrend önként'!Z22+'címrend államig'!Z22)</f>
        <v>0</v>
      </c>
      <c r="BX22" s="82"/>
      <c r="BY22" s="7"/>
      <c r="BZ22" s="7">
        <f>SUM('címrend kötelező'!AA22+'címrend önként'!AA22+'címrend államig'!AA22)</f>
        <v>0</v>
      </c>
      <c r="CA22" s="82"/>
      <c r="CB22" s="7"/>
      <c r="CC22" s="7">
        <f>SUM('címrend kötelező'!AB22+'címrend önként'!AB22+'címrend államig'!AB22)</f>
        <v>0</v>
      </c>
      <c r="CD22" s="82"/>
      <c r="CE22" s="7"/>
      <c r="CF22" s="7">
        <f>SUM('címrend kötelező'!AC22+'címrend önként'!AC22+'címrend államig'!AC22)</f>
        <v>0</v>
      </c>
      <c r="CG22" s="82"/>
      <c r="CH22" s="7"/>
      <c r="CI22" s="7">
        <f>SUM('címrend kötelező'!AD22+'címrend önként'!AD22+'címrend államig'!AD22)</f>
        <v>0</v>
      </c>
      <c r="CJ22" s="82"/>
      <c r="CK22" s="7"/>
      <c r="CL22" s="7">
        <f>SUM('címrend kötelező'!AE22+'címrend önként'!AE22+'címrend államig'!AE22)</f>
        <v>0</v>
      </c>
      <c r="CM22" s="82"/>
      <c r="CN22" s="7"/>
      <c r="CO22" s="7">
        <f>SUM('címrend kötelező'!AF22+'címrend önként'!AF22+'címrend államig'!AF22)</f>
        <v>0</v>
      </c>
      <c r="CP22" s="82"/>
      <c r="CQ22" s="7"/>
      <c r="CR22" s="7">
        <f>SUM('címrend kötelező'!AG22+'címrend önként'!AG22+'címrend államig'!AG22)</f>
        <v>0</v>
      </c>
      <c r="CS22" s="82"/>
      <c r="CT22" s="7"/>
      <c r="CU22" s="7">
        <f>SUM('címrend kötelező'!AH22+'címrend önként'!AH22+'címrend államig'!AH22)</f>
        <v>0</v>
      </c>
      <c r="CV22" s="82"/>
      <c r="CW22" s="7"/>
      <c r="CX22" s="7">
        <f>SUM('címrend kötelező'!AI22+'címrend önként'!AI22+'címrend államig'!AI22)</f>
        <v>0</v>
      </c>
      <c r="CY22" s="82"/>
      <c r="CZ22" s="7"/>
      <c r="DA22" s="7">
        <f>SUM('címrend kötelező'!AJ22+'címrend önként'!AJ22+'címrend államig'!AJ22)</f>
        <v>0</v>
      </c>
      <c r="DB22" s="82"/>
      <c r="DC22" s="7">
        <v>500000</v>
      </c>
      <c r="DD22" s="7">
        <f>SUM('címrend kötelező'!AK22+'címrend önként'!AK22+'címrend államig'!AK22)</f>
        <v>150000</v>
      </c>
      <c r="DE22" s="82"/>
      <c r="DF22" s="7"/>
      <c r="DG22" s="7">
        <f>SUM('címrend kötelező'!AL22+'címrend önként'!AL22+'címrend államig'!AL22)</f>
        <v>0</v>
      </c>
      <c r="DH22" s="82"/>
      <c r="DI22" s="7"/>
      <c r="DJ22" s="7">
        <f>SUM('címrend kötelező'!AM22+'címrend önként'!AM22+'címrend államig'!AM22)</f>
        <v>0</v>
      </c>
      <c r="DK22" s="82"/>
      <c r="DL22" s="7"/>
      <c r="DM22" s="7">
        <f>SUM('címrend kötelező'!AN22+'címrend önként'!AN22+'címrend államig'!AN22)</f>
        <v>0</v>
      </c>
      <c r="DN22" s="82"/>
      <c r="DO22" s="7"/>
      <c r="DP22" s="7">
        <f>SUM('címrend kötelező'!AO22+'címrend önként'!AO22+'címrend államig'!AO22)</f>
        <v>0</v>
      </c>
      <c r="DQ22" s="82"/>
      <c r="DR22" s="387">
        <f t="shared" si="169"/>
        <v>500000</v>
      </c>
      <c r="DS22" s="387">
        <f t="shared" si="169"/>
        <v>150000</v>
      </c>
      <c r="DT22" s="87">
        <f t="shared" si="170"/>
        <v>30</v>
      </c>
      <c r="DU22" s="7"/>
      <c r="DV22" s="7">
        <f>SUM('címrend kötelező'!AQ22+'címrend önként'!AQ22+'címrend államig'!AQ22)</f>
        <v>0</v>
      </c>
      <c r="DW22" s="38"/>
      <c r="DX22" s="7"/>
      <c r="DY22" s="7">
        <f>SUM('címrend kötelező'!AR22+'címrend önként'!AR22+'címrend államig'!AR22)</f>
        <v>0</v>
      </c>
      <c r="DZ22" s="38"/>
      <c r="EA22" s="7"/>
      <c r="EB22" s="7">
        <f>SUM('címrend kötelező'!AS22+'címrend önként'!AS22+'címrend államig'!AS22)</f>
        <v>0</v>
      </c>
      <c r="EC22" s="38"/>
      <c r="ED22" s="7"/>
      <c r="EE22" s="7">
        <f>SUM('címrend kötelező'!AT22+'címrend önként'!AT22+'címrend államig'!AT22)</f>
        <v>0</v>
      </c>
      <c r="EF22" s="38"/>
      <c r="EG22" s="7"/>
      <c r="EH22" s="7">
        <f>SUM('címrend kötelező'!AU22+'címrend önként'!AU22+'címrend államig'!AU22)</f>
        <v>0</v>
      </c>
      <c r="EI22" s="38"/>
      <c r="EJ22" s="7"/>
      <c r="EK22" s="7">
        <f>SUM('címrend kötelező'!AV22+'címrend önként'!AV22+'címrend államig'!AV22)</f>
        <v>0</v>
      </c>
      <c r="EL22" s="38"/>
      <c r="EM22" s="7"/>
      <c r="EN22" s="7">
        <f>SUM('címrend kötelező'!AW22+'címrend önként'!AW22+'címrend államig'!AW22)</f>
        <v>0</v>
      </c>
      <c r="EO22" s="38"/>
      <c r="EP22" s="7"/>
      <c r="EQ22" s="7">
        <f>SUM('címrend kötelező'!AX22+'címrend önként'!AX22+'címrend államig'!AX22)</f>
        <v>0</v>
      </c>
      <c r="ER22" s="38"/>
      <c r="ES22" s="7"/>
      <c r="ET22" s="7">
        <f>SUM('címrend kötelező'!AY22+'címrend önként'!AY22+'címrend államig'!AY22)</f>
        <v>0</v>
      </c>
      <c r="EU22" s="38"/>
      <c r="EV22" s="387">
        <f t="shared" si="179"/>
        <v>0</v>
      </c>
      <c r="EW22" s="387">
        <f t="shared" si="179"/>
        <v>0</v>
      </c>
      <c r="EX22" s="87"/>
      <c r="EY22" s="7"/>
      <c r="EZ22" s="7">
        <f>'címrend kötelező'!BA22+'címrend önként'!BA22+'címrend államig'!BA22</f>
        <v>0</v>
      </c>
      <c r="FA22" s="38"/>
      <c r="FB22" s="7"/>
      <c r="FC22" s="7">
        <f>'címrend kötelező'!BB22+'címrend önként'!BB22+'címrend államig'!BB22</f>
        <v>0</v>
      </c>
      <c r="FD22" s="38"/>
      <c r="FE22" s="7"/>
      <c r="FF22" s="7">
        <f>'címrend kötelező'!BC22+'címrend önként'!BC22+'címrend államig'!BC22</f>
        <v>0</v>
      </c>
      <c r="FG22" s="38"/>
      <c r="FH22" s="7"/>
      <c r="FI22" s="7">
        <f>'címrend kötelező'!BD22+'címrend önként'!BD22+'címrend államig'!BD22</f>
        <v>0</v>
      </c>
      <c r="FJ22" s="38"/>
      <c r="FK22" s="38"/>
      <c r="FL22" s="7">
        <f>'címrend kötelező'!BE22+'címrend önként'!BE22+'címrend államig'!BE22</f>
        <v>0</v>
      </c>
      <c r="FM22" s="38"/>
      <c r="FN22" s="7"/>
      <c r="FO22" s="7">
        <f>SUM('címrend kötelező'!BF22+'címrend önként'!BF22+'címrend államig'!BF22)</f>
        <v>0</v>
      </c>
      <c r="FP22" s="38"/>
      <c r="FQ22" s="7"/>
      <c r="FR22" s="7">
        <f>SUM('címrend kötelező'!BG22+'címrend önként'!BG22+'címrend államig'!BG22)</f>
        <v>0</v>
      </c>
      <c r="FS22" s="38"/>
      <c r="FT22" s="7"/>
      <c r="FU22" s="7">
        <f>SUM('címrend kötelező'!BH22+'címrend önként'!BH22+'címrend államig'!BH22)</f>
        <v>0</v>
      </c>
      <c r="FV22" s="38"/>
      <c r="FW22" s="7"/>
      <c r="FX22" s="7">
        <f>SUM('címrend kötelező'!BI22+'címrend önként'!BI22+'címrend államig'!BI22)</f>
        <v>0</v>
      </c>
      <c r="FY22" s="38"/>
      <c r="FZ22" s="7"/>
      <c r="GA22" s="7">
        <f>SUM('címrend kötelező'!BJ22+'címrend önként'!BJ22+'címrend államig'!BJ22)</f>
        <v>0</v>
      </c>
      <c r="GB22" s="38"/>
      <c r="GC22" s="7"/>
      <c r="GD22" s="7">
        <f>SUM('címrend kötelező'!BK22+'címrend önként'!BK22+'címrend államig'!BK22)</f>
        <v>0</v>
      </c>
      <c r="GE22" s="38"/>
      <c r="GF22" s="7"/>
      <c r="GG22" s="7">
        <f>SUM('címrend kötelező'!BL22+'címrend önként'!BL22+'címrend államig'!BL22)</f>
        <v>0</v>
      </c>
      <c r="GH22" s="38"/>
      <c r="GI22" s="7"/>
      <c r="GJ22" s="7">
        <f>SUM('címrend kötelező'!BM22+'címrend önként'!BM22+'címrend államig'!BM22)</f>
        <v>0</v>
      </c>
      <c r="GK22" s="38"/>
      <c r="GL22" s="7"/>
      <c r="GM22" s="7">
        <f>SUM('címrend kötelező'!BN22+'címrend önként'!BN22+'címrend államig'!BN22)</f>
        <v>0</v>
      </c>
      <c r="GN22" s="38"/>
      <c r="GO22" s="387">
        <f t="shared" si="117"/>
        <v>0</v>
      </c>
      <c r="GP22" s="387">
        <f t="shared" si="200"/>
        <v>0</v>
      </c>
      <c r="GQ22" s="387"/>
      <c r="GR22" s="7"/>
      <c r="GS22" s="7">
        <f>SUM('címrend kötelező'!BP22+'címrend önként'!BP22+'címrend államig'!BP22)</f>
        <v>0</v>
      </c>
      <c r="GT22" s="38"/>
      <c r="GU22" s="7"/>
      <c r="GV22" s="7">
        <f>SUM('címrend kötelező'!BQ22+'címrend önként'!BQ22+'címrend államig'!BQ22)</f>
        <v>0</v>
      </c>
      <c r="GW22" s="38"/>
      <c r="GX22" s="7"/>
      <c r="GY22" s="7">
        <f>SUM('címrend kötelező'!BR22+'címrend önként'!BR22+'címrend államig'!BR22)</f>
        <v>0</v>
      </c>
      <c r="GZ22" s="38"/>
      <c r="HA22" s="38">
        <f t="shared" si="198"/>
        <v>0</v>
      </c>
      <c r="HB22" s="38">
        <f t="shared" si="198"/>
        <v>0</v>
      </c>
      <c r="HC22" s="38"/>
      <c r="HD22" s="38">
        <f t="shared" si="127"/>
        <v>500000</v>
      </c>
      <c r="HE22" s="38">
        <f t="shared" si="128"/>
        <v>150000</v>
      </c>
      <c r="HF22" s="238">
        <f t="shared" si="129"/>
        <v>30</v>
      </c>
      <c r="HH22" s="242"/>
      <c r="HI22" s="242"/>
    </row>
    <row r="23" spans="1:217" ht="15" customHeight="1" x14ac:dyDescent="0.25">
      <c r="A23" s="210" t="s">
        <v>350</v>
      </c>
      <c r="B23" s="7"/>
      <c r="C23" s="7">
        <f>SUM('címrend kötelező'!B23+'címrend önként'!B23+'címrend államig'!B23)</f>
        <v>0</v>
      </c>
      <c r="D23" s="82"/>
      <c r="E23" s="7"/>
      <c r="F23" s="7">
        <f>SUM('címrend kötelező'!C23+'címrend önként'!C23+'címrend államig'!C23)</f>
        <v>0</v>
      </c>
      <c r="G23" s="82"/>
      <c r="H23" s="7"/>
      <c r="I23" s="7">
        <f>SUM('címrend kötelező'!D23+'címrend önként'!D23+'címrend államig'!D23)</f>
        <v>0</v>
      </c>
      <c r="J23" s="82"/>
      <c r="K23" s="7"/>
      <c r="L23" s="7">
        <f>SUM('címrend kötelező'!E23+'címrend önként'!E23+'címrend államig'!E23)</f>
        <v>0</v>
      </c>
      <c r="M23" s="82"/>
      <c r="N23" s="7"/>
      <c r="O23" s="7">
        <f>SUM('címrend kötelező'!F23+'címrend önként'!F23+'címrend államig'!F23)</f>
        <v>0</v>
      </c>
      <c r="P23" s="82"/>
      <c r="Q23" s="7"/>
      <c r="R23" s="7">
        <f>SUM('címrend kötelező'!G23+'címrend önként'!G23+'címrend államig'!G23)</f>
        <v>0</v>
      </c>
      <c r="S23" s="82"/>
      <c r="T23" s="7"/>
      <c r="U23" s="7">
        <f>SUM('címrend kötelező'!H23+'címrend önként'!H23+'címrend államig'!H23)</f>
        <v>0</v>
      </c>
      <c r="V23" s="82"/>
      <c r="W23" s="7"/>
      <c r="X23" s="7">
        <f>SUM('címrend kötelező'!I23+'címrend önként'!I23+'címrend államig'!I23)</f>
        <v>0</v>
      </c>
      <c r="Y23" s="82"/>
      <c r="Z23" s="7"/>
      <c r="AA23" s="7">
        <f>SUM('címrend kötelező'!J23+'címrend önként'!J23+'címrend államig'!J23)</f>
        <v>0</v>
      </c>
      <c r="AB23" s="82"/>
      <c r="AC23" s="7"/>
      <c r="AD23" s="7">
        <f>SUM('címrend kötelező'!K23+'címrend önként'!K23+'címrend államig'!K23)</f>
        <v>0</v>
      </c>
      <c r="AE23" s="82"/>
      <c r="AF23" s="7"/>
      <c r="AG23" s="7">
        <f>SUM('címrend kötelező'!L23+'címrend önként'!L23+'címrend államig'!L23)</f>
        <v>0</v>
      </c>
      <c r="AH23" s="82"/>
      <c r="AI23" s="7"/>
      <c r="AJ23" s="7">
        <f>SUM('címrend kötelező'!M23+'címrend önként'!M23+'címrend államig'!M23)</f>
        <v>0</v>
      </c>
      <c r="AK23" s="82"/>
      <c r="AL23" s="7"/>
      <c r="AM23" s="7">
        <f>SUM('címrend kötelező'!N23+'címrend önként'!N23+'címrend államig'!N23)</f>
        <v>0</v>
      </c>
      <c r="AN23" s="82"/>
      <c r="AO23" s="7"/>
      <c r="AP23" s="7">
        <f>SUM('címrend kötelező'!O23+'címrend önként'!O23+'címrend államig'!O23)</f>
        <v>0</v>
      </c>
      <c r="AQ23" s="82"/>
      <c r="AR23" s="7"/>
      <c r="AS23" s="7">
        <f>SUM('címrend kötelező'!P23+'címrend önként'!P23+'címrend államig'!P23)</f>
        <v>0</v>
      </c>
      <c r="AT23" s="82"/>
      <c r="AU23" s="7"/>
      <c r="AV23" s="7">
        <f>SUM('címrend kötelező'!Q23+'címrend önként'!Q23+'címrend államig'!Q23)</f>
        <v>0</v>
      </c>
      <c r="AW23" s="82"/>
      <c r="AX23" s="7"/>
      <c r="AY23" s="7">
        <f>SUM('címrend kötelező'!R23+'címrend önként'!R23+'címrend államig'!R23)</f>
        <v>0</v>
      </c>
      <c r="AZ23" s="82"/>
      <c r="BA23" s="7"/>
      <c r="BB23" s="7">
        <f>SUM('címrend kötelező'!S23+'címrend önként'!S23+'címrend államig'!S23)</f>
        <v>0</v>
      </c>
      <c r="BC23" s="82"/>
      <c r="BD23" s="7"/>
      <c r="BE23" s="7">
        <f>SUM('címrend kötelező'!T23+'címrend önként'!T23+'címrend államig'!T23)</f>
        <v>0</v>
      </c>
      <c r="BF23" s="82"/>
      <c r="BG23" s="7"/>
      <c r="BH23" s="7">
        <f>SUM('címrend kötelező'!U23+'címrend önként'!U23+'címrend államig'!U23)</f>
        <v>0</v>
      </c>
      <c r="BI23" s="82"/>
      <c r="BJ23" s="7"/>
      <c r="BK23" s="7">
        <f>SUM('címrend kötelező'!V23+'címrend önként'!V23+'címrend államig'!V23)</f>
        <v>0</v>
      </c>
      <c r="BL23" s="82"/>
      <c r="BM23" s="7"/>
      <c r="BN23" s="7">
        <f>SUM('címrend kötelező'!W23+'címrend önként'!W23+'címrend államig'!W23)</f>
        <v>0</v>
      </c>
      <c r="BO23" s="82"/>
      <c r="BP23" s="7"/>
      <c r="BQ23" s="7">
        <f>SUM('címrend kötelező'!X23+'címrend önként'!X23+'címrend államig'!X23)</f>
        <v>0</v>
      </c>
      <c r="BR23" s="82"/>
      <c r="BS23" s="7"/>
      <c r="BT23" s="7">
        <f>SUM('címrend kötelező'!Y23+'címrend önként'!Y23+'címrend államig'!Y23)</f>
        <v>0</v>
      </c>
      <c r="BU23" s="82"/>
      <c r="BV23" s="7"/>
      <c r="BW23" s="7">
        <f>SUM('címrend kötelező'!Z23+'címrend önként'!Z23+'címrend államig'!Z23)</f>
        <v>0</v>
      </c>
      <c r="BX23" s="82"/>
      <c r="BY23" s="7"/>
      <c r="BZ23" s="7">
        <f>SUM('címrend kötelező'!AA23+'címrend önként'!AA23+'címrend államig'!AA23)</f>
        <v>0</v>
      </c>
      <c r="CA23" s="82"/>
      <c r="CB23" s="7"/>
      <c r="CC23" s="7">
        <f>SUM('címrend kötelező'!AB23+'címrend önként'!AB23+'címrend államig'!AB23)</f>
        <v>0</v>
      </c>
      <c r="CD23" s="82"/>
      <c r="CE23" s="7">
        <v>15300</v>
      </c>
      <c r="CF23" s="7">
        <f>SUM('címrend kötelező'!AC23+'címrend önként'!AC23+'címrend államig'!AC23)</f>
        <v>15300</v>
      </c>
      <c r="CG23" s="82"/>
      <c r="CH23" s="7"/>
      <c r="CI23" s="7">
        <f>SUM('címrend kötelező'!AD23+'címrend önként'!AD23+'címrend államig'!AD23)</f>
        <v>0</v>
      </c>
      <c r="CJ23" s="82"/>
      <c r="CK23" s="7">
        <v>225883</v>
      </c>
      <c r="CL23" s="7">
        <f>SUM('címrend kötelező'!AE23+'címrend önként'!AE23+'címrend államig'!AE23)</f>
        <v>0</v>
      </c>
      <c r="CM23" s="82"/>
      <c r="CN23" s="7"/>
      <c r="CO23" s="7">
        <f>SUM('címrend kötelező'!AF23+'címrend önként'!AF23+'címrend államig'!AF23)</f>
        <v>0</v>
      </c>
      <c r="CP23" s="82"/>
      <c r="CQ23" s="7"/>
      <c r="CR23" s="7">
        <f>SUM('címrend kötelező'!AG23+'címrend önként'!AG23+'címrend államig'!AG23)</f>
        <v>0</v>
      </c>
      <c r="CS23" s="82"/>
      <c r="CT23" s="7"/>
      <c r="CU23" s="7">
        <f>SUM('címrend kötelező'!AH23+'címrend önként'!AH23+'címrend államig'!AH23)</f>
        <v>0</v>
      </c>
      <c r="CV23" s="82"/>
      <c r="CW23" s="7"/>
      <c r="CX23" s="7">
        <f>SUM('címrend kötelező'!AI23+'címrend önként'!AI23+'címrend államig'!AI23)</f>
        <v>0</v>
      </c>
      <c r="CY23" s="82"/>
      <c r="CZ23" s="7"/>
      <c r="DA23" s="7">
        <f>SUM('címrend kötelező'!AJ23+'címrend önként'!AJ23+'címrend államig'!AJ23)</f>
        <v>0</v>
      </c>
      <c r="DB23" s="82"/>
      <c r="DC23" s="7"/>
      <c r="DD23" s="7">
        <f>SUM('címrend kötelező'!AK23+'címrend önként'!AK23+'címrend államig'!AK23)</f>
        <v>0</v>
      </c>
      <c r="DE23" s="82"/>
      <c r="DF23" s="7"/>
      <c r="DG23" s="7">
        <f>SUM('címrend kötelező'!AL23+'címrend önként'!AL23+'címrend államig'!AL23)</f>
        <v>0</v>
      </c>
      <c r="DH23" s="82"/>
      <c r="DI23" s="7"/>
      <c r="DJ23" s="7">
        <f>SUM('címrend kötelező'!AM23+'címrend önként'!AM23+'címrend államig'!AM23)</f>
        <v>0</v>
      </c>
      <c r="DK23" s="82"/>
      <c r="DL23" s="7"/>
      <c r="DM23" s="7">
        <f>SUM('címrend kötelező'!AN23+'címrend önként'!AN23+'címrend államig'!AN23)</f>
        <v>0</v>
      </c>
      <c r="DN23" s="82"/>
      <c r="DO23" s="7"/>
      <c r="DP23" s="7">
        <f>SUM('címrend kötelező'!AO23+'címrend önként'!AO23+'címrend államig'!AO23)</f>
        <v>0</v>
      </c>
      <c r="DQ23" s="82"/>
      <c r="DR23" s="387">
        <f t="shared" si="169"/>
        <v>241183</v>
      </c>
      <c r="DS23" s="387">
        <f t="shared" si="169"/>
        <v>15300</v>
      </c>
      <c r="DT23" s="87">
        <f t="shared" si="170"/>
        <v>6.3437306941202323</v>
      </c>
      <c r="DU23" s="7"/>
      <c r="DV23" s="7">
        <f>SUM('címrend kötelező'!AQ23+'címrend önként'!AQ23+'címrend államig'!AQ23)</f>
        <v>0</v>
      </c>
      <c r="DW23" s="38"/>
      <c r="DX23" s="7"/>
      <c r="DY23" s="7">
        <f>SUM('címrend kötelező'!AR23+'címrend önként'!AR23+'címrend államig'!AR23)</f>
        <v>0</v>
      </c>
      <c r="DZ23" s="38"/>
      <c r="EA23" s="7"/>
      <c r="EB23" s="7">
        <f>SUM('címrend kötelező'!AS23+'címrend önként'!AS23+'címrend államig'!AS23)</f>
        <v>0</v>
      </c>
      <c r="EC23" s="38"/>
      <c r="ED23" s="7"/>
      <c r="EE23" s="7">
        <f>SUM('címrend kötelező'!AT23+'címrend önként'!AT23+'címrend államig'!AT23)</f>
        <v>0</v>
      </c>
      <c r="EF23" s="38"/>
      <c r="EG23" s="7"/>
      <c r="EH23" s="7">
        <f>SUM('címrend kötelező'!AU23+'címrend önként'!AU23+'címrend államig'!AU23)</f>
        <v>0</v>
      </c>
      <c r="EI23" s="38"/>
      <c r="EJ23" s="7"/>
      <c r="EK23" s="7">
        <f>SUM('címrend kötelező'!AV23+'címrend önként'!AV23+'címrend államig'!AV23)</f>
        <v>0</v>
      </c>
      <c r="EL23" s="38"/>
      <c r="EM23" s="7"/>
      <c r="EN23" s="7">
        <f>SUM('címrend kötelező'!AW23+'címrend önként'!AW23+'címrend államig'!AW23)</f>
        <v>0</v>
      </c>
      <c r="EO23" s="38"/>
      <c r="EP23" s="7"/>
      <c r="EQ23" s="7">
        <f>SUM('címrend kötelező'!AX23+'címrend önként'!AX23+'címrend államig'!AX23)</f>
        <v>0</v>
      </c>
      <c r="ER23" s="38"/>
      <c r="ES23" s="7"/>
      <c r="ET23" s="7">
        <f>SUM('címrend kötelező'!AY23+'címrend önként'!AY23+'címrend államig'!AY23)</f>
        <v>0</v>
      </c>
      <c r="EU23" s="38"/>
      <c r="EV23" s="387">
        <f t="shared" si="179"/>
        <v>0</v>
      </c>
      <c r="EW23" s="387">
        <f t="shared" si="179"/>
        <v>0</v>
      </c>
      <c r="EX23" s="87"/>
      <c r="EY23" s="7"/>
      <c r="EZ23" s="7">
        <f>'címrend kötelező'!BA23+'címrend önként'!BA23+'címrend államig'!BA23</f>
        <v>0</v>
      </c>
      <c r="FA23" s="38"/>
      <c r="FB23" s="7"/>
      <c r="FC23" s="7">
        <f>'címrend kötelező'!BB23+'címrend önként'!BB23+'címrend államig'!BB23</f>
        <v>0</v>
      </c>
      <c r="FD23" s="38"/>
      <c r="FE23" s="7"/>
      <c r="FF23" s="7">
        <f>'címrend kötelező'!BC23+'címrend önként'!BC23+'címrend államig'!BC23</f>
        <v>0</v>
      </c>
      <c r="FG23" s="38"/>
      <c r="FH23" s="7"/>
      <c r="FI23" s="7">
        <f>'címrend kötelező'!BD23+'címrend önként'!BD23+'címrend államig'!BD23</f>
        <v>0</v>
      </c>
      <c r="FJ23" s="38"/>
      <c r="FK23" s="38"/>
      <c r="FL23" s="7">
        <f>'címrend kötelező'!BE23+'címrend önként'!BE23+'címrend államig'!BE23</f>
        <v>0</v>
      </c>
      <c r="FM23" s="38"/>
      <c r="FN23" s="7"/>
      <c r="FO23" s="7">
        <f>SUM('címrend kötelező'!BF23+'címrend önként'!BF23+'címrend államig'!BF23)</f>
        <v>0</v>
      </c>
      <c r="FP23" s="38"/>
      <c r="FQ23" s="7"/>
      <c r="FR23" s="7">
        <f>SUM('címrend kötelező'!BG23+'címrend önként'!BG23+'címrend államig'!BG23)</f>
        <v>0</v>
      </c>
      <c r="FS23" s="38"/>
      <c r="FT23" s="7"/>
      <c r="FU23" s="7">
        <f>SUM('címrend kötelező'!BH23+'címrend önként'!BH23+'címrend államig'!BH23)</f>
        <v>0</v>
      </c>
      <c r="FV23" s="38"/>
      <c r="FW23" s="7"/>
      <c r="FX23" s="7">
        <f>SUM('címrend kötelező'!BI23+'címrend önként'!BI23+'címrend államig'!BI23)</f>
        <v>0</v>
      </c>
      <c r="FY23" s="38"/>
      <c r="FZ23" s="7"/>
      <c r="GA23" s="7">
        <f>SUM('címrend kötelező'!BJ23+'címrend önként'!BJ23+'címrend államig'!BJ23)</f>
        <v>0</v>
      </c>
      <c r="GB23" s="38"/>
      <c r="GC23" s="7"/>
      <c r="GD23" s="7">
        <f>SUM('címrend kötelező'!BK23+'címrend önként'!BK23+'címrend államig'!BK23)</f>
        <v>0</v>
      </c>
      <c r="GE23" s="38"/>
      <c r="GF23" s="7"/>
      <c r="GG23" s="7">
        <f>SUM('címrend kötelező'!BL23+'címrend önként'!BL23+'címrend államig'!BL23)</f>
        <v>0</v>
      </c>
      <c r="GH23" s="38"/>
      <c r="GI23" s="7"/>
      <c r="GJ23" s="7">
        <f>SUM('címrend kötelező'!BM23+'címrend önként'!BM23+'címrend államig'!BM23)</f>
        <v>0</v>
      </c>
      <c r="GK23" s="38"/>
      <c r="GL23" s="7"/>
      <c r="GM23" s="7">
        <f>SUM('címrend kötelező'!BN23+'címrend önként'!BN23+'címrend államig'!BN23)</f>
        <v>0</v>
      </c>
      <c r="GN23" s="38"/>
      <c r="GO23" s="387">
        <f t="shared" si="117"/>
        <v>0</v>
      </c>
      <c r="GP23" s="387">
        <f t="shared" si="200"/>
        <v>0</v>
      </c>
      <c r="GQ23" s="387"/>
      <c r="GR23" s="7"/>
      <c r="GS23" s="7">
        <f>SUM('címrend kötelező'!BP23+'címrend önként'!BP23+'címrend államig'!BP23)</f>
        <v>0</v>
      </c>
      <c r="GT23" s="38"/>
      <c r="GU23" s="7"/>
      <c r="GV23" s="7">
        <f>SUM('címrend kötelező'!BQ23+'címrend önként'!BQ23+'címrend államig'!BQ23)</f>
        <v>0</v>
      </c>
      <c r="GW23" s="38"/>
      <c r="GX23" s="7"/>
      <c r="GY23" s="7">
        <f>SUM('címrend kötelező'!BR23+'címrend önként'!BR23+'címrend államig'!BR23)</f>
        <v>0</v>
      </c>
      <c r="GZ23" s="38"/>
      <c r="HA23" s="38">
        <f t="shared" si="198"/>
        <v>0</v>
      </c>
      <c r="HB23" s="38">
        <f t="shared" si="198"/>
        <v>0</v>
      </c>
      <c r="HC23" s="38"/>
      <c r="HD23" s="38">
        <f t="shared" si="127"/>
        <v>241183</v>
      </c>
      <c r="HE23" s="38">
        <f t="shared" si="128"/>
        <v>15300</v>
      </c>
      <c r="HF23" s="238">
        <f t="shared" si="129"/>
        <v>6.3437306941202323</v>
      </c>
      <c r="HH23" s="242"/>
      <c r="HI23" s="242"/>
    </row>
    <row r="24" spans="1:217" ht="15" customHeight="1" x14ac:dyDescent="0.25">
      <c r="A24" s="210" t="s">
        <v>351</v>
      </c>
      <c r="B24" s="7"/>
      <c r="C24" s="7">
        <f>SUM('címrend kötelező'!B24+'címrend önként'!B24+'címrend államig'!B24)</f>
        <v>0</v>
      </c>
      <c r="D24" s="82"/>
      <c r="E24" s="7"/>
      <c r="F24" s="7">
        <f>SUM('címrend kötelező'!C24+'címrend önként'!C24+'címrend államig'!C24)</f>
        <v>0</v>
      </c>
      <c r="G24" s="82"/>
      <c r="H24" s="7"/>
      <c r="I24" s="7">
        <f>SUM('címrend kötelező'!D24+'címrend önként'!D24+'címrend államig'!D24)</f>
        <v>0</v>
      </c>
      <c r="J24" s="82"/>
      <c r="K24" s="7"/>
      <c r="L24" s="7">
        <f>SUM('címrend kötelező'!E24+'címrend önként'!E24+'címrend államig'!E24)</f>
        <v>0</v>
      </c>
      <c r="M24" s="82"/>
      <c r="N24" s="7">
        <v>3630</v>
      </c>
      <c r="O24" s="7">
        <f>SUM('címrend kötelező'!F24+'címrend önként'!F24+'címrend államig'!F24)</f>
        <v>2000</v>
      </c>
      <c r="P24" s="82"/>
      <c r="Q24" s="7"/>
      <c r="R24" s="7">
        <f>SUM('címrend kötelező'!G24+'címrend önként'!G24+'címrend államig'!G24)</f>
        <v>0</v>
      </c>
      <c r="S24" s="82"/>
      <c r="T24" s="7"/>
      <c r="U24" s="7">
        <f>SUM('címrend kötelező'!H24+'címrend önként'!H24+'címrend államig'!H24)</f>
        <v>0</v>
      </c>
      <c r="V24" s="82"/>
      <c r="W24" s="7"/>
      <c r="X24" s="7">
        <f>SUM('címrend kötelező'!I24+'címrend önként'!I24+'címrend államig'!I24)</f>
        <v>0</v>
      </c>
      <c r="Y24" s="82"/>
      <c r="Z24" s="7"/>
      <c r="AA24" s="7">
        <f>SUM('címrend kötelező'!J24+'címrend önként'!J24+'címrend államig'!J24)</f>
        <v>0</v>
      </c>
      <c r="AB24" s="82"/>
      <c r="AC24" s="7"/>
      <c r="AD24" s="7">
        <f>SUM('címrend kötelező'!K24+'címrend önként'!K24+'címrend államig'!K24)</f>
        <v>0</v>
      </c>
      <c r="AE24" s="82"/>
      <c r="AF24" s="7"/>
      <c r="AG24" s="7">
        <f>SUM('címrend kötelező'!L24+'címrend önként'!L24+'címrend államig'!L24)</f>
        <v>0</v>
      </c>
      <c r="AH24" s="82"/>
      <c r="AI24" s="7"/>
      <c r="AJ24" s="7">
        <f>SUM('címrend kötelező'!M24+'címrend önként'!M24+'címrend államig'!M24)</f>
        <v>0</v>
      </c>
      <c r="AK24" s="82"/>
      <c r="AL24" s="7"/>
      <c r="AM24" s="7">
        <f>SUM('címrend kötelező'!N24+'címrend önként'!N24+'címrend államig'!N24)</f>
        <v>0</v>
      </c>
      <c r="AN24" s="82"/>
      <c r="AO24" s="7"/>
      <c r="AP24" s="7">
        <f>SUM('címrend kötelező'!O24+'címrend önként'!O24+'címrend államig'!O24)</f>
        <v>0</v>
      </c>
      <c r="AQ24" s="82"/>
      <c r="AR24" s="7"/>
      <c r="AS24" s="7">
        <f>SUM('címrend kötelező'!P24+'címrend önként'!P24+'címrend államig'!P24)</f>
        <v>0</v>
      </c>
      <c r="AT24" s="82"/>
      <c r="AU24" s="7"/>
      <c r="AV24" s="7">
        <f>SUM('címrend kötelező'!Q24+'címrend önként'!Q24+'címrend államig'!Q24)</f>
        <v>0</v>
      </c>
      <c r="AW24" s="82"/>
      <c r="AX24" s="7">
        <v>1500</v>
      </c>
      <c r="AY24" s="7">
        <f>SUM('címrend kötelező'!R24+'címrend önként'!R24+'címrend államig'!R24)</f>
        <v>0</v>
      </c>
      <c r="AZ24" s="82"/>
      <c r="BA24" s="7"/>
      <c r="BB24" s="7">
        <f>SUM('címrend kötelező'!S24+'címrend önként'!S24+'címrend államig'!S24)</f>
        <v>0</v>
      </c>
      <c r="BC24" s="82"/>
      <c r="BD24" s="7"/>
      <c r="BE24" s="7">
        <f>SUM('címrend kötelező'!T24+'címrend önként'!T24+'címrend államig'!T24)</f>
        <v>0</v>
      </c>
      <c r="BF24" s="82"/>
      <c r="BG24" s="7"/>
      <c r="BH24" s="7">
        <f>SUM('címrend kötelező'!U24+'címrend önként'!U24+'címrend államig'!U24)</f>
        <v>0</v>
      </c>
      <c r="BI24" s="82"/>
      <c r="BJ24" s="7"/>
      <c r="BK24" s="7">
        <f>SUM('címrend kötelező'!V24+'címrend önként'!V24+'címrend államig'!V24)</f>
        <v>0</v>
      </c>
      <c r="BL24" s="82"/>
      <c r="BM24" s="7"/>
      <c r="BN24" s="7">
        <f>SUM('címrend kötelező'!W24+'címrend önként'!W24+'címrend államig'!W24)</f>
        <v>0</v>
      </c>
      <c r="BO24" s="82"/>
      <c r="BP24" s="7">
        <v>38100</v>
      </c>
      <c r="BQ24" s="7">
        <f>SUM('címrend kötelező'!X24+'címrend önként'!X24+'címrend államig'!X24)</f>
        <v>0</v>
      </c>
      <c r="BR24" s="82"/>
      <c r="BS24" s="7"/>
      <c r="BT24" s="7">
        <f>SUM('címrend kötelező'!Y24+'címrend önként'!Y24+'címrend államig'!Y24)</f>
        <v>0</v>
      </c>
      <c r="BU24" s="82"/>
      <c r="BV24" s="7"/>
      <c r="BW24" s="7">
        <f>SUM('címrend kötelező'!Z24+'címrend önként'!Z24+'címrend államig'!Z24)</f>
        <v>0</v>
      </c>
      <c r="BX24" s="82"/>
      <c r="BY24" s="7"/>
      <c r="BZ24" s="7">
        <f>SUM('címrend kötelező'!AA24+'címrend önként'!AA24+'címrend államig'!AA24)</f>
        <v>11025</v>
      </c>
      <c r="CA24" s="82"/>
      <c r="CB24" s="7"/>
      <c r="CC24" s="7">
        <f>SUM('címrend kötelező'!AB24+'címrend önként'!AB24+'címrend államig'!AB24)</f>
        <v>0</v>
      </c>
      <c r="CD24" s="82"/>
      <c r="CE24" s="7">
        <v>318730</v>
      </c>
      <c r="CF24" s="7">
        <f>SUM('címrend kötelező'!AC24+'címrend önként'!AC24+'címrend államig'!AC24)</f>
        <v>363005</v>
      </c>
      <c r="CG24" s="82"/>
      <c r="CH24" s="7"/>
      <c r="CI24" s="7">
        <f>SUM('címrend kötelező'!AD24+'címrend önként'!AD24+'címrend államig'!AD24)</f>
        <v>0</v>
      </c>
      <c r="CJ24" s="82"/>
      <c r="CK24" s="7"/>
      <c r="CL24" s="7">
        <f>SUM('címrend kötelező'!AE24+'címrend önként'!AE24+'címrend államig'!AE24)</f>
        <v>0</v>
      </c>
      <c r="CM24" s="82"/>
      <c r="CN24" s="7"/>
      <c r="CO24" s="7">
        <f>SUM('címrend kötelező'!AF24+'címrend önként'!AF24+'címrend államig'!AF24)</f>
        <v>353724</v>
      </c>
      <c r="CP24" s="82"/>
      <c r="CQ24" s="7"/>
      <c r="CR24" s="7">
        <f>SUM('címrend kötelező'!AG24+'címrend önként'!AG24+'címrend államig'!AG24)</f>
        <v>0</v>
      </c>
      <c r="CS24" s="82"/>
      <c r="CT24" s="7"/>
      <c r="CU24" s="7">
        <f>SUM('címrend kötelező'!AH24+'címrend önként'!AH24+'címrend államig'!AH24)</f>
        <v>0</v>
      </c>
      <c r="CV24" s="82"/>
      <c r="CW24" s="7"/>
      <c r="CX24" s="7">
        <f>SUM('címrend kötelező'!AI24+'címrend önként'!AI24+'címrend államig'!AI24)</f>
        <v>0</v>
      </c>
      <c r="CY24" s="82"/>
      <c r="CZ24" s="7"/>
      <c r="DA24" s="7">
        <f>SUM('címrend kötelező'!AJ24+'címrend önként'!AJ24+'címrend államig'!AJ24)</f>
        <v>0</v>
      </c>
      <c r="DB24" s="82"/>
      <c r="DC24" s="7">
        <v>500000</v>
      </c>
      <c r="DD24" s="7">
        <f>SUM('címrend kötelező'!AK24+'címrend önként'!AK24+'címrend államig'!AK24)</f>
        <v>150000</v>
      </c>
      <c r="DE24" s="82"/>
      <c r="DF24" s="7"/>
      <c r="DG24" s="7">
        <f>SUM('címrend kötelező'!AL24+'címrend önként'!AL24+'címrend államig'!AL24)</f>
        <v>0</v>
      </c>
      <c r="DH24" s="82"/>
      <c r="DI24" s="7"/>
      <c r="DJ24" s="7">
        <f>SUM('címrend kötelező'!AM24+'címrend önként'!AM24+'címrend államig'!AM24)</f>
        <v>0</v>
      </c>
      <c r="DK24" s="82"/>
      <c r="DL24" s="7"/>
      <c r="DM24" s="7">
        <f>SUM('címrend kötelező'!AN24+'címrend önként'!AN24+'címrend államig'!AN24)</f>
        <v>0</v>
      </c>
      <c r="DN24" s="82"/>
      <c r="DO24" s="7">
        <v>35000</v>
      </c>
      <c r="DP24" s="7">
        <f>SUM('címrend kötelező'!AO24+'címrend önként'!AO24+'címrend államig'!AO24)</f>
        <v>0</v>
      </c>
      <c r="DQ24" s="82"/>
      <c r="DR24" s="387">
        <f t="shared" si="169"/>
        <v>896960</v>
      </c>
      <c r="DS24" s="387">
        <f t="shared" si="169"/>
        <v>879754</v>
      </c>
      <c r="DT24" s="87">
        <f t="shared" si="170"/>
        <v>98.081742775597576</v>
      </c>
      <c r="DU24" s="7"/>
      <c r="DV24" s="7">
        <f>SUM('címrend kötelező'!AQ24+'címrend önként'!AQ24+'címrend államig'!AQ24)</f>
        <v>0</v>
      </c>
      <c r="DW24" s="38"/>
      <c r="DX24" s="7"/>
      <c r="DY24" s="7">
        <f>SUM('címrend kötelező'!AR24+'címrend önként'!AR24+'címrend államig'!AR24)</f>
        <v>0</v>
      </c>
      <c r="DZ24" s="38"/>
      <c r="EA24" s="7"/>
      <c r="EB24" s="7">
        <f>SUM('címrend kötelező'!AS24+'címrend önként'!AS24+'címrend államig'!AS24)</f>
        <v>0</v>
      </c>
      <c r="EC24" s="38"/>
      <c r="ED24" s="7"/>
      <c r="EE24" s="7">
        <f>SUM('címrend kötelező'!AT24+'címrend önként'!AT24+'címrend államig'!AT24)</f>
        <v>0</v>
      </c>
      <c r="EF24" s="38"/>
      <c r="EG24" s="7"/>
      <c r="EH24" s="7">
        <f>SUM('címrend kötelező'!AU24+'címrend önként'!AU24+'címrend államig'!AU24)</f>
        <v>0</v>
      </c>
      <c r="EI24" s="38"/>
      <c r="EJ24" s="7"/>
      <c r="EK24" s="7">
        <f>SUM('címrend kötelező'!AV24+'címrend önként'!AV24+'címrend államig'!AV24)</f>
        <v>0</v>
      </c>
      <c r="EL24" s="38"/>
      <c r="EM24" s="7"/>
      <c r="EN24" s="7">
        <f>SUM('címrend kötelező'!AW24+'címrend önként'!AW24+'címrend államig'!AW24)</f>
        <v>0</v>
      </c>
      <c r="EO24" s="38"/>
      <c r="EP24" s="7"/>
      <c r="EQ24" s="7">
        <f>SUM('címrend kötelező'!AX24+'címrend önként'!AX24+'címrend államig'!AX24)</f>
        <v>0</v>
      </c>
      <c r="ER24" s="38"/>
      <c r="ES24" s="7"/>
      <c r="ET24" s="7">
        <f>SUM('címrend kötelező'!AY24+'címrend önként'!AY24+'címrend államig'!AY24)</f>
        <v>0</v>
      </c>
      <c r="EU24" s="38"/>
      <c r="EV24" s="387">
        <f t="shared" si="179"/>
        <v>0</v>
      </c>
      <c r="EW24" s="387">
        <f t="shared" si="179"/>
        <v>0</v>
      </c>
      <c r="EX24" s="87"/>
      <c r="EY24" s="7"/>
      <c r="EZ24" s="7">
        <f>'címrend kötelező'!BA24+'címrend önként'!BA24+'címrend államig'!BA24</f>
        <v>0</v>
      </c>
      <c r="FA24" s="38"/>
      <c r="FB24" s="7"/>
      <c r="FC24" s="7">
        <f>'címrend kötelező'!BB24+'címrend önként'!BB24+'címrend államig'!BB24</f>
        <v>0</v>
      </c>
      <c r="FD24" s="38"/>
      <c r="FE24" s="7"/>
      <c r="FF24" s="7">
        <f>'címrend kötelező'!BC24+'címrend önként'!BC24+'címrend államig'!BC24</f>
        <v>0</v>
      </c>
      <c r="FG24" s="38"/>
      <c r="FH24" s="7"/>
      <c r="FI24" s="7">
        <f>'címrend kötelező'!BD24+'címrend önként'!BD24+'címrend államig'!BD24</f>
        <v>0</v>
      </c>
      <c r="FJ24" s="38"/>
      <c r="FK24" s="38"/>
      <c r="FL24" s="7">
        <f>'címrend kötelező'!BE24+'címrend önként'!BE24+'címrend államig'!BE24</f>
        <v>0</v>
      </c>
      <c r="FM24" s="38"/>
      <c r="FN24" s="7"/>
      <c r="FO24" s="7">
        <f>SUM('címrend kötelező'!BF24+'címrend önként'!BF24+'címrend államig'!BF24)</f>
        <v>0</v>
      </c>
      <c r="FP24" s="38"/>
      <c r="FQ24" s="7"/>
      <c r="FR24" s="7">
        <f>SUM('címrend kötelező'!BG24+'címrend önként'!BG24+'címrend államig'!BG24)</f>
        <v>0</v>
      </c>
      <c r="FS24" s="38"/>
      <c r="FT24" s="7"/>
      <c r="FU24" s="7">
        <f>SUM('címrend kötelező'!BH24+'címrend önként'!BH24+'címrend államig'!BH24)</f>
        <v>0</v>
      </c>
      <c r="FV24" s="38"/>
      <c r="FW24" s="7"/>
      <c r="FX24" s="7">
        <f>SUM('címrend kötelező'!BI24+'címrend önként'!BI24+'címrend államig'!BI24)</f>
        <v>0</v>
      </c>
      <c r="FY24" s="38"/>
      <c r="FZ24" s="7"/>
      <c r="GA24" s="7">
        <f>SUM('címrend kötelező'!BJ24+'címrend önként'!BJ24+'címrend államig'!BJ24)</f>
        <v>0</v>
      </c>
      <c r="GB24" s="38"/>
      <c r="GC24" s="7"/>
      <c r="GD24" s="7">
        <f>SUM('címrend kötelező'!BK24+'címrend önként'!BK24+'címrend államig'!BK24)</f>
        <v>0</v>
      </c>
      <c r="GE24" s="38"/>
      <c r="GF24" s="7"/>
      <c r="GG24" s="7">
        <f>SUM('címrend kötelező'!BL24+'címrend önként'!BL24+'címrend államig'!BL24)</f>
        <v>0</v>
      </c>
      <c r="GH24" s="38"/>
      <c r="GI24" s="7"/>
      <c r="GJ24" s="7">
        <f>SUM('címrend kötelező'!BM24+'címrend önként'!BM24+'címrend államig'!BM24)</f>
        <v>0</v>
      </c>
      <c r="GK24" s="38"/>
      <c r="GL24" s="7"/>
      <c r="GM24" s="7">
        <f>SUM('címrend kötelező'!BN24+'címrend önként'!BN24+'címrend államig'!BN24)</f>
        <v>0</v>
      </c>
      <c r="GN24" s="38"/>
      <c r="GO24" s="387">
        <f t="shared" si="117"/>
        <v>0</v>
      </c>
      <c r="GP24" s="387">
        <f t="shared" si="200"/>
        <v>0</v>
      </c>
      <c r="GQ24" s="387"/>
      <c r="GR24" s="7"/>
      <c r="GS24" s="7">
        <f>SUM('címrend kötelező'!BP24+'címrend önként'!BP24+'címrend államig'!BP24)</f>
        <v>0</v>
      </c>
      <c r="GT24" s="38"/>
      <c r="GU24" s="7"/>
      <c r="GV24" s="7">
        <f>SUM('címrend kötelező'!BQ24+'címrend önként'!BQ24+'címrend államig'!BQ24)</f>
        <v>0</v>
      </c>
      <c r="GW24" s="38"/>
      <c r="GX24" s="7"/>
      <c r="GY24" s="7">
        <f>SUM('címrend kötelező'!BR24+'címrend önként'!BR24+'címrend államig'!BR24)</f>
        <v>0</v>
      </c>
      <c r="GZ24" s="38"/>
      <c r="HA24" s="38">
        <f t="shared" si="198"/>
        <v>0</v>
      </c>
      <c r="HB24" s="38">
        <f t="shared" si="198"/>
        <v>0</v>
      </c>
      <c r="HC24" s="38"/>
      <c r="HD24" s="38">
        <f t="shared" si="127"/>
        <v>896960</v>
      </c>
      <c r="HE24" s="38">
        <f t="shared" si="128"/>
        <v>879754</v>
      </c>
      <c r="HF24" s="238">
        <f t="shared" si="129"/>
        <v>98.081742775597576</v>
      </c>
      <c r="HH24" s="242"/>
      <c r="HI24" s="242"/>
    </row>
    <row r="25" spans="1:217" ht="15" customHeight="1" x14ac:dyDescent="0.25">
      <c r="A25" s="210" t="s">
        <v>352</v>
      </c>
      <c r="B25" s="7"/>
      <c r="C25" s="7">
        <f>SUM('címrend kötelező'!B25+'címrend önként'!B25+'címrend államig'!B25)</f>
        <v>0</v>
      </c>
      <c r="D25" s="82"/>
      <c r="E25" s="7"/>
      <c r="F25" s="7">
        <f>SUM('címrend kötelező'!C25+'címrend önként'!C25+'címrend államig'!C25)</f>
        <v>0</v>
      </c>
      <c r="G25" s="82"/>
      <c r="H25" s="7"/>
      <c r="I25" s="7">
        <f>SUM('címrend kötelező'!D25+'címrend önként'!D25+'címrend államig'!D25)</f>
        <v>0</v>
      </c>
      <c r="J25" s="82"/>
      <c r="K25" s="7"/>
      <c r="L25" s="7">
        <f>SUM('címrend kötelező'!E25+'címrend önként'!E25+'címrend államig'!E25)</f>
        <v>0</v>
      </c>
      <c r="M25" s="82"/>
      <c r="N25" s="7"/>
      <c r="O25" s="7">
        <f>SUM('címrend kötelező'!F25+'címrend önként'!F25+'címrend államig'!F25)</f>
        <v>0</v>
      </c>
      <c r="P25" s="82"/>
      <c r="Q25" s="7"/>
      <c r="R25" s="7">
        <f>SUM('címrend kötelező'!G25+'címrend önként'!G25+'címrend államig'!G25)</f>
        <v>0</v>
      </c>
      <c r="S25" s="82"/>
      <c r="T25" s="7">
        <v>1232768</v>
      </c>
      <c r="U25" s="7">
        <f>SUM('címrend kötelező'!H25+'címrend önként'!H25+'címrend államig'!H25)</f>
        <v>761036</v>
      </c>
      <c r="V25" s="82"/>
      <c r="W25" s="7"/>
      <c r="X25" s="7">
        <f>SUM('címrend kötelező'!I25+'címrend önként'!I25+'címrend államig'!I25)</f>
        <v>0</v>
      </c>
      <c r="Y25" s="82"/>
      <c r="Z25" s="7"/>
      <c r="AA25" s="7">
        <f>SUM('címrend kötelező'!J25+'címrend önként'!J25+'címrend államig'!J25)</f>
        <v>0</v>
      </c>
      <c r="AB25" s="82"/>
      <c r="AC25" s="7"/>
      <c r="AD25" s="7">
        <f>SUM('címrend kötelező'!K25+'címrend önként'!K25+'címrend államig'!K25)</f>
        <v>0</v>
      </c>
      <c r="AE25" s="82"/>
      <c r="AF25" s="7"/>
      <c r="AG25" s="7">
        <f>SUM('címrend kötelező'!L25+'címrend önként'!L25+'címrend államig'!L25)</f>
        <v>0</v>
      </c>
      <c r="AH25" s="82"/>
      <c r="AI25" s="7"/>
      <c r="AJ25" s="7">
        <f>SUM('címrend kötelező'!M25+'címrend önként'!M25+'címrend államig'!M25)</f>
        <v>0</v>
      </c>
      <c r="AK25" s="82"/>
      <c r="AL25" s="7"/>
      <c r="AM25" s="7">
        <f>SUM('címrend kötelező'!N25+'címrend önként'!N25+'címrend államig'!N25)</f>
        <v>0</v>
      </c>
      <c r="AN25" s="82"/>
      <c r="AO25" s="7"/>
      <c r="AP25" s="7">
        <f>SUM('címrend kötelező'!O25+'címrend önként'!O25+'címrend államig'!O25)</f>
        <v>0</v>
      </c>
      <c r="AQ25" s="82"/>
      <c r="AR25" s="7"/>
      <c r="AS25" s="7">
        <f>SUM('címrend kötelező'!P25+'címrend önként'!P25+'címrend államig'!P25)</f>
        <v>0</v>
      </c>
      <c r="AT25" s="82"/>
      <c r="AU25" s="7"/>
      <c r="AV25" s="7">
        <f>SUM('címrend kötelező'!Q25+'címrend önként'!Q25+'címrend államig'!Q25)</f>
        <v>0</v>
      </c>
      <c r="AW25" s="82"/>
      <c r="AX25" s="7"/>
      <c r="AY25" s="7">
        <f>SUM('címrend kötelező'!R25+'címrend önként'!R25+'címrend államig'!R25)</f>
        <v>0</v>
      </c>
      <c r="AZ25" s="82"/>
      <c r="BA25" s="7"/>
      <c r="BB25" s="7">
        <f>SUM('címrend kötelező'!S25+'címrend önként'!S25+'címrend államig'!S25)</f>
        <v>0</v>
      </c>
      <c r="BC25" s="82"/>
      <c r="BD25" s="7"/>
      <c r="BE25" s="7">
        <f>SUM('címrend kötelező'!T25+'címrend önként'!T25+'címrend államig'!T25)</f>
        <v>0</v>
      </c>
      <c r="BF25" s="82"/>
      <c r="BG25" s="7"/>
      <c r="BH25" s="7">
        <f>SUM('címrend kötelező'!U25+'címrend önként'!U25+'címrend államig'!U25)</f>
        <v>0</v>
      </c>
      <c r="BI25" s="82"/>
      <c r="BJ25" s="7"/>
      <c r="BK25" s="7">
        <f>SUM('címrend kötelező'!V25+'címrend önként'!V25+'címrend államig'!V25)</f>
        <v>0</v>
      </c>
      <c r="BL25" s="82"/>
      <c r="BM25" s="7"/>
      <c r="BN25" s="7">
        <f>SUM('címrend kötelező'!W25+'címrend önként'!W25+'címrend államig'!W25)</f>
        <v>0</v>
      </c>
      <c r="BO25" s="82"/>
      <c r="BP25" s="7"/>
      <c r="BQ25" s="7">
        <f>SUM('címrend kötelező'!X25+'címrend önként'!X25+'címrend államig'!X25)</f>
        <v>0</v>
      </c>
      <c r="BR25" s="82"/>
      <c r="BS25" s="7"/>
      <c r="BT25" s="7">
        <f>SUM('címrend kötelező'!Y25+'címrend önként'!Y25+'címrend államig'!Y25)</f>
        <v>0</v>
      </c>
      <c r="BU25" s="82"/>
      <c r="BV25" s="7"/>
      <c r="BW25" s="7">
        <f>SUM('címrend kötelező'!Z25+'címrend önként'!Z25+'címrend államig'!Z25)</f>
        <v>0</v>
      </c>
      <c r="BX25" s="82"/>
      <c r="BY25" s="7"/>
      <c r="BZ25" s="7">
        <f>SUM('címrend kötelező'!AA25+'címrend önként'!AA25+'címrend államig'!AA25)</f>
        <v>0</v>
      </c>
      <c r="CA25" s="82"/>
      <c r="CB25" s="7"/>
      <c r="CC25" s="7">
        <f>SUM('címrend kötelező'!AB25+'címrend önként'!AB25+'címrend államig'!AB25)</f>
        <v>0</v>
      </c>
      <c r="CD25" s="82"/>
      <c r="CE25" s="7"/>
      <c r="CF25" s="7">
        <f>SUM('címrend kötelező'!AC25+'címrend önként'!AC25+'címrend államig'!AC25)</f>
        <v>0</v>
      </c>
      <c r="CG25" s="82"/>
      <c r="CH25" s="7"/>
      <c r="CI25" s="7">
        <f>SUM('címrend kötelező'!AD25+'címrend önként'!AD25+'címrend államig'!AD25)</f>
        <v>0</v>
      </c>
      <c r="CJ25" s="82"/>
      <c r="CK25" s="7"/>
      <c r="CL25" s="7">
        <f>SUM('címrend kötelező'!AE25+'címrend önként'!AE25+'címrend államig'!AE25)</f>
        <v>0</v>
      </c>
      <c r="CM25" s="82"/>
      <c r="CN25" s="7"/>
      <c r="CO25" s="7">
        <f>SUM('címrend kötelező'!AF25+'címrend önként'!AF25+'címrend államig'!AF25)</f>
        <v>0</v>
      </c>
      <c r="CP25" s="82"/>
      <c r="CQ25" s="7"/>
      <c r="CR25" s="7">
        <f>SUM('címrend kötelező'!AG25+'címrend önként'!AG25+'címrend államig'!AG25)</f>
        <v>0</v>
      </c>
      <c r="CS25" s="82"/>
      <c r="CT25" s="7"/>
      <c r="CU25" s="7">
        <f>SUM('címrend kötelező'!AH25+'címrend önként'!AH25+'címrend államig'!AH25)</f>
        <v>0</v>
      </c>
      <c r="CV25" s="82"/>
      <c r="CW25" s="7"/>
      <c r="CX25" s="7">
        <f>SUM('címrend kötelező'!AI25+'címrend önként'!AI25+'címrend államig'!AI25)</f>
        <v>0</v>
      </c>
      <c r="CY25" s="82"/>
      <c r="CZ25" s="7"/>
      <c r="DA25" s="7">
        <f>SUM('címrend kötelező'!AJ25+'címrend önként'!AJ25+'címrend államig'!AJ25)</f>
        <v>0</v>
      </c>
      <c r="DB25" s="82"/>
      <c r="DC25" s="7"/>
      <c r="DD25" s="7">
        <f>SUM('címrend kötelező'!AK25+'címrend önként'!AK25+'címrend államig'!AK25)</f>
        <v>0</v>
      </c>
      <c r="DE25" s="82"/>
      <c r="DF25" s="7"/>
      <c r="DG25" s="7">
        <f>SUM('címrend kötelező'!AL25+'címrend önként'!AL25+'címrend államig'!AL25)</f>
        <v>0</v>
      </c>
      <c r="DH25" s="82"/>
      <c r="DI25" s="7"/>
      <c r="DJ25" s="7">
        <f>SUM('címrend kötelező'!AM25+'címrend önként'!AM25+'címrend államig'!AM25)</f>
        <v>0</v>
      </c>
      <c r="DK25" s="82"/>
      <c r="DL25" s="7"/>
      <c r="DM25" s="7">
        <f>SUM('címrend kötelező'!AN25+'címrend önként'!AN25+'címrend államig'!AN25)</f>
        <v>0</v>
      </c>
      <c r="DN25" s="82"/>
      <c r="DO25" s="7"/>
      <c r="DP25" s="7">
        <f>SUM('címrend kötelező'!AO25+'címrend önként'!AO25+'címrend államig'!AO25)</f>
        <v>0</v>
      </c>
      <c r="DQ25" s="82"/>
      <c r="DR25" s="387">
        <f t="shared" si="169"/>
        <v>1232768</v>
      </c>
      <c r="DS25" s="387">
        <f t="shared" si="169"/>
        <v>761036</v>
      </c>
      <c r="DT25" s="87">
        <f>DS25/DR25*100</f>
        <v>61.733919115356663</v>
      </c>
      <c r="DU25" s="7"/>
      <c r="DV25" s="7">
        <f>SUM('címrend kötelező'!AQ25+'címrend önként'!AQ25+'címrend államig'!AQ25)</f>
        <v>0</v>
      </c>
      <c r="DW25" s="38"/>
      <c r="DX25" s="7"/>
      <c r="DY25" s="7">
        <f>SUM('címrend kötelező'!AR25+'címrend önként'!AR25+'címrend államig'!AR25)</f>
        <v>0</v>
      </c>
      <c r="DZ25" s="38"/>
      <c r="EA25" s="7"/>
      <c r="EB25" s="7">
        <f>SUM('címrend kötelező'!AS25+'címrend önként'!AS25+'címrend államig'!AS25)</f>
        <v>0</v>
      </c>
      <c r="EC25" s="38"/>
      <c r="ED25" s="7"/>
      <c r="EE25" s="7">
        <f>SUM('címrend kötelező'!AT25+'címrend önként'!AT25+'címrend államig'!AT25)</f>
        <v>0</v>
      </c>
      <c r="EF25" s="38"/>
      <c r="EG25" s="7"/>
      <c r="EH25" s="7">
        <f>SUM('címrend kötelező'!AU25+'címrend önként'!AU25+'címrend államig'!AU25)</f>
        <v>0</v>
      </c>
      <c r="EI25" s="38"/>
      <c r="EJ25" s="7"/>
      <c r="EK25" s="7">
        <f>SUM('címrend kötelező'!AV25+'címrend önként'!AV25+'címrend államig'!AV25)</f>
        <v>0</v>
      </c>
      <c r="EL25" s="38"/>
      <c r="EM25" s="7"/>
      <c r="EN25" s="7">
        <f>SUM('címrend kötelező'!AW25+'címrend önként'!AW25+'címrend államig'!AW25)</f>
        <v>0</v>
      </c>
      <c r="EO25" s="38"/>
      <c r="EP25" s="7"/>
      <c r="EQ25" s="7">
        <f>SUM('címrend kötelező'!AX25+'címrend önként'!AX25+'címrend államig'!AX25)</f>
        <v>0</v>
      </c>
      <c r="ER25" s="38"/>
      <c r="ES25" s="7"/>
      <c r="ET25" s="7">
        <f>SUM('címrend kötelező'!AY25+'címrend önként'!AY25+'címrend államig'!AY25)</f>
        <v>0</v>
      </c>
      <c r="EU25" s="38"/>
      <c r="EV25" s="387">
        <f t="shared" si="179"/>
        <v>0</v>
      </c>
      <c r="EW25" s="387">
        <f t="shared" si="179"/>
        <v>0</v>
      </c>
      <c r="EX25" s="87"/>
      <c r="EY25" s="7"/>
      <c r="EZ25" s="7">
        <f>'címrend kötelező'!BA25+'címrend önként'!BA25+'címrend államig'!BA25</f>
        <v>0</v>
      </c>
      <c r="FA25" s="38"/>
      <c r="FB25" s="7"/>
      <c r="FC25" s="7">
        <f>'címrend kötelező'!BB25+'címrend önként'!BB25+'címrend államig'!BB25</f>
        <v>0</v>
      </c>
      <c r="FD25" s="38"/>
      <c r="FE25" s="7"/>
      <c r="FF25" s="7">
        <f>'címrend kötelező'!BC25+'címrend önként'!BC25+'címrend államig'!BC25</f>
        <v>0</v>
      </c>
      <c r="FG25" s="38"/>
      <c r="FH25" s="7"/>
      <c r="FI25" s="7">
        <f>'címrend kötelező'!BD25+'címrend önként'!BD25+'címrend államig'!BD25</f>
        <v>0</v>
      </c>
      <c r="FJ25" s="38"/>
      <c r="FK25" s="38"/>
      <c r="FL25" s="7">
        <f>'címrend kötelező'!BE25+'címrend önként'!BE25+'címrend államig'!BE25</f>
        <v>0</v>
      </c>
      <c r="FM25" s="38"/>
      <c r="FN25" s="7"/>
      <c r="FO25" s="7">
        <f>SUM('címrend kötelező'!BF25+'címrend önként'!BF25+'címrend államig'!BF25)</f>
        <v>0</v>
      </c>
      <c r="FP25" s="38"/>
      <c r="FQ25" s="7"/>
      <c r="FR25" s="7">
        <f>SUM('címrend kötelező'!BG25+'címrend önként'!BG25+'címrend államig'!BG25)</f>
        <v>0</v>
      </c>
      <c r="FS25" s="38"/>
      <c r="FT25" s="7"/>
      <c r="FU25" s="7">
        <f>SUM('címrend kötelező'!BH25+'címrend önként'!BH25+'címrend államig'!BH25)</f>
        <v>0</v>
      </c>
      <c r="FV25" s="38"/>
      <c r="FW25" s="7"/>
      <c r="FX25" s="7">
        <f>SUM('címrend kötelező'!BI25+'címrend önként'!BI25+'címrend államig'!BI25)</f>
        <v>0</v>
      </c>
      <c r="FY25" s="38"/>
      <c r="FZ25" s="7"/>
      <c r="GA25" s="7">
        <f>SUM('címrend kötelező'!BJ25+'címrend önként'!BJ25+'címrend államig'!BJ25)</f>
        <v>0</v>
      </c>
      <c r="GB25" s="38"/>
      <c r="GC25" s="7"/>
      <c r="GD25" s="7">
        <f>SUM('címrend kötelező'!BK25+'címrend önként'!BK25+'címrend államig'!BK25)</f>
        <v>0</v>
      </c>
      <c r="GE25" s="38"/>
      <c r="GF25" s="7"/>
      <c r="GG25" s="7">
        <f>SUM('címrend kötelező'!BL25+'címrend önként'!BL25+'címrend államig'!BL25)</f>
        <v>0</v>
      </c>
      <c r="GH25" s="38"/>
      <c r="GI25" s="7"/>
      <c r="GJ25" s="7">
        <f>SUM('címrend kötelező'!BM25+'címrend önként'!BM25+'címrend államig'!BM25)</f>
        <v>0</v>
      </c>
      <c r="GK25" s="38"/>
      <c r="GL25" s="7"/>
      <c r="GM25" s="7">
        <f>SUM('címrend kötelező'!BN25+'címrend önként'!BN25+'címrend államig'!BN25)</f>
        <v>0</v>
      </c>
      <c r="GN25" s="38"/>
      <c r="GO25" s="387">
        <f t="shared" si="117"/>
        <v>0</v>
      </c>
      <c r="GP25" s="387">
        <f t="shared" si="200"/>
        <v>0</v>
      </c>
      <c r="GQ25" s="387"/>
      <c r="GR25" s="7"/>
      <c r="GS25" s="7">
        <f>SUM('címrend kötelező'!BP25+'címrend önként'!BP25+'címrend államig'!BP25)</f>
        <v>0</v>
      </c>
      <c r="GT25" s="38"/>
      <c r="GU25" s="7"/>
      <c r="GV25" s="7">
        <f>SUM('címrend kötelező'!BQ25+'címrend önként'!BQ25+'címrend államig'!BQ25)</f>
        <v>0</v>
      </c>
      <c r="GW25" s="38"/>
      <c r="GX25" s="7"/>
      <c r="GY25" s="7">
        <f>SUM('címrend kötelező'!BR25+'címrend önként'!BR25+'címrend államig'!BR25)</f>
        <v>0</v>
      </c>
      <c r="GZ25" s="38"/>
      <c r="HA25" s="38">
        <f t="shared" si="198"/>
        <v>0</v>
      </c>
      <c r="HB25" s="38">
        <f t="shared" si="198"/>
        <v>0</v>
      </c>
      <c r="HC25" s="38"/>
      <c r="HD25" s="38">
        <f t="shared" si="127"/>
        <v>1232768</v>
      </c>
      <c r="HE25" s="38">
        <f t="shared" si="128"/>
        <v>761036</v>
      </c>
      <c r="HF25" s="238">
        <f t="shared" si="129"/>
        <v>61.733919115356663</v>
      </c>
      <c r="HH25" s="242"/>
      <c r="HI25" s="242"/>
    </row>
    <row r="26" spans="1:217" s="13" customFormat="1" ht="15" customHeight="1" thickBot="1" x14ac:dyDescent="0.3">
      <c r="A26" s="214" t="s">
        <v>353</v>
      </c>
      <c r="B26" s="36">
        <f>B7+B18</f>
        <v>167015</v>
      </c>
      <c r="C26" s="36">
        <f>C7+C18</f>
        <v>206863</v>
      </c>
      <c r="D26" s="83">
        <f t="shared" si="199"/>
        <v>123.85893482621321</v>
      </c>
      <c r="E26" s="36">
        <f t="shared" ref="E26:F26" si="398">E7+E18</f>
        <v>0</v>
      </c>
      <c r="F26" s="36">
        <f t="shared" si="398"/>
        <v>0</v>
      </c>
      <c r="G26" s="83"/>
      <c r="H26" s="36">
        <f t="shared" ref="H26:I26" si="399">H7+H18</f>
        <v>3353</v>
      </c>
      <c r="I26" s="36">
        <f t="shared" si="399"/>
        <v>3353</v>
      </c>
      <c r="J26" s="83">
        <f t="shared" ref="J26" si="400">I26/H26*100</f>
        <v>100</v>
      </c>
      <c r="K26" s="36">
        <f t="shared" ref="K26:L26" si="401">K7+K18</f>
        <v>6832</v>
      </c>
      <c r="L26" s="36">
        <f t="shared" si="401"/>
        <v>22185.599999999999</v>
      </c>
      <c r="M26" s="83">
        <f t="shared" ref="M26" si="402">L26/K26*100</f>
        <v>324.73067915690865</v>
      </c>
      <c r="N26" s="36">
        <f t="shared" ref="N26:O26" si="403">N7+N18</f>
        <v>160628</v>
      </c>
      <c r="O26" s="36">
        <f t="shared" si="403"/>
        <v>29715</v>
      </c>
      <c r="P26" s="83">
        <f t="shared" ref="P26" si="404">O26/N26*100</f>
        <v>18.499265383370272</v>
      </c>
      <c r="Q26" s="36">
        <f t="shared" ref="Q26:R26" si="405">Q7+Q18</f>
        <v>513406</v>
      </c>
      <c r="R26" s="36">
        <f t="shared" si="405"/>
        <v>284466</v>
      </c>
      <c r="S26" s="83">
        <f t="shared" ref="S26" si="406">R26/Q26*100</f>
        <v>55.407611130372459</v>
      </c>
      <c r="T26" s="36">
        <f t="shared" ref="T26:U26" si="407">T7+T18</f>
        <v>1232768</v>
      </c>
      <c r="U26" s="36">
        <f t="shared" si="407"/>
        <v>761036</v>
      </c>
      <c r="V26" s="83">
        <f t="shared" ref="V26" si="408">U26/T26*100</f>
        <v>61.733919115356663</v>
      </c>
      <c r="W26" s="36">
        <f t="shared" ref="W26:X26" si="409">W7+W18</f>
        <v>7000</v>
      </c>
      <c r="X26" s="36">
        <f t="shared" si="409"/>
        <v>5504</v>
      </c>
      <c r="Y26" s="83">
        <f t="shared" ref="Y26" si="410">X26/W26*100</f>
        <v>78.628571428571419</v>
      </c>
      <c r="Z26" s="36">
        <f t="shared" ref="Z26:AA26" si="411">Z7+Z18</f>
        <v>0</v>
      </c>
      <c r="AA26" s="36">
        <f t="shared" si="411"/>
        <v>28722</v>
      </c>
      <c r="AB26" s="83"/>
      <c r="AC26" s="36">
        <f t="shared" ref="AC26:AD26" si="412">AC7+AC18</f>
        <v>0</v>
      </c>
      <c r="AD26" s="36">
        <f t="shared" si="412"/>
        <v>0</v>
      </c>
      <c r="AE26" s="83"/>
      <c r="AF26" s="36">
        <f t="shared" ref="AF26:AG26" si="413">AF7+AF18</f>
        <v>5050</v>
      </c>
      <c r="AG26" s="36">
        <f t="shared" si="413"/>
        <v>14850</v>
      </c>
      <c r="AH26" s="83">
        <f t="shared" ref="AH26" si="414">AG26/AF26*100</f>
        <v>294.05940594059405</v>
      </c>
      <c r="AI26" s="36">
        <f t="shared" ref="AI26:AJ26" si="415">AI7+AI18</f>
        <v>13210</v>
      </c>
      <c r="AJ26" s="36">
        <f t="shared" si="415"/>
        <v>30190</v>
      </c>
      <c r="AK26" s="83">
        <f t="shared" ref="AK26" si="416">AJ26/AI26*100</f>
        <v>228.53898561695684</v>
      </c>
      <c r="AL26" s="36">
        <f t="shared" ref="AL26:AM26" si="417">AL7+AL18</f>
        <v>143901</v>
      </c>
      <c r="AM26" s="36">
        <f t="shared" si="417"/>
        <v>124200</v>
      </c>
      <c r="AN26" s="83">
        <f t="shared" ref="AN26" si="418">AM26/AL26*100</f>
        <v>86.309337669647874</v>
      </c>
      <c r="AO26" s="36">
        <f t="shared" ref="AO26:AP26" si="419">AO7+AO18</f>
        <v>1121188</v>
      </c>
      <c r="AP26" s="36">
        <f t="shared" si="419"/>
        <v>1108100</v>
      </c>
      <c r="AQ26" s="83">
        <f t="shared" ref="AQ26" si="420">AP26/AO26*100</f>
        <v>98.832666778452861</v>
      </c>
      <c r="AR26" s="36">
        <f t="shared" ref="AR26:AS26" si="421">AR7+AR18</f>
        <v>15000</v>
      </c>
      <c r="AS26" s="36">
        <f t="shared" si="421"/>
        <v>10000</v>
      </c>
      <c r="AT26" s="83">
        <f t="shared" ref="AT26" si="422">AS26/AR26*100</f>
        <v>66.666666666666657</v>
      </c>
      <c r="AU26" s="36">
        <f t="shared" ref="AU26:AV26" si="423">AU7+AU18</f>
        <v>172107</v>
      </c>
      <c r="AV26" s="36">
        <f t="shared" si="423"/>
        <v>186850</v>
      </c>
      <c r="AW26" s="83">
        <f t="shared" ref="AW26" si="424">AV26/AU26*100</f>
        <v>108.56618266543488</v>
      </c>
      <c r="AX26" s="36">
        <f t="shared" ref="AX26:AY26" si="425">AX7+AX18</f>
        <v>59689</v>
      </c>
      <c r="AY26" s="36">
        <f t="shared" si="425"/>
        <v>117280</v>
      </c>
      <c r="AZ26" s="83">
        <f t="shared" ref="AZ26" si="426">AY26/AX26*100</f>
        <v>196.48511451021128</v>
      </c>
      <c r="BA26" s="36">
        <f t="shared" ref="BA26:BB26" si="427">BA7+BA18</f>
        <v>0</v>
      </c>
      <c r="BB26" s="36">
        <f t="shared" si="427"/>
        <v>20000</v>
      </c>
      <c r="BC26" s="83"/>
      <c r="BD26" s="36">
        <f t="shared" ref="BD26:BE26" si="428">BD7+BD18</f>
        <v>300</v>
      </c>
      <c r="BE26" s="36">
        <f t="shared" si="428"/>
        <v>300</v>
      </c>
      <c r="BF26" s="83">
        <f t="shared" ref="BF26" si="429">BE26/BD26*100</f>
        <v>100</v>
      </c>
      <c r="BG26" s="36">
        <f t="shared" ref="BG26:BH26" si="430">BG7+BG18</f>
        <v>146888</v>
      </c>
      <c r="BH26" s="36">
        <f t="shared" si="430"/>
        <v>170376</v>
      </c>
      <c r="BI26" s="83">
        <f t="shared" ref="BI26" si="431">BH26/BG26*100</f>
        <v>115.99041446544305</v>
      </c>
      <c r="BJ26" s="36">
        <f t="shared" ref="BJ26:BK26" si="432">BJ7+BJ18</f>
        <v>0</v>
      </c>
      <c r="BK26" s="36">
        <f t="shared" si="432"/>
        <v>0</v>
      </c>
      <c r="BL26" s="83"/>
      <c r="BM26" s="36">
        <f t="shared" ref="BM26:BN26" si="433">BM7+BM18</f>
        <v>19500</v>
      </c>
      <c r="BN26" s="36">
        <f t="shared" si="433"/>
        <v>3800</v>
      </c>
      <c r="BO26" s="83">
        <f t="shared" ref="BO26" si="434">BN26/BM26*100</f>
        <v>19.487179487179489</v>
      </c>
      <c r="BP26" s="36">
        <f t="shared" ref="BP26:BQ26" si="435">BP7+BP18</f>
        <v>909621</v>
      </c>
      <c r="BQ26" s="36">
        <f t="shared" si="435"/>
        <v>2524497</v>
      </c>
      <c r="BR26" s="83">
        <f t="shared" ref="BR26" si="436">BQ26/BP26*100</f>
        <v>277.53284060064578</v>
      </c>
      <c r="BS26" s="36">
        <f t="shared" ref="BS26:BT26" si="437">BS7+BS18</f>
        <v>137489</v>
      </c>
      <c r="BT26" s="36">
        <f t="shared" si="437"/>
        <v>128204</v>
      </c>
      <c r="BU26" s="83">
        <f t="shared" ref="BU26" si="438">BT26/BS26*100</f>
        <v>93.246732465869997</v>
      </c>
      <c r="BV26" s="36">
        <f t="shared" ref="BV26:BW26" si="439">BV7+BV18</f>
        <v>0</v>
      </c>
      <c r="BW26" s="36">
        <f t="shared" si="439"/>
        <v>0</v>
      </c>
      <c r="BX26" s="83"/>
      <c r="BY26" s="36">
        <f t="shared" ref="BY26:BZ26" si="440">BY7+BY18</f>
        <v>943567</v>
      </c>
      <c r="BZ26" s="36">
        <f t="shared" si="440"/>
        <v>1181735</v>
      </c>
      <c r="CA26" s="83">
        <f t="shared" ref="CA26" si="441">BZ26/BY26*100</f>
        <v>125.24123883094683</v>
      </c>
      <c r="CB26" s="36">
        <f t="shared" ref="CB26:CC26" si="442">CB7+CB18</f>
        <v>0</v>
      </c>
      <c r="CC26" s="36">
        <f t="shared" si="442"/>
        <v>0</v>
      </c>
      <c r="CD26" s="83"/>
      <c r="CE26" s="36">
        <f t="shared" ref="CE26:CF26" si="443">CE7+CE18</f>
        <v>4237203</v>
      </c>
      <c r="CF26" s="36">
        <f t="shared" si="443"/>
        <v>4033745</v>
      </c>
      <c r="CG26" s="83">
        <f t="shared" ref="CG26" si="444">CF26/CE26*100</f>
        <v>95.198294724137597</v>
      </c>
      <c r="CH26" s="36">
        <f t="shared" ref="CH26:CI26" si="445">CH7+CH18</f>
        <v>548054</v>
      </c>
      <c r="CI26" s="36">
        <f t="shared" si="445"/>
        <v>1298195</v>
      </c>
      <c r="CJ26" s="83">
        <f t="shared" ref="CJ26" si="446">CI26/CH26*100</f>
        <v>236.8735562554055</v>
      </c>
      <c r="CK26" s="36">
        <f t="shared" ref="CK26:CL26" si="447">CK7+CK18</f>
        <v>1568760</v>
      </c>
      <c r="CL26" s="36">
        <f t="shared" si="447"/>
        <v>193677</v>
      </c>
      <c r="CM26" s="83">
        <f t="shared" ref="CM26" si="448">CL26/CK26*100</f>
        <v>12.345865524363191</v>
      </c>
      <c r="CN26" s="36">
        <f t="shared" ref="CN26:CO26" si="449">CN7+CN18</f>
        <v>218687</v>
      </c>
      <c r="CO26" s="36">
        <f t="shared" si="449"/>
        <v>530493</v>
      </c>
      <c r="CP26" s="83">
        <f t="shared" ref="CP26" si="450">CO26/CN26*100</f>
        <v>242.58094902760567</v>
      </c>
      <c r="CQ26" s="36">
        <f t="shared" ref="CQ26:CR26" si="451">CQ7+CQ18</f>
        <v>0</v>
      </c>
      <c r="CR26" s="36">
        <f t="shared" si="451"/>
        <v>0</v>
      </c>
      <c r="CS26" s="83"/>
      <c r="CT26" s="36">
        <f t="shared" ref="CT26:CU26" si="452">CT7+CT18</f>
        <v>1000</v>
      </c>
      <c r="CU26" s="36">
        <f t="shared" si="452"/>
        <v>1000</v>
      </c>
      <c r="CV26" s="83">
        <f t="shared" ref="CV26" si="453">CU26/CT26*100</f>
        <v>100</v>
      </c>
      <c r="CW26" s="36">
        <f t="shared" ref="CW26:CX26" si="454">CW7+CW18</f>
        <v>8500</v>
      </c>
      <c r="CX26" s="36">
        <f t="shared" si="454"/>
        <v>12200</v>
      </c>
      <c r="CY26" s="83">
        <f t="shared" ref="CY26" si="455">CX26/CW26*100</f>
        <v>143.52941176470588</v>
      </c>
      <c r="CZ26" s="36">
        <f t="shared" ref="CZ26:DA26" si="456">CZ7+CZ18</f>
        <v>75742</v>
      </c>
      <c r="DA26" s="36">
        <f t="shared" si="456"/>
        <v>86096</v>
      </c>
      <c r="DB26" s="83">
        <f t="shared" ref="DB26" si="457">DA26/CZ26*100</f>
        <v>113.67009057062131</v>
      </c>
      <c r="DC26" s="36">
        <f t="shared" ref="DC26:DD26" si="458">DC7+DC18</f>
        <v>1000000</v>
      </c>
      <c r="DD26" s="36">
        <f t="shared" si="458"/>
        <v>300000</v>
      </c>
      <c r="DE26" s="83">
        <f t="shared" ref="DE26" si="459">DD26/DC26*100</f>
        <v>30</v>
      </c>
      <c r="DF26" s="36">
        <f t="shared" ref="DF26:DG26" si="460">DF7+DF18</f>
        <v>263782</v>
      </c>
      <c r="DG26" s="36">
        <f t="shared" si="460"/>
        <v>260465</v>
      </c>
      <c r="DH26" s="83">
        <f t="shared" ref="DH26" si="461">DG26/DF26*100</f>
        <v>98.742522234269202</v>
      </c>
      <c r="DI26" s="36">
        <f t="shared" ref="DI26:DJ26" si="462">DI7+DI18</f>
        <v>102568</v>
      </c>
      <c r="DJ26" s="36">
        <f t="shared" si="462"/>
        <v>124130</v>
      </c>
      <c r="DK26" s="83">
        <f t="shared" ref="DK26" si="463">DJ26/DI26*100</f>
        <v>121.02215115825598</v>
      </c>
      <c r="DL26" s="36">
        <f t="shared" ref="DL26:DM26" si="464">DL7+DL18</f>
        <v>143716</v>
      </c>
      <c r="DM26" s="36">
        <f t="shared" si="464"/>
        <v>132644</v>
      </c>
      <c r="DN26" s="83">
        <f t="shared" ref="DN26" si="465">DM26/DL26*100</f>
        <v>92.295916947312747</v>
      </c>
      <c r="DO26" s="36">
        <f t="shared" ref="DO26:DP26" si="466">DO7+DO18</f>
        <v>968958</v>
      </c>
      <c r="DP26" s="36">
        <f t="shared" si="466"/>
        <v>838769</v>
      </c>
      <c r="DQ26" s="83">
        <f t="shared" ref="DQ26" si="467">DP26/DO26*100</f>
        <v>86.564020318734151</v>
      </c>
      <c r="DR26" s="81">
        <f t="shared" si="169"/>
        <v>14915482</v>
      </c>
      <c r="DS26" s="81">
        <f t="shared" si="169"/>
        <v>14773640.6</v>
      </c>
      <c r="DT26" s="83">
        <f t="shared" si="170"/>
        <v>99.049032408071028</v>
      </c>
      <c r="DU26" s="36">
        <f>DU7+DU18</f>
        <v>17608</v>
      </c>
      <c r="DV26" s="36">
        <f>DV7+DV18</f>
        <v>12303</v>
      </c>
      <c r="DW26" s="83">
        <f t="shared" ref="DW26:DW28" si="468">DV26/DU26*100</f>
        <v>69.871649250340752</v>
      </c>
      <c r="DX26" s="36">
        <f t="shared" ref="DX26:DY26" si="469">DX7+DX18</f>
        <v>5811</v>
      </c>
      <c r="DY26" s="36">
        <f t="shared" si="469"/>
        <v>5789</v>
      </c>
      <c r="DZ26" s="83">
        <f t="shared" ref="DZ26:DZ28" si="470">DY26/DX26*100</f>
        <v>99.621407675098951</v>
      </c>
      <c r="EA26" s="36">
        <f t="shared" ref="EA26:EB26" si="471">EA7+EA18</f>
        <v>5832</v>
      </c>
      <c r="EB26" s="36">
        <f t="shared" si="471"/>
        <v>5440</v>
      </c>
      <c r="EC26" s="83">
        <f t="shared" ref="EC26:EC28" si="472">EB26/EA26*100</f>
        <v>93.27846364883402</v>
      </c>
      <c r="ED26" s="36">
        <f t="shared" ref="ED26:EE26" si="473">ED7+ED18</f>
        <v>330502</v>
      </c>
      <c r="EE26" s="36">
        <f t="shared" si="473"/>
        <v>260493</v>
      </c>
      <c r="EF26" s="83">
        <f t="shared" ref="EF26:EF28" si="474">EE26/ED26*100</f>
        <v>78.817374781393156</v>
      </c>
      <c r="EG26" s="36">
        <f t="shared" ref="EG26:EH26" si="475">EG7+EG18</f>
        <v>116046</v>
      </c>
      <c r="EH26" s="36">
        <f t="shared" si="475"/>
        <v>76526</v>
      </c>
      <c r="EI26" s="83">
        <f t="shared" ref="EI26:EI27" si="476">EH26/EG26*100</f>
        <v>65.944539234441507</v>
      </c>
      <c r="EJ26" s="36">
        <f t="shared" ref="EJ26:EK26" si="477">EJ7+EJ18</f>
        <v>79759</v>
      </c>
      <c r="EK26" s="36">
        <f t="shared" si="477"/>
        <v>37118</v>
      </c>
      <c r="EL26" s="83">
        <f t="shared" ref="EL26:EL27" si="478">EK26/EJ26*100</f>
        <v>46.537694805601873</v>
      </c>
      <c r="EM26" s="36">
        <f t="shared" ref="EM26:EN26" si="479">EM7+EM18</f>
        <v>14410</v>
      </c>
      <c r="EN26" s="36">
        <f t="shared" si="479"/>
        <v>14264</v>
      </c>
      <c r="EO26" s="83">
        <f t="shared" ref="EO26:EO27" si="480">EN26/EM26*100</f>
        <v>98.986814712005554</v>
      </c>
      <c r="EP26" s="36">
        <f t="shared" ref="EP26:EQ26" si="481">EP7+EP18</f>
        <v>1445232</v>
      </c>
      <c r="EQ26" s="36">
        <f t="shared" si="481"/>
        <v>1471892</v>
      </c>
      <c r="ER26" s="83">
        <f t="shared" ref="ER26:ER27" si="482">EQ26/EP26*100</f>
        <v>101.84468652783774</v>
      </c>
      <c r="ES26" s="36">
        <f t="shared" ref="ES26:ET26" si="483">ES7+ES18</f>
        <v>534968</v>
      </c>
      <c r="ET26" s="36">
        <f t="shared" si="483"/>
        <v>538750</v>
      </c>
      <c r="EU26" s="83">
        <f t="shared" ref="EU26:EU28" si="484">ET26/ES26*100</f>
        <v>100.70695817319914</v>
      </c>
      <c r="EV26" s="81">
        <f t="shared" si="179"/>
        <v>2550168</v>
      </c>
      <c r="EW26" s="81">
        <f t="shared" si="179"/>
        <v>2422575</v>
      </c>
      <c r="EX26" s="83">
        <f t="shared" ref="EX26:EX28" si="485">EW26/EV26*100</f>
        <v>94.996682571501168</v>
      </c>
      <c r="EY26" s="36">
        <f t="shared" ref="EY26:EZ26" si="486">EY7+EY18</f>
        <v>69860</v>
      </c>
      <c r="EZ26" s="36">
        <f t="shared" si="486"/>
        <v>70134</v>
      </c>
      <c r="FA26" s="83">
        <f t="shared" ref="FA26:FA28" si="487">EZ26/EY26*100</f>
        <v>100.39221299742343</v>
      </c>
      <c r="FB26" s="36">
        <f t="shared" ref="FB26:FC26" si="488">FB7+FB18</f>
        <v>155006</v>
      </c>
      <c r="FC26" s="36">
        <f t="shared" si="488"/>
        <v>159215</v>
      </c>
      <c r="FD26" s="83">
        <f t="shared" ref="FD26:FD28" si="489">FC26/FB26*100</f>
        <v>102.71537875953189</v>
      </c>
      <c r="FE26" s="36">
        <f t="shared" ref="FE26:FF26" si="490">FE7+FE18</f>
        <v>63801</v>
      </c>
      <c r="FF26" s="36">
        <f t="shared" si="490"/>
        <v>69408</v>
      </c>
      <c r="FG26" s="83">
        <f t="shared" ref="FG26:FG27" si="491">FF26/FE26*100</f>
        <v>108.78826350684159</v>
      </c>
      <c r="FH26" s="36">
        <f t="shared" ref="FH26:FI26" si="492">FH7+FH18</f>
        <v>318036</v>
      </c>
      <c r="FI26" s="36">
        <f t="shared" si="492"/>
        <v>493265</v>
      </c>
      <c r="FJ26" s="83">
        <f t="shared" ref="FJ26:FJ28" si="493">FI26/FH26*100</f>
        <v>155.09722169817252</v>
      </c>
      <c r="FK26" s="83"/>
      <c r="FL26" s="36">
        <f t="shared" ref="FL26" si="494">FL7+FL18</f>
        <v>46367</v>
      </c>
      <c r="FM26" s="83"/>
      <c r="FN26" s="36">
        <f t="shared" ref="FN26:FO26" si="495">FN7+FN18</f>
        <v>124662</v>
      </c>
      <c r="FO26" s="36">
        <f t="shared" si="495"/>
        <v>136018</v>
      </c>
      <c r="FP26" s="83">
        <f t="shared" ref="FP26:FP27" si="496">FO26/FN26*100</f>
        <v>109.10943190386806</v>
      </c>
      <c r="FQ26" s="36">
        <f t="shared" ref="FQ26:FR26" si="497">FQ7+FQ18</f>
        <v>235020</v>
      </c>
      <c r="FR26" s="36">
        <f t="shared" si="497"/>
        <v>227009</v>
      </c>
      <c r="FS26" s="83">
        <f t="shared" ref="FS26:FS28" si="498">FR26/FQ26*100</f>
        <v>96.591353927325329</v>
      </c>
      <c r="FT26" s="36">
        <f t="shared" ref="FT26:FU26" si="499">FT7+FT18</f>
        <v>114364</v>
      </c>
      <c r="FU26" s="36">
        <f t="shared" si="499"/>
        <v>123230</v>
      </c>
      <c r="FV26" s="83">
        <f t="shared" ref="FV26:FV28" si="500">FU26/FT26*100</f>
        <v>107.75243957888847</v>
      </c>
      <c r="FW26" s="36">
        <f t="shared" ref="FW26:FX26" si="501">FW7+FW18</f>
        <v>166255</v>
      </c>
      <c r="FX26" s="36">
        <f t="shared" si="501"/>
        <v>173676</v>
      </c>
      <c r="FY26" s="83">
        <f t="shared" ref="FY26:FY28" si="502">FX26/FW26*100</f>
        <v>104.4636251541307</v>
      </c>
      <c r="FZ26" s="36">
        <f t="shared" ref="FZ26:GA26" si="503">FZ7+FZ18</f>
        <v>96824</v>
      </c>
      <c r="GA26" s="36">
        <f t="shared" si="503"/>
        <v>108816</v>
      </c>
      <c r="GB26" s="83">
        <f t="shared" ref="GB26:GB28" si="504">GA26/FZ26*100</f>
        <v>112.38535900190037</v>
      </c>
      <c r="GC26" s="36">
        <f t="shared" ref="GC26:GD26" si="505">GC7+GC18</f>
        <v>16644</v>
      </c>
      <c r="GD26" s="36">
        <f t="shared" si="505"/>
        <v>20276</v>
      </c>
      <c r="GE26" s="83">
        <f t="shared" ref="GE26:GE27" si="506">GD26/GC26*100</f>
        <v>121.82167748137466</v>
      </c>
      <c r="GF26" s="36">
        <f t="shared" ref="GF26:GG26" si="507">GF7+GF18</f>
        <v>59358</v>
      </c>
      <c r="GG26" s="36">
        <f t="shared" si="507"/>
        <v>57090</v>
      </c>
      <c r="GH26" s="83">
        <f t="shared" ref="GH26:GH27" si="508">GG26/GF26*100</f>
        <v>96.179116547053468</v>
      </c>
      <c r="GI26" s="36">
        <f t="shared" ref="GI26:GJ26" si="509">GI7+GI18</f>
        <v>71644</v>
      </c>
      <c r="GJ26" s="36">
        <f t="shared" si="509"/>
        <v>70550</v>
      </c>
      <c r="GK26" s="83">
        <f t="shared" ref="GK26:GK27" si="510">GJ26/GI26*100</f>
        <v>98.47300541566635</v>
      </c>
      <c r="GL26" s="36">
        <f t="shared" ref="GL26:GM26" si="511">GL7+GL18</f>
        <v>792126</v>
      </c>
      <c r="GM26" s="36">
        <f t="shared" si="511"/>
        <v>808636</v>
      </c>
      <c r="GN26" s="83">
        <f t="shared" ref="GN26:GN28" si="512">GM26/GL26*100</f>
        <v>102.08426437208222</v>
      </c>
      <c r="GO26" s="81">
        <f t="shared" si="117"/>
        <v>2283600</v>
      </c>
      <c r="GP26" s="36">
        <f t="shared" ref="GP26" si="513">GP7+GP18</f>
        <v>2563690</v>
      </c>
      <c r="GQ26" s="83">
        <f t="shared" ref="GQ26:GQ28" si="514">GP26/GO26*100</f>
        <v>112.26528288667016</v>
      </c>
      <c r="GR26" s="36">
        <f t="shared" ref="GR26:GS26" si="515">GR7+GR18</f>
        <v>1021191</v>
      </c>
      <c r="GS26" s="36">
        <f t="shared" si="515"/>
        <v>1042919</v>
      </c>
      <c r="GT26" s="83">
        <f t="shared" ref="GT26:GT28" si="516">GS26/GR26*100</f>
        <v>102.127711662167</v>
      </c>
      <c r="GU26" s="36">
        <f t="shared" ref="GU26:GV26" si="517">GU7+GU18</f>
        <v>1713302</v>
      </c>
      <c r="GV26" s="36">
        <f t="shared" si="517"/>
        <v>1820317</v>
      </c>
      <c r="GW26" s="83">
        <f t="shared" ref="GW26:GW28" si="518">GV26/GU26*100</f>
        <v>106.24612590191337</v>
      </c>
      <c r="GX26" s="36">
        <f t="shared" ref="GX26:GY26" si="519">GX7+GX18</f>
        <v>1526944</v>
      </c>
      <c r="GY26" s="36">
        <f t="shared" si="519"/>
        <v>1340388</v>
      </c>
      <c r="GZ26" s="83">
        <f t="shared" ref="GZ26:GZ27" si="520">GY26/GX26*100</f>
        <v>87.782394115304811</v>
      </c>
      <c r="HA26" s="81">
        <f t="shared" si="198"/>
        <v>6545037</v>
      </c>
      <c r="HB26" s="81">
        <f t="shared" si="198"/>
        <v>6767314</v>
      </c>
      <c r="HC26" s="83">
        <f t="shared" ref="HC26:HC29" si="521">HB26/HA26*100</f>
        <v>103.39611525496342</v>
      </c>
      <c r="HD26" s="81">
        <f t="shared" si="127"/>
        <v>24010687</v>
      </c>
      <c r="HE26" s="81">
        <f t="shared" si="128"/>
        <v>23963529.600000001</v>
      </c>
      <c r="HF26" s="239">
        <f t="shared" si="129"/>
        <v>99.803598289378399</v>
      </c>
      <c r="HH26" s="242"/>
      <c r="HI26" s="242"/>
    </row>
    <row r="27" spans="1:217" ht="20.100000000000001" customHeight="1" thickBot="1" x14ac:dyDescent="0.3">
      <c r="A27" s="207" t="s">
        <v>489</v>
      </c>
      <c r="B27" s="37">
        <f>B52+B61</f>
        <v>0</v>
      </c>
      <c r="C27" s="37">
        <f>C52+C61</f>
        <v>0</v>
      </c>
      <c r="D27" s="85"/>
      <c r="E27" s="37">
        <f t="shared" ref="E27:F27" si="522">E52+E61</f>
        <v>0</v>
      </c>
      <c r="F27" s="37">
        <f t="shared" si="522"/>
        <v>0</v>
      </c>
      <c r="G27" s="85"/>
      <c r="H27" s="37">
        <f t="shared" ref="H27:I27" si="523">H52+H61</f>
        <v>0</v>
      </c>
      <c r="I27" s="37">
        <f t="shared" si="523"/>
        <v>0</v>
      </c>
      <c r="J27" s="85"/>
      <c r="K27" s="37">
        <f t="shared" ref="K27:L27" si="524">K52+K61</f>
        <v>500</v>
      </c>
      <c r="L27" s="37">
        <f t="shared" si="524"/>
        <v>300</v>
      </c>
      <c r="M27" s="85"/>
      <c r="N27" s="37">
        <f t="shared" ref="N27:O27" si="525">N52+N61</f>
        <v>0</v>
      </c>
      <c r="O27" s="37">
        <f t="shared" si="525"/>
        <v>0</v>
      </c>
      <c r="P27" s="85"/>
      <c r="Q27" s="37">
        <f t="shared" ref="Q27:R27" si="526">Q52+Q61</f>
        <v>0</v>
      </c>
      <c r="R27" s="37">
        <f t="shared" si="526"/>
        <v>0</v>
      </c>
      <c r="S27" s="85"/>
      <c r="T27" s="37">
        <f t="shared" ref="T27:U27" si="527">T52+T61</f>
        <v>0</v>
      </c>
      <c r="U27" s="37">
        <f t="shared" si="527"/>
        <v>0</v>
      </c>
      <c r="V27" s="85"/>
      <c r="W27" s="37">
        <f t="shared" ref="W27:X27" si="528">W52+W61</f>
        <v>7807000</v>
      </c>
      <c r="X27" s="37">
        <f t="shared" si="528"/>
        <v>8835936</v>
      </c>
      <c r="Y27" s="85"/>
      <c r="Z27" s="37">
        <f t="shared" ref="Z27:AA27" si="529">Z52+Z61</f>
        <v>1989538</v>
      </c>
      <c r="AA27" s="37">
        <f t="shared" si="529"/>
        <v>2030251.764</v>
      </c>
      <c r="AB27" s="85"/>
      <c r="AC27" s="37">
        <f t="shared" ref="AC27:AD27" si="530">AC52+AC61</f>
        <v>4397594</v>
      </c>
      <c r="AD27" s="37">
        <f t="shared" si="530"/>
        <v>5187758</v>
      </c>
      <c r="AE27" s="85"/>
      <c r="AF27" s="37">
        <f t="shared" ref="AF27:AG27" si="531">AF52+AF61</f>
        <v>0</v>
      </c>
      <c r="AG27" s="37">
        <f t="shared" si="531"/>
        <v>0</v>
      </c>
      <c r="AH27" s="85"/>
      <c r="AI27" s="37">
        <f t="shared" ref="AI27:AJ27" si="532">AI52+AI61</f>
        <v>5603</v>
      </c>
      <c r="AJ27" s="37">
        <f t="shared" si="532"/>
        <v>5698</v>
      </c>
      <c r="AK27" s="85"/>
      <c r="AL27" s="37">
        <f t="shared" ref="AL27:AM27" si="533">AL52+AL61</f>
        <v>4000</v>
      </c>
      <c r="AM27" s="37">
        <f t="shared" si="533"/>
        <v>4000</v>
      </c>
      <c r="AN27" s="85"/>
      <c r="AO27" s="37">
        <f t="shared" ref="AO27:AP27" si="534">AO52+AO61</f>
        <v>1529011</v>
      </c>
      <c r="AP27" s="37">
        <f t="shared" si="534"/>
        <v>1649610</v>
      </c>
      <c r="AQ27" s="85"/>
      <c r="AR27" s="37">
        <f t="shared" ref="AR27:AS27" si="535">AR52+AR61</f>
        <v>0</v>
      </c>
      <c r="AS27" s="37">
        <f t="shared" si="535"/>
        <v>0</v>
      </c>
      <c r="AT27" s="85"/>
      <c r="AU27" s="37">
        <f t="shared" ref="AU27:AV27" si="536">AU52+AU61</f>
        <v>1300</v>
      </c>
      <c r="AV27" s="37">
        <f t="shared" si="536"/>
        <v>0</v>
      </c>
      <c r="AW27" s="85"/>
      <c r="AX27" s="37">
        <f t="shared" ref="AX27:AY27" si="537">AX52+AX61</f>
        <v>269000</v>
      </c>
      <c r="AY27" s="37">
        <f t="shared" si="537"/>
        <v>300000</v>
      </c>
      <c r="AZ27" s="85"/>
      <c r="BA27" s="37">
        <f t="shared" ref="BA27:BB27" si="538">BA52+BA61</f>
        <v>0</v>
      </c>
      <c r="BB27" s="37">
        <f t="shared" si="538"/>
        <v>0</v>
      </c>
      <c r="BC27" s="85"/>
      <c r="BD27" s="37">
        <f t="shared" ref="BD27:BE27" si="539">BD52+BD61</f>
        <v>0</v>
      </c>
      <c r="BE27" s="37">
        <f t="shared" si="539"/>
        <v>0</v>
      </c>
      <c r="BF27" s="85"/>
      <c r="BG27" s="37">
        <f t="shared" ref="BG27:BH27" si="540">BG52+BG61</f>
        <v>58944</v>
      </c>
      <c r="BH27" s="37">
        <f t="shared" si="540"/>
        <v>71954</v>
      </c>
      <c r="BI27" s="85"/>
      <c r="BJ27" s="37">
        <f t="shared" ref="BJ27:BK27" si="541">BJ52+BJ61</f>
        <v>0</v>
      </c>
      <c r="BK27" s="37">
        <f t="shared" si="541"/>
        <v>0</v>
      </c>
      <c r="BL27" s="85"/>
      <c r="BM27" s="37">
        <f t="shared" ref="BM27:BN27" si="542">BM52+BM61</f>
        <v>0</v>
      </c>
      <c r="BN27" s="37">
        <f t="shared" si="542"/>
        <v>0</v>
      </c>
      <c r="BO27" s="85"/>
      <c r="BP27" s="37">
        <f t="shared" ref="BP27:BQ27" si="543">BP52+BP61</f>
        <v>170049</v>
      </c>
      <c r="BQ27" s="37">
        <f t="shared" si="543"/>
        <v>145962</v>
      </c>
      <c r="BR27" s="85"/>
      <c r="BS27" s="37">
        <f t="shared" ref="BS27:BT27" si="544">BS52+BS61</f>
        <v>20000</v>
      </c>
      <c r="BT27" s="37">
        <f t="shared" si="544"/>
        <v>25000</v>
      </c>
      <c r="BU27" s="85"/>
      <c r="BV27" s="37">
        <f t="shared" ref="BV27:BW27" si="545">BV52+BV61</f>
        <v>0</v>
      </c>
      <c r="BW27" s="37">
        <f t="shared" si="545"/>
        <v>0</v>
      </c>
      <c r="BX27" s="85"/>
      <c r="BY27" s="37">
        <f t="shared" ref="BY27:BZ27" si="546">BY52+BY61</f>
        <v>100000</v>
      </c>
      <c r="BZ27" s="37">
        <f t="shared" si="546"/>
        <v>110000</v>
      </c>
      <c r="CA27" s="85"/>
      <c r="CB27" s="37">
        <f t="shared" ref="CB27:CC27" si="547">CB52+CB61</f>
        <v>0</v>
      </c>
      <c r="CC27" s="37">
        <f t="shared" si="547"/>
        <v>0</v>
      </c>
      <c r="CD27" s="85"/>
      <c r="CE27" s="37">
        <f t="shared" ref="CE27:CF27" si="548">CE52+CE61</f>
        <v>4896312</v>
      </c>
      <c r="CF27" s="37">
        <f t="shared" si="548"/>
        <v>2799300</v>
      </c>
      <c r="CG27" s="85"/>
      <c r="CH27" s="37">
        <f t="shared" ref="CH27:CI27" si="549">CH52+CH61</f>
        <v>0</v>
      </c>
      <c r="CI27" s="37">
        <f t="shared" si="549"/>
        <v>0</v>
      </c>
      <c r="CJ27" s="85"/>
      <c r="CK27" s="37">
        <f t="shared" ref="CK27:CL27" si="550">CK52+CK61</f>
        <v>0</v>
      </c>
      <c r="CL27" s="37">
        <f t="shared" si="550"/>
        <v>0</v>
      </c>
      <c r="CM27" s="85"/>
      <c r="CN27" s="37">
        <f t="shared" ref="CN27:CO27" si="551">CN52+CN61</f>
        <v>310000</v>
      </c>
      <c r="CO27" s="37">
        <f t="shared" si="551"/>
        <v>0</v>
      </c>
      <c r="CP27" s="85"/>
      <c r="CQ27" s="37">
        <f t="shared" ref="CQ27:CR27" si="552">CQ52+CQ61</f>
        <v>0</v>
      </c>
      <c r="CR27" s="37">
        <f t="shared" si="552"/>
        <v>0</v>
      </c>
      <c r="CS27" s="85"/>
      <c r="CT27" s="37">
        <f t="shared" ref="CT27:CU27" si="553">CT52+CT61</f>
        <v>0</v>
      </c>
      <c r="CU27" s="37">
        <f t="shared" si="553"/>
        <v>0</v>
      </c>
      <c r="CV27" s="85"/>
      <c r="CW27" s="37">
        <f t="shared" ref="CW27:CX27" si="554">CW52+CW61</f>
        <v>0</v>
      </c>
      <c r="CX27" s="37">
        <f t="shared" si="554"/>
        <v>0</v>
      </c>
      <c r="CY27" s="85"/>
      <c r="CZ27" s="37">
        <f t="shared" ref="CZ27:DA27" si="555">CZ52+CZ61</f>
        <v>0</v>
      </c>
      <c r="DA27" s="37">
        <f t="shared" si="555"/>
        <v>0</v>
      </c>
      <c r="DB27" s="85"/>
      <c r="DC27" s="37">
        <f t="shared" ref="DC27:DD27" si="556">DC52+DC61</f>
        <v>240000</v>
      </c>
      <c r="DD27" s="37">
        <f t="shared" si="556"/>
        <v>350000</v>
      </c>
      <c r="DE27" s="85"/>
      <c r="DF27" s="37">
        <f t="shared" ref="DF27:DG27" si="557">DF52+DF61</f>
        <v>0</v>
      </c>
      <c r="DG27" s="37">
        <f t="shared" si="557"/>
        <v>0</v>
      </c>
      <c r="DH27" s="85"/>
      <c r="DI27" s="37">
        <f t="shared" ref="DI27:DJ27" si="558">DI52+DI61</f>
        <v>15000</v>
      </c>
      <c r="DJ27" s="37">
        <f t="shared" si="558"/>
        <v>76446</v>
      </c>
      <c r="DK27" s="85"/>
      <c r="DL27" s="37">
        <f t="shared" ref="DL27:DM27" si="559">DL52+DL61</f>
        <v>0</v>
      </c>
      <c r="DM27" s="37">
        <f t="shared" si="559"/>
        <v>0</v>
      </c>
      <c r="DN27" s="85"/>
      <c r="DO27" s="37">
        <f t="shared" ref="DO27:DP27" si="560">DO52+DO61</f>
        <v>35000</v>
      </c>
      <c r="DP27" s="37">
        <f t="shared" si="560"/>
        <v>100000</v>
      </c>
      <c r="DQ27" s="85"/>
      <c r="DR27" s="202">
        <f t="shared" si="169"/>
        <v>21848851</v>
      </c>
      <c r="DS27" s="80">
        <f t="shared" si="169"/>
        <v>21692215.763999999</v>
      </c>
      <c r="DT27" s="243">
        <f t="shared" si="170"/>
        <v>99.283096232383102</v>
      </c>
      <c r="DU27" s="37">
        <f>DU52+DU61</f>
        <v>17608</v>
      </c>
      <c r="DV27" s="37">
        <f>DV52+DV61</f>
        <v>12303</v>
      </c>
      <c r="DW27" s="85">
        <f t="shared" si="468"/>
        <v>69.871649250340752</v>
      </c>
      <c r="DX27" s="37">
        <f t="shared" ref="DX27:DY27" si="561">DX52+DX61</f>
        <v>5811</v>
      </c>
      <c r="DY27" s="37">
        <f t="shared" si="561"/>
        <v>5789</v>
      </c>
      <c r="DZ27" s="85">
        <f t="shared" si="470"/>
        <v>99.621407675098951</v>
      </c>
      <c r="EA27" s="37">
        <f t="shared" ref="EA27:EB27" si="562">EA52+EA61</f>
        <v>5832</v>
      </c>
      <c r="EB27" s="37">
        <f t="shared" si="562"/>
        <v>5440</v>
      </c>
      <c r="EC27" s="85">
        <f t="shared" si="472"/>
        <v>93.27846364883402</v>
      </c>
      <c r="ED27" s="37">
        <f t="shared" ref="ED27:EE27" si="563">ED52+ED61</f>
        <v>330502</v>
      </c>
      <c r="EE27" s="37">
        <f t="shared" si="563"/>
        <v>260493</v>
      </c>
      <c r="EF27" s="85">
        <f t="shared" si="474"/>
        <v>78.817374781393156</v>
      </c>
      <c r="EG27" s="37">
        <f t="shared" ref="EG27:EH27" si="564">EG52+EG61</f>
        <v>116046</v>
      </c>
      <c r="EH27" s="37">
        <f t="shared" si="564"/>
        <v>76526</v>
      </c>
      <c r="EI27" s="85">
        <f t="shared" si="476"/>
        <v>65.944539234441507</v>
      </c>
      <c r="EJ27" s="37">
        <f t="shared" ref="EJ27:EK27" si="565">EJ52+EJ61</f>
        <v>79759</v>
      </c>
      <c r="EK27" s="37">
        <f t="shared" si="565"/>
        <v>37118</v>
      </c>
      <c r="EL27" s="85">
        <f t="shared" si="478"/>
        <v>46.537694805601873</v>
      </c>
      <c r="EM27" s="37">
        <f t="shared" ref="EM27:EN27" si="566">EM52+EM61</f>
        <v>14410</v>
      </c>
      <c r="EN27" s="37">
        <f t="shared" si="566"/>
        <v>14264</v>
      </c>
      <c r="EO27" s="85">
        <f t="shared" si="480"/>
        <v>98.986814712005554</v>
      </c>
      <c r="EP27" s="37">
        <f t="shared" ref="EP27:EQ27" si="567">EP52+EP61</f>
        <v>1445232</v>
      </c>
      <c r="EQ27" s="37">
        <f t="shared" si="567"/>
        <v>1471892</v>
      </c>
      <c r="ER27" s="85">
        <f t="shared" si="482"/>
        <v>101.84468652783774</v>
      </c>
      <c r="ES27" s="37">
        <f t="shared" ref="ES27:ET27" si="568">ES52+ES61</f>
        <v>534968</v>
      </c>
      <c r="ET27" s="37">
        <f t="shared" si="568"/>
        <v>538750</v>
      </c>
      <c r="EU27" s="85">
        <f t="shared" si="484"/>
        <v>100.70695817319914</v>
      </c>
      <c r="EV27" s="80">
        <f t="shared" si="179"/>
        <v>2550168</v>
      </c>
      <c r="EW27" s="80">
        <f t="shared" si="179"/>
        <v>2422575</v>
      </c>
      <c r="EX27" s="85">
        <f t="shared" si="485"/>
        <v>94.996682571501168</v>
      </c>
      <c r="EY27" s="37">
        <f t="shared" ref="EY27:EZ27" si="569">EY52+EY61</f>
        <v>69860</v>
      </c>
      <c r="EZ27" s="37">
        <f t="shared" si="569"/>
        <v>70134</v>
      </c>
      <c r="FA27" s="85">
        <f t="shared" si="487"/>
        <v>100.39221299742343</v>
      </c>
      <c r="FB27" s="37">
        <f t="shared" ref="FB27:FC27" si="570">FB52+FB61</f>
        <v>155006</v>
      </c>
      <c r="FC27" s="37">
        <f t="shared" si="570"/>
        <v>159215</v>
      </c>
      <c r="FD27" s="85">
        <f t="shared" si="489"/>
        <v>102.71537875953189</v>
      </c>
      <c r="FE27" s="37">
        <f t="shared" ref="FE27:FF27" si="571">FE52+FE61</f>
        <v>63801</v>
      </c>
      <c r="FF27" s="37">
        <f t="shared" si="571"/>
        <v>69408</v>
      </c>
      <c r="FG27" s="85">
        <f t="shared" si="491"/>
        <v>108.78826350684159</v>
      </c>
      <c r="FH27" s="37">
        <f t="shared" ref="FH27:FI27" si="572">FH52+FH61</f>
        <v>318036</v>
      </c>
      <c r="FI27" s="37">
        <f t="shared" si="572"/>
        <v>493265</v>
      </c>
      <c r="FJ27" s="85">
        <f t="shared" si="493"/>
        <v>155.09722169817252</v>
      </c>
      <c r="FK27" s="85"/>
      <c r="FL27" s="37">
        <f t="shared" ref="FL27" si="573">FL52+FL61</f>
        <v>46367</v>
      </c>
      <c r="FM27" s="85"/>
      <c r="FN27" s="37">
        <f t="shared" ref="FN27:FO27" si="574">FN52+FN61</f>
        <v>124662</v>
      </c>
      <c r="FO27" s="37">
        <f t="shared" si="574"/>
        <v>136018</v>
      </c>
      <c r="FP27" s="85">
        <f t="shared" si="496"/>
        <v>109.10943190386806</v>
      </c>
      <c r="FQ27" s="37">
        <f t="shared" ref="FQ27:FR27" si="575">FQ52+FQ61</f>
        <v>235020</v>
      </c>
      <c r="FR27" s="37">
        <f t="shared" si="575"/>
        <v>227009</v>
      </c>
      <c r="FS27" s="85">
        <f t="shared" si="498"/>
        <v>96.591353927325329</v>
      </c>
      <c r="FT27" s="37">
        <f t="shared" ref="FT27:FU27" si="576">FT52+FT61</f>
        <v>114364</v>
      </c>
      <c r="FU27" s="37">
        <f t="shared" si="576"/>
        <v>123230</v>
      </c>
      <c r="FV27" s="85">
        <f t="shared" si="500"/>
        <v>107.75243957888847</v>
      </c>
      <c r="FW27" s="37">
        <f t="shared" ref="FW27:FX27" si="577">FW52+FW61</f>
        <v>166255</v>
      </c>
      <c r="FX27" s="37">
        <f t="shared" si="577"/>
        <v>173676</v>
      </c>
      <c r="FY27" s="85">
        <f t="shared" si="502"/>
        <v>104.4636251541307</v>
      </c>
      <c r="FZ27" s="37">
        <f t="shared" ref="FZ27:GA27" si="578">FZ52+FZ61</f>
        <v>96824</v>
      </c>
      <c r="GA27" s="37">
        <f t="shared" si="578"/>
        <v>108816</v>
      </c>
      <c r="GB27" s="85">
        <f t="shared" si="504"/>
        <v>112.38535900190037</v>
      </c>
      <c r="GC27" s="37">
        <f t="shared" ref="GC27:GD27" si="579">GC52+GC61</f>
        <v>16644</v>
      </c>
      <c r="GD27" s="37">
        <f t="shared" si="579"/>
        <v>20276</v>
      </c>
      <c r="GE27" s="85">
        <f t="shared" si="506"/>
        <v>121.82167748137466</v>
      </c>
      <c r="GF27" s="37">
        <f t="shared" ref="GF27:GG27" si="580">GF52+GF61</f>
        <v>59358</v>
      </c>
      <c r="GG27" s="37">
        <f t="shared" si="580"/>
        <v>57090</v>
      </c>
      <c r="GH27" s="85">
        <f t="shared" si="508"/>
        <v>96.179116547053468</v>
      </c>
      <c r="GI27" s="37">
        <f t="shared" ref="GI27:GJ27" si="581">GI52+GI61</f>
        <v>71644</v>
      </c>
      <c r="GJ27" s="37">
        <f t="shared" si="581"/>
        <v>70550</v>
      </c>
      <c r="GK27" s="85">
        <f t="shared" si="510"/>
        <v>98.47300541566635</v>
      </c>
      <c r="GL27" s="37">
        <f t="shared" ref="GL27:GM27" si="582">GL52+GL61</f>
        <v>792126</v>
      </c>
      <c r="GM27" s="37">
        <f t="shared" si="582"/>
        <v>808636</v>
      </c>
      <c r="GN27" s="85">
        <f t="shared" si="512"/>
        <v>102.08426437208222</v>
      </c>
      <c r="GO27" s="80">
        <f t="shared" si="117"/>
        <v>2283600</v>
      </c>
      <c r="GP27" s="37">
        <f t="shared" ref="GP27" si="583">GP52+GP61</f>
        <v>2563690</v>
      </c>
      <c r="GQ27" s="85">
        <f t="shared" si="514"/>
        <v>112.26528288667016</v>
      </c>
      <c r="GR27" s="37">
        <f t="shared" ref="GR27:GS27" si="584">GR52+GR61</f>
        <v>1021191</v>
      </c>
      <c r="GS27" s="37">
        <f t="shared" si="584"/>
        <v>1042919</v>
      </c>
      <c r="GT27" s="85">
        <f t="shared" si="516"/>
        <v>102.127711662167</v>
      </c>
      <c r="GU27" s="37">
        <f t="shared" ref="GU27:GV27" si="585">GU52+GU61</f>
        <v>1713302</v>
      </c>
      <c r="GV27" s="37">
        <f t="shared" si="585"/>
        <v>1820317</v>
      </c>
      <c r="GW27" s="85">
        <f t="shared" si="518"/>
        <v>106.24612590191337</v>
      </c>
      <c r="GX27" s="37">
        <f t="shared" ref="GX27:GY27" si="586">GX52+GX61</f>
        <v>1526944</v>
      </c>
      <c r="GY27" s="37">
        <f t="shared" si="586"/>
        <v>1340388</v>
      </c>
      <c r="GZ27" s="85">
        <f t="shared" si="520"/>
        <v>87.782394115304811</v>
      </c>
      <c r="HA27" s="80">
        <f t="shared" si="198"/>
        <v>6545037</v>
      </c>
      <c r="HB27" s="80">
        <f t="shared" si="198"/>
        <v>6767314</v>
      </c>
      <c r="HC27" s="85">
        <f t="shared" si="521"/>
        <v>103.39611525496342</v>
      </c>
      <c r="HD27" s="80">
        <f t="shared" si="127"/>
        <v>30944056</v>
      </c>
      <c r="HE27" s="80">
        <f t="shared" si="128"/>
        <v>30882104.763999999</v>
      </c>
      <c r="HF27" s="236">
        <f t="shared" si="129"/>
        <v>99.799796006056866</v>
      </c>
      <c r="HH27" s="242"/>
      <c r="HI27" s="242"/>
    </row>
    <row r="28" spans="1:217" ht="15" customHeight="1" x14ac:dyDescent="0.25">
      <c r="A28" s="208" t="s">
        <v>354</v>
      </c>
      <c r="B28" s="35">
        <f>B29+B35+B36+B37</f>
        <v>0</v>
      </c>
      <c r="C28" s="35">
        <f>C29+C35+C36+C37</f>
        <v>0</v>
      </c>
      <c r="D28" s="84"/>
      <c r="E28" s="35">
        <f t="shared" ref="E28:F28" si="587">E29+E35+E36+E37</f>
        <v>0</v>
      </c>
      <c r="F28" s="35">
        <f t="shared" si="587"/>
        <v>0</v>
      </c>
      <c r="G28" s="84"/>
      <c r="H28" s="35">
        <f t="shared" ref="H28:I28" si="588">H29+H35+H36+H37</f>
        <v>0</v>
      </c>
      <c r="I28" s="35">
        <f t="shared" si="588"/>
        <v>0</v>
      </c>
      <c r="J28" s="84"/>
      <c r="K28" s="35">
        <f t="shared" ref="K28:L28" si="589">K29+K35+K36+K37</f>
        <v>0</v>
      </c>
      <c r="L28" s="35">
        <f t="shared" si="589"/>
        <v>0</v>
      </c>
      <c r="M28" s="84"/>
      <c r="N28" s="35">
        <f t="shared" ref="N28:O28" si="590">N29+N35+N36+N37</f>
        <v>0</v>
      </c>
      <c r="O28" s="35">
        <f t="shared" si="590"/>
        <v>0</v>
      </c>
      <c r="P28" s="84"/>
      <c r="Q28" s="35">
        <f t="shared" ref="Q28:R28" si="591">Q29+Q35+Q36+Q37</f>
        <v>0</v>
      </c>
      <c r="R28" s="35">
        <f t="shared" si="591"/>
        <v>0</v>
      </c>
      <c r="S28" s="84"/>
      <c r="T28" s="35">
        <f t="shared" ref="T28:U28" si="592">T29+T35+T36+T37</f>
        <v>0</v>
      </c>
      <c r="U28" s="35">
        <f t="shared" si="592"/>
        <v>0</v>
      </c>
      <c r="V28" s="84"/>
      <c r="W28" s="35">
        <f t="shared" ref="W28:X28" si="593">W29+W35+W36+W37</f>
        <v>7807000</v>
      </c>
      <c r="X28" s="35">
        <f t="shared" si="593"/>
        <v>8835936</v>
      </c>
      <c r="Y28" s="84"/>
      <c r="Z28" s="35">
        <f t="shared" ref="Z28:AA28" si="594">Z29+Z35+Z36+Z37</f>
        <v>1989538</v>
      </c>
      <c r="AA28" s="35">
        <f t="shared" si="594"/>
        <v>2030251.764</v>
      </c>
      <c r="AB28" s="84"/>
      <c r="AC28" s="35">
        <f t="shared" ref="AC28:AD28" si="595">AC29+AC35+AC36+AC37</f>
        <v>0</v>
      </c>
      <c r="AD28" s="35">
        <f t="shared" si="595"/>
        <v>0</v>
      </c>
      <c r="AE28" s="84"/>
      <c r="AF28" s="35">
        <f t="shared" ref="AF28:AG28" si="596">AF29+AF35+AF36+AF37</f>
        <v>0</v>
      </c>
      <c r="AG28" s="35">
        <f t="shared" si="596"/>
        <v>0</v>
      </c>
      <c r="AH28" s="84"/>
      <c r="AI28" s="35">
        <f t="shared" ref="AI28:AJ28" si="597">AI29+AI35+AI36+AI37</f>
        <v>5603</v>
      </c>
      <c r="AJ28" s="35">
        <f t="shared" si="597"/>
        <v>5698</v>
      </c>
      <c r="AK28" s="84"/>
      <c r="AL28" s="35">
        <f t="shared" ref="AL28:AM28" si="598">AL29+AL35+AL36+AL37</f>
        <v>4000</v>
      </c>
      <c r="AM28" s="35">
        <f t="shared" si="598"/>
        <v>4000</v>
      </c>
      <c r="AN28" s="84"/>
      <c r="AO28" s="35">
        <f t="shared" ref="AO28:AP28" si="599">AO29+AO35+AO36+AO37</f>
        <v>1529011</v>
      </c>
      <c r="AP28" s="35">
        <f t="shared" si="599"/>
        <v>1649610</v>
      </c>
      <c r="AQ28" s="84"/>
      <c r="AR28" s="35">
        <f t="shared" ref="AR28:AS28" si="600">AR29+AR35+AR36+AR37</f>
        <v>0</v>
      </c>
      <c r="AS28" s="35">
        <f t="shared" si="600"/>
        <v>0</v>
      </c>
      <c r="AT28" s="84"/>
      <c r="AU28" s="35">
        <f t="shared" ref="AU28:AV28" si="601">AU29+AU35+AU36+AU37</f>
        <v>1300</v>
      </c>
      <c r="AV28" s="35">
        <f t="shared" si="601"/>
        <v>0</v>
      </c>
      <c r="AW28" s="84"/>
      <c r="AX28" s="35">
        <f t="shared" ref="AX28:AY28" si="602">AX29+AX35+AX36+AX37</f>
        <v>269000</v>
      </c>
      <c r="AY28" s="35">
        <f t="shared" si="602"/>
        <v>300000</v>
      </c>
      <c r="AZ28" s="84"/>
      <c r="BA28" s="35">
        <f t="shared" ref="BA28:BB28" si="603">BA29+BA35+BA36+BA37</f>
        <v>0</v>
      </c>
      <c r="BB28" s="35">
        <f t="shared" si="603"/>
        <v>0</v>
      </c>
      <c r="BC28" s="84"/>
      <c r="BD28" s="35">
        <f t="shared" ref="BD28:BE28" si="604">BD29+BD35+BD36+BD37</f>
        <v>0</v>
      </c>
      <c r="BE28" s="35">
        <f t="shared" si="604"/>
        <v>0</v>
      </c>
      <c r="BF28" s="84"/>
      <c r="BG28" s="35">
        <f t="shared" ref="BG28:BH28" si="605">BG29+BG35+BG36+BG37</f>
        <v>58944</v>
      </c>
      <c r="BH28" s="35">
        <f t="shared" si="605"/>
        <v>71954</v>
      </c>
      <c r="BI28" s="84"/>
      <c r="BJ28" s="35">
        <f t="shared" ref="BJ28:BK28" si="606">BJ29+BJ35+BJ36+BJ37</f>
        <v>0</v>
      </c>
      <c r="BK28" s="35">
        <f t="shared" si="606"/>
        <v>0</v>
      </c>
      <c r="BL28" s="84"/>
      <c r="BM28" s="35">
        <f t="shared" ref="BM28:BN28" si="607">BM29+BM35+BM36+BM37</f>
        <v>0</v>
      </c>
      <c r="BN28" s="35">
        <f t="shared" si="607"/>
        <v>0</v>
      </c>
      <c r="BO28" s="84"/>
      <c r="BP28" s="35">
        <f t="shared" ref="BP28:BQ28" si="608">BP29+BP35+BP36+BP37</f>
        <v>170049</v>
      </c>
      <c r="BQ28" s="35">
        <f t="shared" si="608"/>
        <v>145962</v>
      </c>
      <c r="BR28" s="84"/>
      <c r="BS28" s="35">
        <f t="shared" ref="BS28:BT28" si="609">BS29+BS35+BS36+BS37</f>
        <v>20000</v>
      </c>
      <c r="BT28" s="35">
        <f t="shared" si="609"/>
        <v>25000</v>
      </c>
      <c r="BU28" s="84"/>
      <c r="BV28" s="35">
        <f t="shared" ref="BV28:BW28" si="610">BV29+BV35+BV36+BV37</f>
        <v>0</v>
      </c>
      <c r="BW28" s="35">
        <f t="shared" si="610"/>
        <v>0</v>
      </c>
      <c r="BX28" s="84"/>
      <c r="BY28" s="35">
        <f t="shared" ref="BY28:BZ28" si="611">BY29+BY35+BY36+BY37</f>
        <v>100000</v>
      </c>
      <c r="BZ28" s="35">
        <f t="shared" si="611"/>
        <v>110000</v>
      </c>
      <c r="CA28" s="84"/>
      <c r="CB28" s="35">
        <f t="shared" ref="CB28:CC28" si="612">CB29+CB35+CB36+CB37</f>
        <v>0</v>
      </c>
      <c r="CC28" s="35">
        <f t="shared" si="612"/>
        <v>0</v>
      </c>
      <c r="CD28" s="84"/>
      <c r="CE28" s="35">
        <f t="shared" ref="CE28:CF28" si="613">CE29+CE35+CE36+CE37</f>
        <v>2488783</v>
      </c>
      <c r="CF28" s="35">
        <f t="shared" si="613"/>
        <v>2007450</v>
      </c>
      <c r="CG28" s="84"/>
      <c r="CH28" s="35">
        <f t="shared" ref="CH28:CI28" si="614">CH29+CH35+CH36+CH37</f>
        <v>0</v>
      </c>
      <c r="CI28" s="35">
        <f t="shared" si="614"/>
        <v>0</v>
      </c>
      <c r="CJ28" s="84"/>
      <c r="CK28" s="35">
        <f t="shared" ref="CK28:CL28" si="615">CK29+CK35+CK36+CK37</f>
        <v>0</v>
      </c>
      <c r="CL28" s="35">
        <f t="shared" si="615"/>
        <v>0</v>
      </c>
      <c r="CM28" s="84"/>
      <c r="CN28" s="35">
        <f t="shared" ref="CN28:CO28" si="616">CN29+CN35+CN36+CN37</f>
        <v>10549</v>
      </c>
      <c r="CO28" s="35">
        <f t="shared" si="616"/>
        <v>0</v>
      </c>
      <c r="CP28" s="84"/>
      <c r="CQ28" s="35">
        <f t="shared" ref="CQ28:CR28" si="617">CQ29+CQ35+CQ36+CQ37</f>
        <v>0</v>
      </c>
      <c r="CR28" s="35">
        <f t="shared" si="617"/>
        <v>0</v>
      </c>
      <c r="CS28" s="84"/>
      <c r="CT28" s="35">
        <f t="shared" ref="CT28:CU28" si="618">CT29+CT35+CT36+CT37</f>
        <v>0</v>
      </c>
      <c r="CU28" s="35">
        <f t="shared" si="618"/>
        <v>0</v>
      </c>
      <c r="CV28" s="84"/>
      <c r="CW28" s="35">
        <f t="shared" ref="CW28:CX28" si="619">CW29+CW35+CW36+CW37</f>
        <v>0</v>
      </c>
      <c r="CX28" s="35">
        <f t="shared" si="619"/>
        <v>0</v>
      </c>
      <c r="CY28" s="84"/>
      <c r="CZ28" s="35">
        <f t="shared" ref="CZ28:DA28" si="620">CZ29+CZ35+CZ36+CZ37</f>
        <v>0</v>
      </c>
      <c r="DA28" s="35">
        <f t="shared" si="620"/>
        <v>0</v>
      </c>
      <c r="DB28" s="84"/>
      <c r="DC28" s="35">
        <f t="shared" ref="DC28:DD28" si="621">DC29+DC35+DC36+DC37</f>
        <v>0</v>
      </c>
      <c r="DD28" s="35">
        <f t="shared" si="621"/>
        <v>0</v>
      </c>
      <c r="DE28" s="84"/>
      <c r="DF28" s="35">
        <f t="shared" ref="DF28:DG28" si="622">DF29+DF35+DF36+DF37</f>
        <v>0</v>
      </c>
      <c r="DG28" s="35">
        <f t="shared" si="622"/>
        <v>0</v>
      </c>
      <c r="DH28" s="84"/>
      <c r="DI28" s="35">
        <f t="shared" ref="DI28:DJ28" si="623">DI29+DI35+DI36+DI37</f>
        <v>15000</v>
      </c>
      <c r="DJ28" s="35">
        <f t="shared" si="623"/>
        <v>76446</v>
      </c>
      <c r="DK28" s="84"/>
      <c r="DL28" s="35">
        <f t="shared" ref="DL28:DM28" si="624">DL29+DL35+DL36+DL37</f>
        <v>0</v>
      </c>
      <c r="DM28" s="35">
        <f t="shared" si="624"/>
        <v>0</v>
      </c>
      <c r="DN28" s="84"/>
      <c r="DO28" s="35">
        <f t="shared" ref="DO28:DP28" si="625">DO29+DO35+DO36+DO37</f>
        <v>35000</v>
      </c>
      <c r="DP28" s="35">
        <f t="shared" si="625"/>
        <v>100000</v>
      </c>
      <c r="DQ28" s="84"/>
      <c r="DR28" s="568">
        <f t="shared" si="169"/>
        <v>14503777</v>
      </c>
      <c r="DS28" s="562">
        <f t="shared" si="169"/>
        <v>15362307.764</v>
      </c>
      <c r="DT28" s="244">
        <f t="shared" si="170"/>
        <v>105.91935992948595</v>
      </c>
      <c r="DU28" s="35">
        <f>DU29+DU35+DU36+DU37</f>
        <v>1000</v>
      </c>
      <c r="DV28" s="35">
        <f>DV29+DV35+DV36+DV37</f>
        <v>1000</v>
      </c>
      <c r="DW28" s="84">
        <f t="shared" si="468"/>
        <v>100</v>
      </c>
      <c r="DX28" s="35">
        <f t="shared" ref="DX28:DY28" si="626">DX29+DX35+DX36+DX37</f>
        <v>600</v>
      </c>
      <c r="DY28" s="35">
        <f t="shared" si="626"/>
        <v>1300</v>
      </c>
      <c r="DZ28" s="84">
        <f t="shared" si="470"/>
        <v>216.66666666666666</v>
      </c>
      <c r="EA28" s="35">
        <f t="shared" ref="EA28:EB28" si="627">EA29+EA35+EA36+EA37</f>
        <v>1600</v>
      </c>
      <c r="EB28" s="35">
        <f t="shared" si="627"/>
        <v>1600</v>
      </c>
      <c r="EC28" s="84">
        <f t="shared" si="472"/>
        <v>100</v>
      </c>
      <c r="ED28" s="35">
        <f t="shared" ref="ED28:EE28" si="628">ED29+ED35+ED36+ED37</f>
        <v>4000</v>
      </c>
      <c r="EE28" s="35">
        <f t="shared" si="628"/>
        <v>4000</v>
      </c>
      <c r="EF28" s="84">
        <f t="shared" si="474"/>
        <v>100</v>
      </c>
      <c r="EG28" s="35">
        <f t="shared" ref="EG28:EH28" si="629">EG29+EG35+EG36+EG37</f>
        <v>0</v>
      </c>
      <c r="EH28" s="35">
        <f t="shared" si="629"/>
        <v>0</v>
      </c>
      <c r="EI28" s="84"/>
      <c r="EJ28" s="35">
        <f t="shared" ref="EJ28:EK28" si="630">EJ29+EJ35+EJ36+EJ37</f>
        <v>0</v>
      </c>
      <c r="EK28" s="35">
        <f t="shared" si="630"/>
        <v>0</v>
      </c>
      <c r="EL28" s="84"/>
      <c r="EM28" s="35">
        <f t="shared" ref="EM28:EN28" si="631">EM29+EM35+EM36+EM37</f>
        <v>0</v>
      </c>
      <c r="EN28" s="35">
        <f t="shared" si="631"/>
        <v>0</v>
      </c>
      <c r="EO28" s="84"/>
      <c r="EP28" s="35">
        <f t="shared" ref="EP28:EQ28" si="632">EP29+EP35+EP36+EP37</f>
        <v>0</v>
      </c>
      <c r="EQ28" s="35">
        <f t="shared" si="632"/>
        <v>0</v>
      </c>
      <c r="ER28" s="84"/>
      <c r="ES28" s="35">
        <f t="shared" ref="ES28:ET28" si="633">ES29+ES35+ES36+ES37</f>
        <v>35000</v>
      </c>
      <c r="ET28" s="35">
        <f t="shared" si="633"/>
        <v>35000</v>
      </c>
      <c r="EU28" s="84">
        <f t="shared" si="484"/>
        <v>100</v>
      </c>
      <c r="EV28" s="4">
        <f t="shared" si="179"/>
        <v>42200</v>
      </c>
      <c r="EW28" s="4">
        <f t="shared" si="179"/>
        <v>42900</v>
      </c>
      <c r="EX28" s="84">
        <f t="shared" si="485"/>
        <v>101.65876777251184</v>
      </c>
      <c r="EY28" s="35">
        <f t="shared" ref="EY28:EZ28" si="634">EY29+EY35+EY36+EY37</f>
        <v>3000</v>
      </c>
      <c r="EZ28" s="35">
        <f t="shared" si="634"/>
        <v>3000</v>
      </c>
      <c r="FA28" s="84">
        <f t="shared" si="487"/>
        <v>100</v>
      </c>
      <c r="FB28" s="35">
        <f t="shared" ref="FB28:FC28" si="635">FB29+FB35+FB36+FB37</f>
        <v>40000</v>
      </c>
      <c r="FC28" s="35">
        <f t="shared" si="635"/>
        <v>40000</v>
      </c>
      <c r="FD28" s="84">
        <f t="shared" si="489"/>
        <v>100</v>
      </c>
      <c r="FE28" s="35">
        <f t="shared" ref="FE28:FF28" si="636">FE29+FE35+FE36+FE37</f>
        <v>0</v>
      </c>
      <c r="FF28" s="35">
        <f t="shared" si="636"/>
        <v>0</v>
      </c>
      <c r="FG28" s="84"/>
      <c r="FH28" s="35">
        <f t="shared" ref="FH28:FI28" si="637">FH29+FH35+FH36+FH37</f>
        <v>1097</v>
      </c>
      <c r="FI28" s="35">
        <f t="shared" si="637"/>
        <v>1084</v>
      </c>
      <c r="FJ28" s="84">
        <f t="shared" si="493"/>
        <v>98.81494986326345</v>
      </c>
      <c r="FK28" s="84"/>
      <c r="FL28" s="35">
        <f t="shared" ref="FL28" si="638">FL29+FL35+FL36+FL37</f>
        <v>0</v>
      </c>
      <c r="FM28" s="84"/>
      <c r="FN28" s="35">
        <f t="shared" ref="FN28:FO28" si="639">FN29+FN35+FN36+FN37</f>
        <v>0</v>
      </c>
      <c r="FO28" s="35">
        <f t="shared" si="639"/>
        <v>0</v>
      </c>
      <c r="FP28" s="84"/>
      <c r="FQ28" s="35">
        <f t="shared" ref="FQ28:FR28" si="640">FQ29+FQ35+FQ36+FQ37</f>
        <v>38796</v>
      </c>
      <c r="FR28" s="35">
        <f t="shared" si="640"/>
        <v>32935</v>
      </c>
      <c r="FS28" s="84">
        <f t="shared" si="498"/>
        <v>84.892772450768121</v>
      </c>
      <c r="FT28" s="35">
        <f t="shared" ref="FT28:FU28" si="641">FT29+FT35+FT36+FT37</f>
        <v>6596</v>
      </c>
      <c r="FU28" s="35">
        <f t="shared" si="641"/>
        <v>6565</v>
      </c>
      <c r="FV28" s="84">
        <f t="shared" si="500"/>
        <v>99.530018192844153</v>
      </c>
      <c r="FW28" s="35">
        <f t="shared" ref="FW28:FX28" si="642">FW29+FW35+FW36+FW37</f>
        <v>3513</v>
      </c>
      <c r="FX28" s="35">
        <f t="shared" si="642"/>
        <v>2895</v>
      </c>
      <c r="FY28" s="84">
        <f t="shared" si="502"/>
        <v>82.408198121263879</v>
      </c>
      <c r="FZ28" s="35">
        <f t="shared" ref="FZ28:GA28" si="643">FZ29+FZ35+FZ36+FZ37</f>
        <v>13603</v>
      </c>
      <c r="GA28" s="35">
        <f t="shared" si="643"/>
        <v>13640</v>
      </c>
      <c r="GB28" s="84">
        <f t="shared" si="504"/>
        <v>100.27199882378888</v>
      </c>
      <c r="GC28" s="35">
        <f t="shared" ref="GC28:GD28" si="644">GC29+GC35+GC36+GC37</f>
        <v>0</v>
      </c>
      <c r="GD28" s="35">
        <f t="shared" si="644"/>
        <v>0</v>
      </c>
      <c r="GE28" s="84"/>
      <c r="GF28" s="35">
        <f t="shared" ref="GF28:GG28" si="645">GF29+GF35+GF36+GF37</f>
        <v>0</v>
      </c>
      <c r="GG28" s="35">
        <f t="shared" si="645"/>
        <v>0</v>
      </c>
      <c r="GH28" s="84"/>
      <c r="GI28" s="35">
        <f t="shared" ref="GI28:GJ28" si="646">GI29+GI35+GI36+GI37</f>
        <v>0</v>
      </c>
      <c r="GJ28" s="35">
        <f t="shared" si="646"/>
        <v>0</v>
      </c>
      <c r="GK28" s="84"/>
      <c r="GL28" s="35">
        <f t="shared" ref="GL28:GM28" si="647">GL29+GL35+GL36+GL37</f>
        <v>102188</v>
      </c>
      <c r="GM28" s="35">
        <f t="shared" si="647"/>
        <v>73174</v>
      </c>
      <c r="GN28" s="84">
        <f t="shared" si="512"/>
        <v>71.607233726073517</v>
      </c>
      <c r="GO28" s="4">
        <f t="shared" si="117"/>
        <v>208793</v>
      </c>
      <c r="GP28" s="35">
        <f t="shared" ref="GP28" si="648">GP29+GP35+GP36+GP37</f>
        <v>173293</v>
      </c>
      <c r="GQ28" s="84">
        <f t="shared" si="514"/>
        <v>82.997514284482719</v>
      </c>
      <c r="GR28" s="35">
        <f t="shared" ref="GR28:GS28" si="649">GR29+GR35+GR36+GR37</f>
        <v>80682</v>
      </c>
      <c r="GS28" s="35">
        <f t="shared" si="649"/>
        <v>75497</v>
      </c>
      <c r="GT28" s="84">
        <f t="shared" si="516"/>
        <v>93.573535608933838</v>
      </c>
      <c r="GU28" s="35">
        <f t="shared" ref="GU28:GV28" si="650">GU29+GU35+GU36+GU37</f>
        <v>1571097</v>
      </c>
      <c r="GV28" s="35">
        <f t="shared" si="650"/>
        <v>1618757</v>
      </c>
      <c r="GW28" s="84">
        <f t="shared" si="518"/>
        <v>103.03354916978391</v>
      </c>
      <c r="GX28" s="35">
        <f t="shared" ref="GX28:GY28" si="651">GX29+GX35+GX36+GX37</f>
        <v>0</v>
      </c>
      <c r="GY28" s="35">
        <f t="shared" si="651"/>
        <v>0</v>
      </c>
      <c r="GZ28" s="84"/>
      <c r="HA28" s="4">
        <f t="shared" si="198"/>
        <v>1860572</v>
      </c>
      <c r="HB28" s="4">
        <f t="shared" si="198"/>
        <v>1867547</v>
      </c>
      <c r="HC28" s="84">
        <f t="shared" si="521"/>
        <v>100.37488471287324</v>
      </c>
      <c r="HD28" s="4">
        <f t="shared" si="127"/>
        <v>16406549</v>
      </c>
      <c r="HE28" s="4">
        <f t="shared" si="128"/>
        <v>17272754.763999999</v>
      </c>
      <c r="HF28" s="237">
        <f t="shared" si="129"/>
        <v>105.27963415097226</v>
      </c>
      <c r="HH28" s="242"/>
      <c r="HI28" s="242"/>
    </row>
    <row r="29" spans="1:217" s="13" customFormat="1" ht="30" customHeight="1" x14ac:dyDescent="0.25">
      <c r="A29" s="219" t="s">
        <v>355</v>
      </c>
      <c r="B29" s="6">
        <f>B30+B31+B32+B33+B34</f>
        <v>0</v>
      </c>
      <c r="C29" s="6">
        <f>C30+C31+C32+C33+C34</f>
        <v>0</v>
      </c>
      <c r="D29" s="82"/>
      <c r="E29" s="6">
        <f t="shared" ref="E29:F29" si="652">E30+E31+E32+E33+E34</f>
        <v>0</v>
      </c>
      <c r="F29" s="6">
        <f t="shared" si="652"/>
        <v>0</v>
      </c>
      <c r="G29" s="82"/>
      <c r="H29" s="6">
        <f t="shared" ref="H29:I29" si="653">H30+H31+H32+H33+H34</f>
        <v>0</v>
      </c>
      <c r="I29" s="6">
        <f t="shared" si="653"/>
        <v>0</v>
      </c>
      <c r="J29" s="82"/>
      <c r="K29" s="6">
        <f t="shared" ref="K29:L29" si="654">K30+K31+K32+K33+K34</f>
        <v>0</v>
      </c>
      <c r="L29" s="6">
        <f t="shared" si="654"/>
        <v>0</v>
      </c>
      <c r="M29" s="82"/>
      <c r="N29" s="6">
        <f t="shared" ref="N29:O29" si="655">N30+N31+N32+N33+N34</f>
        <v>0</v>
      </c>
      <c r="O29" s="6">
        <f t="shared" si="655"/>
        <v>0</v>
      </c>
      <c r="P29" s="82"/>
      <c r="Q29" s="6">
        <f t="shared" ref="Q29:R29" si="656">Q30+Q31+Q32+Q33+Q34</f>
        <v>0</v>
      </c>
      <c r="R29" s="6">
        <f t="shared" si="656"/>
        <v>0</v>
      </c>
      <c r="S29" s="82"/>
      <c r="T29" s="6">
        <f t="shared" ref="T29:U29" si="657">T30+T31+T32+T33+T34</f>
        <v>0</v>
      </c>
      <c r="U29" s="6">
        <f t="shared" si="657"/>
        <v>0</v>
      </c>
      <c r="V29" s="82"/>
      <c r="W29" s="6">
        <f t="shared" ref="W29:X29" si="658">W30+W31+W32+W33+W34</f>
        <v>0</v>
      </c>
      <c r="X29" s="6">
        <f t="shared" si="658"/>
        <v>0</v>
      </c>
      <c r="Y29" s="82"/>
      <c r="Z29" s="6">
        <f t="shared" ref="Z29:AA29" si="659">Z30+Z31+Z32+Z33+Z34</f>
        <v>1989538</v>
      </c>
      <c r="AA29" s="6">
        <f t="shared" si="659"/>
        <v>2030251.764</v>
      </c>
      <c r="AB29" s="82"/>
      <c r="AC29" s="6">
        <f t="shared" ref="AC29:AD29" si="660">AC30+AC31+AC32+AC33+AC34</f>
        <v>0</v>
      </c>
      <c r="AD29" s="6">
        <f t="shared" si="660"/>
        <v>0</v>
      </c>
      <c r="AE29" s="82"/>
      <c r="AF29" s="6">
        <f t="shared" ref="AF29:AG29" si="661">AF30+AF31+AF32+AF33+AF34</f>
        <v>0</v>
      </c>
      <c r="AG29" s="6">
        <f t="shared" si="661"/>
        <v>0</v>
      </c>
      <c r="AH29" s="82"/>
      <c r="AI29" s="6">
        <f t="shared" ref="AI29:AJ29" si="662">AI30+AI31+AI32+AI33+AI34</f>
        <v>0</v>
      </c>
      <c r="AJ29" s="6">
        <f t="shared" si="662"/>
        <v>0</v>
      </c>
      <c r="AK29" s="82"/>
      <c r="AL29" s="6">
        <f t="shared" ref="AL29:AM29" si="663">AL30+AL31+AL32+AL33+AL34</f>
        <v>4000</v>
      </c>
      <c r="AM29" s="6">
        <f t="shared" si="663"/>
        <v>4000</v>
      </c>
      <c r="AN29" s="82"/>
      <c r="AO29" s="6">
        <f t="shared" ref="AO29:AP29" si="664">AO30+AO31+AO32+AO33+AO34</f>
        <v>0</v>
      </c>
      <c r="AP29" s="6">
        <f t="shared" si="664"/>
        <v>0</v>
      </c>
      <c r="AQ29" s="82"/>
      <c r="AR29" s="6">
        <f t="shared" ref="AR29:AS29" si="665">AR30+AR31+AR32+AR33+AR34</f>
        <v>0</v>
      </c>
      <c r="AS29" s="6">
        <f t="shared" si="665"/>
        <v>0</v>
      </c>
      <c r="AT29" s="82"/>
      <c r="AU29" s="6">
        <f t="shared" ref="AU29:AV29" si="666">AU30+AU31+AU32+AU33+AU34</f>
        <v>0</v>
      </c>
      <c r="AV29" s="6">
        <f t="shared" si="666"/>
        <v>0</v>
      </c>
      <c r="AW29" s="82"/>
      <c r="AX29" s="6">
        <f t="shared" ref="AX29:AY29" si="667">AX30+AX31+AX32+AX33+AX34</f>
        <v>0</v>
      </c>
      <c r="AY29" s="6">
        <f t="shared" si="667"/>
        <v>0</v>
      </c>
      <c r="AZ29" s="82"/>
      <c r="BA29" s="6">
        <f t="shared" ref="BA29:BB29" si="668">BA30+BA31+BA32+BA33+BA34</f>
        <v>0</v>
      </c>
      <c r="BB29" s="6">
        <f t="shared" si="668"/>
        <v>0</v>
      </c>
      <c r="BC29" s="82"/>
      <c r="BD29" s="6">
        <f t="shared" ref="BD29:BE29" si="669">BD30+BD31+BD32+BD33+BD34</f>
        <v>0</v>
      </c>
      <c r="BE29" s="6">
        <f t="shared" si="669"/>
        <v>0</v>
      </c>
      <c r="BF29" s="82"/>
      <c r="BG29" s="6">
        <f t="shared" ref="BG29:BH29" si="670">BG30+BG31+BG32+BG33+BG34</f>
        <v>0</v>
      </c>
      <c r="BH29" s="6">
        <f t="shared" si="670"/>
        <v>0</v>
      </c>
      <c r="BI29" s="82"/>
      <c r="BJ29" s="6">
        <f t="shared" ref="BJ29:BK29" si="671">BJ30+BJ31+BJ32+BJ33+BJ34</f>
        <v>0</v>
      </c>
      <c r="BK29" s="6">
        <f t="shared" si="671"/>
        <v>0</v>
      </c>
      <c r="BL29" s="82"/>
      <c r="BM29" s="6">
        <f t="shared" ref="BM29:BN29" si="672">BM30+BM31+BM32+BM33+BM34</f>
        <v>0</v>
      </c>
      <c r="BN29" s="6">
        <f t="shared" si="672"/>
        <v>0</v>
      </c>
      <c r="BO29" s="82"/>
      <c r="BP29" s="6">
        <f t="shared" ref="BP29:BQ29" si="673">BP30+BP31+BP32+BP33+BP34</f>
        <v>0</v>
      </c>
      <c r="BQ29" s="6">
        <f t="shared" si="673"/>
        <v>0</v>
      </c>
      <c r="BR29" s="82"/>
      <c r="BS29" s="6">
        <f t="shared" ref="BS29:BT29" si="674">BS30+BS31+BS32+BS33+BS34</f>
        <v>0</v>
      </c>
      <c r="BT29" s="6">
        <f t="shared" si="674"/>
        <v>0</v>
      </c>
      <c r="BU29" s="82"/>
      <c r="BV29" s="6">
        <f t="shared" ref="BV29:BW29" si="675">BV30+BV31+BV32+BV33+BV34</f>
        <v>0</v>
      </c>
      <c r="BW29" s="6">
        <f t="shared" si="675"/>
        <v>0</v>
      </c>
      <c r="BX29" s="82"/>
      <c r="BY29" s="6">
        <f t="shared" ref="BY29:BZ29" si="676">BY30+BY31+BY32+BY33+BY34</f>
        <v>0</v>
      </c>
      <c r="BZ29" s="6">
        <f t="shared" si="676"/>
        <v>0</v>
      </c>
      <c r="CA29" s="82"/>
      <c r="CB29" s="6">
        <f t="shared" ref="CB29:CC29" si="677">CB30+CB31+CB32+CB33+CB34</f>
        <v>0</v>
      </c>
      <c r="CC29" s="6">
        <f t="shared" si="677"/>
        <v>0</v>
      </c>
      <c r="CD29" s="82"/>
      <c r="CE29" s="6">
        <f t="shared" ref="CE29:CF29" si="678">CE30+CE31+CE32+CE33+CE34</f>
        <v>0</v>
      </c>
      <c r="CF29" s="6">
        <f t="shared" si="678"/>
        <v>0</v>
      </c>
      <c r="CG29" s="82"/>
      <c r="CH29" s="6">
        <f t="shared" ref="CH29:CI29" si="679">CH30+CH31+CH32+CH33+CH34</f>
        <v>0</v>
      </c>
      <c r="CI29" s="6">
        <f t="shared" si="679"/>
        <v>0</v>
      </c>
      <c r="CJ29" s="82"/>
      <c r="CK29" s="6">
        <f t="shared" ref="CK29:CL29" si="680">CK30+CK31+CK32+CK33+CK34</f>
        <v>0</v>
      </c>
      <c r="CL29" s="6">
        <f t="shared" si="680"/>
        <v>0</v>
      </c>
      <c r="CM29" s="82"/>
      <c r="CN29" s="6">
        <f t="shared" ref="CN29:CO29" si="681">CN30+CN31+CN32+CN33+CN34</f>
        <v>10549</v>
      </c>
      <c r="CO29" s="6">
        <f t="shared" si="681"/>
        <v>0</v>
      </c>
      <c r="CP29" s="82"/>
      <c r="CQ29" s="6">
        <f t="shared" ref="CQ29:CR29" si="682">CQ30+CQ31+CQ32+CQ33+CQ34</f>
        <v>0</v>
      </c>
      <c r="CR29" s="6">
        <f t="shared" si="682"/>
        <v>0</v>
      </c>
      <c r="CS29" s="82"/>
      <c r="CT29" s="6">
        <f t="shared" ref="CT29:CU29" si="683">CT30+CT31+CT32+CT33+CT34</f>
        <v>0</v>
      </c>
      <c r="CU29" s="6">
        <f t="shared" si="683"/>
        <v>0</v>
      </c>
      <c r="CV29" s="82"/>
      <c r="CW29" s="6">
        <f t="shared" ref="CW29:CX29" si="684">CW30+CW31+CW32+CW33+CW34</f>
        <v>0</v>
      </c>
      <c r="CX29" s="6">
        <f t="shared" si="684"/>
        <v>0</v>
      </c>
      <c r="CY29" s="82"/>
      <c r="CZ29" s="6">
        <f t="shared" ref="CZ29:DA29" si="685">CZ30+CZ31+CZ32+CZ33+CZ34</f>
        <v>0</v>
      </c>
      <c r="DA29" s="6">
        <f t="shared" si="685"/>
        <v>0</v>
      </c>
      <c r="DB29" s="82"/>
      <c r="DC29" s="6">
        <f t="shared" ref="DC29:DD29" si="686">DC30+DC31+DC32+DC33+DC34</f>
        <v>0</v>
      </c>
      <c r="DD29" s="6">
        <f t="shared" si="686"/>
        <v>0</v>
      </c>
      <c r="DE29" s="82"/>
      <c r="DF29" s="6">
        <f t="shared" ref="DF29:DG29" si="687">DF30+DF31+DF32+DF33+DF34</f>
        <v>0</v>
      </c>
      <c r="DG29" s="6">
        <f t="shared" si="687"/>
        <v>0</v>
      </c>
      <c r="DH29" s="82"/>
      <c r="DI29" s="6">
        <f t="shared" ref="DI29:DJ29" si="688">DI30+DI31+DI32+DI33+DI34</f>
        <v>0</v>
      </c>
      <c r="DJ29" s="6">
        <f t="shared" si="688"/>
        <v>0</v>
      </c>
      <c r="DK29" s="82"/>
      <c r="DL29" s="6">
        <f t="shared" ref="DL29:DM29" si="689">DL30+DL31+DL32+DL33+DL34</f>
        <v>0</v>
      </c>
      <c r="DM29" s="6">
        <f t="shared" si="689"/>
        <v>0</v>
      </c>
      <c r="DN29" s="82"/>
      <c r="DO29" s="6">
        <f t="shared" ref="DO29:DP29" si="690">DO30+DO31+DO32+DO33+DO34</f>
        <v>0</v>
      </c>
      <c r="DP29" s="6">
        <f t="shared" si="690"/>
        <v>0</v>
      </c>
      <c r="DQ29" s="82"/>
      <c r="DR29" s="38">
        <f t="shared" si="169"/>
        <v>2004087</v>
      </c>
      <c r="DS29" s="38">
        <f t="shared" si="169"/>
        <v>2034251.764</v>
      </c>
      <c r="DT29" s="82">
        <f t="shared" si="170"/>
        <v>101.50516240063429</v>
      </c>
      <c r="DU29" s="6">
        <f>DU30+DU31+DU32+DU33+DU34</f>
        <v>0</v>
      </c>
      <c r="DV29" s="6">
        <f>DV30+DV31+DV32+DV33+DV34</f>
        <v>0</v>
      </c>
      <c r="DW29" s="38"/>
      <c r="DX29" s="6">
        <f t="shared" ref="DX29:DY29" si="691">DX30+DX31+DX32+DX33+DX34</f>
        <v>0</v>
      </c>
      <c r="DY29" s="6">
        <f t="shared" si="691"/>
        <v>0</v>
      </c>
      <c r="DZ29" s="38"/>
      <c r="EA29" s="6">
        <f t="shared" ref="EA29:EB29" si="692">EA30+EA31+EA32+EA33+EA34</f>
        <v>0</v>
      </c>
      <c r="EB29" s="6">
        <f t="shared" si="692"/>
        <v>0</v>
      </c>
      <c r="EC29" s="38"/>
      <c r="ED29" s="6">
        <f t="shared" ref="ED29:EE29" si="693">ED30+ED31+ED32+ED33+ED34</f>
        <v>0</v>
      </c>
      <c r="EE29" s="6">
        <f t="shared" si="693"/>
        <v>0</v>
      </c>
      <c r="EF29" s="38"/>
      <c r="EG29" s="6">
        <f t="shared" ref="EG29:EH29" si="694">EG30+EG31+EG32+EG33+EG34</f>
        <v>0</v>
      </c>
      <c r="EH29" s="6">
        <f t="shared" si="694"/>
        <v>0</v>
      </c>
      <c r="EI29" s="38"/>
      <c r="EJ29" s="6">
        <f t="shared" ref="EJ29:EK29" si="695">EJ30+EJ31+EJ32+EJ33+EJ34</f>
        <v>0</v>
      </c>
      <c r="EK29" s="6">
        <f t="shared" si="695"/>
        <v>0</v>
      </c>
      <c r="EL29" s="38"/>
      <c r="EM29" s="6">
        <f t="shared" ref="EM29:EN29" si="696">EM30+EM31+EM32+EM33+EM34</f>
        <v>0</v>
      </c>
      <c r="EN29" s="6">
        <f t="shared" si="696"/>
        <v>0</v>
      </c>
      <c r="EO29" s="38"/>
      <c r="EP29" s="6">
        <f t="shared" ref="EP29:EQ29" si="697">EP30+EP31+EP32+EP33+EP34</f>
        <v>0</v>
      </c>
      <c r="EQ29" s="6">
        <f t="shared" si="697"/>
        <v>0</v>
      </c>
      <c r="ER29" s="38"/>
      <c r="ES29" s="6">
        <f t="shared" ref="ES29:ET29" si="698">ES30+ES31+ES32+ES33+ES34</f>
        <v>0</v>
      </c>
      <c r="ET29" s="6">
        <f t="shared" si="698"/>
        <v>0</v>
      </c>
      <c r="EU29" s="38"/>
      <c r="EV29" s="38">
        <f t="shared" si="179"/>
        <v>0</v>
      </c>
      <c r="EW29" s="38">
        <f t="shared" si="179"/>
        <v>0</v>
      </c>
      <c r="EX29" s="84"/>
      <c r="EY29" s="6">
        <f t="shared" ref="EY29:EZ29" si="699">EY30+EY31+EY32+EY33+EY34</f>
        <v>0</v>
      </c>
      <c r="EZ29" s="6">
        <f t="shared" si="699"/>
        <v>0</v>
      </c>
      <c r="FA29" s="38"/>
      <c r="FB29" s="6">
        <f t="shared" ref="FB29:FC29" si="700">FB30+FB31+FB32+FB33+FB34</f>
        <v>0</v>
      </c>
      <c r="FC29" s="6">
        <f t="shared" si="700"/>
        <v>0</v>
      </c>
      <c r="FD29" s="38"/>
      <c r="FE29" s="6">
        <f t="shared" ref="FE29:FF29" si="701">FE30+FE31+FE32+FE33+FE34</f>
        <v>0</v>
      </c>
      <c r="FF29" s="6">
        <f t="shared" si="701"/>
        <v>0</v>
      </c>
      <c r="FG29" s="38"/>
      <c r="FH29" s="6">
        <f t="shared" ref="FH29:FI29" si="702">FH30+FH31+FH32+FH33+FH34</f>
        <v>0</v>
      </c>
      <c r="FI29" s="6">
        <f t="shared" si="702"/>
        <v>0</v>
      </c>
      <c r="FJ29" s="38"/>
      <c r="FK29" s="38"/>
      <c r="FL29" s="6">
        <f t="shared" ref="FL29" si="703">FL30+FL31+FL32+FL33+FL34</f>
        <v>0</v>
      </c>
      <c r="FM29" s="38"/>
      <c r="FN29" s="6">
        <f t="shared" ref="FN29:FO29" si="704">FN30+FN31+FN32+FN33+FN34</f>
        <v>0</v>
      </c>
      <c r="FO29" s="6">
        <f t="shared" si="704"/>
        <v>0</v>
      </c>
      <c r="FP29" s="38"/>
      <c r="FQ29" s="6">
        <f t="shared" ref="FQ29:FR29" si="705">FQ30+FQ31+FQ32+FQ33+FQ34</f>
        <v>0</v>
      </c>
      <c r="FR29" s="6">
        <f t="shared" si="705"/>
        <v>0</v>
      </c>
      <c r="FS29" s="38"/>
      <c r="FT29" s="6">
        <f t="shared" ref="FT29:FU29" si="706">FT30+FT31+FT32+FT33+FT34</f>
        <v>0</v>
      </c>
      <c r="FU29" s="6">
        <f t="shared" si="706"/>
        <v>0</v>
      </c>
      <c r="FV29" s="38"/>
      <c r="FW29" s="6">
        <f t="shared" ref="FW29:FX29" si="707">FW30+FW31+FW32+FW33+FW34</f>
        <v>0</v>
      </c>
      <c r="FX29" s="6">
        <f t="shared" si="707"/>
        <v>0</v>
      </c>
      <c r="FY29" s="38"/>
      <c r="FZ29" s="6">
        <f t="shared" ref="FZ29:GA29" si="708">FZ30+FZ31+FZ32+FZ33+FZ34</f>
        <v>0</v>
      </c>
      <c r="GA29" s="6">
        <f t="shared" si="708"/>
        <v>0</v>
      </c>
      <c r="GB29" s="38"/>
      <c r="GC29" s="6">
        <f t="shared" ref="GC29:GD29" si="709">GC30+GC31+GC32+GC33+GC34</f>
        <v>0</v>
      </c>
      <c r="GD29" s="6">
        <f t="shared" si="709"/>
        <v>0</v>
      </c>
      <c r="GE29" s="38"/>
      <c r="GF29" s="6">
        <f t="shared" ref="GF29:GG29" si="710">GF30+GF31+GF32+GF33+GF34</f>
        <v>0</v>
      </c>
      <c r="GG29" s="6">
        <f t="shared" si="710"/>
        <v>0</v>
      </c>
      <c r="GH29" s="38"/>
      <c r="GI29" s="6">
        <f t="shared" ref="GI29:GJ29" si="711">GI30+GI31+GI32+GI33+GI34</f>
        <v>0</v>
      </c>
      <c r="GJ29" s="6">
        <f t="shared" si="711"/>
        <v>0</v>
      </c>
      <c r="GK29" s="38"/>
      <c r="GL29" s="6">
        <f t="shared" ref="GL29:GM29" si="712">GL30+GL31+GL32+GL33+GL34</f>
        <v>0</v>
      </c>
      <c r="GM29" s="6">
        <f t="shared" si="712"/>
        <v>0</v>
      </c>
      <c r="GN29" s="38"/>
      <c r="GO29" s="38">
        <f t="shared" si="117"/>
        <v>0</v>
      </c>
      <c r="GP29" s="6">
        <f t="shared" ref="GP29" si="713">GP30+GP31+GP32+GP33+GP34</f>
        <v>0</v>
      </c>
      <c r="GQ29" s="38"/>
      <c r="GR29" s="6">
        <f t="shared" ref="GR29:GS29" si="714">GR30+GR31+GR32+GR33+GR34</f>
        <v>33104</v>
      </c>
      <c r="GS29" s="6">
        <f t="shared" si="714"/>
        <v>0</v>
      </c>
      <c r="GT29" s="38"/>
      <c r="GU29" s="6">
        <f t="shared" ref="GU29:GV29" si="715">GU30+GU31+GU32+GU33+GU34</f>
        <v>1542447</v>
      </c>
      <c r="GV29" s="6">
        <f t="shared" si="715"/>
        <v>1596807</v>
      </c>
      <c r="GW29" s="38"/>
      <c r="GX29" s="6">
        <f t="shared" ref="GX29:GY29" si="716">GX30+GX31+GX32+GX33+GX34</f>
        <v>0</v>
      </c>
      <c r="GY29" s="6">
        <f t="shared" si="716"/>
        <v>0</v>
      </c>
      <c r="GZ29" s="38"/>
      <c r="HA29" s="38">
        <f t="shared" si="198"/>
        <v>1575551</v>
      </c>
      <c r="HB29" s="38">
        <f t="shared" si="198"/>
        <v>1596807</v>
      </c>
      <c r="HC29" s="84">
        <f t="shared" si="521"/>
        <v>101.34911532536873</v>
      </c>
      <c r="HD29" s="38">
        <f t="shared" si="127"/>
        <v>3579638</v>
      </c>
      <c r="HE29" s="38">
        <f t="shared" si="128"/>
        <v>3631058.764</v>
      </c>
      <c r="HF29" s="238">
        <f t="shared" si="129"/>
        <v>101.43647944289339</v>
      </c>
      <c r="HH29" s="242"/>
      <c r="HI29" s="242"/>
    </row>
    <row r="30" spans="1:217" ht="15" customHeight="1" x14ac:dyDescent="0.25">
      <c r="A30" s="218" t="s">
        <v>356</v>
      </c>
      <c r="B30" s="7"/>
      <c r="C30" s="7">
        <f>SUM('címrend kötelező'!B30+'címrend önként'!B30+'címrend államig'!B30)</f>
        <v>0</v>
      </c>
      <c r="D30" s="82"/>
      <c r="E30" s="7"/>
      <c r="F30" s="7">
        <f>SUM('címrend kötelező'!C30+'címrend önként'!C30+'címrend államig'!C30)</f>
        <v>0</v>
      </c>
      <c r="G30" s="82"/>
      <c r="H30" s="7"/>
      <c r="I30" s="7">
        <f>SUM('címrend kötelező'!D30+'címrend önként'!D30+'címrend államig'!D30)</f>
        <v>0</v>
      </c>
      <c r="J30" s="82"/>
      <c r="K30" s="7"/>
      <c r="L30" s="7">
        <f>SUM('címrend kötelező'!E30+'címrend önként'!E30+'címrend államig'!E30)</f>
        <v>0</v>
      </c>
      <c r="M30" s="82"/>
      <c r="N30" s="7"/>
      <c r="O30" s="7">
        <f>SUM('címrend kötelező'!F30+'címrend önként'!F30+'címrend államig'!F30)</f>
        <v>0</v>
      </c>
      <c r="P30" s="82"/>
      <c r="Q30" s="7"/>
      <c r="R30" s="7">
        <f>SUM('címrend kötelező'!G30+'címrend önként'!G30+'címrend államig'!G30)</f>
        <v>0</v>
      </c>
      <c r="S30" s="82"/>
      <c r="T30" s="7"/>
      <c r="U30" s="7">
        <f>SUM('címrend kötelező'!H30+'címrend önként'!H30+'címrend államig'!H30)</f>
        <v>0</v>
      </c>
      <c r="V30" s="82"/>
      <c r="W30" s="7"/>
      <c r="X30" s="7">
        <f>SUM('címrend kötelező'!I30+'címrend önként'!I30+'címrend államig'!I30)</f>
        <v>0</v>
      </c>
      <c r="Y30" s="82"/>
      <c r="Z30" s="7">
        <v>1981071</v>
      </c>
      <c r="AA30" s="7">
        <f>SUM('címrend kötelező'!J30+'címrend önként'!J30+'címrend államig'!J30)</f>
        <v>2019674.764</v>
      </c>
      <c r="AB30" s="82"/>
      <c r="AC30" s="7"/>
      <c r="AD30" s="7">
        <f>SUM('címrend kötelező'!K30+'címrend önként'!K30+'címrend államig'!K30)</f>
        <v>0</v>
      </c>
      <c r="AE30" s="82"/>
      <c r="AF30" s="7"/>
      <c r="AG30" s="7">
        <f>SUM('címrend kötelező'!L30+'címrend önként'!L30+'címrend államig'!L30)</f>
        <v>0</v>
      </c>
      <c r="AH30" s="82"/>
      <c r="AI30" s="7"/>
      <c r="AJ30" s="7">
        <f>SUM('címrend kötelező'!M30+'címrend önként'!M30+'címrend államig'!M30)</f>
        <v>0</v>
      </c>
      <c r="AK30" s="82"/>
      <c r="AL30" s="7"/>
      <c r="AM30" s="7">
        <f>SUM('címrend kötelező'!N30+'címrend önként'!N30+'címrend államig'!N30)</f>
        <v>0</v>
      </c>
      <c r="AN30" s="82"/>
      <c r="AO30" s="7"/>
      <c r="AP30" s="7">
        <f>SUM('címrend kötelező'!O30+'címrend önként'!O30+'címrend államig'!O30)</f>
        <v>0</v>
      </c>
      <c r="AQ30" s="82"/>
      <c r="AR30" s="7"/>
      <c r="AS30" s="7">
        <f>SUM('címrend kötelező'!P30+'címrend önként'!P30+'címrend államig'!P30)</f>
        <v>0</v>
      </c>
      <c r="AT30" s="82"/>
      <c r="AU30" s="7"/>
      <c r="AV30" s="7">
        <f>SUM('címrend kötelező'!Q30+'címrend önként'!Q30+'címrend államig'!Q30)</f>
        <v>0</v>
      </c>
      <c r="AW30" s="82"/>
      <c r="AX30" s="7"/>
      <c r="AY30" s="7">
        <f>SUM('címrend kötelező'!R30+'címrend önként'!R30+'címrend államig'!R30)</f>
        <v>0</v>
      </c>
      <c r="AZ30" s="82"/>
      <c r="BA30" s="7"/>
      <c r="BB30" s="7">
        <f>SUM('címrend kötelező'!S30+'címrend önként'!S30+'címrend államig'!S30)</f>
        <v>0</v>
      </c>
      <c r="BC30" s="82"/>
      <c r="BD30" s="7"/>
      <c r="BE30" s="7">
        <f>SUM('címrend kötelező'!T30+'címrend önként'!T30+'címrend államig'!T30)</f>
        <v>0</v>
      </c>
      <c r="BF30" s="82"/>
      <c r="BG30" s="7"/>
      <c r="BH30" s="7">
        <f>SUM('címrend kötelező'!U30+'címrend önként'!U30+'címrend államig'!U30)</f>
        <v>0</v>
      </c>
      <c r="BI30" s="82"/>
      <c r="BJ30" s="7"/>
      <c r="BK30" s="7">
        <f>SUM('címrend kötelező'!V30+'címrend önként'!V30+'címrend államig'!V30)</f>
        <v>0</v>
      </c>
      <c r="BL30" s="82"/>
      <c r="BM30" s="7"/>
      <c r="BN30" s="7">
        <f>SUM('címrend kötelező'!W30+'címrend önként'!W30+'címrend államig'!W30)</f>
        <v>0</v>
      </c>
      <c r="BO30" s="82"/>
      <c r="BP30" s="7"/>
      <c r="BQ30" s="7">
        <f>SUM('címrend kötelező'!X30+'címrend önként'!X30+'címrend államig'!X30)</f>
        <v>0</v>
      </c>
      <c r="BR30" s="82"/>
      <c r="BS30" s="7"/>
      <c r="BT30" s="7">
        <f>SUM('címrend kötelező'!Y30+'címrend önként'!Y30+'címrend államig'!Y30)</f>
        <v>0</v>
      </c>
      <c r="BU30" s="82"/>
      <c r="BV30" s="7"/>
      <c r="BW30" s="7">
        <f>SUM('címrend kötelező'!Z30+'címrend önként'!Z30+'címrend államig'!Z30)</f>
        <v>0</v>
      </c>
      <c r="BX30" s="82"/>
      <c r="BY30" s="7"/>
      <c r="BZ30" s="7">
        <f>SUM('címrend kötelező'!AA30+'címrend önként'!AA30+'címrend államig'!AA30)</f>
        <v>0</v>
      </c>
      <c r="CA30" s="82"/>
      <c r="CB30" s="7"/>
      <c r="CC30" s="7">
        <f>SUM('címrend kötelező'!AB30+'címrend önként'!AB30+'címrend államig'!AB30)</f>
        <v>0</v>
      </c>
      <c r="CD30" s="82"/>
      <c r="CE30" s="7"/>
      <c r="CF30" s="7">
        <f>SUM('címrend kötelező'!AC30+'címrend önként'!AC30+'címrend államig'!AC30)</f>
        <v>0</v>
      </c>
      <c r="CG30" s="82"/>
      <c r="CH30" s="7"/>
      <c r="CI30" s="7">
        <f>SUM('címrend kötelező'!AD30+'címrend önként'!AD30+'címrend államig'!AD30)</f>
        <v>0</v>
      </c>
      <c r="CJ30" s="82"/>
      <c r="CK30" s="7"/>
      <c r="CL30" s="7">
        <f>SUM('címrend kötelező'!AE30+'címrend önként'!AE30+'címrend államig'!AE30)</f>
        <v>0</v>
      </c>
      <c r="CM30" s="82"/>
      <c r="CN30" s="7"/>
      <c r="CO30" s="7">
        <f>SUM('címrend kötelező'!AF30+'címrend önként'!AF30+'címrend államig'!AF30)</f>
        <v>0</v>
      </c>
      <c r="CP30" s="82"/>
      <c r="CQ30" s="7"/>
      <c r="CR30" s="7">
        <f>SUM('címrend kötelező'!AG30+'címrend önként'!AG30+'címrend államig'!AG30)</f>
        <v>0</v>
      </c>
      <c r="CS30" s="82"/>
      <c r="CT30" s="7"/>
      <c r="CU30" s="7">
        <f>SUM('címrend kötelező'!AH30+'címrend önként'!AH30+'címrend államig'!AH30)</f>
        <v>0</v>
      </c>
      <c r="CV30" s="82"/>
      <c r="CW30" s="7"/>
      <c r="CX30" s="7">
        <f>SUM('címrend kötelező'!AI30+'címrend önként'!AI30+'címrend államig'!AI30)</f>
        <v>0</v>
      </c>
      <c r="CY30" s="82"/>
      <c r="CZ30" s="7"/>
      <c r="DA30" s="7">
        <f>SUM('címrend kötelező'!AJ30+'címrend önként'!AJ30+'címrend államig'!AJ30)</f>
        <v>0</v>
      </c>
      <c r="DB30" s="82"/>
      <c r="DC30" s="7"/>
      <c r="DD30" s="7">
        <f>SUM('címrend kötelező'!AK30+'címrend önként'!AK30+'címrend államig'!AK30)</f>
        <v>0</v>
      </c>
      <c r="DE30" s="82"/>
      <c r="DF30" s="7"/>
      <c r="DG30" s="7">
        <f>SUM('címrend kötelező'!AL30+'címrend önként'!AL30+'címrend államig'!AL30)</f>
        <v>0</v>
      </c>
      <c r="DH30" s="82"/>
      <c r="DI30" s="7"/>
      <c r="DJ30" s="7">
        <f>SUM('címrend kötelező'!AM30+'címrend önként'!AM30+'címrend államig'!AM30)</f>
        <v>0</v>
      </c>
      <c r="DK30" s="82"/>
      <c r="DL30" s="7"/>
      <c r="DM30" s="7">
        <f>SUM('címrend kötelező'!AN30+'címrend önként'!AN30+'címrend államig'!AN30)</f>
        <v>0</v>
      </c>
      <c r="DN30" s="82"/>
      <c r="DO30" s="7"/>
      <c r="DP30" s="7">
        <f>SUM('címrend kötelező'!AO30+'címrend önként'!AO30+'címrend államig'!AO30)</f>
        <v>0</v>
      </c>
      <c r="DQ30" s="82"/>
      <c r="DR30" s="387">
        <f t="shared" si="169"/>
        <v>1981071</v>
      </c>
      <c r="DS30" s="387">
        <f t="shared" si="169"/>
        <v>2019674.764</v>
      </c>
      <c r="DT30" s="87">
        <f t="shared" si="170"/>
        <v>101.94863101827242</v>
      </c>
      <c r="DU30" s="7"/>
      <c r="DV30" s="7">
        <f>SUM('címrend kötelező'!AQ30+'címrend önként'!AQ30+'címrend államig'!AQ30)</f>
        <v>0</v>
      </c>
      <c r="DW30" s="38"/>
      <c r="DX30" s="7"/>
      <c r="DY30" s="7">
        <f>SUM('címrend kötelező'!AR30+'címrend önként'!AR30+'címrend államig'!AR30)</f>
        <v>0</v>
      </c>
      <c r="DZ30" s="38"/>
      <c r="EA30" s="7"/>
      <c r="EB30" s="7">
        <f>SUM('címrend kötelező'!AS30+'címrend önként'!AS30+'címrend államig'!AS30)</f>
        <v>0</v>
      </c>
      <c r="EC30" s="38"/>
      <c r="ED30" s="7"/>
      <c r="EE30" s="7">
        <f>SUM('címrend kötelező'!AT30+'címrend önként'!AT30+'címrend államig'!AT30)</f>
        <v>0</v>
      </c>
      <c r="EF30" s="38"/>
      <c r="EG30" s="7"/>
      <c r="EH30" s="7">
        <f>SUM('címrend kötelező'!AU30+'címrend önként'!AU30+'címrend államig'!AU30)</f>
        <v>0</v>
      </c>
      <c r="EI30" s="38"/>
      <c r="EJ30" s="7"/>
      <c r="EK30" s="7">
        <f>SUM('címrend kötelező'!AV30+'címrend önként'!AV30+'címrend államig'!AV30)</f>
        <v>0</v>
      </c>
      <c r="EL30" s="38"/>
      <c r="EM30" s="7"/>
      <c r="EN30" s="7">
        <f>SUM('címrend kötelező'!AW30+'címrend önként'!AW30+'címrend államig'!AW30)</f>
        <v>0</v>
      </c>
      <c r="EO30" s="38"/>
      <c r="EP30" s="7"/>
      <c r="EQ30" s="7">
        <f>SUM('címrend kötelező'!AX30+'címrend önként'!AX30+'címrend államig'!AX30)</f>
        <v>0</v>
      </c>
      <c r="ER30" s="38"/>
      <c r="ES30" s="7"/>
      <c r="ET30" s="7">
        <f>SUM('címrend kötelező'!AY30+'címrend önként'!AY30+'címrend államig'!AY30)</f>
        <v>0</v>
      </c>
      <c r="EU30" s="38"/>
      <c r="EV30" s="387">
        <f t="shared" si="179"/>
        <v>0</v>
      </c>
      <c r="EW30" s="387">
        <f t="shared" si="179"/>
        <v>0</v>
      </c>
      <c r="EX30" s="84"/>
      <c r="EY30" s="7"/>
      <c r="EZ30" s="7">
        <f>'címrend kötelező'!BA30+'címrend önként'!BA30+'címrend államig'!BA30</f>
        <v>0</v>
      </c>
      <c r="FA30" s="38"/>
      <c r="FB30" s="7"/>
      <c r="FC30" s="7">
        <f>'címrend kötelező'!BB30+'címrend önként'!BB30+'címrend államig'!BB30</f>
        <v>0</v>
      </c>
      <c r="FD30" s="38"/>
      <c r="FE30" s="7"/>
      <c r="FF30" s="7">
        <f>'címrend kötelező'!BC30+'címrend önként'!BC30+'címrend államig'!BC30</f>
        <v>0</v>
      </c>
      <c r="FG30" s="38"/>
      <c r="FH30" s="7"/>
      <c r="FI30" s="7">
        <f>'címrend kötelező'!BD30+'címrend önként'!BD30+'címrend államig'!BD30</f>
        <v>0</v>
      </c>
      <c r="FJ30" s="38"/>
      <c r="FK30" s="38"/>
      <c r="FL30" s="7">
        <f>'címrend kötelező'!BE30+'címrend önként'!BE30+'címrend államig'!BE30</f>
        <v>0</v>
      </c>
      <c r="FM30" s="38"/>
      <c r="FN30" s="7"/>
      <c r="FO30" s="7">
        <f>SUM('címrend kötelező'!BF30+'címrend önként'!BF30+'címrend államig'!BF30)</f>
        <v>0</v>
      </c>
      <c r="FP30" s="38"/>
      <c r="FQ30" s="7"/>
      <c r="FR30" s="7">
        <f>SUM('címrend kötelező'!BG30+'címrend önként'!BG30+'címrend államig'!BG30)</f>
        <v>0</v>
      </c>
      <c r="FS30" s="38"/>
      <c r="FT30" s="7"/>
      <c r="FU30" s="7">
        <f>SUM('címrend kötelező'!BH30+'címrend önként'!BH30+'címrend államig'!BH30)</f>
        <v>0</v>
      </c>
      <c r="FV30" s="38"/>
      <c r="FW30" s="7"/>
      <c r="FX30" s="7">
        <f>SUM('címrend kötelező'!BI30+'címrend önként'!BI30+'címrend államig'!BI30)</f>
        <v>0</v>
      </c>
      <c r="FY30" s="38"/>
      <c r="FZ30" s="7"/>
      <c r="GA30" s="7">
        <f>SUM('címrend kötelező'!BJ30+'címrend önként'!BJ30+'címrend államig'!BJ30)</f>
        <v>0</v>
      </c>
      <c r="GB30" s="38"/>
      <c r="GC30" s="7"/>
      <c r="GD30" s="7">
        <f>SUM('címrend kötelező'!BK30+'címrend önként'!BK30+'címrend államig'!BK30)</f>
        <v>0</v>
      </c>
      <c r="GE30" s="38"/>
      <c r="GF30" s="7"/>
      <c r="GG30" s="7">
        <f>SUM('címrend kötelező'!BL30+'címrend önként'!BL30+'címrend államig'!BL30)</f>
        <v>0</v>
      </c>
      <c r="GH30" s="38"/>
      <c r="GI30" s="7"/>
      <c r="GJ30" s="7">
        <f>SUM('címrend kötelező'!BM30+'címrend önként'!BM30+'címrend államig'!BM30)</f>
        <v>0</v>
      </c>
      <c r="GK30" s="38"/>
      <c r="GL30" s="7"/>
      <c r="GM30" s="7">
        <f>SUM('címrend kötelező'!BN30+'címrend önként'!BN30+'címrend államig'!BN30)</f>
        <v>0</v>
      </c>
      <c r="GN30" s="38"/>
      <c r="GO30" s="387">
        <f t="shared" si="117"/>
        <v>0</v>
      </c>
      <c r="GP30" s="387">
        <f t="shared" ref="GP30:GP36" si="717">EZ30+FC30+FF30+FI30+FL30+FO30+FR30+FU30+FX30+GA30+GD30+GG30+GJ30+GM30</f>
        <v>0</v>
      </c>
      <c r="GQ30" s="38"/>
      <c r="GR30" s="7"/>
      <c r="GS30" s="7">
        <f>SUM('címrend kötelező'!BP30+'címrend önként'!BP30+'címrend államig'!BP30)</f>
        <v>0</v>
      </c>
      <c r="GT30" s="38"/>
      <c r="GU30" s="7"/>
      <c r="GV30" s="7">
        <f>SUM('címrend kötelező'!BQ30+'címrend önként'!BQ30+'címrend államig'!BQ30)</f>
        <v>0</v>
      </c>
      <c r="GW30" s="38"/>
      <c r="GX30" s="7"/>
      <c r="GY30" s="7">
        <f>SUM('címrend kötelező'!BR30+'címrend önként'!BR30+'címrend államig'!BR30)</f>
        <v>0</v>
      </c>
      <c r="GZ30" s="38"/>
      <c r="HA30" s="387">
        <f t="shared" si="198"/>
        <v>0</v>
      </c>
      <c r="HB30" s="387">
        <f t="shared" si="198"/>
        <v>0</v>
      </c>
      <c r="HC30" s="387"/>
      <c r="HD30" s="38">
        <f t="shared" si="127"/>
        <v>1981071</v>
      </c>
      <c r="HE30" s="38">
        <f t="shared" si="128"/>
        <v>2019674.764</v>
      </c>
      <c r="HF30" s="238">
        <f t="shared" si="129"/>
        <v>101.94863101827242</v>
      </c>
      <c r="HH30" s="242"/>
      <c r="HI30" s="242"/>
    </row>
    <row r="31" spans="1:217" ht="15" customHeight="1" x14ac:dyDescent="0.25">
      <c r="A31" s="218" t="s">
        <v>357</v>
      </c>
      <c r="B31" s="7"/>
      <c r="C31" s="7">
        <f>SUM('címrend kötelező'!B31+'címrend önként'!B31+'címrend államig'!B31)</f>
        <v>0</v>
      </c>
      <c r="D31" s="82"/>
      <c r="E31" s="7"/>
      <c r="F31" s="7">
        <f>SUM('címrend kötelező'!C31+'címrend önként'!C31+'címrend államig'!C31)</f>
        <v>0</v>
      </c>
      <c r="G31" s="82"/>
      <c r="H31" s="7"/>
      <c r="I31" s="7">
        <f>SUM('címrend kötelező'!D31+'címrend önként'!D31+'címrend államig'!D31)</f>
        <v>0</v>
      </c>
      <c r="J31" s="82"/>
      <c r="K31" s="7"/>
      <c r="L31" s="7">
        <f>SUM('címrend kötelező'!E31+'címrend önként'!E31+'címrend államig'!E31)</f>
        <v>0</v>
      </c>
      <c r="M31" s="82"/>
      <c r="N31" s="7"/>
      <c r="O31" s="7">
        <f>SUM('címrend kötelező'!F31+'címrend önként'!F31+'címrend államig'!F31)</f>
        <v>0</v>
      </c>
      <c r="P31" s="82"/>
      <c r="Q31" s="7"/>
      <c r="R31" s="7">
        <f>SUM('címrend kötelező'!G31+'címrend önként'!G31+'címrend államig'!G31)</f>
        <v>0</v>
      </c>
      <c r="S31" s="82"/>
      <c r="T31" s="7"/>
      <c r="U31" s="7">
        <f>SUM('címrend kötelező'!H31+'címrend önként'!H31+'címrend államig'!H31)</f>
        <v>0</v>
      </c>
      <c r="V31" s="82"/>
      <c r="W31" s="7"/>
      <c r="X31" s="7">
        <f>SUM('címrend kötelező'!I31+'címrend önként'!I31+'címrend államig'!I31)</f>
        <v>0</v>
      </c>
      <c r="Y31" s="82"/>
      <c r="Z31" s="7"/>
      <c r="AA31" s="7">
        <f>SUM('címrend kötelező'!J31+'címrend önként'!J31+'címrend államig'!J31)</f>
        <v>0</v>
      </c>
      <c r="AB31" s="82"/>
      <c r="AC31" s="7"/>
      <c r="AD31" s="7">
        <f>SUM('címrend kötelező'!K31+'címrend önként'!K31+'címrend államig'!K31)</f>
        <v>0</v>
      </c>
      <c r="AE31" s="82"/>
      <c r="AF31" s="7"/>
      <c r="AG31" s="7">
        <f>SUM('címrend kötelező'!L31+'címrend önként'!L31+'címrend államig'!L31)</f>
        <v>0</v>
      </c>
      <c r="AH31" s="82"/>
      <c r="AI31" s="7"/>
      <c r="AJ31" s="7">
        <f>SUM('címrend kötelező'!M31+'címrend önként'!M31+'címrend államig'!M31)</f>
        <v>0</v>
      </c>
      <c r="AK31" s="82"/>
      <c r="AL31" s="7"/>
      <c r="AM31" s="7">
        <f>SUM('címrend kötelező'!N31+'címrend önként'!N31+'címrend államig'!N31)</f>
        <v>0</v>
      </c>
      <c r="AN31" s="82"/>
      <c r="AO31" s="7"/>
      <c r="AP31" s="7">
        <f>SUM('címrend kötelező'!O31+'címrend önként'!O31+'címrend államig'!O31)</f>
        <v>0</v>
      </c>
      <c r="AQ31" s="82"/>
      <c r="AR31" s="7"/>
      <c r="AS31" s="7">
        <f>SUM('címrend kötelező'!P31+'címrend önként'!P31+'címrend államig'!P31)</f>
        <v>0</v>
      </c>
      <c r="AT31" s="82"/>
      <c r="AU31" s="7"/>
      <c r="AV31" s="7">
        <f>SUM('címrend kötelező'!Q31+'címrend önként'!Q31+'címrend államig'!Q31)</f>
        <v>0</v>
      </c>
      <c r="AW31" s="82"/>
      <c r="AX31" s="7"/>
      <c r="AY31" s="7">
        <f>SUM('címrend kötelező'!R31+'címrend önként'!R31+'címrend államig'!R31)</f>
        <v>0</v>
      </c>
      <c r="AZ31" s="82"/>
      <c r="BA31" s="7"/>
      <c r="BB31" s="7">
        <f>SUM('címrend kötelező'!S31+'címrend önként'!S31+'címrend államig'!S31)</f>
        <v>0</v>
      </c>
      <c r="BC31" s="82"/>
      <c r="BD31" s="7"/>
      <c r="BE31" s="7">
        <f>SUM('címrend kötelező'!T31+'címrend önként'!T31+'címrend államig'!T31)</f>
        <v>0</v>
      </c>
      <c r="BF31" s="82"/>
      <c r="BG31" s="7"/>
      <c r="BH31" s="7">
        <f>SUM('címrend kötelező'!U31+'címrend önként'!U31+'címrend államig'!U31)</f>
        <v>0</v>
      </c>
      <c r="BI31" s="82"/>
      <c r="BJ31" s="7"/>
      <c r="BK31" s="7">
        <f>SUM('címrend kötelező'!V31+'címrend önként'!V31+'címrend államig'!V31)</f>
        <v>0</v>
      </c>
      <c r="BL31" s="82"/>
      <c r="BM31" s="7"/>
      <c r="BN31" s="7">
        <f>SUM('címrend kötelező'!W31+'címrend önként'!W31+'címrend államig'!W31)</f>
        <v>0</v>
      </c>
      <c r="BO31" s="82"/>
      <c r="BP31" s="7"/>
      <c r="BQ31" s="7">
        <f>SUM('címrend kötelező'!X31+'címrend önként'!X31+'címrend államig'!X31)</f>
        <v>0</v>
      </c>
      <c r="BR31" s="82"/>
      <c r="BS31" s="7"/>
      <c r="BT31" s="7">
        <f>SUM('címrend kötelező'!Y31+'címrend önként'!Y31+'címrend államig'!Y31)</f>
        <v>0</v>
      </c>
      <c r="BU31" s="82"/>
      <c r="BV31" s="7"/>
      <c r="BW31" s="7">
        <f>SUM('címrend kötelező'!Z31+'címrend önként'!Z31+'címrend államig'!Z31)</f>
        <v>0</v>
      </c>
      <c r="BX31" s="82"/>
      <c r="BY31" s="7"/>
      <c r="BZ31" s="7">
        <f>SUM('címrend kötelező'!AA31+'címrend önként'!AA31+'címrend államig'!AA31)</f>
        <v>0</v>
      </c>
      <c r="CA31" s="82"/>
      <c r="CB31" s="7"/>
      <c r="CC31" s="7">
        <f>SUM('címrend kötelező'!AB31+'címrend önként'!AB31+'címrend államig'!AB31)</f>
        <v>0</v>
      </c>
      <c r="CD31" s="82"/>
      <c r="CE31" s="7"/>
      <c r="CF31" s="7">
        <f>SUM('címrend kötelező'!AC31+'címrend önként'!AC31+'címrend államig'!AC31)</f>
        <v>0</v>
      </c>
      <c r="CG31" s="82"/>
      <c r="CH31" s="7"/>
      <c r="CI31" s="7">
        <f>SUM('címrend kötelező'!AD31+'címrend önként'!AD31+'címrend államig'!AD31)</f>
        <v>0</v>
      </c>
      <c r="CJ31" s="82"/>
      <c r="CK31" s="7"/>
      <c r="CL31" s="7">
        <f>SUM('címrend kötelező'!AE31+'címrend önként'!AE31+'címrend államig'!AE31)</f>
        <v>0</v>
      </c>
      <c r="CM31" s="82"/>
      <c r="CN31" s="7"/>
      <c r="CO31" s="7">
        <f>SUM('címrend kötelező'!AF31+'címrend önként'!AF31+'címrend államig'!AF31)</f>
        <v>0</v>
      </c>
      <c r="CP31" s="82"/>
      <c r="CQ31" s="7"/>
      <c r="CR31" s="7">
        <f>SUM('címrend kötelező'!AG31+'címrend önként'!AG31+'címrend államig'!AG31)</f>
        <v>0</v>
      </c>
      <c r="CS31" s="82"/>
      <c r="CT31" s="7"/>
      <c r="CU31" s="7">
        <f>SUM('címrend kötelező'!AH31+'címrend önként'!AH31+'címrend államig'!AH31)</f>
        <v>0</v>
      </c>
      <c r="CV31" s="82"/>
      <c r="CW31" s="7"/>
      <c r="CX31" s="7">
        <f>SUM('címrend kötelező'!AI31+'címrend önként'!AI31+'címrend államig'!AI31)</f>
        <v>0</v>
      </c>
      <c r="CY31" s="82"/>
      <c r="CZ31" s="7"/>
      <c r="DA31" s="7">
        <f>SUM('címrend kötelező'!AJ31+'címrend önként'!AJ31+'címrend államig'!AJ31)</f>
        <v>0</v>
      </c>
      <c r="DB31" s="82"/>
      <c r="DC31" s="7"/>
      <c r="DD31" s="7">
        <f>SUM('címrend kötelező'!AK31+'címrend önként'!AK31+'címrend államig'!AK31)</f>
        <v>0</v>
      </c>
      <c r="DE31" s="82"/>
      <c r="DF31" s="7"/>
      <c r="DG31" s="7">
        <f>SUM('címrend kötelező'!AL31+'címrend önként'!AL31+'címrend államig'!AL31)</f>
        <v>0</v>
      </c>
      <c r="DH31" s="82"/>
      <c r="DI31" s="7"/>
      <c r="DJ31" s="7">
        <f>SUM('címrend kötelező'!AM31+'címrend önként'!AM31+'címrend államig'!AM31)</f>
        <v>0</v>
      </c>
      <c r="DK31" s="82"/>
      <c r="DL31" s="7"/>
      <c r="DM31" s="7">
        <f>SUM('címrend kötelező'!AN31+'címrend önként'!AN31+'címrend államig'!AN31)</f>
        <v>0</v>
      </c>
      <c r="DN31" s="82"/>
      <c r="DO31" s="7"/>
      <c r="DP31" s="7">
        <f>SUM('címrend kötelező'!AO31+'címrend önként'!AO31+'címrend államig'!AO31)</f>
        <v>0</v>
      </c>
      <c r="DQ31" s="82"/>
      <c r="DR31" s="387">
        <f t="shared" si="169"/>
        <v>0</v>
      </c>
      <c r="DS31" s="387">
        <f t="shared" si="169"/>
        <v>0</v>
      </c>
      <c r="DT31" s="387"/>
      <c r="DU31" s="7"/>
      <c r="DV31" s="7">
        <f>SUM('címrend kötelező'!AQ31+'címrend önként'!AQ31+'címrend államig'!AQ31)</f>
        <v>0</v>
      </c>
      <c r="DW31" s="38"/>
      <c r="DX31" s="7"/>
      <c r="DY31" s="7">
        <f>SUM('címrend kötelező'!AR31+'címrend önként'!AR31+'címrend államig'!AR31)</f>
        <v>0</v>
      </c>
      <c r="DZ31" s="38"/>
      <c r="EA31" s="7"/>
      <c r="EB31" s="7">
        <f>SUM('címrend kötelező'!AS31+'címrend önként'!AS31+'címrend államig'!AS31)</f>
        <v>0</v>
      </c>
      <c r="EC31" s="38"/>
      <c r="ED31" s="7"/>
      <c r="EE31" s="7">
        <f>SUM('címrend kötelező'!AT31+'címrend önként'!AT31+'címrend államig'!AT31)</f>
        <v>0</v>
      </c>
      <c r="EF31" s="38"/>
      <c r="EG31" s="7"/>
      <c r="EH31" s="7">
        <f>SUM('címrend kötelező'!AU31+'címrend önként'!AU31+'címrend államig'!AU31)</f>
        <v>0</v>
      </c>
      <c r="EI31" s="38"/>
      <c r="EJ31" s="7"/>
      <c r="EK31" s="7">
        <f>SUM('címrend kötelező'!AV31+'címrend önként'!AV31+'címrend államig'!AV31)</f>
        <v>0</v>
      </c>
      <c r="EL31" s="38"/>
      <c r="EM31" s="7"/>
      <c r="EN31" s="7">
        <f>SUM('címrend kötelező'!AW31+'címrend önként'!AW31+'címrend államig'!AW31)</f>
        <v>0</v>
      </c>
      <c r="EO31" s="38"/>
      <c r="EP31" s="7"/>
      <c r="EQ31" s="7">
        <f>SUM('címrend kötelező'!AX31+'címrend önként'!AX31+'címrend államig'!AX31)</f>
        <v>0</v>
      </c>
      <c r="ER31" s="38"/>
      <c r="ES31" s="7"/>
      <c r="ET31" s="7">
        <f>SUM('címrend kötelező'!AY31+'címrend önként'!AY31+'címrend államig'!AY31)</f>
        <v>0</v>
      </c>
      <c r="EU31" s="38"/>
      <c r="EV31" s="387">
        <f t="shared" si="179"/>
        <v>0</v>
      </c>
      <c r="EW31" s="387">
        <f t="shared" si="179"/>
        <v>0</v>
      </c>
      <c r="EX31" s="84"/>
      <c r="EY31" s="7"/>
      <c r="EZ31" s="7">
        <f>'címrend kötelező'!BA31+'címrend önként'!BA31+'címrend államig'!BA31</f>
        <v>0</v>
      </c>
      <c r="FA31" s="38"/>
      <c r="FB31" s="7"/>
      <c r="FC31" s="7">
        <f>'címrend kötelező'!BB31+'címrend önként'!BB31+'címrend államig'!BB31</f>
        <v>0</v>
      </c>
      <c r="FD31" s="38"/>
      <c r="FE31" s="7"/>
      <c r="FF31" s="7">
        <f>'címrend kötelező'!BC31+'címrend önként'!BC31+'címrend államig'!BC31</f>
        <v>0</v>
      </c>
      <c r="FG31" s="38"/>
      <c r="FH31" s="7"/>
      <c r="FI31" s="7">
        <f>'címrend kötelező'!BD31+'címrend önként'!BD31+'címrend államig'!BD31</f>
        <v>0</v>
      </c>
      <c r="FJ31" s="38"/>
      <c r="FK31" s="38"/>
      <c r="FL31" s="7">
        <f>'címrend kötelező'!BE31+'címrend önként'!BE31+'címrend államig'!BE31</f>
        <v>0</v>
      </c>
      <c r="FM31" s="38"/>
      <c r="FN31" s="7"/>
      <c r="FO31" s="7">
        <f>SUM('címrend kötelező'!BF31+'címrend önként'!BF31+'címrend államig'!BF31)</f>
        <v>0</v>
      </c>
      <c r="FP31" s="38"/>
      <c r="FQ31" s="7"/>
      <c r="FR31" s="7">
        <f>SUM('címrend kötelező'!BG31+'címrend önként'!BG31+'címrend államig'!BG31)</f>
        <v>0</v>
      </c>
      <c r="FS31" s="38"/>
      <c r="FT31" s="7"/>
      <c r="FU31" s="7">
        <f>SUM('címrend kötelező'!BH31+'címrend önként'!BH31+'címrend államig'!BH31)</f>
        <v>0</v>
      </c>
      <c r="FV31" s="38"/>
      <c r="FW31" s="7"/>
      <c r="FX31" s="7">
        <f>SUM('címrend kötelező'!BI31+'címrend önként'!BI31+'címrend államig'!BI31)</f>
        <v>0</v>
      </c>
      <c r="FY31" s="38"/>
      <c r="FZ31" s="7"/>
      <c r="GA31" s="7">
        <f>SUM('címrend kötelező'!BJ31+'címrend önként'!BJ31+'címrend államig'!BJ31)</f>
        <v>0</v>
      </c>
      <c r="GB31" s="38"/>
      <c r="GC31" s="7"/>
      <c r="GD31" s="7">
        <f>SUM('címrend kötelező'!BK31+'címrend önként'!BK31+'címrend államig'!BK31)</f>
        <v>0</v>
      </c>
      <c r="GE31" s="38"/>
      <c r="GF31" s="7"/>
      <c r="GG31" s="7">
        <f>SUM('címrend kötelező'!BL31+'címrend önként'!BL31+'címrend államig'!BL31)</f>
        <v>0</v>
      </c>
      <c r="GH31" s="38"/>
      <c r="GI31" s="7"/>
      <c r="GJ31" s="7">
        <f>SUM('címrend kötelező'!BM31+'címrend önként'!BM31+'címrend államig'!BM31)</f>
        <v>0</v>
      </c>
      <c r="GK31" s="38"/>
      <c r="GL31" s="7"/>
      <c r="GM31" s="7">
        <f>SUM('címrend kötelező'!BN31+'címrend önként'!BN31+'címrend államig'!BN31)</f>
        <v>0</v>
      </c>
      <c r="GN31" s="38"/>
      <c r="GO31" s="387">
        <f t="shared" si="117"/>
        <v>0</v>
      </c>
      <c r="GP31" s="387">
        <f t="shared" si="717"/>
        <v>0</v>
      </c>
      <c r="GQ31" s="38"/>
      <c r="GR31" s="7"/>
      <c r="GS31" s="7">
        <f>SUM('címrend kötelező'!BP31+'címrend önként'!BP31+'címrend államig'!BP31)</f>
        <v>0</v>
      </c>
      <c r="GT31" s="38"/>
      <c r="GU31" s="7"/>
      <c r="GV31" s="7">
        <f>SUM('címrend kötelező'!BQ31+'címrend önként'!BQ31+'címrend államig'!BQ31)</f>
        <v>0</v>
      </c>
      <c r="GW31" s="38"/>
      <c r="GX31" s="7"/>
      <c r="GY31" s="7">
        <f>SUM('címrend kötelező'!BR31+'címrend önként'!BR31+'címrend államig'!BR31)</f>
        <v>0</v>
      </c>
      <c r="GZ31" s="38"/>
      <c r="HA31" s="387">
        <f t="shared" si="198"/>
        <v>0</v>
      </c>
      <c r="HB31" s="387">
        <f t="shared" si="198"/>
        <v>0</v>
      </c>
      <c r="HC31" s="387"/>
      <c r="HD31" s="38">
        <f t="shared" si="127"/>
        <v>0</v>
      </c>
      <c r="HE31" s="38">
        <f t="shared" si="128"/>
        <v>0</v>
      </c>
      <c r="HF31" s="238"/>
      <c r="HH31" s="242"/>
      <c r="HI31" s="242"/>
    </row>
    <row r="32" spans="1:217" ht="15" customHeight="1" x14ac:dyDescent="0.25">
      <c r="A32" s="218" t="s">
        <v>358</v>
      </c>
      <c r="B32" s="7"/>
      <c r="C32" s="7">
        <f>SUM('címrend kötelező'!B32+'címrend önként'!B32+'címrend államig'!B32)</f>
        <v>0</v>
      </c>
      <c r="D32" s="82"/>
      <c r="E32" s="7"/>
      <c r="F32" s="7">
        <f>SUM('címrend kötelező'!C32+'címrend önként'!C32+'címrend államig'!C32)</f>
        <v>0</v>
      </c>
      <c r="G32" s="82"/>
      <c r="H32" s="7"/>
      <c r="I32" s="7">
        <f>SUM('címrend kötelező'!D32+'címrend önként'!D32+'címrend államig'!D32)</f>
        <v>0</v>
      </c>
      <c r="J32" s="82"/>
      <c r="K32" s="7"/>
      <c r="L32" s="7">
        <f>SUM('címrend kötelező'!E32+'címrend önként'!E32+'címrend államig'!E32)</f>
        <v>0</v>
      </c>
      <c r="M32" s="82"/>
      <c r="N32" s="7"/>
      <c r="O32" s="7">
        <f>SUM('címrend kötelező'!F32+'címrend önként'!F32+'címrend államig'!F32)</f>
        <v>0</v>
      </c>
      <c r="P32" s="82"/>
      <c r="Q32" s="7"/>
      <c r="R32" s="7">
        <f>SUM('címrend kötelező'!G32+'címrend önként'!G32+'címrend államig'!G32)</f>
        <v>0</v>
      </c>
      <c r="S32" s="82"/>
      <c r="T32" s="7"/>
      <c r="U32" s="7">
        <f>SUM('címrend kötelező'!H32+'címrend önként'!H32+'címrend államig'!H32)</f>
        <v>0</v>
      </c>
      <c r="V32" s="82"/>
      <c r="W32" s="7"/>
      <c r="X32" s="7">
        <f>SUM('címrend kötelező'!I32+'címrend önként'!I32+'címrend államig'!I32)</f>
        <v>0</v>
      </c>
      <c r="Y32" s="82"/>
      <c r="Z32" s="7"/>
      <c r="AA32" s="7">
        <f>SUM('címrend kötelező'!J32+'címrend önként'!J32+'címrend államig'!J32)</f>
        <v>0</v>
      </c>
      <c r="AB32" s="82"/>
      <c r="AC32" s="7"/>
      <c r="AD32" s="7">
        <f>SUM('címrend kötelező'!K32+'címrend önként'!K32+'címrend államig'!K32)</f>
        <v>0</v>
      </c>
      <c r="AE32" s="82"/>
      <c r="AF32" s="7"/>
      <c r="AG32" s="7">
        <f>SUM('címrend kötelező'!L32+'címrend önként'!L32+'címrend államig'!L32)</f>
        <v>0</v>
      </c>
      <c r="AH32" s="82"/>
      <c r="AI32" s="7"/>
      <c r="AJ32" s="7">
        <f>SUM('címrend kötelező'!M32+'címrend önként'!M32+'címrend államig'!M32)</f>
        <v>0</v>
      </c>
      <c r="AK32" s="82"/>
      <c r="AL32" s="7"/>
      <c r="AM32" s="7">
        <f>SUM('címrend kötelező'!N32+'címrend önként'!N32+'címrend államig'!N32)</f>
        <v>0</v>
      </c>
      <c r="AN32" s="82"/>
      <c r="AO32" s="7"/>
      <c r="AP32" s="7">
        <f>SUM('címrend kötelező'!O32+'címrend önként'!O32+'címrend államig'!O32)</f>
        <v>0</v>
      </c>
      <c r="AQ32" s="82"/>
      <c r="AR32" s="7"/>
      <c r="AS32" s="7">
        <f>SUM('címrend kötelező'!P32+'címrend önként'!P32+'címrend államig'!P32)</f>
        <v>0</v>
      </c>
      <c r="AT32" s="82"/>
      <c r="AU32" s="7"/>
      <c r="AV32" s="7">
        <f>SUM('címrend kötelező'!Q32+'címrend önként'!Q32+'címrend államig'!Q32)</f>
        <v>0</v>
      </c>
      <c r="AW32" s="82"/>
      <c r="AX32" s="7"/>
      <c r="AY32" s="7">
        <f>SUM('címrend kötelező'!R32+'címrend önként'!R32+'címrend államig'!R32)</f>
        <v>0</v>
      </c>
      <c r="AZ32" s="82"/>
      <c r="BA32" s="7"/>
      <c r="BB32" s="7">
        <f>SUM('címrend kötelező'!S32+'címrend önként'!S32+'címrend államig'!S32)</f>
        <v>0</v>
      </c>
      <c r="BC32" s="82"/>
      <c r="BD32" s="7"/>
      <c r="BE32" s="7">
        <f>SUM('címrend kötelező'!T32+'címrend önként'!T32+'címrend államig'!T32)</f>
        <v>0</v>
      </c>
      <c r="BF32" s="82"/>
      <c r="BG32" s="7"/>
      <c r="BH32" s="7">
        <f>SUM('címrend kötelező'!U32+'címrend önként'!U32+'címrend államig'!U32)</f>
        <v>0</v>
      </c>
      <c r="BI32" s="82"/>
      <c r="BJ32" s="7"/>
      <c r="BK32" s="7">
        <f>SUM('címrend kötelező'!V32+'címrend önként'!V32+'címrend államig'!V32)</f>
        <v>0</v>
      </c>
      <c r="BL32" s="82"/>
      <c r="BM32" s="7"/>
      <c r="BN32" s="7">
        <f>SUM('címrend kötelező'!W32+'címrend önként'!W32+'címrend államig'!W32)</f>
        <v>0</v>
      </c>
      <c r="BO32" s="82"/>
      <c r="BP32" s="7"/>
      <c r="BQ32" s="7">
        <f>SUM('címrend kötelező'!X32+'címrend önként'!X32+'címrend államig'!X32)</f>
        <v>0</v>
      </c>
      <c r="BR32" s="82"/>
      <c r="BS32" s="7"/>
      <c r="BT32" s="7">
        <f>SUM('címrend kötelező'!Y32+'címrend önként'!Y32+'címrend államig'!Y32)</f>
        <v>0</v>
      </c>
      <c r="BU32" s="82"/>
      <c r="BV32" s="7"/>
      <c r="BW32" s="7">
        <f>SUM('címrend kötelező'!Z32+'címrend önként'!Z32+'címrend államig'!Z32)</f>
        <v>0</v>
      </c>
      <c r="BX32" s="82"/>
      <c r="BY32" s="7"/>
      <c r="BZ32" s="7">
        <f>SUM('címrend kötelező'!AA32+'címrend önként'!AA32+'címrend államig'!AA32)</f>
        <v>0</v>
      </c>
      <c r="CA32" s="82"/>
      <c r="CB32" s="7"/>
      <c r="CC32" s="7">
        <f>SUM('címrend kötelező'!AB32+'címrend önként'!AB32+'címrend államig'!AB32)</f>
        <v>0</v>
      </c>
      <c r="CD32" s="82"/>
      <c r="CE32" s="7"/>
      <c r="CF32" s="7">
        <f>SUM('címrend kötelező'!AC32+'címrend önként'!AC32+'címrend államig'!AC32)</f>
        <v>0</v>
      </c>
      <c r="CG32" s="82"/>
      <c r="CH32" s="7"/>
      <c r="CI32" s="7">
        <f>SUM('címrend kötelező'!AD32+'címrend önként'!AD32+'címrend államig'!AD32)</f>
        <v>0</v>
      </c>
      <c r="CJ32" s="82"/>
      <c r="CK32" s="7"/>
      <c r="CL32" s="7">
        <f>SUM('címrend kötelező'!AE32+'címrend önként'!AE32+'címrend államig'!AE32)</f>
        <v>0</v>
      </c>
      <c r="CM32" s="82"/>
      <c r="CN32" s="7"/>
      <c r="CO32" s="7">
        <f>SUM('címrend kötelező'!AF32+'címrend önként'!AF32+'címrend államig'!AF32)</f>
        <v>0</v>
      </c>
      <c r="CP32" s="82"/>
      <c r="CQ32" s="7"/>
      <c r="CR32" s="7">
        <f>SUM('címrend kötelező'!AG32+'címrend önként'!AG32+'címrend államig'!AG32)</f>
        <v>0</v>
      </c>
      <c r="CS32" s="82"/>
      <c r="CT32" s="7"/>
      <c r="CU32" s="7">
        <f>SUM('címrend kötelező'!AH32+'címrend önként'!AH32+'címrend államig'!AH32)</f>
        <v>0</v>
      </c>
      <c r="CV32" s="82"/>
      <c r="CW32" s="7"/>
      <c r="CX32" s="7">
        <f>SUM('címrend kötelező'!AI32+'címrend önként'!AI32+'címrend államig'!AI32)</f>
        <v>0</v>
      </c>
      <c r="CY32" s="82"/>
      <c r="CZ32" s="7"/>
      <c r="DA32" s="7">
        <f>SUM('címrend kötelező'!AJ32+'címrend önként'!AJ32+'címrend államig'!AJ32)</f>
        <v>0</v>
      </c>
      <c r="DB32" s="82"/>
      <c r="DC32" s="7"/>
      <c r="DD32" s="7">
        <f>SUM('címrend kötelező'!AK32+'címrend önként'!AK32+'címrend államig'!AK32)</f>
        <v>0</v>
      </c>
      <c r="DE32" s="82"/>
      <c r="DF32" s="7"/>
      <c r="DG32" s="7">
        <f>SUM('címrend kötelező'!AL32+'címrend önként'!AL32+'címrend államig'!AL32)</f>
        <v>0</v>
      </c>
      <c r="DH32" s="82"/>
      <c r="DI32" s="7"/>
      <c r="DJ32" s="7">
        <f>SUM('címrend kötelező'!AM32+'címrend önként'!AM32+'címrend államig'!AM32)</f>
        <v>0</v>
      </c>
      <c r="DK32" s="82"/>
      <c r="DL32" s="7"/>
      <c r="DM32" s="7">
        <f>SUM('címrend kötelező'!AN32+'címrend önként'!AN32+'címrend államig'!AN32)</f>
        <v>0</v>
      </c>
      <c r="DN32" s="82"/>
      <c r="DO32" s="7"/>
      <c r="DP32" s="7">
        <f>SUM('címrend kötelező'!AO32+'címrend önként'!AO32+'címrend államig'!AO32)</f>
        <v>0</v>
      </c>
      <c r="DQ32" s="82"/>
      <c r="DR32" s="387">
        <f t="shared" si="169"/>
        <v>0</v>
      </c>
      <c r="DS32" s="387">
        <f t="shared" si="169"/>
        <v>0</v>
      </c>
      <c r="DT32" s="387"/>
      <c r="DU32" s="7"/>
      <c r="DV32" s="7">
        <f>SUM('címrend kötelező'!AQ32+'címrend önként'!AQ32+'címrend államig'!AQ32)</f>
        <v>0</v>
      </c>
      <c r="DW32" s="38"/>
      <c r="DX32" s="7"/>
      <c r="DY32" s="7">
        <f>SUM('címrend kötelező'!AR32+'címrend önként'!AR32+'címrend államig'!AR32)</f>
        <v>0</v>
      </c>
      <c r="DZ32" s="38"/>
      <c r="EA32" s="7"/>
      <c r="EB32" s="7">
        <f>SUM('címrend kötelező'!AS32+'címrend önként'!AS32+'címrend államig'!AS32)</f>
        <v>0</v>
      </c>
      <c r="EC32" s="38"/>
      <c r="ED32" s="7"/>
      <c r="EE32" s="7">
        <f>SUM('címrend kötelező'!AT32+'címrend önként'!AT32+'címrend államig'!AT32)</f>
        <v>0</v>
      </c>
      <c r="EF32" s="38"/>
      <c r="EG32" s="7"/>
      <c r="EH32" s="7">
        <f>SUM('címrend kötelező'!AU32+'címrend önként'!AU32+'címrend államig'!AU32)</f>
        <v>0</v>
      </c>
      <c r="EI32" s="38"/>
      <c r="EJ32" s="7"/>
      <c r="EK32" s="7">
        <f>SUM('címrend kötelező'!AV32+'címrend önként'!AV32+'címrend államig'!AV32)</f>
        <v>0</v>
      </c>
      <c r="EL32" s="38"/>
      <c r="EM32" s="7"/>
      <c r="EN32" s="7">
        <f>SUM('címrend kötelező'!AW32+'címrend önként'!AW32+'címrend államig'!AW32)</f>
        <v>0</v>
      </c>
      <c r="EO32" s="38"/>
      <c r="EP32" s="7"/>
      <c r="EQ32" s="7">
        <f>SUM('címrend kötelező'!AX32+'címrend önként'!AX32+'címrend államig'!AX32)</f>
        <v>0</v>
      </c>
      <c r="ER32" s="38"/>
      <c r="ES32" s="7"/>
      <c r="ET32" s="7">
        <f>SUM('címrend kötelező'!AY32+'címrend önként'!AY32+'címrend államig'!AY32)</f>
        <v>0</v>
      </c>
      <c r="EU32" s="38"/>
      <c r="EV32" s="387">
        <f t="shared" si="179"/>
        <v>0</v>
      </c>
      <c r="EW32" s="387">
        <f t="shared" si="179"/>
        <v>0</v>
      </c>
      <c r="EX32" s="84"/>
      <c r="EY32" s="7"/>
      <c r="EZ32" s="7">
        <f>'címrend kötelező'!BA32+'címrend önként'!BA32+'címrend államig'!BA32</f>
        <v>0</v>
      </c>
      <c r="FA32" s="38"/>
      <c r="FB32" s="7"/>
      <c r="FC32" s="7">
        <f>'címrend kötelező'!BB32+'címrend önként'!BB32+'címrend államig'!BB32</f>
        <v>0</v>
      </c>
      <c r="FD32" s="38"/>
      <c r="FE32" s="7"/>
      <c r="FF32" s="7">
        <f>'címrend kötelező'!BC32+'címrend önként'!BC32+'címrend államig'!BC32</f>
        <v>0</v>
      </c>
      <c r="FG32" s="38"/>
      <c r="FH32" s="7"/>
      <c r="FI32" s="7">
        <f>'címrend kötelező'!BD32+'címrend önként'!BD32+'címrend államig'!BD32</f>
        <v>0</v>
      </c>
      <c r="FJ32" s="38"/>
      <c r="FK32" s="38"/>
      <c r="FL32" s="7">
        <f>'címrend kötelező'!BE32+'címrend önként'!BE32+'címrend államig'!BE32</f>
        <v>0</v>
      </c>
      <c r="FM32" s="38"/>
      <c r="FN32" s="7"/>
      <c r="FO32" s="7">
        <f>SUM('címrend kötelező'!BF32+'címrend önként'!BF32+'címrend államig'!BF32)</f>
        <v>0</v>
      </c>
      <c r="FP32" s="38"/>
      <c r="FQ32" s="7"/>
      <c r="FR32" s="7">
        <f>SUM('címrend kötelező'!BG32+'címrend önként'!BG32+'címrend államig'!BG32)</f>
        <v>0</v>
      </c>
      <c r="FS32" s="38"/>
      <c r="FT32" s="7"/>
      <c r="FU32" s="7">
        <f>SUM('címrend kötelező'!BH32+'címrend önként'!BH32+'címrend államig'!BH32)</f>
        <v>0</v>
      </c>
      <c r="FV32" s="38"/>
      <c r="FW32" s="7"/>
      <c r="FX32" s="7">
        <f>SUM('címrend kötelező'!BI32+'címrend önként'!BI32+'címrend államig'!BI32)</f>
        <v>0</v>
      </c>
      <c r="FY32" s="38"/>
      <c r="FZ32" s="7"/>
      <c r="GA32" s="7">
        <f>SUM('címrend kötelező'!BJ32+'címrend önként'!BJ32+'címrend államig'!BJ32)</f>
        <v>0</v>
      </c>
      <c r="GB32" s="38"/>
      <c r="GC32" s="7"/>
      <c r="GD32" s="7">
        <f>SUM('címrend kötelező'!BK32+'címrend önként'!BK32+'címrend államig'!BK32)</f>
        <v>0</v>
      </c>
      <c r="GE32" s="38"/>
      <c r="GF32" s="7"/>
      <c r="GG32" s="7">
        <f>SUM('címrend kötelező'!BL32+'címrend önként'!BL32+'címrend államig'!BL32)</f>
        <v>0</v>
      </c>
      <c r="GH32" s="38"/>
      <c r="GI32" s="7"/>
      <c r="GJ32" s="7">
        <f>SUM('címrend kötelező'!BM32+'címrend önként'!BM32+'címrend államig'!BM32)</f>
        <v>0</v>
      </c>
      <c r="GK32" s="38"/>
      <c r="GL32" s="7"/>
      <c r="GM32" s="7">
        <f>SUM('címrend kötelező'!BN32+'címrend önként'!BN32+'címrend államig'!BN32)</f>
        <v>0</v>
      </c>
      <c r="GN32" s="38"/>
      <c r="GO32" s="387">
        <f t="shared" si="117"/>
        <v>0</v>
      </c>
      <c r="GP32" s="387">
        <f t="shared" si="717"/>
        <v>0</v>
      </c>
      <c r="GQ32" s="38"/>
      <c r="GR32" s="7"/>
      <c r="GS32" s="7">
        <f>SUM('címrend kötelező'!BP32+'címrend önként'!BP32+'címrend államig'!BP32)</f>
        <v>0</v>
      </c>
      <c r="GT32" s="38"/>
      <c r="GU32" s="7"/>
      <c r="GV32" s="7">
        <f>SUM('címrend kötelező'!BQ32+'címrend önként'!BQ32+'címrend államig'!BQ32)</f>
        <v>0</v>
      </c>
      <c r="GW32" s="38"/>
      <c r="GX32" s="7"/>
      <c r="GY32" s="7">
        <f>SUM('címrend kötelező'!BR32+'címrend önként'!BR32+'címrend államig'!BR32)</f>
        <v>0</v>
      </c>
      <c r="GZ32" s="38"/>
      <c r="HA32" s="387">
        <f t="shared" si="198"/>
        <v>0</v>
      </c>
      <c r="HB32" s="387">
        <f t="shared" si="198"/>
        <v>0</v>
      </c>
      <c r="HC32" s="387"/>
      <c r="HD32" s="38">
        <f t="shared" si="127"/>
        <v>0</v>
      </c>
      <c r="HE32" s="38">
        <f t="shared" si="128"/>
        <v>0</v>
      </c>
      <c r="HF32" s="238"/>
      <c r="HH32" s="242"/>
      <c r="HI32" s="242"/>
    </row>
    <row r="33" spans="1:217" ht="15" customHeight="1" x14ac:dyDescent="0.25">
      <c r="A33" s="218" t="s">
        <v>359</v>
      </c>
      <c r="B33" s="7"/>
      <c r="C33" s="7">
        <f>SUM('címrend kötelező'!B33+'címrend önként'!B33+'címrend államig'!B33)</f>
        <v>0</v>
      </c>
      <c r="D33" s="82"/>
      <c r="E33" s="7"/>
      <c r="F33" s="7">
        <f>SUM('címrend kötelező'!C33+'címrend önként'!C33+'címrend államig'!C33)</f>
        <v>0</v>
      </c>
      <c r="G33" s="82"/>
      <c r="H33" s="7"/>
      <c r="I33" s="7">
        <f>SUM('címrend kötelező'!D33+'címrend önként'!D33+'címrend államig'!D33)</f>
        <v>0</v>
      </c>
      <c r="J33" s="82"/>
      <c r="K33" s="7"/>
      <c r="L33" s="7">
        <f>SUM('címrend kötelező'!E33+'címrend önként'!E33+'címrend államig'!E33)</f>
        <v>0</v>
      </c>
      <c r="M33" s="82"/>
      <c r="N33" s="7"/>
      <c r="O33" s="7">
        <f>SUM('címrend kötelező'!F33+'címrend önként'!F33+'címrend államig'!F33)</f>
        <v>0</v>
      </c>
      <c r="P33" s="82"/>
      <c r="Q33" s="7"/>
      <c r="R33" s="7">
        <f>SUM('címrend kötelező'!G33+'címrend önként'!G33+'címrend államig'!G33)</f>
        <v>0</v>
      </c>
      <c r="S33" s="82"/>
      <c r="T33" s="7"/>
      <c r="U33" s="7">
        <f>SUM('címrend kötelező'!H33+'címrend önként'!H33+'címrend államig'!H33)</f>
        <v>0</v>
      </c>
      <c r="V33" s="82"/>
      <c r="W33" s="7"/>
      <c r="X33" s="7">
        <f>SUM('címrend kötelező'!I33+'címrend önként'!I33+'címrend államig'!I33)</f>
        <v>0</v>
      </c>
      <c r="Y33" s="82"/>
      <c r="Z33" s="7"/>
      <c r="AA33" s="7">
        <f>SUM('címrend kötelező'!J33+'címrend önként'!J33+'címrend államig'!J33)</f>
        <v>0</v>
      </c>
      <c r="AB33" s="82"/>
      <c r="AC33" s="7"/>
      <c r="AD33" s="7">
        <f>SUM('címrend kötelező'!K33+'címrend önként'!K33+'címrend államig'!K33)</f>
        <v>0</v>
      </c>
      <c r="AE33" s="82"/>
      <c r="AF33" s="7"/>
      <c r="AG33" s="7">
        <f>SUM('címrend kötelező'!L33+'címrend önként'!L33+'címrend államig'!L33)</f>
        <v>0</v>
      </c>
      <c r="AH33" s="82"/>
      <c r="AI33" s="7"/>
      <c r="AJ33" s="7">
        <f>SUM('címrend kötelező'!M33+'címrend önként'!M33+'címrend államig'!M33)</f>
        <v>0</v>
      </c>
      <c r="AK33" s="82"/>
      <c r="AL33" s="7"/>
      <c r="AM33" s="7">
        <f>SUM('címrend kötelező'!N33+'címrend önként'!N33+'címrend államig'!N33)</f>
        <v>0</v>
      </c>
      <c r="AN33" s="82"/>
      <c r="AO33" s="7"/>
      <c r="AP33" s="7">
        <f>SUM('címrend kötelező'!O33+'címrend önként'!O33+'címrend államig'!O33)</f>
        <v>0</v>
      </c>
      <c r="AQ33" s="82"/>
      <c r="AR33" s="7"/>
      <c r="AS33" s="7">
        <f>SUM('címrend kötelező'!P33+'címrend önként'!P33+'címrend államig'!P33)</f>
        <v>0</v>
      </c>
      <c r="AT33" s="82"/>
      <c r="AU33" s="7"/>
      <c r="AV33" s="7">
        <f>SUM('címrend kötelező'!Q33+'címrend önként'!Q33+'címrend államig'!Q33)</f>
        <v>0</v>
      </c>
      <c r="AW33" s="82"/>
      <c r="AX33" s="7"/>
      <c r="AY33" s="7">
        <f>SUM('címrend kötelező'!R33+'címrend önként'!R33+'címrend államig'!R33)</f>
        <v>0</v>
      </c>
      <c r="AZ33" s="82"/>
      <c r="BA33" s="7"/>
      <c r="BB33" s="7">
        <f>SUM('címrend kötelező'!S33+'címrend önként'!S33+'címrend államig'!S33)</f>
        <v>0</v>
      </c>
      <c r="BC33" s="82"/>
      <c r="BD33" s="7"/>
      <c r="BE33" s="7">
        <f>SUM('címrend kötelező'!T33+'címrend önként'!T33+'címrend államig'!T33)</f>
        <v>0</v>
      </c>
      <c r="BF33" s="82"/>
      <c r="BG33" s="7"/>
      <c r="BH33" s="7">
        <f>SUM('címrend kötelező'!U33+'címrend önként'!U33+'címrend államig'!U33)</f>
        <v>0</v>
      </c>
      <c r="BI33" s="82"/>
      <c r="BJ33" s="7"/>
      <c r="BK33" s="7">
        <f>SUM('címrend kötelező'!V33+'címrend önként'!V33+'címrend államig'!V33)</f>
        <v>0</v>
      </c>
      <c r="BL33" s="82"/>
      <c r="BM33" s="7"/>
      <c r="BN33" s="7">
        <f>SUM('címrend kötelező'!W33+'címrend önként'!W33+'címrend államig'!W33)</f>
        <v>0</v>
      </c>
      <c r="BO33" s="82"/>
      <c r="BP33" s="7"/>
      <c r="BQ33" s="7">
        <f>SUM('címrend kötelező'!X33+'címrend önként'!X33+'címrend államig'!X33)</f>
        <v>0</v>
      </c>
      <c r="BR33" s="82"/>
      <c r="BS33" s="7"/>
      <c r="BT33" s="7">
        <f>SUM('címrend kötelező'!Y33+'címrend önként'!Y33+'címrend államig'!Y33)</f>
        <v>0</v>
      </c>
      <c r="BU33" s="82"/>
      <c r="BV33" s="7"/>
      <c r="BW33" s="7">
        <f>SUM('címrend kötelező'!Z33+'címrend önként'!Z33+'címrend államig'!Z33)</f>
        <v>0</v>
      </c>
      <c r="BX33" s="82"/>
      <c r="BY33" s="7"/>
      <c r="BZ33" s="7">
        <f>SUM('címrend kötelező'!AA33+'címrend önként'!AA33+'címrend államig'!AA33)</f>
        <v>0</v>
      </c>
      <c r="CA33" s="82"/>
      <c r="CB33" s="7"/>
      <c r="CC33" s="7">
        <f>SUM('címrend kötelező'!AB33+'címrend önként'!AB33+'címrend államig'!AB33)</f>
        <v>0</v>
      </c>
      <c r="CD33" s="82"/>
      <c r="CE33" s="7"/>
      <c r="CF33" s="7">
        <f>SUM('címrend kötelező'!AC33+'címrend önként'!AC33+'címrend államig'!AC33)</f>
        <v>0</v>
      </c>
      <c r="CG33" s="82"/>
      <c r="CH33" s="7"/>
      <c r="CI33" s="7">
        <f>SUM('címrend kötelező'!AD33+'címrend önként'!AD33+'címrend államig'!AD33)</f>
        <v>0</v>
      </c>
      <c r="CJ33" s="82"/>
      <c r="CK33" s="7"/>
      <c r="CL33" s="7">
        <f>SUM('címrend kötelező'!AE33+'címrend önként'!AE33+'címrend államig'!AE33)</f>
        <v>0</v>
      </c>
      <c r="CM33" s="82"/>
      <c r="CN33" s="7"/>
      <c r="CO33" s="7">
        <f>SUM('címrend kötelező'!AF33+'címrend önként'!AF33+'címrend államig'!AF33)</f>
        <v>0</v>
      </c>
      <c r="CP33" s="82"/>
      <c r="CQ33" s="7"/>
      <c r="CR33" s="7">
        <f>SUM('címrend kötelező'!AG33+'címrend önként'!AG33+'címrend államig'!AG33)</f>
        <v>0</v>
      </c>
      <c r="CS33" s="82"/>
      <c r="CT33" s="7"/>
      <c r="CU33" s="7">
        <f>SUM('címrend kötelező'!AH33+'címrend önként'!AH33+'címrend államig'!AH33)</f>
        <v>0</v>
      </c>
      <c r="CV33" s="82"/>
      <c r="CW33" s="7"/>
      <c r="CX33" s="7">
        <f>SUM('címrend kötelező'!AI33+'címrend önként'!AI33+'címrend államig'!AI33)</f>
        <v>0</v>
      </c>
      <c r="CY33" s="82"/>
      <c r="CZ33" s="7"/>
      <c r="DA33" s="7">
        <f>SUM('címrend kötelező'!AJ33+'címrend önként'!AJ33+'címrend államig'!AJ33)</f>
        <v>0</v>
      </c>
      <c r="DB33" s="82"/>
      <c r="DC33" s="7"/>
      <c r="DD33" s="7">
        <f>SUM('címrend kötelező'!AK33+'címrend önként'!AK33+'címrend államig'!AK33)</f>
        <v>0</v>
      </c>
      <c r="DE33" s="82"/>
      <c r="DF33" s="7"/>
      <c r="DG33" s="7">
        <f>SUM('címrend kötelező'!AL33+'címrend önként'!AL33+'címrend államig'!AL33)</f>
        <v>0</v>
      </c>
      <c r="DH33" s="82"/>
      <c r="DI33" s="7"/>
      <c r="DJ33" s="7">
        <f>SUM('címrend kötelező'!AM33+'címrend önként'!AM33+'címrend államig'!AM33)</f>
        <v>0</v>
      </c>
      <c r="DK33" s="82"/>
      <c r="DL33" s="7"/>
      <c r="DM33" s="7">
        <f>SUM('címrend kötelező'!AN33+'címrend önként'!AN33+'címrend államig'!AN33)</f>
        <v>0</v>
      </c>
      <c r="DN33" s="82"/>
      <c r="DO33" s="7"/>
      <c r="DP33" s="7">
        <f>SUM('címrend kötelező'!AO33+'címrend önként'!AO33+'címrend államig'!AO33)</f>
        <v>0</v>
      </c>
      <c r="DQ33" s="82"/>
      <c r="DR33" s="387">
        <f t="shared" si="169"/>
        <v>0</v>
      </c>
      <c r="DS33" s="387">
        <f t="shared" si="169"/>
        <v>0</v>
      </c>
      <c r="DT33" s="387"/>
      <c r="DU33" s="7"/>
      <c r="DV33" s="7">
        <f>SUM('címrend kötelező'!AQ33+'címrend önként'!AQ33+'címrend államig'!AQ33)</f>
        <v>0</v>
      </c>
      <c r="DW33" s="38"/>
      <c r="DX33" s="7"/>
      <c r="DY33" s="7">
        <f>SUM('címrend kötelező'!AR33+'címrend önként'!AR33+'címrend államig'!AR33)</f>
        <v>0</v>
      </c>
      <c r="DZ33" s="38"/>
      <c r="EA33" s="7"/>
      <c r="EB33" s="7">
        <f>SUM('címrend kötelező'!AS33+'címrend önként'!AS33+'címrend államig'!AS33)</f>
        <v>0</v>
      </c>
      <c r="EC33" s="38"/>
      <c r="ED33" s="7"/>
      <c r="EE33" s="7">
        <f>SUM('címrend kötelező'!AT33+'címrend önként'!AT33+'címrend államig'!AT33)</f>
        <v>0</v>
      </c>
      <c r="EF33" s="38"/>
      <c r="EG33" s="7"/>
      <c r="EH33" s="7">
        <f>SUM('címrend kötelező'!AU33+'címrend önként'!AU33+'címrend államig'!AU33)</f>
        <v>0</v>
      </c>
      <c r="EI33" s="38"/>
      <c r="EJ33" s="7"/>
      <c r="EK33" s="7">
        <f>SUM('címrend kötelező'!AV33+'címrend önként'!AV33+'címrend államig'!AV33)</f>
        <v>0</v>
      </c>
      <c r="EL33" s="38"/>
      <c r="EM33" s="7"/>
      <c r="EN33" s="7">
        <f>SUM('címrend kötelező'!AW33+'címrend önként'!AW33+'címrend államig'!AW33)</f>
        <v>0</v>
      </c>
      <c r="EO33" s="38"/>
      <c r="EP33" s="7"/>
      <c r="EQ33" s="7">
        <f>SUM('címrend kötelező'!AX33+'címrend önként'!AX33+'címrend államig'!AX33)</f>
        <v>0</v>
      </c>
      <c r="ER33" s="38"/>
      <c r="ES33" s="7"/>
      <c r="ET33" s="7">
        <f>SUM('címrend kötelező'!AY33+'címrend önként'!AY33+'címrend államig'!AY33)</f>
        <v>0</v>
      </c>
      <c r="EU33" s="38"/>
      <c r="EV33" s="387">
        <f t="shared" si="179"/>
        <v>0</v>
      </c>
      <c r="EW33" s="387">
        <f t="shared" si="179"/>
        <v>0</v>
      </c>
      <c r="EX33" s="84"/>
      <c r="EY33" s="7"/>
      <c r="EZ33" s="7">
        <f>'címrend kötelező'!BA33+'címrend önként'!BA33+'címrend államig'!BA33</f>
        <v>0</v>
      </c>
      <c r="FA33" s="38"/>
      <c r="FB33" s="7"/>
      <c r="FC33" s="7">
        <f>'címrend kötelező'!BB33+'címrend önként'!BB33+'címrend államig'!BB33</f>
        <v>0</v>
      </c>
      <c r="FD33" s="38"/>
      <c r="FE33" s="7"/>
      <c r="FF33" s="7">
        <f>'címrend kötelező'!BC33+'címrend önként'!BC33+'címrend államig'!BC33</f>
        <v>0</v>
      </c>
      <c r="FG33" s="38"/>
      <c r="FH33" s="7"/>
      <c r="FI33" s="7">
        <f>'címrend kötelező'!BD33+'címrend önként'!BD33+'címrend államig'!BD33</f>
        <v>0</v>
      </c>
      <c r="FJ33" s="38"/>
      <c r="FK33" s="38"/>
      <c r="FL33" s="7">
        <f>'címrend kötelező'!BE33+'címrend önként'!BE33+'címrend államig'!BE33</f>
        <v>0</v>
      </c>
      <c r="FM33" s="38"/>
      <c r="FN33" s="7"/>
      <c r="FO33" s="7">
        <f>SUM('címrend kötelező'!BF33+'címrend önként'!BF33+'címrend államig'!BF33)</f>
        <v>0</v>
      </c>
      <c r="FP33" s="38"/>
      <c r="FQ33" s="7"/>
      <c r="FR33" s="7">
        <f>SUM('címrend kötelező'!BG33+'címrend önként'!BG33+'címrend államig'!BG33)</f>
        <v>0</v>
      </c>
      <c r="FS33" s="38"/>
      <c r="FT33" s="7"/>
      <c r="FU33" s="7">
        <f>SUM('címrend kötelező'!BH33+'címrend önként'!BH33+'címrend államig'!BH33)</f>
        <v>0</v>
      </c>
      <c r="FV33" s="38"/>
      <c r="FW33" s="7"/>
      <c r="FX33" s="7">
        <f>SUM('címrend kötelező'!BI33+'címrend önként'!BI33+'címrend államig'!BI33)</f>
        <v>0</v>
      </c>
      <c r="FY33" s="38"/>
      <c r="FZ33" s="7"/>
      <c r="GA33" s="7">
        <f>SUM('címrend kötelező'!BJ33+'címrend önként'!BJ33+'címrend államig'!BJ33)</f>
        <v>0</v>
      </c>
      <c r="GB33" s="38"/>
      <c r="GC33" s="7"/>
      <c r="GD33" s="7">
        <f>SUM('címrend kötelező'!BK33+'címrend önként'!BK33+'címrend államig'!BK33)</f>
        <v>0</v>
      </c>
      <c r="GE33" s="38"/>
      <c r="GF33" s="7"/>
      <c r="GG33" s="7">
        <f>SUM('címrend kötelező'!BL33+'címrend önként'!BL33+'címrend államig'!BL33)</f>
        <v>0</v>
      </c>
      <c r="GH33" s="38"/>
      <c r="GI33" s="7"/>
      <c r="GJ33" s="7">
        <f>SUM('címrend kötelező'!BM33+'címrend önként'!BM33+'címrend államig'!BM33)</f>
        <v>0</v>
      </c>
      <c r="GK33" s="38"/>
      <c r="GL33" s="7"/>
      <c r="GM33" s="7">
        <f>SUM('címrend kötelező'!BN33+'címrend önként'!BN33+'címrend államig'!BN33)</f>
        <v>0</v>
      </c>
      <c r="GN33" s="38"/>
      <c r="GO33" s="387">
        <f t="shared" si="117"/>
        <v>0</v>
      </c>
      <c r="GP33" s="387">
        <f t="shared" si="717"/>
        <v>0</v>
      </c>
      <c r="GQ33" s="38"/>
      <c r="GR33" s="7"/>
      <c r="GS33" s="7">
        <f>SUM('címrend kötelező'!BP33+'címrend önként'!BP33+'címrend államig'!BP33)</f>
        <v>0</v>
      </c>
      <c r="GT33" s="38"/>
      <c r="GU33" s="7"/>
      <c r="GV33" s="7">
        <f>SUM('címrend kötelező'!BQ33+'címrend önként'!BQ33+'címrend államig'!BQ33)</f>
        <v>0</v>
      </c>
      <c r="GW33" s="38"/>
      <c r="GX33" s="7"/>
      <c r="GY33" s="7">
        <f>SUM('címrend kötelező'!BR33+'címrend önként'!BR33+'címrend államig'!BR33)</f>
        <v>0</v>
      </c>
      <c r="GZ33" s="38"/>
      <c r="HA33" s="387">
        <f t="shared" si="198"/>
        <v>0</v>
      </c>
      <c r="HB33" s="387">
        <f t="shared" si="198"/>
        <v>0</v>
      </c>
      <c r="HC33" s="387"/>
      <c r="HD33" s="38">
        <f t="shared" si="127"/>
        <v>0</v>
      </c>
      <c r="HE33" s="38">
        <f t="shared" si="128"/>
        <v>0</v>
      </c>
      <c r="HF33" s="238"/>
      <c r="HH33" s="242"/>
      <c r="HI33" s="242"/>
    </row>
    <row r="34" spans="1:217" ht="15" customHeight="1" x14ac:dyDescent="0.25">
      <c r="A34" s="218" t="s">
        <v>360</v>
      </c>
      <c r="B34" s="7"/>
      <c r="C34" s="7">
        <f>SUM('címrend kötelező'!B34+'címrend önként'!B34+'címrend államig'!B34)</f>
        <v>0</v>
      </c>
      <c r="D34" s="82"/>
      <c r="E34" s="7"/>
      <c r="F34" s="7">
        <f>SUM('címrend kötelező'!C34+'címrend önként'!C34+'címrend államig'!C34)</f>
        <v>0</v>
      </c>
      <c r="G34" s="82"/>
      <c r="H34" s="7"/>
      <c r="I34" s="7">
        <f>SUM('címrend kötelező'!D34+'címrend önként'!D34+'címrend államig'!D34)</f>
        <v>0</v>
      </c>
      <c r="J34" s="82"/>
      <c r="K34" s="7"/>
      <c r="L34" s="7">
        <f>SUM('címrend kötelező'!E34+'címrend önként'!E34+'címrend államig'!E34)</f>
        <v>0</v>
      </c>
      <c r="M34" s="82"/>
      <c r="N34" s="7"/>
      <c r="O34" s="7">
        <f>SUM('címrend kötelező'!F34+'címrend önként'!F34+'címrend államig'!F34)</f>
        <v>0</v>
      </c>
      <c r="P34" s="82"/>
      <c r="Q34" s="7"/>
      <c r="R34" s="7">
        <f>SUM('címrend kötelező'!G34+'címrend önként'!G34+'címrend államig'!G34)</f>
        <v>0</v>
      </c>
      <c r="S34" s="82"/>
      <c r="T34" s="7"/>
      <c r="U34" s="7">
        <f>SUM('címrend kötelező'!H34+'címrend önként'!H34+'címrend államig'!H34)</f>
        <v>0</v>
      </c>
      <c r="V34" s="82"/>
      <c r="W34" s="7"/>
      <c r="X34" s="7">
        <f>SUM('címrend kötelező'!I34+'címrend önként'!I34+'címrend államig'!I34)</f>
        <v>0</v>
      </c>
      <c r="Y34" s="82"/>
      <c r="Z34" s="7">
        <v>8467</v>
      </c>
      <c r="AA34" s="7">
        <f>SUM('címrend kötelező'!J34+'címrend önként'!J34+'címrend államig'!J34)</f>
        <v>10577</v>
      </c>
      <c r="AB34" s="82"/>
      <c r="AC34" s="7"/>
      <c r="AD34" s="7">
        <f>SUM('címrend kötelező'!K34+'címrend önként'!K34+'címrend államig'!K34)</f>
        <v>0</v>
      </c>
      <c r="AE34" s="82"/>
      <c r="AF34" s="7"/>
      <c r="AG34" s="7">
        <f>SUM('címrend kötelező'!L34+'címrend önként'!L34+'címrend államig'!L34)</f>
        <v>0</v>
      </c>
      <c r="AH34" s="82"/>
      <c r="AI34" s="7"/>
      <c r="AJ34" s="7">
        <f>SUM('címrend kötelező'!M34+'címrend önként'!M34+'címrend államig'!M34)</f>
        <v>0</v>
      </c>
      <c r="AK34" s="82"/>
      <c r="AL34" s="7">
        <v>4000</v>
      </c>
      <c r="AM34" s="7">
        <f>SUM('címrend kötelező'!N34+'címrend önként'!N34+'címrend államig'!N34)</f>
        <v>4000</v>
      </c>
      <c r="AN34" s="82"/>
      <c r="AO34" s="7"/>
      <c r="AP34" s="7">
        <f>SUM('címrend kötelező'!O34+'címrend önként'!O34+'címrend államig'!O34)</f>
        <v>0</v>
      </c>
      <c r="AQ34" s="82"/>
      <c r="AR34" s="7"/>
      <c r="AS34" s="7">
        <f>SUM('címrend kötelező'!P34+'címrend önként'!P34+'címrend államig'!P34)</f>
        <v>0</v>
      </c>
      <c r="AT34" s="82"/>
      <c r="AU34" s="7"/>
      <c r="AV34" s="7">
        <f>SUM('címrend kötelező'!Q34+'címrend önként'!Q34+'címrend államig'!Q34)</f>
        <v>0</v>
      </c>
      <c r="AW34" s="82"/>
      <c r="AX34" s="7"/>
      <c r="AY34" s="7">
        <f>SUM('címrend kötelező'!R34+'címrend önként'!R34+'címrend államig'!R34)</f>
        <v>0</v>
      </c>
      <c r="AZ34" s="82"/>
      <c r="BA34" s="7"/>
      <c r="BB34" s="7">
        <f>SUM('címrend kötelező'!S34+'címrend önként'!S34+'címrend államig'!S34)</f>
        <v>0</v>
      </c>
      <c r="BC34" s="82"/>
      <c r="BD34" s="7"/>
      <c r="BE34" s="7">
        <f>SUM('címrend kötelező'!T34+'címrend önként'!T34+'címrend államig'!T34)</f>
        <v>0</v>
      </c>
      <c r="BF34" s="82"/>
      <c r="BG34" s="7"/>
      <c r="BH34" s="7">
        <f>SUM('címrend kötelező'!U34+'címrend önként'!U34+'címrend államig'!U34)</f>
        <v>0</v>
      </c>
      <c r="BI34" s="82"/>
      <c r="BJ34" s="7"/>
      <c r="BK34" s="7">
        <f>SUM('címrend kötelező'!V34+'címrend önként'!V34+'címrend államig'!V34)</f>
        <v>0</v>
      </c>
      <c r="BL34" s="82"/>
      <c r="BM34" s="7"/>
      <c r="BN34" s="7">
        <f>SUM('címrend kötelező'!W34+'címrend önként'!W34+'címrend államig'!W34)</f>
        <v>0</v>
      </c>
      <c r="BO34" s="82"/>
      <c r="BP34" s="7"/>
      <c r="BQ34" s="7">
        <f>SUM('címrend kötelező'!X34+'címrend önként'!X34+'címrend államig'!X34)</f>
        <v>0</v>
      </c>
      <c r="BR34" s="82"/>
      <c r="BS34" s="7"/>
      <c r="BT34" s="7">
        <f>SUM('címrend kötelező'!Y34+'címrend önként'!Y34+'címrend államig'!Y34)</f>
        <v>0</v>
      </c>
      <c r="BU34" s="82"/>
      <c r="BV34" s="7"/>
      <c r="BW34" s="7">
        <f>SUM('címrend kötelező'!Z34+'címrend önként'!Z34+'címrend államig'!Z34)</f>
        <v>0</v>
      </c>
      <c r="BX34" s="82"/>
      <c r="BY34" s="7"/>
      <c r="BZ34" s="7">
        <f>SUM('címrend kötelező'!AA34+'címrend önként'!AA34+'címrend államig'!AA34)</f>
        <v>0</v>
      </c>
      <c r="CA34" s="82"/>
      <c r="CB34" s="7"/>
      <c r="CC34" s="7">
        <f>SUM('címrend kötelező'!AB34+'címrend önként'!AB34+'címrend államig'!AB34)</f>
        <v>0</v>
      </c>
      <c r="CD34" s="82"/>
      <c r="CE34" s="7"/>
      <c r="CF34" s="7">
        <f>SUM('címrend kötelező'!AC34+'címrend önként'!AC34+'címrend államig'!AC34)</f>
        <v>0</v>
      </c>
      <c r="CG34" s="82"/>
      <c r="CH34" s="7"/>
      <c r="CI34" s="7">
        <f>SUM('címrend kötelező'!AD34+'címrend önként'!AD34+'címrend államig'!AD34)</f>
        <v>0</v>
      </c>
      <c r="CJ34" s="82"/>
      <c r="CK34" s="7"/>
      <c r="CL34" s="7">
        <f>SUM('címrend kötelező'!AE34+'címrend önként'!AE34+'címrend államig'!AE34)</f>
        <v>0</v>
      </c>
      <c r="CM34" s="82"/>
      <c r="CN34" s="7">
        <v>10549</v>
      </c>
      <c r="CO34" s="7">
        <f>SUM('címrend kötelező'!AF34+'címrend önként'!AF34+'címrend államig'!AF34)</f>
        <v>0</v>
      </c>
      <c r="CP34" s="82"/>
      <c r="CQ34" s="7"/>
      <c r="CR34" s="7">
        <f>SUM('címrend kötelező'!AG34+'címrend önként'!AG34+'címrend államig'!AG34)</f>
        <v>0</v>
      </c>
      <c r="CS34" s="82"/>
      <c r="CT34" s="7"/>
      <c r="CU34" s="7">
        <f>SUM('címrend kötelező'!AH34+'címrend önként'!AH34+'címrend államig'!AH34)</f>
        <v>0</v>
      </c>
      <c r="CV34" s="82"/>
      <c r="CW34" s="7"/>
      <c r="CX34" s="7">
        <f>SUM('címrend kötelező'!AI34+'címrend önként'!AI34+'címrend államig'!AI34)</f>
        <v>0</v>
      </c>
      <c r="CY34" s="82"/>
      <c r="CZ34" s="7"/>
      <c r="DA34" s="7">
        <f>SUM('címrend kötelező'!AJ34+'címrend önként'!AJ34+'címrend államig'!AJ34)</f>
        <v>0</v>
      </c>
      <c r="DB34" s="82"/>
      <c r="DC34" s="7"/>
      <c r="DD34" s="7">
        <f>SUM('címrend kötelező'!AK34+'címrend önként'!AK34+'címrend államig'!AK34)</f>
        <v>0</v>
      </c>
      <c r="DE34" s="82"/>
      <c r="DF34" s="7"/>
      <c r="DG34" s="7">
        <f>SUM('címrend kötelező'!AL34+'címrend önként'!AL34+'címrend államig'!AL34)</f>
        <v>0</v>
      </c>
      <c r="DH34" s="82"/>
      <c r="DI34" s="7"/>
      <c r="DJ34" s="7">
        <f>SUM('címrend kötelező'!AM34+'címrend önként'!AM34+'címrend államig'!AM34)</f>
        <v>0</v>
      </c>
      <c r="DK34" s="82"/>
      <c r="DL34" s="7"/>
      <c r="DM34" s="7">
        <f>SUM('címrend kötelező'!AN34+'címrend önként'!AN34+'címrend államig'!AN34)</f>
        <v>0</v>
      </c>
      <c r="DN34" s="82"/>
      <c r="DO34" s="7"/>
      <c r="DP34" s="7">
        <f>SUM('címrend kötelező'!AO34+'címrend önként'!AO34+'címrend államig'!AO34)</f>
        <v>0</v>
      </c>
      <c r="DQ34" s="82"/>
      <c r="DR34" s="387">
        <f t="shared" si="169"/>
        <v>23016</v>
      </c>
      <c r="DS34" s="387">
        <f t="shared" si="169"/>
        <v>14577</v>
      </c>
      <c r="DT34" s="87">
        <f t="shared" si="170"/>
        <v>63.334202294056311</v>
      </c>
      <c r="DU34" s="7"/>
      <c r="DV34" s="7">
        <f>SUM('címrend kötelező'!AQ34+'címrend önként'!AQ34+'címrend államig'!AQ34)</f>
        <v>0</v>
      </c>
      <c r="DW34" s="38"/>
      <c r="DX34" s="7"/>
      <c r="DY34" s="7">
        <f>SUM('címrend kötelező'!AR34+'címrend önként'!AR34+'címrend államig'!AR34)</f>
        <v>0</v>
      </c>
      <c r="DZ34" s="38"/>
      <c r="EA34" s="7"/>
      <c r="EB34" s="7">
        <f>SUM('címrend kötelező'!AS34+'címrend önként'!AS34+'címrend államig'!AS34)</f>
        <v>0</v>
      </c>
      <c r="EC34" s="38"/>
      <c r="ED34" s="7"/>
      <c r="EE34" s="7">
        <f>SUM('címrend kötelező'!AT34+'címrend önként'!AT34+'címrend államig'!AT34)</f>
        <v>0</v>
      </c>
      <c r="EF34" s="38"/>
      <c r="EG34" s="7"/>
      <c r="EH34" s="7">
        <f>SUM('címrend kötelező'!AU34+'címrend önként'!AU34+'címrend államig'!AU34)</f>
        <v>0</v>
      </c>
      <c r="EI34" s="38"/>
      <c r="EJ34" s="7"/>
      <c r="EK34" s="7">
        <f>SUM('címrend kötelező'!AV34+'címrend önként'!AV34+'címrend államig'!AV34)</f>
        <v>0</v>
      </c>
      <c r="EL34" s="38"/>
      <c r="EM34" s="7"/>
      <c r="EN34" s="7">
        <f>SUM('címrend kötelező'!AW34+'címrend önként'!AW34+'címrend államig'!AW34)</f>
        <v>0</v>
      </c>
      <c r="EO34" s="38"/>
      <c r="EP34" s="7"/>
      <c r="EQ34" s="7">
        <f>SUM('címrend kötelező'!AX34+'címrend önként'!AX34+'címrend államig'!AX34)</f>
        <v>0</v>
      </c>
      <c r="ER34" s="38"/>
      <c r="ES34" s="7"/>
      <c r="ET34" s="7">
        <f>SUM('címrend kötelező'!AY34+'címrend önként'!AY34+'címrend államig'!AY34)</f>
        <v>0</v>
      </c>
      <c r="EU34" s="38"/>
      <c r="EV34" s="387">
        <f t="shared" si="179"/>
        <v>0</v>
      </c>
      <c r="EW34" s="387">
        <f t="shared" si="179"/>
        <v>0</v>
      </c>
      <c r="EX34" s="84"/>
      <c r="EY34" s="7"/>
      <c r="EZ34" s="7">
        <f>'címrend kötelező'!BA34+'címrend önként'!BA34+'címrend államig'!BA34</f>
        <v>0</v>
      </c>
      <c r="FA34" s="38"/>
      <c r="FB34" s="7"/>
      <c r="FC34" s="7">
        <f>'címrend kötelező'!BB34+'címrend önként'!BB34+'címrend államig'!BB34</f>
        <v>0</v>
      </c>
      <c r="FD34" s="38"/>
      <c r="FE34" s="7"/>
      <c r="FF34" s="7">
        <f>'címrend kötelező'!BC34+'címrend önként'!BC34+'címrend államig'!BC34</f>
        <v>0</v>
      </c>
      <c r="FG34" s="38"/>
      <c r="FH34" s="7"/>
      <c r="FI34" s="7">
        <f>'címrend kötelező'!BD34+'címrend önként'!BD34+'címrend államig'!BD34</f>
        <v>0</v>
      </c>
      <c r="FJ34" s="38"/>
      <c r="FK34" s="38"/>
      <c r="FL34" s="7">
        <f>'címrend kötelező'!BE34+'címrend önként'!BE34+'címrend államig'!BE34</f>
        <v>0</v>
      </c>
      <c r="FM34" s="38"/>
      <c r="FN34" s="7"/>
      <c r="FO34" s="7">
        <f>SUM('címrend kötelező'!BF34+'címrend önként'!BF34+'címrend államig'!BF34)</f>
        <v>0</v>
      </c>
      <c r="FP34" s="38"/>
      <c r="FQ34" s="7"/>
      <c r="FR34" s="7">
        <f>SUM('címrend kötelező'!BG34+'címrend önként'!BG34+'címrend államig'!BG34)</f>
        <v>0</v>
      </c>
      <c r="FS34" s="38"/>
      <c r="FT34" s="7"/>
      <c r="FU34" s="7">
        <f>SUM('címrend kötelező'!BH34+'címrend önként'!BH34+'címrend államig'!BH34)</f>
        <v>0</v>
      </c>
      <c r="FV34" s="38"/>
      <c r="FW34" s="7"/>
      <c r="FX34" s="7">
        <f>SUM('címrend kötelező'!BI34+'címrend önként'!BI34+'címrend államig'!BI34)</f>
        <v>0</v>
      </c>
      <c r="FY34" s="38"/>
      <c r="FZ34" s="7"/>
      <c r="GA34" s="7">
        <f>SUM('címrend kötelező'!BJ34+'címrend önként'!BJ34+'címrend államig'!BJ34)</f>
        <v>0</v>
      </c>
      <c r="GB34" s="38"/>
      <c r="GC34" s="7"/>
      <c r="GD34" s="7">
        <f>SUM('címrend kötelező'!BK34+'címrend önként'!BK34+'címrend államig'!BK34)</f>
        <v>0</v>
      </c>
      <c r="GE34" s="38"/>
      <c r="GF34" s="7"/>
      <c r="GG34" s="7">
        <f>SUM('címrend kötelező'!BL34+'címrend önként'!BL34+'címrend államig'!BL34)</f>
        <v>0</v>
      </c>
      <c r="GH34" s="38"/>
      <c r="GI34" s="7"/>
      <c r="GJ34" s="7">
        <f>SUM('címrend kötelező'!BM34+'címrend önként'!BM34+'címrend államig'!BM34)</f>
        <v>0</v>
      </c>
      <c r="GK34" s="38"/>
      <c r="GL34" s="7"/>
      <c r="GM34" s="7">
        <f>SUM('címrend kötelező'!BN34+'címrend önként'!BN34+'címrend államig'!BN34)</f>
        <v>0</v>
      </c>
      <c r="GN34" s="38"/>
      <c r="GO34" s="387">
        <f t="shared" si="117"/>
        <v>0</v>
      </c>
      <c r="GP34" s="387">
        <f t="shared" si="717"/>
        <v>0</v>
      </c>
      <c r="GQ34" s="38"/>
      <c r="GR34" s="7">
        <v>33104</v>
      </c>
      <c r="GS34" s="7">
        <f>SUM('címrend kötelező'!BP34+'címrend önként'!BP34+'címrend államig'!BP34)</f>
        <v>0</v>
      </c>
      <c r="GT34" s="38"/>
      <c r="GU34" s="7">
        <v>1542447</v>
      </c>
      <c r="GV34" s="7">
        <f>SUM('címrend kötelező'!BQ34+'címrend önként'!BQ34+'címrend államig'!BQ34)</f>
        <v>1596807</v>
      </c>
      <c r="GW34" s="38"/>
      <c r="GX34" s="7"/>
      <c r="GY34" s="7">
        <f>SUM('címrend kötelező'!BR34+'címrend önként'!BR34+'címrend államig'!BR34)</f>
        <v>0</v>
      </c>
      <c r="GZ34" s="38"/>
      <c r="HA34" s="387">
        <f t="shared" si="198"/>
        <v>1575551</v>
      </c>
      <c r="HB34" s="387">
        <f t="shared" si="198"/>
        <v>1596807</v>
      </c>
      <c r="HC34" s="88">
        <f t="shared" ref="HC34" si="718">HB34/HA34*100</f>
        <v>101.34911532536873</v>
      </c>
      <c r="HD34" s="38">
        <f t="shared" si="127"/>
        <v>1598567</v>
      </c>
      <c r="HE34" s="38">
        <f t="shared" si="128"/>
        <v>1611384</v>
      </c>
      <c r="HF34" s="238">
        <f t="shared" si="129"/>
        <v>100.80178059474517</v>
      </c>
      <c r="HH34" s="242"/>
      <c r="HI34" s="242"/>
    </row>
    <row r="35" spans="1:217" ht="15" customHeight="1" x14ac:dyDescent="0.25">
      <c r="A35" s="218" t="s">
        <v>361</v>
      </c>
      <c r="B35" s="7"/>
      <c r="C35" s="7">
        <f>SUM('címrend kötelező'!B35+'címrend önként'!B35+'címrend államig'!B35)</f>
        <v>0</v>
      </c>
      <c r="D35" s="82"/>
      <c r="E35" s="7"/>
      <c r="F35" s="7">
        <f>SUM('címrend kötelező'!C35+'címrend önként'!C35+'címrend államig'!C35)</f>
        <v>0</v>
      </c>
      <c r="G35" s="82"/>
      <c r="H35" s="7"/>
      <c r="I35" s="7">
        <f>SUM('címrend kötelező'!D35+'címrend önként'!D35+'címrend államig'!D35)</f>
        <v>0</v>
      </c>
      <c r="J35" s="82"/>
      <c r="K35" s="7"/>
      <c r="L35" s="7">
        <f>SUM('címrend kötelező'!E35+'címrend önként'!E35+'címrend államig'!E35)</f>
        <v>0</v>
      </c>
      <c r="M35" s="82"/>
      <c r="N35" s="7"/>
      <c r="O35" s="7">
        <f>SUM('címrend kötelező'!F35+'címrend önként'!F35+'címrend államig'!F35)</f>
        <v>0</v>
      </c>
      <c r="P35" s="82"/>
      <c r="Q35" s="7"/>
      <c r="R35" s="7">
        <f>SUM('címrend kötelező'!G35+'címrend önként'!G35+'címrend államig'!G35)</f>
        <v>0</v>
      </c>
      <c r="S35" s="82"/>
      <c r="T35" s="7"/>
      <c r="U35" s="7">
        <f>SUM('címrend kötelező'!H35+'címrend önként'!H35+'címrend államig'!H35)</f>
        <v>0</v>
      </c>
      <c r="V35" s="82"/>
      <c r="W35" s="7">
        <v>7807000</v>
      </c>
      <c r="X35" s="7">
        <f>SUM('címrend kötelező'!I35+'címrend önként'!I35+'címrend államig'!I35)</f>
        <v>8835936</v>
      </c>
      <c r="Y35" s="82"/>
      <c r="Z35" s="7"/>
      <c r="AA35" s="7">
        <f>SUM('címrend kötelező'!J35+'címrend önként'!J35+'címrend államig'!J35)</f>
        <v>0</v>
      </c>
      <c r="AB35" s="82"/>
      <c r="AC35" s="7"/>
      <c r="AD35" s="7">
        <f>SUM('címrend kötelező'!K35+'címrend önként'!K35+'címrend államig'!K35)</f>
        <v>0</v>
      </c>
      <c r="AE35" s="82"/>
      <c r="AF35" s="7"/>
      <c r="AG35" s="7">
        <f>SUM('címrend kötelező'!L35+'címrend önként'!L35+'címrend államig'!L35)</f>
        <v>0</v>
      </c>
      <c r="AH35" s="82"/>
      <c r="AI35" s="7"/>
      <c r="AJ35" s="7">
        <f>SUM('címrend kötelező'!M35+'címrend önként'!M35+'címrend államig'!M35)</f>
        <v>0</v>
      </c>
      <c r="AK35" s="82"/>
      <c r="AL35" s="7"/>
      <c r="AM35" s="7">
        <f>SUM('címrend kötelező'!N35+'címrend önként'!N35+'címrend államig'!N35)</f>
        <v>0</v>
      </c>
      <c r="AN35" s="82"/>
      <c r="AO35" s="7"/>
      <c r="AP35" s="7">
        <f>SUM('címrend kötelező'!O35+'címrend önként'!O35+'címrend államig'!O35)</f>
        <v>0</v>
      </c>
      <c r="AQ35" s="82"/>
      <c r="AR35" s="7"/>
      <c r="AS35" s="7">
        <f>SUM('címrend kötelező'!P35+'címrend önként'!P35+'címrend államig'!P35)</f>
        <v>0</v>
      </c>
      <c r="AT35" s="82"/>
      <c r="AU35" s="7"/>
      <c r="AV35" s="7">
        <f>SUM('címrend kötelező'!Q35+'címrend önként'!Q35+'címrend államig'!Q35)</f>
        <v>0</v>
      </c>
      <c r="AW35" s="82"/>
      <c r="AX35" s="7"/>
      <c r="AY35" s="7">
        <f>SUM('címrend kötelező'!R35+'címrend önként'!R35+'címrend államig'!R35)</f>
        <v>0</v>
      </c>
      <c r="AZ35" s="82"/>
      <c r="BA35" s="7"/>
      <c r="BB35" s="7">
        <f>SUM('címrend kötelező'!S35+'címrend önként'!S35+'címrend államig'!S35)</f>
        <v>0</v>
      </c>
      <c r="BC35" s="82"/>
      <c r="BD35" s="7"/>
      <c r="BE35" s="7">
        <f>SUM('címrend kötelező'!T35+'címrend önként'!T35+'címrend államig'!T35)</f>
        <v>0</v>
      </c>
      <c r="BF35" s="82"/>
      <c r="BG35" s="7"/>
      <c r="BH35" s="7">
        <f>SUM('címrend kötelező'!U35+'címrend önként'!U35+'címrend államig'!U35)</f>
        <v>0</v>
      </c>
      <c r="BI35" s="82"/>
      <c r="BJ35" s="7"/>
      <c r="BK35" s="7">
        <f>SUM('címrend kötelező'!V35+'címrend önként'!V35+'címrend államig'!V35)</f>
        <v>0</v>
      </c>
      <c r="BL35" s="82"/>
      <c r="BM35" s="7"/>
      <c r="BN35" s="7">
        <f>SUM('címrend kötelező'!W35+'címrend önként'!W35+'címrend államig'!W35)</f>
        <v>0</v>
      </c>
      <c r="BO35" s="82"/>
      <c r="BP35" s="7"/>
      <c r="BQ35" s="7">
        <f>SUM('címrend kötelező'!X35+'címrend önként'!X35+'címrend államig'!X35)</f>
        <v>0</v>
      </c>
      <c r="BR35" s="82"/>
      <c r="BS35" s="7"/>
      <c r="BT35" s="7">
        <f>SUM('címrend kötelező'!Y35+'címrend önként'!Y35+'címrend államig'!Y35)</f>
        <v>0</v>
      </c>
      <c r="BU35" s="82"/>
      <c r="BV35" s="7"/>
      <c r="BW35" s="7">
        <f>SUM('címrend kötelező'!Z35+'címrend önként'!Z35+'címrend államig'!Z35)</f>
        <v>0</v>
      </c>
      <c r="BX35" s="82"/>
      <c r="BY35" s="7"/>
      <c r="BZ35" s="7">
        <f>SUM('címrend kötelező'!AA35+'címrend önként'!AA35+'címrend államig'!AA35)</f>
        <v>0</v>
      </c>
      <c r="CA35" s="82"/>
      <c r="CB35" s="7"/>
      <c r="CC35" s="7">
        <f>SUM('címrend kötelező'!AB35+'címrend önként'!AB35+'címrend államig'!AB35)</f>
        <v>0</v>
      </c>
      <c r="CD35" s="82"/>
      <c r="CE35" s="7"/>
      <c r="CF35" s="7">
        <f>SUM('címrend kötelező'!AC35+'címrend önként'!AC35+'címrend államig'!AC35)</f>
        <v>0</v>
      </c>
      <c r="CG35" s="82"/>
      <c r="CH35" s="7"/>
      <c r="CI35" s="7">
        <f>SUM('címrend kötelező'!AD35+'címrend önként'!AD35+'címrend államig'!AD35)</f>
        <v>0</v>
      </c>
      <c r="CJ35" s="82"/>
      <c r="CK35" s="7"/>
      <c r="CL35" s="7">
        <f>SUM('címrend kötelező'!AE35+'címrend önként'!AE35+'címrend államig'!AE35)</f>
        <v>0</v>
      </c>
      <c r="CM35" s="82"/>
      <c r="CN35" s="7"/>
      <c r="CO35" s="7">
        <f>SUM('címrend kötelező'!AF35+'címrend önként'!AF35+'címrend államig'!AF35)</f>
        <v>0</v>
      </c>
      <c r="CP35" s="82"/>
      <c r="CQ35" s="7"/>
      <c r="CR35" s="7">
        <f>SUM('címrend kötelező'!AG35+'címrend önként'!AG35+'címrend államig'!AG35)</f>
        <v>0</v>
      </c>
      <c r="CS35" s="82"/>
      <c r="CT35" s="7"/>
      <c r="CU35" s="7">
        <f>SUM('címrend kötelező'!AH35+'címrend önként'!AH35+'címrend államig'!AH35)</f>
        <v>0</v>
      </c>
      <c r="CV35" s="82"/>
      <c r="CW35" s="7"/>
      <c r="CX35" s="7">
        <f>SUM('címrend kötelező'!AI35+'címrend önként'!AI35+'címrend államig'!AI35)</f>
        <v>0</v>
      </c>
      <c r="CY35" s="82"/>
      <c r="CZ35" s="7"/>
      <c r="DA35" s="7">
        <f>SUM('címrend kötelező'!AJ35+'címrend önként'!AJ35+'címrend államig'!AJ35)</f>
        <v>0</v>
      </c>
      <c r="DB35" s="82"/>
      <c r="DC35" s="7"/>
      <c r="DD35" s="7">
        <f>SUM('címrend kötelező'!AK35+'címrend önként'!AK35+'címrend államig'!AK35)</f>
        <v>0</v>
      </c>
      <c r="DE35" s="82"/>
      <c r="DF35" s="7"/>
      <c r="DG35" s="7">
        <f>SUM('címrend kötelező'!AL35+'címrend önként'!AL35+'címrend államig'!AL35)</f>
        <v>0</v>
      </c>
      <c r="DH35" s="82"/>
      <c r="DI35" s="7"/>
      <c r="DJ35" s="7">
        <f>SUM('címrend kötelező'!AM35+'címrend önként'!AM35+'címrend államig'!AM35)</f>
        <v>0</v>
      </c>
      <c r="DK35" s="82"/>
      <c r="DL35" s="7"/>
      <c r="DM35" s="7">
        <f>SUM('címrend kötelező'!AN35+'címrend önként'!AN35+'címrend államig'!AN35)</f>
        <v>0</v>
      </c>
      <c r="DN35" s="82"/>
      <c r="DO35" s="7"/>
      <c r="DP35" s="7">
        <f>SUM('címrend kötelező'!AO35+'címrend önként'!AO35+'címrend államig'!AO35)</f>
        <v>0</v>
      </c>
      <c r="DQ35" s="82"/>
      <c r="DR35" s="387">
        <f t="shared" si="169"/>
        <v>7807000</v>
      </c>
      <c r="DS35" s="387">
        <f t="shared" si="169"/>
        <v>8835936</v>
      </c>
      <c r="DT35" s="87">
        <f t="shared" si="170"/>
        <v>113.17965928013321</v>
      </c>
      <c r="DU35" s="7">
        <v>1000</v>
      </c>
      <c r="DV35" s="7">
        <f>SUM('címrend kötelező'!AQ35+'címrend önként'!AQ35+'címrend államig'!AQ35)</f>
        <v>1000</v>
      </c>
      <c r="DW35" s="88">
        <f t="shared" ref="DW35" si="719">DV35/DU35*100</f>
        <v>100</v>
      </c>
      <c r="DX35" s="7">
        <v>600</v>
      </c>
      <c r="DY35" s="7">
        <f>SUM('címrend kötelező'!AR35+'címrend önként'!AR35+'címrend államig'!AR35)</f>
        <v>1300</v>
      </c>
      <c r="DZ35" s="88">
        <f t="shared" ref="DZ35" si="720">DY35/DX35*100</f>
        <v>216.66666666666666</v>
      </c>
      <c r="EA35" s="7"/>
      <c r="EB35" s="7">
        <f>SUM('címrend kötelező'!AS35+'címrend önként'!AS35+'címrend államig'!AS35)</f>
        <v>0</v>
      </c>
      <c r="EC35" s="88"/>
      <c r="ED35" s="7"/>
      <c r="EE35" s="7">
        <f>SUM('címrend kötelező'!AT35+'címrend önként'!AT35+'címrend államig'!AT35)</f>
        <v>0</v>
      </c>
      <c r="EF35" s="88"/>
      <c r="EG35" s="7"/>
      <c r="EH35" s="7">
        <f>SUM('címrend kötelező'!AU35+'címrend önként'!AU35+'címrend államig'!AU35)</f>
        <v>0</v>
      </c>
      <c r="EI35" s="88"/>
      <c r="EJ35" s="7"/>
      <c r="EK35" s="7">
        <f>SUM('címrend kötelező'!AV35+'címrend önként'!AV35+'címrend államig'!AV35)</f>
        <v>0</v>
      </c>
      <c r="EL35" s="88"/>
      <c r="EM35" s="7"/>
      <c r="EN35" s="7">
        <f>SUM('címrend kötelező'!AW35+'címrend önként'!AW35+'címrend államig'!AW35)</f>
        <v>0</v>
      </c>
      <c r="EO35" s="88"/>
      <c r="EP35" s="7"/>
      <c r="EQ35" s="7">
        <f>SUM('címrend kötelező'!AX35+'címrend önként'!AX35+'címrend államig'!AX35)</f>
        <v>0</v>
      </c>
      <c r="ER35" s="88"/>
      <c r="ES35" s="7">
        <v>35000</v>
      </c>
      <c r="ET35" s="7">
        <f>SUM('címrend kötelező'!AY35+'címrend önként'!AY35+'címrend államig'!AY35)</f>
        <v>35000</v>
      </c>
      <c r="EU35" s="88">
        <f t="shared" ref="EU35" si="721">ET35/ES35*100</f>
        <v>100</v>
      </c>
      <c r="EV35" s="387">
        <f t="shared" si="179"/>
        <v>36600</v>
      </c>
      <c r="EW35" s="387">
        <f t="shared" si="179"/>
        <v>37300</v>
      </c>
      <c r="EX35" s="88">
        <f t="shared" ref="EX35:EX52" si="722">EW35/EV35*100</f>
        <v>101.91256830601093</v>
      </c>
      <c r="EY35" s="7"/>
      <c r="EZ35" s="7">
        <f>'címrend kötelező'!BA35+'címrend önként'!BA35+'címrend államig'!BA35</f>
        <v>0</v>
      </c>
      <c r="FA35" s="88"/>
      <c r="FB35" s="7"/>
      <c r="FC35" s="7">
        <f>'címrend kötelező'!BB35+'címrend önként'!BB35+'címrend államig'!BB35</f>
        <v>0</v>
      </c>
      <c r="FD35" s="88"/>
      <c r="FE35" s="7"/>
      <c r="FF35" s="7">
        <f>'címrend kötelező'!BC35+'címrend önként'!BC35+'címrend államig'!BC35</f>
        <v>0</v>
      </c>
      <c r="FG35" s="88"/>
      <c r="FH35" s="7"/>
      <c r="FI35" s="7">
        <f>'címrend kötelező'!BD35+'címrend önként'!BD35+'címrend államig'!BD35</f>
        <v>0</v>
      </c>
      <c r="FJ35" s="88"/>
      <c r="FK35" s="88"/>
      <c r="FL35" s="7">
        <f>'címrend kötelező'!BE35+'címrend önként'!BE35+'címrend államig'!BE35</f>
        <v>0</v>
      </c>
      <c r="FM35" s="88"/>
      <c r="FN35" s="7"/>
      <c r="FO35" s="7">
        <f>SUM('címrend kötelező'!BF35+'címrend önként'!BF35+'címrend államig'!BF35)</f>
        <v>0</v>
      </c>
      <c r="FP35" s="88"/>
      <c r="FQ35" s="7"/>
      <c r="FR35" s="7">
        <f>SUM('címrend kötelező'!BG35+'címrend önként'!BG35+'címrend államig'!BG35)</f>
        <v>0</v>
      </c>
      <c r="FS35" s="88"/>
      <c r="FT35" s="7"/>
      <c r="FU35" s="7">
        <f>SUM('címrend kötelező'!BH35+'címrend önként'!BH35+'címrend államig'!BH35)</f>
        <v>0</v>
      </c>
      <c r="FV35" s="88"/>
      <c r="FW35" s="7"/>
      <c r="FX35" s="7">
        <f>SUM('címrend kötelező'!BI35+'címrend önként'!BI35+'címrend államig'!BI35)</f>
        <v>0</v>
      </c>
      <c r="FY35" s="88"/>
      <c r="FZ35" s="7"/>
      <c r="GA35" s="7">
        <f>SUM('címrend kötelező'!BJ35+'címrend önként'!BJ35+'címrend államig'!BJ35)</f>
        <v>0</v>
      </c>
      <c r="GB35" s="88"/>
      <c r="GC35" s="7"/>
      <c r="GD35" s="7">
        <f>SUM('címrend kötelező'!BK35+'címrend önként'!BK35+'címrend államig'!BK35)</f>
        <v>0</v>
      </c>
      <c r="GE35" s="88"/>
      <c r="GF35" s="7"/>
      <c r="GG35" s="7">
        <f>SUM('címrend kötelező'!BL35+'címrend önként'!BL35+'címrend államig'!BL35)</f>
        <v>0</v>
      </c>
      <c r="GH35" s="88"/>
      <c r="GI35" s="7"/>
      <c r="GJ35" s="7">
        <f>SUM('címrend kötelező'!BM35+'címrend önként'!BM35+'címrend államig'!BM35)</f>
        <v>0</v>
      </c>
      <c r="GK35" s="88"/>
      <c r="GL35" s="7"/>
      <c r="GM35" s="7">
        <f>SUM('címrend kötelező'!BN35+'címrend önként'!BN35+'címrend államig'!BN35)</f>
        <v>0</v>
      </c>
      <c r="GN35" s="88"/>
      <c r="GO35" s="387">
        <f t="shared" si="117"/>
        <v>0</v>
      </c>
      <c r="GP35" s="387">
        <f t="shared" si="717"/>
        <v>0</v>
      </c>
      <c r="GQ35" s="38"/>
      <c r="GR35" s="7"/>
      <c r="GS35" s="7">
        <f>SUM('címrend kötelező'!BP35+'címrend önként'!BP35+'címrend államig'!BP35)</f>
        <v>0</v>
      </c>
      <c r="GT35" s="88"/>
      <c r="GU35" s="7"/>
      <c r="GV35" s="7">
        <f>SUM('címrend kötelező'!BQ35+'címrend önként'!BQ35+'címrend államig'!BQ35)</f>
        <v>0</v>
      </c>
      <c r="GW35" s="88"/>
      <c r="GX35" s="7"/>
      <c r="GY35" s="7">
        <f>SUM('címrend kötelező'!BR35+'címrend önként'!BR35+'címrend államig'!BR35)</f>
        <v>0</v>
      </c>
      <c r="GZ35" s="88"/>
      <c r="HA35" s="387">
        <f t="shared" si="198"/>
        <v>0</v>
      </c>
      <c r="HB35" s="387">
        <f t="shared" si="198"/>
        <v>0</v>
      </c>
      <c r="HC35" s="387"/>
      <c r="HD35" s="38">
        <f t="shared" si="127"/>
        <v>7843600</v>
      </c>
      <c r="HE35" s="38">
        <f t="shared" si="128"/>
        <v>8873236</v>
      </c>
      <c r="HF35" s="238">
        <f t="shared" si="129"/>
        <v>113.12708450201438</v>
      </c>
      <c r="HH35" s="242"/>
      <c r="HI35" s="242"/>
    </row>
    <row r="36" spans="1:217" ht="15" customHeight="1" x14ac:dyDescent="0.25">
      <c r="A36" s="218" t="s">
        <v>362</v>
      </c>
      <c r="B36" s="7"/>
      <c r="C36" s="7">
        <f>SUM('címrend kötelező'!B36+'címrend önként'!B36+'címrend államig'!B36)</f>
        <v>0</v>
      </c>
      <c r="D36" s="82"/>
      <c r="E36" s="7"/>
      <c r="F36" s="7">
        <f>SUM('címrend kötelező'!C36+'címrend önként'!C36+'címrend államig'!C36)</f>
        <v>0</v>
      </c>
      <c r="G36" s="82"/>
      <c r="H36" s="7"/>
      <c r="I36" s="7">
        <f>SUM('címrend kötelező'!D36+'címrend önként'!D36+'címrend államig'!D36)</f>
        <v>0</v>
      </c>
      <c r="J36" s="82"/>
      <c r="K36" s="7"/>
      <c r="L36" s="7">
        <f>SUM('címrend kötelező'!E36+'címrend önként'!E36+'címrend államig'!E36)</f>
        <v>0</v>
      </c>
      <c r="M36" s="82"/>
      <c r="N36" s="7"/>
      <c r="O36" s="7">
        <f>SUM('címrend kötelező'!F36+'címrend önként'!F36+'címrend államig'!F36)</f>
        <v>0</v>
      </c>
      <c r="P36" s="82"/>
      <c r="Q36" s="7"/>
      <c r="R36" s="7">
        <f>SUM('címrend kötelező'!G36+'címrend önként'!G36+'címrend államig'!G36)</f>
        <v>0</v>
      </c>
      <c r="S36" s="82"/>
      <c r="T36" s="7"/>
      <c r="U36" s="7">
        <f>SUM('címrend kötelező'!H36+'címrend önként'!H36+'címrend államig'!H36)</f>
        <v>0</v>
      </c>
      <c r="V36" s="82"/>
      <c r="W36" s="7"/>
      <c r="X36" s="7">
        <f>SUM('címrend kötelező'!I36+'címrend önként'!I36+'címrend államig'!I36)</f>
        <v>0</v>
      </c>
      <c r="Y36" s="82"/>
      <c r="Z36" s="7"/>
      <c r="AA36" s="7">
        <f>SUM('címrend kötelező'!J36+'címrend önként'!J36+'címrend államig'!J36)</f>
        <v>0</v>
      </c>
      <c r="AB36" s="82"/>
      <c r="AC36" s="7"/>
      <c r="AD36" s="7">
        <f>SUM('címrend kötelező'!K36+'címrend önként'!K36+'címrend államig'!K36)</f>
        <v>0</v>
      </c>
      <c r="AE36" s="82"/>
      <c r="AF36" s="7"/>
      <c r="AG36" s="7">
        <f>SUM('címrend kötelező'!L36+'címrend önként'!L36+'címrend államig'!L36)</f>
        <v>0</v>
      </c>
      <c r="AH36" s="82"/>
      <c r="AI36" s="7">
        <v>5603</v>
      </c>
      <c r="AJ36" s="7">
        <f>SUM('címrend kötelező'!M36+'címrend önként'!M36+'címrend államig'!M36)</f>
        <v>5698</v>
      </c>
      <c r="AK36" s="82"/>
      <c r="AL36" s="7"/>
      <c r="AM36" s="7">
        <f>SUM('címrend kötelező'!N36+'címrend önként'!N36+'címrend államig'!N36)</f>
        <v>0</v>
      </c>
      <c r="AN36" s="82"/>
      <c r="AO36" s="7">
        <v>1529011</v>
      </c>
      <c r="AP36" s="7">
        <f>SUM('címrend kötelező'!O36+'címrend önként'!O36+'címrend államig'!O36)</f>
        <v>1649610</v>
      </c>
      <c r="AQ36" s="82"/>
      <c r="AR36" s="7"/>
      <c r="AS36" s="7">
        <f>SUM('címrend kötelező'!P36+'címrend önként'!P36+'címrend államig'!P36)</f>
        <v>0</v>
      </c>
      <c r="AT36" s="82"/>
      <c r="AU36" s="7">
        <v>1300</v>
      </c>
      <c r="AV36" s="7">
        <f>SUM('címrend kötelező'!Q36+'címrend önként'!Q36+'címrend államig'!Q36)</f>
        <v>0</v>
      </c>
      <c r="AW36" s="82"/>
      <c r="AX36" s="7">
        <v>269000</v>
      </c>
      <c r="AY36" s="7">
        <f>SUM('címrend kötelező'!R36+'címrend önként'!R36+'címrend államig'!R36)</f>
        <v>300000</v>
      </c>
      <c r="AZ36" s="82"/>
      <c r="BA36" s="7"/>
      <c r="BB36" s="7">
        <f>SUM('címrend kötelező'!S36+'címrend önként'!S36+'címrend államig'!S36)</f>
        <v>0</v>
      </c>
      <c r="BC36" s="82"/>
      <c r="BD36" s="7"/>
      <c r="BE36" s="7">
        <f>SUM('címrend kötelező'!T36+'címrend önként'!T36+'címrend államig'!T36)</f>
        <v>0</v>
      </c>
      <c r="BF36" s="82"/>
      <c r="BG36" s="7">
        <v>58944</v>
      </c>
      <c r="BH36" s="7">
        <f>SUM('címrend kötelező'!U36+'címrend önként'!U36+'címrend államig'!U36)</f>
        <v>71954</v>
      </c>
      <c r="BI36" s="82"/>
      <c r="BJ36" s="7"/>
      <c r="BK36" s="7">
        <f>SUM('címrend kötelező'!V36+'címrend önként'!V36+'címrend államig'!V36)</f>
        <v>0</v>
      </c>
      <c r="BL36" s="82"/>
      <c r="BM36" s="7"/>
      <c r="BN36" s="7">
        <f>SUM('címrend kötelező'!W36+'címrend önként'!W36+'címrend államig'!W36)</f>
        <v>0</v>
      </c>
      <c r="BO36" s="82"/>
      <c r="BP36" s="7">
        <v>170049</v>
      </c>
      <c r="BQ36" s="7">
        <f>SUM('címrend kötelező'!X36+'címrend önként'!X36+'címrend államig'!X36)</f>
        <v>145962</v>
      </c>
      <c r="BR36" s="82"/>
      <c r="BS36" s="7"/>
      <c r="BT36" s="7">
        <f>SUM('címrend kötelező'!Y36+'címrend önként'!Y36+'címrend államig'!Y36)</f>
        <v>0</v>
      </c>
      <c r="BU36" s="82"/>
      <c r="BV36" s="7"/>
      <c r="BW36" s="7">
        <f>SUM('címrend kötelező'!Z36+'címrend önként'!Z36+'címrend államig'!Z36)</f>
        <v>0</v>
      </c>
      <c r="BX36" s="82"/>
      <c r="BY36" s="7"/>
      <c r="BZ36" s="7">
        <f>SUM('címrend kötelező'!AA36+'címrend önként'!AA36+'címrend államig'!AA36)</f>
        <v>0</v>
      </c>
      <c r="CA36" s="82"/>
      <c r="CB36" s="7"/>
      <c r="CC36" s="7">
        <f>SUM('címrend kötelező'!AB36+'címrend önként'!AB36+'címrend államig'!AB36)</f>
        <v>0</v>
      </c>
      <c r="CD36" s="82"/>
      <c r="CE36" s="7">
        <v>2488783</v>
      </c>
      <c r="CF36" s="7">
        <f>SUM('címrend kötelező'!AC36+'címrend önként'!AC36+'címrend államig'!AC36)</f>
        <v>2007450</v>
      </c>
      <c r="CG36" s="82"/>
      <c r="CH36" s="7"/>
      <c r="CI36" s="7">
        <f>SUM('címrend kötelező'!AD36+'címrend önként'!AD36+'címrend államig'!AD36)</f>
        <v>0</v>
      </c>
      <c r="CJ36" s="82"/>
      <c r="CK36" s="7"/>
      <c r="CL36" s="7">
        <f>SUM('címrend kötelező'!AE36+'címrend önként'!AE36+'címrend államig'!AE36)</f>
        <v>0</v>
      </c>
      <c r="CM36" s="82"/>
      <c r="CN36" s="7"/>
      <c r="CO36" s="7">
        <f>SUM('címrend kötelező'!AF36+'címrend önként'!AF36+'címrend államig'!AF36)</f>
        <v>0</v>
      </c>
      <c r="CP36" s="82"/>
      <c r="CQ36" s="7"/>
      <c r="CR36" s="7">
        <f>SUM('címrend kötelező'!AG36+'címrend önként'!AG36+'címrend államig'!AG36)</f>
        <v>0</v>
      </c>
      <c r="CS36" s="82"/>
      <c r="CT36" s="7"/>
      <c r="CU36" s="7">
        <f>SUM('címrend kötelező'!AH36+'címrend önként'!AH36+'címrend államig'!AH36)</f>
        <v>0</v>
      </c>
      <c r="CV36" s="82"/>
      <c r="CW36" s="7"/>
      <c r="CX36" s="7">
        <f>SUM('címrend kötelező'!AI36+'címrend önként'!AI36+'címrend államig'!AI36)</f>
        <v>0</v>
      </c>
      <c r="CY36" s="82"/>
      <c r="CZ36" s="7"/>
      <c r="DA36" s="7">
        <f>SUM('címrend kötelező'!AJ36+'címrend önként'!AJ36+'címrend államig'!AJ36)</f>
        <v>0</v>
      </c>
      <c r="DB36" s="82"/>
      <c r="DC36" s="7"/>
      <c r="DD36" s="7">
        <f>SUM('címrend kötelező'!AK36+'címrend önként'!AK36+'címrend államig'!AK36)</f>
        <v>0</v>
      </c>
      <c r="DE36" s="82"/>
      <c r="DF36" s="7"/>
      <c r="DG36" s="7">
        <f>SUM('címrend kötelező'!AL36+'címrend önként'!AL36+'címrend államig'!AL36)</f>
        <v>0</v>
      </c>
      <c r="DH36" s="82"/>
      <c r="DI36" s="7">
        <v>15000</v>
      </c>
      <c r="DJ36" s="7">
        <f>SUM('címrend kötelező'!AM36+'címrend önként'!AM36+'címrend államig'!AM36)</f>
        <v>76446</v>
      </c>
      <c r="DK36" s="82"/>
      <c r="DL36" s="7"/>
      <c r="DM36" s="7">
        <f>SUM('címrend kötelező'!AN36+'címrend önként'!AN36+'címrend államig'!AN36)</f>
        <v>0</v>
      </c>
      <c r="DN36" s="82"/>
      <c r="DO36" s="7"/>
      <c r="DP36" s="7">
        <f>SUM('címrend kötelező'!AO36+'címrend önként'!AO36+'címrend államig'!AO36)</f>
        <v>0</v>
      </c>
      <c r="DQ36" s="82"/>
      <c r="DR36" s="387">
        <f t="shared" si="169"/>
        <v>4537690</v>
      </c>
      <c r="DS36" s="387">
        <f t="shared" si="169"/>
        <v>4257120</v>
      </c>
      <c r="DT36" s="87">
        <f t="shared" si="170"/>
        <v>93.816898025206669</v>
      </c>
      <c r="DU36" s="7"/>
      <c r="DV36" s="7">
        <f>SUM('címrend kötelező'!AQ36+'címrend önként'!AQ36+'címrend államig'!AQ36)</f>
        <v>0</v>
      </c>
      <c r="DW36" s="38"/>
      <c r="DX36" s="7"/>
      <c r="DY36" s="7">
        <f>SUM('címrend kötelező'!AR36+'címrend önként'!AR36+'címrend államig'!AR36)</f>
        <v>0</v>
      </c>
      <c r="DZ36" s="38"/>
      <c r="EA36" s="7">
        <v>1600</v>
      </c>
      <c r="EB36" s="7">
        <f>SUM('címrend kötelező'!AS36+'címrend önként'!AS36+'címrend államig'!AS36)</f>
        <v>1600</v>
      </c>
      <c r="EC36" s="38"/>
      <c r="ED36" s="7">
        <v>4000</v>
      </c>
      <c r="EE36" s="7">
        <f>SUM('címrend kötelező'!AT36+'címrend önként'!AT36+'címrend államig'!AT36)</f>
        <v>4000</v>
      </c>
      <c r="EF36" s="38"/>
      <c r="EG36" s="7"/>
      <c r="EH36" s="7">
        <f>SUM('címrend kötelező'!AU36+'címrend önként'!AU36+'címrend államig'!AU36)</f>
        <v>0</v>
      </c>
      <c r="EI36" s="38"/>
      <c r="EJ36" s="7"/>
      <c r="EK36" s="7">
        <f>SUM('címrend kötelező'!AV36+'címrend önként'!AV36+'címrend államig'!AV36)</f>
        <v>0</v>
      </c>
      <c r="EL36" s="38"/>
      <c r="EM36" s="7"/>
      <c r="EN36" s="7">
        <f>SUM('címrend kötelező'!AW36+'címrend önként'!AW36+'címrend államig'!AW36)</f>
        <v>0</v>
      </c>
      <c r="EO36" s="38"/>
      <c r="EP36" s="7"/>
      <c r="EQ36" s="7">
        <f>SUM('címrend kötelező'!AX36+'címrend önként'!AX36+'címrend államig'!AX36)</f>
        <v>0</v>
      </c>
      <c r="ER36" s="38"/>
      <c r="ES36" s="7"/>
      <c r="ET36" s="7">
        <f>SUM('címrend kötelező'!AY36+'címrend önként'!AY36+'címrend államig'!AY36)</f>
        <v>0</v>
      </c>
      <c r="EU36" s="38"/>
      <c r="EV36" s="387">
        <f t="shared" si="179"/>
        <v>5600</v>
      </c>
      <c r="EW36" s="387">
        <f t="shared" si="179"/>
        <v>5600</v>
      </c>
      <c r="EX36" s="88">
        <f t="shared" si="722"/>
        <v>100</v>
      </c>
      <c r="EY36" s="7">
        <v>3000</v>
      </c>
      <c r="EZ36" s="7">
        <f>'címrend kötelező'!BA36+'címrend önként'!BA36+'címrend államig'!BA36</f>
        <v>3000</v>
      </c>
      <c r="FA36" s="38"/>
      <c r="FB36" s="7">
        <v>40000</v>
      </c>
      <c r="FC36" s="7">
        <f>'címrend kötelező'!BB36+'címrend önként'!BB36+'címrend államig'!BB36</f>
        <v>40000</v>
      </c>
      <c r="FD36" s="38"/>
      <c r="FE36" s="7"/>
      <c r="FF36" s="7">
        <f>'címrend kötelező'!BC36+'címrend önként'!BC36+'címrend államig'!BC36</f>
        <v>0</v>
      </c>
      <c r="FG36" s="38"/>
      <c r="FH36" s="7">
        <v>1097</v>
      </c>
      <c r="FI36" s="7">
        <f>'címrend kötelező'!BD36+'címrend önként'!BD36+'címrend államig'!BD36</f>
        <v>1084</v>
      </c>
      <c r="FJ36" s="38"/>
      <c r="FK36" s="38"/>
      <c r="FL36" s="7">
        <f>'címrend kötelező'!BE36+'címrend önként'!BE36+'címrend államig'!BE36</f>
        <v>0</v>
      </c>
      <c r="FM36" s="38"/>
      <c r="FN36" s="7"/>
      <c r="FO36" s="7">
        <f>SUM('címrend kötelező'!BF36+'címrend önként'!BF36+'címrend államig'!BF36)</f>
        <v>0</v>
      </c>
      <c r="FP36" s="38"/>
      <c r="FQ36" s="7">
        <v>38796</v>
      </c>
      <c r="FR36" s="7">
        <f>SUM('címrend kötelező'!BG36+'címrend önként'!BG36+'címrend államig'!BG36)</f>
        <v>32935</v>
      </c>
      <c r="FS36" s="38"/>
      <c r="FT36" s="7">
        <v>6596</v>
      </c>
      <c r="FU36" s="7">
        <f>SUM('címrend kötelező'!BH36+'címrend önként'!BH36+'címrend államig'!BH36)</f>
        <v>6565</v>
      </c>
      <c r="FV36" s="38"/>
      <c r="FW36" s="7">
        <v>3513</v>
      </c>
      <c r="FX36" s="7">
        <f>SUM('címrend kötelező'!BI36+'címrend önként'!BI36+'címrend államig'!BI36)</f>
        <v>2895</v>
      </c>
      <c r="FY36" s="38"/>
      <c r="FZ36" s="7">
        <v>13603</v>
      </c>
      <c r="GA36" s="7">
        <f>SUM('címrend kötelező'!BJ36+'címrend önként'!BJ36+'címrend államig'!BJ36)</f>
        <v>13640</v>
      </c>
      <c r="GB36" s="38"/>
      <c r="GC36" s="7"/>
      <c r="GD36" s="7">
        <f>SUM('címrend kötelező'!BK36+'címrend önként'!BK36+'címrend államig'!BK36)</f>
        <v>0</v>
      </c>
      <c r="GE36" s="38"/>
      <c r="GF36" s="7"/>
      <c r="GG36" s="7">
        <f>SUM('címrend kötelező'!BL36+'címrend önként'!BL36+'címrend államig'!BL36)</f>
        <v>0</v>
      </c>
      <c r="GH36" s="38"/>
      <c r="GI36" s="7"/>
      <c r="GJ36" s="7">
        <f>SUM('címrend kötelező'!BM36+'címrend önként'!BM36+'címrend államig'!BM36)</f>
        <v>0</v>
      </c>
      <c r="GK36" s="38"/>
      <c r="GL36" s="7">
        <v>102188</v>
      </c>
      <c r="GM36" s="7">
        <f>SUM('címrend kötelező'!BN36+'címrend önként'!BN36+'címrend államig'!BN36)</f>
        <v>73174</v>
      </c>
      <c r="GN36" s="38"/>
      <c r="GO36" s="387">
        <f t="shared" si="117"/>
        <v>208793</v>
      </c>
      <c r="GP36" s="387">
        <f t="shared" si="717"/>
        <v>173293</v>
      </c>
      <c r="GQ36" s="88">
        <f t="shared" ref="GQ36" si="723">GP36/GO36*100</f>
        <v>82.997514284482719</v>
      </c>
      <c r="GR36" s="7">
        <v>47578</v>
      </c>
      <c r="GS36" s="7">
        <f>SUM('címrend kötelező'!BP36+'címrend önként'!BP36+'címrend államig'!BP36)</f>
        <v>64633</v>
      </c>
      <c r="GT36" s="38"/>
      <c r="GU36" s="7">
        <v>28650</v>
      </c>
      <c r="GV36" s="7">
        <f>SUM('címrend kötelező'!BQ36+'címrend önként'!BQ36+'címrend államig'!BQ36)</f>
        <v>21950</v>
      </c>
      <c r="GW36" s="38"/>
      <c r="GX36" s="7"/>
      <c r="GY36" s="7">
        <f>SUM('címrend kötelező'!BR36+'címrend önként'!BR36+'címrend államig'!BR36)</f>
        <v>0</v>
      </c>
      <c r="GZ36" s="38"/>
      <c r="HA36" s="387">
        <f t="shared" si="198"/>
        <v>285021</v>
      </c>
      <c r="HB36" s="387">
        <f t="shared" si="198"/>
        <v>259876</v>
      </c>
      <c r="HC36" s="88">
        <f t="shared" ref="HC36" si="724">HB36/HA36*100</f>
        <v>91.177843036127157</v>
      </c>
      <c r="HD36" s="38">
        <f t="shared" si="127"/>
        <v>4828311</v>
      </c>
      <c r="HE36" s="38">
        <f t="shared" si="128"/>
        <v>4522596</v>
      </c>
      <c r="HF36" s="238">
        <f t="shared" si="129"/>
        <v>93.668282759747669</v>
      </c>
      <c r="HH36" s="242"/>
      <c r="HI36" s="242"/>
    </row>
    <row r="37" spans="1:217" s="13" customFormat="1" ht="15" customHeight="1" x14ac:dyDescent="0.25">
      <c r="A37" s="219" t="s">
        <v>363</v>
      </c>
      <c r="B37" s="6">
        <f>B38+B39</f>
        <v>0</v>
      </c>
      <c r="C37" s="6">
        <f>C38+C39</f>
        <v>0</v>
      </c>
      <c r="D37" s="82"/>
      <c r="E37" s="6">
        <f t="shared" ref="E37:F37" si="725">E38+E39</f>
        <v>0</v>
      </c>
      <c r="F37" s="6">
        <f t="shared" si="725"/>
        <v>0</v>
      </c>
      <c r="G37" s="82"/>
      <c r="H37" s="6">
        <f t="shared" ref="H37:I37" si="726">H38+H39</f>
        <v>0</v>
      </c>
      <c r="I37" s="6">
        <f t="shared" si="726"/>
        <v>0</v>
      </c>
      <c r="J37" s="82"/>
      <c r="K37" s="6">
        <f t="shared" ref="K37:L37" si="727">K38+K39</f>
        <v>0</v>
      </c>
      <c r="L37" s="6">
        <f t="shared" si="727"/>
        <v>0</v>
      </c>
      <c r="M37" s="82"/>
      <c r="N37" s="6">
        <f t="shared" ref="N37:O37" si="728">N38+N39</f>
        <v>0</v>
      </c>
      <c r="O37" s="6">
        <f t="shared" si="728"/>
        <v>0</v>
      </c>
      <c r="P37" s="82"/>
      <c r="Q37" s="6">
        <f t="shared" ref="Q37:R37" si="729">Q38+Q39</f>
        <v>0</v>
      </c>
      <c r="R37" s="6">
        <f t="shared" si="729"/>
        <v>0</v>
      </c>
      <c r="S37" s="82"/>
      <c r="T37" s="6">
        <f t="shared" ref="T37:U37" si="730">T38+T39</f>
        <v>0</v>
      </c>
      <c r="U37" s="6">
        <f t="shared" si="730"/>
        <v>0</v>
      </c>
      <c r="V37" s="82"/>
      <c r="W37" s="6">
        <f t="shared" ref="W37:X37" si="731">W38+W39</f>
        <v>0</v>
      </c>
      <c r="X37" s="6">
        <f t="shared" si="731"/>
        <v>0</v>
      </c>
      <c r="Y37" s="82"/>
      <c r="Z37" s="6">
        <f t="shared" ref="Z37:AA37" si="732">Z38+Z39</f>
        <v>0</v>
      </c>
      <c r="AA37" s="6">
        <f t="shared" si="732"/>
        <v>0</v>
      </c>
      <c r="AB37" s="82"/>
      <c r="AC37" s="6">
        <f t="shared" ref="AC37:AD37" si="733">AC38+AC39</f>
        <v>0</v>
      </c>
      <c r="AD37" s="6">
        <f t="shared" si="733"/>
        <v>0</v>
      </c>
      <c r="AE37" s="82"/>
      <c r="AF37" s="6">
        <f t="shared" ref="AF37:AG37" si="734">AF38+AF39</f>
        <v>0</v>
      </c>
      <c r="AG37" s="6">
        <f t="shared" si="734"/>
        <v>0</v>
      </c>
      <c r="AH37" s="82"/>
      <c r="AI37" s="6">
        <f t="shared" ref="AI37:AJ37" si="735">AI38+AI39</f>
        <v>0</v>
      </c>
      <c r="AJ37" s="6">
        <f t="shared" si="735"/>
        <v>0</v>
      </c>
      <c r="AK37" s="82"/>
      <c r="AL37" s="6">
        <f t="shared" ref="AL37:AM37" si="736">AL38+AL39</f>
        <v>0</v>
      </c>
      <c r="AM37" s="6">
        <f t="shared" si="736"/>
        <v>0</v>
      </c>
      <c r="AN37" s="82"/>
      <c r="AO37" s="6">
        <f t="shared" ref="AO37:AP37" si="737">AO38+AO39</f>
        <v>0</v>
      </c>
      <c r="AP37" s="6">
        <f t="shared" si="737"/>
        <v>0</v>
      </c>
      <c r="AQ37" s="82"/>
      <c r="AR37" s="6">
        <f t="shared" ref="AR37:AS37" si="738">AR38+AR39</f>
        <v>0</v>
      </c>
      <c r="AS37" s="6">
        <f t="shared" si="738"/>
        <v>0</v>
      </c>
      <c r="AT37" s="82"/>
      <c r="AU37" s="6">
        <f t="shared" ref="AU37:AV37" si="739">AU38+AU39</f>
        <v>0</v>
      </c>
      <c r="AV37" s="6">
        <f t="shared" si="739"/>
        <v>0</v>
      </c>
      <c r="AW37" s="82"/>
      <c r="AX37" s="6">
        <f t="shared" ref="AX37:AY37" si="740">AX38+AX39</f>
        <v>0</v>
      </c>
      <c r="AY37" s="6">
        <f t="shared" si="740"/>
        <v>0</v>
      </c>
      <c r="AZ37" s="82"/>
      <c r="BA37" s="6">
        <f t="shared" ref="BA37:BB37" si="741">BA38+BA39</f>
        <v>0</v>
      </c>
      <c r="BB37" s="6">
        <f t="shared" si="741"/>
        <v>0</v>
      </c>
      <c r="BC37" s="82"/>
      <c r="BD37" s="6">
        <f t="shared" ref="BD37:BE37" si="742">BD38+BD39</f>
        <v>0</v>
      </c>
      <c r="BE37" s="6">
        <f t="shared" si="742"/>
        <v>0</v>
      </c>
      <c r="BF37" s="82"/>
      <c r="BG37" s="6">
        <f t="shared" ref="BG37:BH37" si="743">BG38+BG39</f>
        <v>0</v>
      </c>
      <c r="BH37" s="6">
        <f t="shared" si="743"/>
        <v>0</v>
      </c>
      <c r="BI37" s="82"/>
      <c r="BJ37" s="6">
        <f t="shared" ref="BJ37:BK37" si="744">BJ38+BJ39</f>
        <v>0</v>
      </c>
      <c r="BK37" s="6">
        <f t="shared" si="744"/>
        <v>0</v>
      </c>
      <c r="BL37" s="82"/>
      <c r="BM37" s="6">
        <f t="shared" ref="BM37:BN37" si="745">BM38+BM39</f>
        <v>0</v>
      </c>
      <c r="BN37" s="6">
        <f t="shared" si="745"/>
        <v>0</v>
      </c>
      <c r="BO37" s="82"/>
      <c r="BP37" s="6">
        <f t="shared" ref="BP37:BQ37" si="746">BP38+BP39</f>
        <v>0</v>
      </c>
      <c r="BQ37" s="6">
        <f t="shared" si="746"/>
        <v>0</v>
      </c>
      <c r="BR37" s="82"/>
      <c r="BS37" s="6">
        <f t="shared" ref="BS37:BT37" si="747">BS38+BS39</f>
        <v>20000</v>
      </c>
      <c r="BT37" s="6">
        <f t="shared" si="747"/>
        <v>25000</v>
      </c>
      <c r="BU37" s="82"/>
      <c r="BV37" s="6">
        <f t="shared" ref="BV37:BW37" si="748">BV38+BV39</f>
        <v>0</v>
      </c>
      <c r="BW37" s="6">
        <f t="shared" si="748"/>
        <v>0</v>
      </c>
      <c r="BX37" s="82"/>
      <c r="BY37" s="6">
        <f t="shared" ref="BY37:BZ37" si="749">BY38+BY39</f>
        <v>100000</v>
      </c>
      <c r="BZ37" s="6">
        <f t="shared" si="749"/>
        <v>110000</v>
      </c>
      <c r="CA37" s="82"/>
      <c r="CB37" s="6">
        <f t="shared" ref="CB37:CC37" si="750">CB38+CB39</f>
        <v>0</v>
      </c>
      <c r="CC37" s="6">
        <f t="shared" si="750"/>
        <v>0</v>
      </c>
      <c r="CD37" s="82"/>
      <c r="CE37" s="6">
        <f t="shared" ref="CE37:CF37" si="751">CE38+CE39</f>
        <v>0</v>
      </c>
      <c r="CF37" s="6">
        <f t="shared" si="751"/>
        <v>0</v>
      </c>
      <c r="CG37" s="82"/>
      <c r="CH37" s="6">
        <f t="shared" ref="CH37:CI37" si="752">CH38+CH39</f>
        <v>0</v>
      </c>
      <c r="CI37" s="6">
        <f t="shared" si="752"/>
        <v>0</v>
      </c>
      <c r="CJ37" s="82"/>
      <c r="CK37" s="6">
        <f t="shared" ref="CK37:CL37" si="753">CK38+CK39</f>
        <v>0</v>
      </c>
      <c r="CL37" s="6">
        <f t="shared" si="753"/>
        <v>0</v>
      </c>
      <c r="CM37" s="82"/>
      <c r="CN37" s="6">
        <f t="shared" ref="CN37:CO37" si="754">CN38+CN39</f>
        <v>0</v>
      </c>
      <c r="CO37" s="6">
        <f t="shared" si="754"/>
        <v>0</v>
      </c>
      <c r="CP37" s="82"/>
      <c r="CQ37" s="6">
        <f t="shared" ref="CQ37:CR37" si="755">CQ38+CQ39</f>
        <v>0</v>
      </c>
      <c r="CR37" s="6">
        <f t="shared" si="755"/>
        <v>0</v>
      </c>
      <c r="CS37" s="82"/>
      <c r="CT37" s="6">
        <f t="shared" ref="CT37:CU37" si="756">CT38+CT39</f>
        <v>0</v>
      </c>
      <c r="CU37" s="6">
        <f t="shared" si="756"/>
        <v>0</v>
      </c>
      <c r="CV37" s="82"/>
      <c r="CW37" s="6">
        <f t="shared" ref="CW37:CX37" si="757">CW38+CW39</f>
        <v>0</v>
      </c>
      <c r="CX37" s="6">
        <f t="shared" si="757"/>
        <v>0</v>
      </c>
      <c r="CY37" s="82"/>
      <c r="CZ37" s="6">
        <f t="shared" ref="CZ37:DA37" si="758">CZ38+CZ39</f>
        <v>0</v>
      </c>
      <c r="DA37" s="6">
        <f t="shared" si="758"/>
        <v>0</v>
      </c>
      <c r="DB37" s="82"/>
      <c r="DC37" s="6">
        <f t="shared" ref="DC37:DD37" si="759">DC38+DC39</f>
        <v>0</v>
      </c>
      <c r="DD37" s="6">
        <f t="shared" si="759"/>
        <v>0</v>
      </c>
      <c r="DE37" s="82"/>
      <c r="DF37" s="6">
        <f t="shared" ref="DF37:DG37" si="760">DF38+DF39</f>
        <v>0</v>
      </c>
      <c r="DG37" s="6">
        <f t="shared" si="760"/>
        <v>0</v>
      </c>
      <c r="DH37" s="82"/>
      <c r="DI37" s="6">
        <f t="shared" ref="DI37:DJ37" si="761">DI38+DI39</f>
        <v>0</v>
      </c>
      <c r="DJ37" s="6">
        <f t="shared" si="761"/>
        <v>0</v>
      </c>
      <c r="DK37" s="82"/>
      <c r="DL37" s="6">
        <f t="shared" ref="DL37:DM37" si="762">DL38+DL39</f>
        <v>0</v>
      </c>
      <c r="DM37" s="6">
        <f t="shared" si="762"/>
        <v>0</v>
      </c>
      <c r="DN37" s="82"/>
      <c r="DO37" s="6">
        <f t="shared" ref="DO37:DP37" si="763">DO38+DO39</f>
        <v>35000</v>
      </c>
      <c r="DP37" s="6">
        <f t="shared" si="763"/>
        <v>100000</v>
      </c>
      <c r="DQ37" s="82"/>
      <c r="DR37" s="38">
        <f t="shared" si="169"/>
        <v>155000</v>
      </c>
      <c r="DS37" s="38">
        <f t="shared" si="169"/>
        <v>235000</v>
      </c>
      <c r="DT37" s="82">
        <f t="shared" si="170"/>
        <v>151.61290322580646</v>
      </c>
      <c r="DU37" s="6">
        <f>DU38+DU39</f>
        <v>0</v>
      </c>
      <c r="DV37" s="6">
        <f>DV38+DV39</f>
        <v>0</v>
      </c>
      <c r="DW37" s="38"/>
      <c r="DX37" s="6">
        <f t="shared" ref="DX37:DY37" si="764">DX38+DX39</f>
        <v>0</v>
      </c>
      <c r="DY37" s="6">
        <f t="shared" si="764"/>
        <v>0</v>
      </c>
      <c r="DZ37" s="38"/>
      <c r="EA37" s="6">
        <f t="shared" ref="EA37:EB37" si="765">EA38+EA39</f>
        <v>0</v>
      </c>
      <c r="EB37" s="6">
        <f t="shared" si="765"/>
        <v>0</v>
      </c>
      <c r="EC37" s="38"/>
      <c r="ED37" s="6">
        <f t="shared" ref="ED37:EE37" si="766">ED38+ED39</f>
        <v>0</v>
      </c>
      <c r="EE37" s="6">
        <f t="shared" si="766"/>
        <v>0</v>
      </c>
      <c r="EF37" s="38"/>
      <c r="EG37" s="6">
        <f t="shared" ref="EG37:EH37" si="767">EG38+EG39</f>
        <v>0</v>
      </c>
      <c r="EH37" s="6">
        <f t="shared" si="767"/>
        <v>0</v>
      </c>
      <c r="EI37" s="38"/>
      <c r="EJ37" s="6">
        <f t="shared" ref="EJ37:EK37" si="768">EJ38+EJ39</f>
        <v>0</v>
      </c>
      <c r="EK37" s="6">
        <f t="shared" si="768"/>
        <v>0</v>
      </c>
      <c r="EL37" s="38"/>
      <c r="EM37" s="6">
        <f t="shared" ref="EM37:EN37" si="769">EM38+EM39</f>
        <v>0</v>
      </c>
      <c r="EN37" s="6">
        <f t="shared" si="769"/>
        <v>0</v>
      </c>
      <c r="EO37" s="38"/>
      <c r="EP37" s="6">
        <f t="shared" ref="EP37:EQ37" si="770">EP38+EP39</f>
        <v>0</v>
      </c>
      <c r="EQ37" s="6">
        <f t="shared" si="770"/>
        <v>0</v>
      </c>
      <c r="ER37" s="38"/>
      <c r="ES37" s="6">
        <f t="shared" ref="ES37:ET37" si="771">ES38+ES39</f>
        <v>0</v>
      </c>
      <c r="ET37" s="6">
        <f t="shared" si="771"/>
        <v>0</v>
      </c>
      <c r="EU37" s="38"/>
      <c r="EV37" s="38">
        <f t="shared" si="179"/>
        <v>0</v>
      </c>
      <c r="EW37" s="38">
        <f t="shared" si="179"/>
        <v>0</v>
      </c>
      <c r="EX37" s="84"/>
      <c r="EY37" s="6">
        <f t="shared" ref="EY37:EZ37" si="772">EY38+EY39</f>
        <v>0</v>
      </c>
      <c r="EZ37" s="6">
        <f t="shared" si="772"/>
        <v>0</v>
      </c>
      <c r="FA37" s="38"/>
      <c r="FB37" s="6">
        <f t="shared" ref="FB37:FC37" si="773">FB38+FB39</f>
        <v>0</v>
      </c>
      <c r="FC37" s="6">
        <f t="shared" si="773"/>
        <v>0</v>
      </c>
      <c r="FD37" s="38"/>
      <c r="FE37" s="6">
        <f t="shared" ref="FE37:FF37" si="774">FE38+FE39</f>
        <v>0</v>
      </c>
      <c r="FF37" s="6">
        <f t="shared" si="774"/>
        <v>0</v>
      </c>
      <c r="FG37" s="38"/>
      <c r="FH37" s="6">
        <f t="shared" ref="FH37:FI37" si="775">FH38+FH39</f>
        <v>0</v>
      </c>
      <c r="FI37" s="6">
        <f t="shared" si="775"/>
        <v>0</v>
      </c>
      <c r="FJ37" s="38"/>
      <c r="FK37" s="38"/>
      <c r="FL37" s="6">
        <f t="shared" ref="FL37" si="776">FL38+FL39</f>
        <v>0</v>
      </c>
      <c r="FM37" s="38"/>
      <c r="FN37" s="6">
        <f t="shared" ref="FN37:FO37" si="777">FN38+FN39</f>
        <v>0</v>
      </c>
      <c r="FO37" s="6">
        <f t="shared" si="777"/>
        <v>0</v>
      </c>
      <c r="FP37" s="38"/>
      <c r="FQ37" s="6">
        <f t="shared" ref="FQ37:FR37" si="778">FQ38+FQ39</f>
        <v>0</v>
      </c>
      <c r="FR37" s="6">
        <f t="shared" si="778"/>
        <v>0</v>
      </c>
      <c r="FS37" s="38"/>
      <c r="FT37" s="6">
        <f t="shared" ref="FT37:FU37" si="779">FT38+FT39</f>
        <v>0</v>
      </c>
      <c r="FU37" s="6">
        <f t="shared" si="779"/>
        <v>0</v>
      </c>
      <c r="FV37" s="38"/>
      <c r="FW37" s="6">
        <f t="shared" ref="FW37:FX37" si="780">FW38+FW39</f>
        <v>0</v>
      </c>
      <c r="FX37" s="6">
        <f t="shared" si="780"/>
        <v>0</v>
      </c>
      <c r="FY37" s="38"/>
      <c r="FZ37" s="6">
        <f t="shared" ref="FZ37:GA37" si="781">FZ38+FZ39</f>
        <v>0</v>
      </c>
      <c r="GA37" s="6">
        <f t="shared" si="781"/>
        <v>0</v>
      </c>
      <c r="GB37" s="38"/>
      <c r="GC37" s="6">
        <f t="shared" ref="GC37:GD37" si="782">GC38+GC39</f>
        <v>0</v>
      </c>
      <c r="GD37" s="6">
        <f t="shared" si="782"/>
        <v>0</v>
      </c>
      <c r="GE37" s="38"/>
      <c r="GF37" s="6">
        <f t="shared" ref="GF37:GG37" si="783">GF38+GF39</f>
        <v>0</v>
      </c>
      <c r="GG37" s="6">
        <f t="shared" si="783"/>
        <v>0</v>
      </c>
      <c r="GH37" s="38"/>
      <c r="GI37" s="6">
        <f t="shared" ref="GI37:GJ37" si="784">GI38+GI39</f>
        <v>0</v>
      </c>
      <c r="GJ37" s="6">
        <f t="shared" si="784"/>
        <v>0</v>
      </c>
      <c r="GK37" s="38"/>
      <c r="GL37" s="6">
        <f t="shared" ref="GL37:GM37" si="785">GL38+GL39</f>
        <v>0</v>
      </c>
      <c r="GM37" s="6">
        <f t="shared" si="785"/>
        <v>0</v>
      </c>
      <c r="GN37" s="38"/>
      <c r="GO37" s="38">
        <f t="shared" si="117"/>
        <v>0</v>
      </c>
      <c r="GP37" s="6">
        <f t="shared" ref="GP37" si="786">GP38+GP39</f>
        <v>0</v>
      </c>
      <c r="GQ37" s="38"/>
      <c r="GR37" s="6">
        <f t="shared" ref="GR37:GS37" si="787">GR38+GR39</f>
        <v>0</v>
      </c>
      <c r="GS37" s="6">
        <f t="shared" si="787"/>
        <v>10864</v>
      </c>
      <c r="GT37" s="38"/>
      <c r="GU37" s="6">
        <f t="shared" ref="GU37:GV37" si="788">GU38+GU39</f>
        <v>0</v>
      </c>
      <c r="GV37" s="6">
        <f t="shared" si="788"/>
        <v>0</v>
      </c>
      <c r="GW37" s="38"/>
      <c r="GX37" s="6">
        <f t="shared" ref="GX37:GY37" si="789">GX38+GX39</f>
        <v>0</v>
      </c>
      <c r="GY37" s="6">
        <f t="shared" si="789"/>
        <v>0</v>
      </c>
      <c r="GZ37" s="38"/>
      <c r="HA37" s="38">
        <f t="shared" si="198"/>
        <v>0</v>
      </c>
      <c r="HB37" s="38">
        <f t="shared" si="198"/>
        <v>10864</v>
      </c>
      <c r="HC37" s="38"/>
      <c r="HD37" s="38">
        <f t="shared" si="127"/>
        <v>155000</v>
      </c>
      <c r="HE37" s="38">
        <f t="shared" si="128"/>
        <v>245864</v>
      </c>
      <c r="HF37" s="238">
        <f t="shared" si="129"/>
        <v>158.62193548387097</v>
      </c>
      <c r="HH37" s="242"/>
      <c r="HI37" s="242"/>
    </row>
    <row r="38" spans="1:217" ht="15" customHeight="1" x14ac:dyDescent="0.25">
      <c r="A38" s="218" t="s">
        <v>364</v>
      </c>
      <c r="B38" s="7"/>
      <c r="C38" s="7">
        <f>SUM('címrend kötelező'!B38+'címrend önként'!B38+'címrend államig'!B38)</f>
        <v>0</v>
      </c>
      <c r="D38" s="82"/>
      <c r="E38" s="7"/>
      <c r="F38" s="7">
        <f>SUM('címrend kötelező'!C38+'címrend önként'!C38+'címrend államig'!C38)</f>
        <v>0</v>
      </c>
      <c r="G38" s="82"/>
      <c r="H38" s="7"/>
      <c r="I38" s="7">
        <f>SUM('címrend kötelező'!D38+'címrend önként'!D38+'címrend államig'!D38)</f>
        <v>0</v>
      </c>
      <c r="J38" s="82"/>
      <c r="K38" s="7"/>
      <c r="L38" s="7">
        <f>SUM('címrend kötelező'!E38+'címrend önként'!E38+'címrend államig'!E38)</f>
        <v>0</v>
      </c>
      <c r="M38" s="82"/>
      <c r="N38" s="7"/>
      <c r="O38" s="7">
        <f>SUM('címrend kötelező'!F38+'címrend önként'!F38+'címrend államig'!F38)</f>
        <v>0</v>
      </c>
      <c r="P38" s="82"/>
      <c r="Q38" s="7"/>
      <c r="R38" s="7">
        <f>SUM('címrend kötelező'!G38+'címrend önként'!G38+'címrend államig'!G38)</f>
        <v>0</v>
      </c>
      <c r="S38" s="82"/>
      <c r="T38" s="7"/>
      <c r="U38" s="7">
        <f>SUM('címrend kötelező'!H38+'címrend önként'!H38+'címrend államig'!H38)</f>
        <v>0</v>
      </c>
      <c r="V38" s="82"/>
      <c r="W38" s="7"/>
      <c r="X38" s="7">
        <f>SUM('címrend kötelező'!I38+'címrend önként'!I38+'címrend államig'!I38)</f>
        <v>0</v>
      </c>
      <c r="Y38" s="82"/>
      <c r="Z38" s="7"/>
      <c r="AA38" s="7">
        <f>SUM('címrend kötelező'!J38+'címrend önként'!J38+'címrend államig'!J38)</f>
        <v>0</v>
      </c>
      <c r="AB38" s="82"/>
      <c r="AC38" s="7"/>
      <c r="AD38" s="7">
        <f>SUM('címrend kötelező'!K38+'címrend önként'!K38+'címrend államig'!K38)</f>
        <v>0</v>
      </c>
      <c r="AE38" s="82"/>
      <c r="AF38" s="7"/>
      <c r="AG38" s="7">
        <f>SUM('címrend kötelező'!L38+'címrend önként'!L38+'címrend államig'!L38)</f>
        <v>0</v>
      </c>
      <c r="AH38" s="82"/>
      <c r="AI38" s="7"/>
      <c r="AJ38" s="7">
        <f>SUM('címrend kötelező'!M38+'címrend önként'!M38+'címrend államig'!M38)</f>
        <v>0</v>
      </c>
      <c r="AK38" s="82"/>
      <c r="AL38" s="7"/>
      <c r="AM38" s="7">
        <f>SUM('címrend kötelező'!N38+'címrend önként'!N38+'címrend államig'!N38)</f>
        <v>0</v>
      </c>
      <c r="AN38" s="82"/>
      <c r="AO38" s="7"/>
      <c r="AP38" s="7">
        <f>SUM('címrend kötelező'!O38+'címrend önként'!O38+'címrend államig'!O38)</f>
        <v>0</v>
      </c>
      <c r="AQ38" s="82"/>
      <c r="AR38" s="7"/>
      <c r="AS38" s="7">
        <f>SUM('címrend kötelező'!P38+'címrend önként'!P38+'címrend államig'!P38)</f>
        <v>0</v>
      </c>
      <c r="AT38" s="82"/>
      <c r="AU38" s="7"/>
      <c r="AV38" s="7">
        <f>SUM('címrend kötelező'!Q38+'címrend önként'!Q38+'címrend államig'!Q38)</f>
        <v>0</v>
      </c>
      <c r="AW38" s="82"/>
      <c r="AX38" s="7"/>
      <c r="AY38" s="7">
        <f>SUM('címrend kötelező'!R38+'címrend önként'!R38+'címrend államig'!R38)</f>
        <v>0</v>
      </c>
      <c r="AZ38" s="82"/>
      <c r="BA38" s="7"/>
      <c r="BB38" s="7">
        <f>SUM('címrend kötelező'!S38+'címrend önként'!S38+'címrend államig'!S38)</f>
        <v>0</v>
      </c>
      <c r="BC38" s="82"/>
      <c r="BD38" s="7"/>
      <c r="BE38" s="7">
        <f>SUM('címrend kötelező'!T38+'címrend önként'!T38+'címrend államig'!T38)</f>
        <v>0</v>
      </c>
      <c r="BF38" s="82"/>
      <c r="BG38" s="7"/>
      <c r="BH38" s="7">
        <f>SUM('címrend kötelező'!U38+'címrend önként'!U38+'címrend államig'!U38)</f>
        <v>0</v>
      </c>
      <c r="BI38" s="82"/>
      <c r="BJ38" s="7"/>
      <c r="BK38" s="7">
        <f>SUM('címrend kötelező'!V38+'címrend önként'!V38+'címrend államig'!V38)</f>
        <v>0</v>
      </c>
      <c r="BL38" s="82"/>
      <c r="BM38" s="7"/>
      <c r="BN38" s="7">
        <f>SUM('címrend kötelező'!W38+'címrend önként'!W38+'címrend államig'!W38)</f>
        <v>0</v>
      </c>
      <c r="BO38" s="82"/>
      <c r="BP38" s="7"/>
      <c r="BQ38" s="7">
        <f>SUM('címrend kötelező'!X38+'címrend önként'!X38+'címrend államig'!X38)</f>
        <v>0</v>
      </c>
      <c r="BR38" s="82"/>
      <c r="BS38" s="7"/>
      <c r="BT38" s="7">
        <f>SUM('címrend kötelező'!Y38+'címrend önként'!Y38+'címrend államig'!Y38)</f>
        <v>0</v>
      </c>
      <c r="BU38" s="82"/>
      <c r="BV38" s="7"/>
      <c r="BW38" s="7">
        <f>SUM('címrend kötelező'!Z38+'címrend önként'!Z38+'címrend államig'!Z38)</f>
        <v>0</v>
      </c>
      <c r="BX38" s="82"/>
      <c r="BY38" s="7"/>
      <c r="BZ38" s="7">
        <f>SUM('címrend kötelező'!AA38+'címrend önként'!AA38+'címrend államig'!AA38)</f>
        <v>0</v>
      </c>
      <c r="CA38" s="82"/>
      <c r="CB38" s="7"/>
      <c r="CC38" s="7">
        <f>SUM('címrend kötelező'!AB38+'címrend önként'!AB38+'címrend államig'!AB38)</f>
        <v>0</v>
      </c>
      <c r="CD38" s="82"/>
      <c r="CE38" s="7"/>
      <c r="CF38" s="7">
        <f>SUM('címrend kötelező'!AC38+'címrend önként'!AC38+'címrend államig'!AC38)</f>
        <v>0</v>
      </c>
      <c r="CG38" s="82"/>
      <c r="CH38" s="7"/>
      <c r="CI38" s="7">
        <f>SUM('címrend kötelező'!AD38+'címrend önként'!AD38+'címrend államig'!AD38)</f>
        <v>0</v>
      </c>
      <c r="CJ38" s="82"/>
      <c r="CK38" s="7"/>
      <c r="CL38" s="7">
        <f>SUM('címrend kötelező'!AE38+'címrend önként'!AE38+'címrend államig'!AE38)</f>
        <v>0</v>
      </c>
      <c r="CM38" s="82"/>
      <c r="CN38" s="7"/>
      <c r="CO38" s="7">
        <f>SUM('címrend kötelező'!AF38+'címrend önként'!AF38+'címrend államig'!AF38)</f>
        <v>0</v>
      </c>
      <c r="CP38" s="82"/>
      <c r="CQ38" s="7"/>
      <c r="CR38" s="7">
        <f>SUM('címrend kötelező'!AG38+'címrend önként'!AG38+'címrend államig'!AG38)</f>
        <v>0</v>
      </c>
      <c r="CS38" s="82"/>
      <c r="CT38" s="7"/>
      <c r="CU38" s="7">
        <f>SUM('címrend kötelező'!AH38+'címrend önként'!AH38+'címrend államig'!AH38)</f>
        <v>0</v>
      </c>
      <c r="CV38" s="82"/>
      <c r="CW38" s="7"/>
      <c r="CX38" s="7">
        <f>SUM('címrend kötelező'!AI38+'címrend önként'!AI38+'címrend államig'!AI38)</f>
        <v>0</v>
      </c>
      <c r="CY38" s="82"/>
      <c r="CZ38" s="7"/>
      <c r="DA38" s="7">
        <f>SUM('címrend kötelező'!AJ38+'címrend önként'!AJ38+'címrend államig'!AJ38)</f>
        <v>0</v>
      </c>
      <c r="DB38" s="82"/>
      <c r="DC38" s="7"/>
      <c r="DD38" s="7">
        <f>SUM('címrend kötelező'!AK38+'címrend önként'!AK38+'címrend államig'!AK38)</f>
        <v>0</v>
      </c>
      <c r="DE38" s="82"/>
      <c r="DF38" s="7"/>
      <c r="DG38" s="7">
        <f>SUM('címrend kötelező'!AL38+'címrend önként'!AL38+'címrend államig'!AL38)</f>
        <v>0</v>
      </c>
      <c r="DH38" s="82"/>
      <c r="DI38" s="7"/>
      <c r="DJ38" s="7">
        <f>SUM('címrend kötelező'!AM38+'címrend önként'!AM38+'címrend államig'!AM38)</f>
        <v>0</v>
      </c>
      <c r="DK38" s="82"/>
      <c r="DL38" s="7"/>
      <c r="DM38" s="7">
        <f>SUM('címrend kötelező'!AN38+'címrend önként'!AN38+'címrend államig'!AN38)</f>
        <v>0</v>
      </c>
      <c r="DN38" s="82"/>
      <c r="DO38" s="7"/>
      <c r="DP38" s="7">
        <f>SUM('címrend kötelező'!AO38+'címrend önként'!AO38+'címrend államig'!AO38)</f>
        <v>0</v>
      </c>
      <c r="DQ38" s="82"/>
      <c r="DR38" s="387">
        <f t="shared" si="169"/>
        <v>0</v>
      </c>
      <c r="DS38" s="387">
        <f t="shared" si="169"/>
        <v>0</v>
      </c>
      <c r="DT38" s="87"/>
      <c r="DU38" s="7"/>
      <c r="DV38" s="7">
        <f>SUM('címrend kötelező'!AQ38+'címrend önként'!AQ38+'címrend államig'!AQ38)</f>
        <v>0</v>
      </c>
      <c r="DW38" s="38"/>
      <c r="DX38" s="7"/>
      <c r="DY38" s="7">
        <f>SUM('címrend kötelező'!AR38+'címrend önként'!AR38+'címrend államig'!AR38)</f>
        <v>0</v>
      </c>
      <c r="DZ38" s="38"/>
      <c r="EA38" s="7"/>
      <c r="EB38" s="7">
        <f>SUM('címrend kötelező'!AS38+'címrend önként'!AS38+'címrend államig'!AS38)</f>
        <v>0</v>
      </c>
      <c r="EC38" s="38"/>
      <c r="ED38" s="7"/>
      <c r="EE38" s="7">
        <f>SUM('címrend kötelező'!AT38+'címrend önként'!AT38+'címrend államig'!AT38)</f>
        <v>0</v>
      </c>
      <c r="EF38" s="38"/>
      <c r="EG38" s="7"/>
      <c r="EH38" s="7">
        <f>SUM('címrend kötelező'!AU38+'címrend önként'!AU38+'címrend államig'!AU38)</f>
        <v>0</v>
      </c>
      <c r="EI38" s="38"/>
      <c r="EJ38" s="7"/>
      <c r="EK38" s="7">
        <f>SUM('címrend kötelező'!AV38+'címrend önként'!AV38+'címrend államig'!AV38)</f>
        <v>0</v>
      </c>
      <c r="EL38" s="38"/>
      <c r="EM38" s="7"/>
      <c r="EN38" s="7">
        <f>SUM('címrend kötelező'!AW38+'címrend önként'!AW38+'címrend államig'!AW38)</f>
        <v>0</v>
      </c>
      <c r="EO38" s="38"/>
      <c r="EP38" s="7"/>
      <c r="EQ38" s="7">
        <f>SUM('címrend kötelező'!AX38+'címrend önként'!AX38+'címrend államig'!AX38)</f>
        <v>0</v>
      </c>
      <c r="ER38" s="38"/>
      <c r="ES38" s="7"/>
      <c r="ET38" s="7">
        <f>SUM('címrend kötelező'!AY38+'címrend önként'!AY38+'címrend államig'!AY38)</f>
        <v>0</v>
      </c>
      <c r="EU38" s="38"/>
      <c r="EV38" s="387">
        <f t="shared" si="179"/>
        <v>0</v>
      </c>
      <c r="EW38" s="387">
        <f t="shared" si="179"/>
        <v>0</v>
      </c>
      <c r="EX38" s="84"/>
      <c r="EY38" s="7"/>
      <c r="EZ38" s="7">
        <f>'címrend kötelező'!BA38+'címrend önként'!BA38+'címrend államig'!BA38</f>
        <v>0</v>
      </c>
      <c r="FA38" s="38"/>
      <c r="FB38" s="7"/>
      <c r="FC38" s="7">
        <f>'címrend kötelező'!BB38+'címrend önként'!BB38+'címrend államig'!BB38</f>
        <v>0</v>
      </c>
      <c r="FD38" s="38"/>
      <c r="FE38" s="7"/>
      <c r="FF38" s="7">
        <f>'címrend kötelező'!BC38+'címrend önként'!BC38+'címrend államig'!BC38</f>
        <v>0</v>
      </c>
      <c r="FG38" s="38"/>
      <c r="FH38" s="7"/>
      <c r="FI38" s="7">
        <f>'címrend kötelező'!BD38+'címrend önként'!BD38+'címrend államig'!BD38</f>
        <v>0</v>
      </c>
      <c r="FJ38" s="38"/>
      <c r="FK38" s="38"/>
      <c r="FL38" s="7">
        <f>'címrend kötelező'!BE38+'címrend önként'!BE38+'címrend államig'!BE38</f>
        <v>0</v>
      </c>
      <c r="FM38" s="38"/>
      <c r="FN38" s="7"/>
      <c r="FO38" s="7">
        <f>SUM('címrend kötelező'!BF38+'címrend önként'!BF38+'címrend államig'!BF38)</f>
        <v>0</v>
      </c>
      <c r="FP38" s="38"/>
      <c r="FQ38" s="7"/>
      <c r="FR38" s="7">
        <f>SUM('címrend kötelező'!BG38+'címrend önként'!BG38+'címrend államig'!BG38)</f>
        <v>0</v>
      </c>
      <c r="FS38" s="38"/>
      <c r="FT38" s="7"/>
      <c r="FU38" s="7">
        <f>SUM('címrend kötelező'!BH38+'címrend önként'!BH38+'címrend államig'!BH38)</f>
        <v>0</v>
      </c>
      <c r="FV38" s="38"/>
      <c r="FW38" s="7"/>
      <c r="FX38" s="7">
        <f>SUM('címrend kötelező'!BI38+'címrend önként'!BI38+'címrend államig'!BI38)</f>
        <v>0</v>
      </c>
      <c r="FY38" s="38"/>
      <c r="FZ38" s="7"/>
      <c r="GA38" s="7">
        <f>SUM('címrend kötelező'!BJ38+'címrend önként'!BJ38+'címrend államig'!BJ38)</f>
        <v>0</v>
      </c>
      <c r="GB38" s="38"/>
      <c r="GC38" s="7"/>
      <c r="GD38" s="7">
        <f>SUM('címrend kötelező'!BK38+'címrend önként'!BK38+'címrend államig'!BK38)</f>
        <v>0</v>
      </c>
      <c r="GE38" s="38"/>
      <c r="GF38" s="7"/>
      <c r="GG38" s="7">
        <f>SUM('címrend kötelező'!BL38+'címrend önként'!BL38+'címrend államig'!BL38)</f>
        <v>0</v>
      </c>
      <c r="GH38" s="38"/>
      <c r="GI38" s="7"/>
      <c r="GJ38" s="7">
        <f>SUM('címrend kötelező'!BM38+'címrend önként'!BM38+'címrend államig'!BM38)</f>
        <v>0</v>
      </c>
      <c r="GK38" s="38"/>
      <c r="GL38" s="7"/>
      <c r="GM38" s="7">
        <f>SUM('címrend kötelező'!BN38+'címrend önként'!BN38+'címrend államig'!BN38)</f>
        <v>0</v>
      </c>
      <c r="GN38" s="38"/>
      <c r="GO38" s="387">
        <f t="shared" ref="GO38:GO66" si="790">EY38+FB38+FE38+FH38+FN38+FQ38+FT38+FW38+FZ38+GC38+GF38+GI38+GL38</f>
        <v>0</v>
      </c>
      <c r="GP38" s="387">
        <f t="shared" ref="GP38:GP39" si="791">EZ38+FC38+FF38+FI38+FL38+FO38+FR38+FU38+FX38+GA38+GD38+GG38+GJ38+GM38</f>
        <v>0</v>
      </c>
      <c r="GQ38" s="38"/>
      <c r="GR38" s="7"/>
      <c r="GS38" s="7">
        <f>SUM('címrend kötelező'!BP38+'címrend önként'!BP38+'címrend államig'!BP38)</f>
        <v>0</v>
      </c>
      <c r="GT38" s="38"/>
      <c r="GU38" s="7"/>
      <c r="GV38" s="7">
        <f>SUM('címrend kötelező'!BQ38+'címrend önként'!BQ38+'címrend államig'!BQ38)</f>
        <v>0</v>
      </c>
      <c r="GW38" s="38"/>
      <c r="GX38" s="7"/>
      <c r="GY38" s="7">
        <f>SUM('címrend kötelező'!BR38+'címrend önként'!BR38+'címrend államig'!BR38)</f>
        <v>0</v>
      </c>
      <c r="GZ38" s="38"/>
      <c r="HA38" s="387">
        <f t="shared" si="198"/>
        <v>0</v>
      </c>
      <c r="HB38" s="387">
        <f t="shared" si="198"/>
        <v>0</v>
      </c>
      <c r="HC38" s="387"/>
      <c r="HD38" s="38">
        <f t="shared" ref="HD38:HD66" si="792">DR38+EV38+HA38</f>
        <v>0</v>
      </c>
      <c r="HE38" s="38">
        <f t="shared" ref="HE38:HE66" si="793">DS38+EW38+HB38</f>
        <v>0</v>
      </c>
      <c r="HF38" s="238"/>
      <c r="HH38" s="242"/>
      <c r="HI38" s="242"/>
    </row>
    <row r="39" spans="1:217" ht="15" customHeight="1" x14ac:dyDescent="0.25">
      <c r="A39" s="218" t="s">
        <v>365</v>
      </c>
      <c r="B39" s="7"/>
      <c r="C39" s="7">
        <f>SUM('címrend kötelező'!B39+'címrend önként'!B39+'címrend államig'!B39)</f>
        <v>0</v>
      </c>
      <c r="D39" s="82"/>
      <c r="E39" s="7"/>
      <c r="F39" s="7">
        <f>SUM('címrend kötelező'!C39+'címrend önként'!C39+'címrend államig'!C39)</f>
        <v>0</v>
      </c>
      <c r="G39" s="82"/>
      <c r="H39" s="7"/>
      <c r="I39" s="7">
        <f>SUM('címrend kötelező'!D39+'címrend önként'!D39+'címrend államig'!D39)</f>
        <v>0</v>
      </c>
      <c r="J39" s="82"/>
      <c r="K39" s="7"/>
      <c r="L39" s="7">
        <f>SUM('címrend kötelező'!E39+'címrend önként'!E39+'címrend államig'!E39)</f>
        <v>0</v>
      </c>
      <c r="M39" s="82"/>
      <c r="N39" s="7"/>
      <c r="O39" s="7">
        <f>SUM('címrend kötelező'!F39+'címrend önként'!F39+'címrend államig'!F39)</f>
        <v>0</v>
      </c>
      <c r="P39" s="82"/>
      <c r="Q39" s="7"/>
      <c r="R39" s="7">
        <f>SUM('címrend kötelező'!G39+'címrend önként'!G39+'címrend államig'!G39)</f>
        <v>0</v>
      </c>
      <c r="S39" s="82"/>
      <c r="T39" s="7"/>
      <c r="U39" s="7">
        <f>SUM('címrend kötelező'!H39+'címrend önként'!H39+'címrend államig'!H39)</f>
        <v>0</v>
      </c>
      <c r="V39" s="82"/>
      <c r="W39" s="7"/>
      <c r="X39" s="7">
        <f>SUM('címrend kötelező'!I39+'címrend önként'!I39+'címrend államig'!I39)</f>
        <v>0</v>
      </c>
      <c r="Y39" s="82"/>
      <c r="Z39" s="7"/>
      <c r="AA39" s="7">
        <f>SUM('címrend kötelező'!J39+'címrend önként'!J39+'címrend államig'!J39)</f>
        <v>0</v>
      </c>
      <c r="AB39" s="82"/>
      <c r="AC39" s="7"/>
      <c r="AD39" s="7">
        <f>SUM('címrend kötelező'!K39+'címrend önként'!K39+'címrend államig'!K39)</f>
        <v>0</v>
      </c>
      <c r="AE39" s="82"/>
      <c r="AF39" s="7"/>
      <c r="AG39" s="7">
        <f>SUM('címrend kötelező'!L39+'címrend önként'!L39+'címrend államig'!L39)</f>
        <v>0</v>
      </c>
      <c r="AH39" s="82"/>
      <c r="AI39" s="7"/>
      <c r="AJ39" s="7">
        <f>SUM('címrend kötelező'!M39+'címrend önként'!M39+'címrend államig'!M39)</f>
        <v>0</v>
      </c>
      <c r="AK39" s="82"/>
      <c r="AL39" s="7"/>
      <c r="AM39" s="7">
        <f>SUM('címrend kötelező'!N39+'címrend önként'!N39+'címrend államig'!N39)</f>
        <v>0</v>
      </c>
      <c r="AN39" s="82"/>
      <c r="AO39" s="7"/>
      <c r="AP39" s="7">
        <f>SUM('címrend kötelező'!O39+'címrend önként'!O39+'címrend államig'!O39)</f>
        <v>0</v>
      </c>
      <c r="AQ39" s="82"/>
      <c r="AR39" s="7"/>
      <c r="AS39" s="7">
        <f>SUM('címrend kötelező'!P39+'címrend önként'!P39+'címrend államig'!P39)</f>
        <v>0</v>
      </c>
      <c r="AT39" s="82"/>
      <c r="AU39" s="7"/>
      <c r="AV39" s="7">
        <f>SUM('címrend kötelező'!Q39+'címrend önként'!Q39+'címrend államig'!Q39)</f>
        <v>0</v>
      </c>
      <c r="AW39" s="82"/>
      <c r="AX39" s="7"/>
      <c r="AY39" s="7">
        <f>SUM('címrend kötelező'!R39+'címrend önként'!R39+'címrend államig'!R39)</f>
        <v>0</v>
      </c>
      <c r="AZ39" s="82"/>
      <c r="BA39" s="7"/>
      <c r="BB39" s="7">
        <f>SUM('címrend kötelező'!S39+'címrend önként'!S39+'címrend államig'!S39)</f>
        <v>0</v>
      </c>
      <c r="BC39" s="82"/>
      <c r="BD39" s="7"/>
      <c r="BE39" s="7">
        <f>SUM('címrend kötelező'!T39+'címrend önként'!T39+'címrend államig'!T39)</f>
        <v>0</v>
      </c>
      <c r="BF39" s="82"/>
      <c r="BG39" s="7"/>
      <c r="BH39" s="7">
        <f>SUM('címrend kötelező'!U39+'címrend önként'!U39+'címrend államig'!U39)</f>
        <v>0</v>
      </c>
      <c r="BI39" s="82"/>
      <c r="BJ39" s="7"/>
      <c r="BK39" s="7">
        <f>SUM('címrend kötelező'!V39+'címrend önként'!V39+'címrend államig'!V39)</f>
        <v>0</v>
      </c>
      <c r="BL39" s="82"/>
      <c r="BM39" s="7"/>
      <c r="BN39" s="7">
        <f>SUM('címrend kötelező'!W39+'címrend önként'!W39+'címrend államig'!W39)</f>
        <v>0</v>
      </c>
      <c r="BO39" s="82"/>
      <c r="BP39" s="7"/>
      <c r="BQ39" s="7">
        <f>SUM('címrend kötelező'!X39+'címrend önként'!X39+'címrend államig'!X39)</f>
        <v>0</v>
      </c>
      <c r="BR39" s="82"/>
      <c r="BS39" s="7">
        <v>20000</v>
      </c>
      <c r="BT39" s="7">
        <f>SUM('címrend kötelező'!Y39+'címrend önként'!Y39+'címrend államig'!Y39)</f>
        <v>25000</v>
      </c>
      <c r="BU39" s="82"/>
      <c r="BV39" s="7"/>
      <c r="BW39" s="7">
        <f>SUM('címrend kötelező'!Z39+'címrend önként'!Z39+'címrend államig'!Z39)</f>
        <v>0</v>
      </c>
      <c r="BX39" s="82"/>
      <c r="BY39" s="7">
        <v>100000</v>
      </c>
      <c r="BZ39" s="7">
        <f>SUM('címrend kötelező'!AA39+'címrend önként'!AA39+'címrend államig'!AA39)</f>
        <v>110000</v>
      </c>
      <c r="CA39" s="82"/>
      <c r="CB39" s="7"/>
      <c r="CC39" s="7">
        <f>SUM('címrend kötelező'!AB39+'címrend önként'!AB39+'címrend államig'!AB39)</f>
        <v>0</v>
      </c>
      <c r="CD39" s="82"/>
      <c r="CE39" s="7"/>
      <c r="CF39" s="7">
        <f>SUM('címrend kötelező'!AC39+'címrend önként'!AC39+'címrend államig'!AC39)</f>
        <v>0</v>
      </c>
      <c r="CG39" s="82"/>
      <c r="CH39" s="7"/>
      <c r="CI39" s="7">
        <f>SUM('címrend kötelező'!AD39+'címrend önként'!AD39+'címrend államig'!AD39)</f>
        <v>0</v>
      </c>
      <c r="CJ39" s="82"/>
      <c r="CK39" s="7"/>
      <c r="CL39" s="7">
        <f>SUM('címrend kötelező'!AE39+'címrend önként'!AE39+'címrend államig'!AE39)</f>
        <v>0</v>
      </c>
      <c r="CM39" s="82"/>
      <c r="CN39" s="7"/>
      <c r="CO39" s="7">
        <f>SUM('címrend kötelező'!AF39+'címrend önként'!AF39+'címrend államig'!AF39)</f>
        <v>0</v>
      </c>
      <c r="CP39" s="82"/>
      <c r="CQ39" s="7"/>
      <c r="CR39" s="7">
        <f>SUM('címrend kötelező'!AG39+'címrend önként'!AG39+'címrend államig'!AG39)</f>
        <v>0</v>
      </c>
      <c r="CS39" s="82"/>
      <c r="CT39" s="7"/>
      <c r="CU39" s="7">
        <f>SUM('címrend kötelező'!AH39+'címrend önként'!AH39+'címrend államig'!AH39)</f>
        <v>0</v>
      </c>
      <c r="CV39" s="82"/>
      <c r="CW39" s="7"/>
      <c r="CX39" s="7">
        <f>SUM('címrend kötelező'!AI39+'címrend önként'!AI39+'címrend államig'!AI39)</f>
        <v>0</v>
      </c>
      <c r="CY39" s="82"/>
      <c r="CZ39" s="7"/>
      <c r="DA39" s="7">
        <f>SUM('címrend kötelező'!AJ39+'címrend önként'!AJ39+'címrend államig'!AJ39)</f>
        <v>0</v>
      </c>
      <c r="DB39" s="82"/>
      <c r="DC39" s="7"/>
      <c r="DD39" s="7">
        <f>SUM('címrend kötelező'!AK39+'címrend önként'!AK39+'címrend államig'!AK39)</f>
        <v>0</v>
      </c>
      <c r="DE39" s="82"/>
      <c r="DF39" s="7"/>
      <c r="DG39" s="7">
        <f>SUM('címrend kötelező'!AL39+'címrend önként'!AL39+'címrend államig'!AL39)</f>
        <v>0</v>
      </c>
      <c r="DH39" s="82"/>
      <c r="DI39" s="7"/>
      <c r="DJ39" s="7">
        <f>SUM('címrend kötelező'!AM39+'címrend önként'!AM39+'címrend államig'!AM39)</f>
        <v>0</v>
      </c>
      <c r="DK39" s="82"/>
      <c r="DL39" s="7"/>
      <c r="DM39" s="7">
        <f>SUM('címrend kötelező'!AN39+'címrend önként'!AN39+'címrend államig'!AN39)</f>
        <v>0</v>
      </c>
      <c r="DN39" s="82"/>
      <c r="DO39" s="7">
        <v>35000</v>
      </c>
      <c r="DP39" s="7">
        <f>SUM('címrend kötelező'!AO39+'címrend önként'!AO39+'címrend államig'!AO39)</f>
        <v>100000</v>
      </c>
      <c r="DQ39" s="82"/>
      <c r="DR39" s="387">
        <f t="shared" si="169"/>
        <v>155000</v>
      </c>
      <c r="DS39" s="387">
        <f t="shared" si="169"/>
        <v>235000</v>
      </c>
      <c r="DT39" s="87">
        <f t="shared" si="170"/>
        <v>151.61290322580646</v>
      </c>
      <c r="DU39" s="7"/>
      <c r="DV39" s="7">
        <f>SUM('címrend kötelező'!AQ39+'címrend önként'!AQ39+'címrend államig'!AQ39)</f>
        <v>0</v>
      </c>
      <c r="DW39" s="38"/>
      <c r="DX39" s="7"/>
      <c r="DY39" s="7">
        <f>SUM('címrend kötelező'!AR39+'címrend önként'!AR39+'címrend államig'!AR39)</f>
        <v>0</v>
      </c>
      <c r="DZ39" s="38"/>
      <c r="EA39" s="7"/>
      <c r="EB39" s="7">
        <f>SUM('címrend kötelező'!AS39+'címrend önként'!AS39+'címrend államig'!AS39)</f>
        <v>0</v>
      </c>
      <c r="EC39" s="38"/>
      <c r="ED39" s="7"/>
      <c r="EE39" s="7">
        <f>SUM('címrend kötelező'!AT39+'címrend önként'!AT39+'címrend államig'!AT39)</f>
        <v>0</v>
      </c>
      <c r="EF39" s="38"/>
      <c r="EG39" s="7"/>
      <c r="EH39" s="7">
        <f>SUM('címrend kötelező'!AU39+'címrend önként'!AU39+'címrend államig'!AU39)</f>
        <v>0</v>
      </c>
      <c r="EI39" s="38"/>
      <c r="EJ39" s="7"/>
      <c r="EK39" s="7">
        <f>SUM('címrend kötelező'!AV39+'címrend önként'!AV39+'címrend államig'!AV39)</f>
        <v>0</v>
      </c>
      <c r="EL39" s="38"/>
      <c r="EM39" s="7"/>
      <c r="EN39" s="7">
        <f>SUM('címrend kötelező'!AW39+'címrend önként'!AW39+'címrend államig'!AW39)</f>
        <v>0</v>
      </c>
      <c r="EO39" s="38"/>
      <c r="EP39" s="7"/>
      <c r="EQ39" s="7">
        <f>SUM('címrend kötelező'!AX39+'címrend önként'!AX39+'címrend államig'!AX39)</f>
        <v>0</v>
      </c>
      <c r="ER39" s="38"/>
      <c r="ES39" s="7"/>
      <c r="ET39" s="7">
        <f>SUM('címrend kötelező'!AY39+'címrend önként'!AY39+'címrend államig'!AY39)</f>
        <v>0</v>
      </c>
      <c r="EU39" s="38"/>
      <c r="EV39" s="387">
        <f t="shared" si="179"/>
        <v>0</v>
      </c>
      <c r="EW39" s="387">
        <f t="shared" si="179"/>
        <v>0</v>
      </c>
      <c r="EX39" s="84"/>
      <c r="EY39" s="7"/>
      <c r="EZ39" s="7">
        <f>'címrend kötelező'!BA39+'címrend önként'!BA39+'címrend államig'!BA39</f>
        <v>0</v>
      </c>
      <c r="FA39" s="38"/>
      <c r="FB39" s="7"/>
      <c r="FC39" s="7">
        <f>'címrend kötelező'!BB39+'címrend önként'!BB39+'címrend államig'!BB39</f>
        <v>0</v>
      </c>
      <c r="FD39" s="38"/>
      <c r="FE39" s="7"/>
      <c r="FF39" s="7">
        <f>'címrend kötelező'!BC39+'címrend önként'!BC39+'címrend államig'!BC39</f>
        <v>0</v>
      </c>
      <c r="FG39" s="38"/>
      <c r="FH39" s="7"/>
      <c r="FI39" s="7">
        <f>'címrend kötelező'!BD39+'címrend önként'!BD39+'címrend államig'!BD39</f>
        <v>0</v>
      </c>
      <c r="FJ39" s="38"/>
      <c r="FK39" s="38"/>
      <c r="FL39" s="7">
        <f>'címrend kötelező'!BE39+'címrend önként'!BE39+'címrend államig'!BE39</f>
        <v>0</v>
      </c>
      <c r="FM39" s="38"/>
      <c r="FN39" s="7"/>
      <c r="FO39" s="7">
        <f>SUM('címrend kötelező'!BF39+'címrend önként'!BF39+'címrend államig'!BF39)</f>
        <v>0</v>
      </c>
      <c r="FP39" s="38"/>
      <c r="FQ39" s="7"/>
      <c r="FR39" s="7">
        <f>SUM('címrend kötelező'!BG39+'címrend önként'!BG39+'címrend államig'!BG39)</f>
        <v>0</v>
      </c>
      <c r="FS39" s="38"/>
      <c r="FT39" s="7"/>
      <c r="FU39" s="7">
        <f>SUM('címrend kötelező'!BH39+'címrend önként'!BH39+'címrend államig'!BH39)</f>
        <v>0</v>
      </c>
      <c r="FV39" s="38"/>
      <c r="FW39" s="7"/>
      <c r="FX39" s="7">
        <f>SUM('címrend kötelező'!BI39+'címrend önként'!BI39+'címrend államig'!BI39)</f>
        <v>0</v>
      </c>
      <c r="FY39" s="38"/>
      <c r="FZ39" s="7"/>
      <c r="GA39" s="7">
        <f>SUM('címrend kötelező'!BJ39+'címrend önként'!BJ39+'címrend államig'!BJ39)</f>
        <v>0</v>
      </c>
      <c r="GB39" s="38"/>
      <c r="GC39" s="7"/>
      <c r="GD39" s="7">
        <f>SUM('címrend kötelező'!BK39+'címrend önként'!BK39+'címrend államig'!BK39)</f>
        <v>0</v>
      </c>
      <c r="GE39" s="38"/>
      <c r="GF39" s="7"/>
      <c r="GG39" s="7">
        <f>SUM('címrend kötelező'!BL39+'címrend önként'!BL39+'címrend államig'!BL39)</f>
        <v>0</v>
      </c>
      <c r="GH39" s="38"/>
      <c r="GI39" s="7"/>
      <c r="GJ39" s="7">
        <f>SUM('címrend kötelező'!BM39+'címrend önként'!BM39+'címrend államig'!BM39)</f>
        <v>0</v>
      </c>
      <c r="GK39" s="38"/>
      <c r="GL39" s="7"/>
      <c r="GM39" s="7">
        <f>SUM('címrend kötelező'!BN39+'címrend önként'!BN39+'címrend államig'!BN39)</f>
        <v>0</v>
      </c>
      <c r="GN39" s="38"/>
      <c r="GO39" s="387">
        <f t="shared" si="790"/>
        <v>0</v>
      </c>
      <c r="GP39" s="387">
        <f t="shared" si="791"/>
        <v>0</v>
      </c>
      <c r="GQ39" s="38"/>
      <c r="GR39" s="7"/>
      <c r="GS39" s="7">
        <f>SUM('címrend kötelező'!BP39+'címrend önként'!BP39+'címrend államig'!BP39)</f>
        <v>10864</v>
      </c>
      <c r="GT39" s="38"/>
      <c r="GU39" s="7"/>
      <c r="GV39" s="7">
        <f>SUM('címrend kötelező'!BQ39+'címrend önként'!BQ39+'címrend államig'!BQ39)</f>
        <v>0</v>
      </c>
      <c r="GW39" s="38"/>
      <c r="GX39" s="7"/>
      <c r="GY39" s="7">
        <f>SUM('címrend kötelező'!BR39+'címrend önként'!BR39+'címrend államig'!BR39)</f>
        <v>0</v>
      </c>
      <c r="GZ39" s="38"/>
      <c r="HA39" s="387">
        <f t="shared" si="198"/>
        <v>0</v>
      </c>
      <c r="HB39" s="387">
        <f t="shared" si="198"/>
        <v>10864</v>
      </c>
      <c r="HC39" s="387"/>
      <c r="HD39" s="38">
        <f t="shared" si="792"/>
        <v>155000</v>
      </c>
      <c r="HE39" s="38">
        <f t="shared" si="793"/>
        <v>245864</v>
      </c>
      <c r="HF39" s="238">
        <f t="shared" si="129"/>
        <v>158.62193548387097</v>
      </c>
      <c r="HH39" s="242"/>
      <c r="HI39" s="242"/>
    </row>
    <row r="40" spans="1:217" s="13" customFormat="1" ht="15" customHeight="1" x14ac:dyDescent="0.25">
      <c r="A40" s="219" t="s">
        <v>366</v>
      </c>
      <c r="B40" s="6">
        <f>B41+B46+B47+B48+B49</f>
        <v>0</v>
      </c>
      <c r="C40" s="6">
        <f>C41+C46+C47+C48+C49</f>
        <v>0</v>
      </c>
      <c r="D40" s="82"/>
      <c r="E40" s="6">
        <f t="shared" ref="E40:F40" si="794">E41+E46+E47+E48+E49</f>
        <v>0</v>
      </c>
      <c r="F40" s="6">
        <f t="shared" si="794"/>
        <v>0</v>
      </c>
      <c r="G40" s="82"/>
      <c r="H40" s="6">
        <f t="shared" ref="H40:I40" si="795">H41+H46+H47+H48+H49</f>
        <v>0</v>
      </c>
      <c r="I40" s="6">
        <f t="shared" si="795"/>
        <v>0</v>
      </c>
      <c r="J40" s="82"/>
      <c r="K40" s="6">
        <f t="shared" ref="K40:L40" si="796">K41+K46+K47+K48+K49</f>
        <v>500</v>
      </c>
      <c r="L40" s="6">
        <f t="shared" si="796"/>
        <v>300</v>
      </c>
      <c r="M40" s="82"/>
      <c r="N40" s="6">
        <f t="shared" ref="N40:O40" si="797">N41+N46+N47+N48+N49</f>
        <v>0</v>
      </c>
      <c r="O40" s="6">
        <f t="shared" si="797"/>
        <v>0</v>
      </c>
      <c r="P40" s="82"/>
      <c r="Q40" s="6">
        <f t="shared" ref="Q40:R40" si="798">Q41+Q46+Q47+Q48+Q49</f>
        <v>0</v>
      </c>
      <c r="R40" s="6">
        <f t="shared" si="798"/>
        <v>0</v>
      </c>
      <c r="S40" s="82"/>
      <c r="T40" s="6">
        <f t="shared" ref="T40:U40" si="799">T41+T46+T47+T48+T49</f>
        <v>0</v>
      </c>
      <c r="U40" s="6">
        <f t="shared" si="799"/>
        <v>0</v>
      </c>
      <c r="V40" s="82"/>
      <c r="W40" s="6">
        <f t="shared" ref="W40:X40" si="800">W41+W46+W47+W48+W49</f>
        <v>0</v>
      </c>
      <c r="X40" s="6">
        <f t="shared" si="800"/>
        <v>0</v>
      </c>
      <c r="Y40" s="82"/>
      <c r="Z40" s="6">
        <f t="shared" ref="Z40:AA40" si="801">Z41+Z46+Z47+Z48+Z49</f>
        <v>0</v>
      </c>
      <c r="AA40" s="6">
        <f t="shared" si="801"/>
        <v>0</v>
      </c>
      <c r="AB40" s="82"/>
      <c r="AC40" s="6">
        <f t="shared" ref="AC40:AD40" si="802">AC41+AC46+AC47+AC48+AC49</f>
        <v>0</v>
      </c>
      <c r="AD40" s="6">
        <f t="shared" si="802"/>
        <v>0</v>
      </c>
      <c r="AE40" s="82"/>
      <c r="AF40" s="6">
        <f t="shared" ref="AF40:AG40" si="803">AF41+AF46+AF47+AF48+AF49</f>
        <v>0</v>
      </c>
      <c r="AG40" s="6">
        <f t="shared" si="803"/>
        <v>0</v>
      </c>
      <c r="AH40" s="82"/>
      <c r="AI40" s="6">
        <f t="shared" ref="AI40:AJ40" si="804">AI41+AI46+AI47+AI48+AI49</f>
        <v>0</v>
      </c>
      <c r="AJ40" s="6">
        <f t="shared" si="804"/>
        <v>0</v>
      </c>
      <c r="AK40" s="82"/>
      <c r="AL40" s="6">
        <f t="shared" ref="AL40:AM40" si="805">AL41+AL46+AL47+AL48+AL49</f>
        <v>0</v>
      </c>
      <c r="AM40" s="6">
        <f t="shared" si="805"/>
        <v>0</v>
      </c>
      <c r="AN40" s="82"/>
      <c r="AO40" s="6">
        <f t="shared" ref="AO40:AP40" si="806">AO41+AO46+AO47+AO48+AO49</f>
        <v>0</v>
      </c>
      <c r="AP40" s="6">
        <f t="shared" si="806"/>
        <v>0</v>
      </c>
      <c r="AQ40" s="82"/>
      <c r="AR40" s="6">
        <f t="shared" ref="AR40:AS40" si="807">AR41+AR46+AR47+AR48+AR49</f>
        <v>0</v>
      </c>
      <c r="AS40" s="6">
        <f t="shared" si="807"/>
        <v>0</v>
      </c>
      <c r="AT40" s="82"/>
      <c r="AU40" s="6">
        <f t="shared" ref="AU40:AV40" si="808">AU41+AU46+AU47+AU48+AU49</f>
        <v>0</v>
      </c>
      <c r="AV40" s="6">
        <f t="shared" si="808"/>
        <v>0</v>
      </c>
      <c r="AW40" s="82"/>
      <c r="AX40" s="6">
        <f t="shared" ref="AX40:AY40" si="809">AX41+AX46+AX47+AX48+AX49</f>
        <v>0</v>
      </c>
      <c r="AY40" s="6">
        <f t="shared" si="809"/>
        <v>0</v>
      </c>
      <c r="AZ40" s="82"/>
      <c r="BA40" s="6">
        <f t="shared" ref="BA40:BB40" si="810">BA41+BA46+BA47+BA48+BA49</f>
        <v>0</v>
      </c>
      <c r="BB40" s="6">
        <f t="shared" si="810"/>
        <v>0</v>
      </c>
      <c r="BC40" s="82"/>
      <c r="BD40" s="6">
        <f t="shared" ref="BD40:BE40" si="811">BD41+BD46+BD47+BD48+BD49</f>
        <v>0</v>
      </c>
      <c r="BE40" s="6">
        <f t="shared" si="811"/>
        <v>0</v>
      </c>
      <c r="BF40" s="82"/>
      <c r="BG40" s="6">
        <f t="shared" ref="BG40:BH40" si="812">BG41+BG46+BG47+BG48+BG49</f>
        <v>0</v>
      </c>
      <c r="BH40" s="6">
        <f t="shared" si="812"/>
        <v>0</v>
      </c>
      <c r="BI40" s="82"/>
      <c r="BJ40" s="6">
        <f t="shared" ref="BJ40:BK40" si="813">BJ41+BJ46+BJ47+BJ48+BJ49</f>
        <v>0</v>
      </c>
      <c r="BK40" s="6">
        <f t="shared" si="813"/>
        <v>0</v>
      </c>
      <c r="BL40" s="82"/>
      <c r="BM40" s="6">
        <f t="shared" ref="BM40:BN40" si="814">BM41+BM46+BM47+BM48+BM49</f>
        <v>0</v>
      </c>
      <c r="BN40" s="6">
        <f t="shared" si="814"/>
        <v>0</v>
      </c>
      <c r="BO40" s="82"/>
      <c r="BP40" s="6">
        <f t="shared" ref="BP40:BQ40" si="815">BP41+BP46+BP47+BP48+BP49</f>
        <v>0</v>
      </c>
      <c r="BQ40" s="6">
        <f t="shared" si="815"/>
        <v>0</v>
      </c>
      <c r="BR40" s="82"/>
      <c r="BS40" s="6">
        <f t="shared" ref="BS40:BT40" si="816">BS41+BS46+BS47+BS48+BS49</f>
        <v>0</v>
      </c>
      <c r="BT40" s="6">
        <f t="shared" si="816"/>
        <v>0</v>
      </c>
      <c r="BU40" s="82"/>
      <c r="BV40" s="6">
        <f t="shared" ref="BV40:BW40" si="817">BV41+BV46+BV47+BV48+BV49</f>
        <v>0</v>
      </c>
      <c r="BW40" s="6">
        <f t="shared" si="817"/>
        <v>0</v>
      </c>
      <c r="BX40" s="82"/>
      <c r="BY40" s="6">
        <f t="shared" ref="BY40:BZ40" si="818">BY41+BY46+BY47+BY48+BY49</f>
        <v>0</v>
      </c>
      <c r="BZ40" s="6">
        <f t="shared" si="818"/>
        <v>0</v>
      </c>
      <c r="CA40" s="82"/>
      <c r="CB40" s="6">
        <f t="shared" ref="CB40:CC40" si="819">CB41+CB46+CB47+CB48+CB49</f>
        <v>0</v>
      </c>
      <c r="CC40" s="6">
        <f t="shared" si="819"/>
        <v>0</v>
      </c>
      <c r="CD40" s="82"/>
      <c r="CE40" s="6">
        <f t="shared" ref="CE40:CF40" si="820">CE41+CE46+CE47+CE48+CE49</f>
        <v>2407529</v>
      </c>
      <c r="CF40" s="6">
        <f t="shared" si="820"/>
        <v>791850</v>
      </c>
      <c r="CG40" s="82"/>
      <c r="CH40" s="6">
        <f t="shared" ref="CH40:CI40" si="821">CH41+CH46+CH47+CH48+CH49</f>
        <v>0</v>
      </c>
      <c r="CI40" s="6">
        <f t="shared" si="821"/>
        <v>0</v>
      </c>
      <c r="CJ40" s="82"/>
      <c r="CK40" s="6">
        <f t="shared" ref="CK40:CL40" si="822">CK41+CK46+CK47+CK48+CK49</f>
        <v>0</v>
      </c>
      <c r="CL40" s="6">
        <f t="shared" si="822"/>
        <v>0</v>
      </c>
      <c r="CM40" s="82"/>
      <c r="CN40" s="6">
        <f t="shared" ref="CN40:CO40" si="823">CN41+CN46+CN47+CN48+CN49</f>
        <v>299451</v>
      </c>
      <c r="CO40" s="6">
        <f t="shared" si="823"/>
        <v>0</v>
      </c>
      <c r="CP40" s="82"/>
      <c r="CQ40" s="6">
        <f t="shared" ref="CQ40:CR40" si="824">CQ41+CQ46+CQ47+CQ48+CQ49</f>
        <v>0</v>
      </c>
      <c r="CR40" s="6">
        <f t="shared" si="824"/>
        <v>0</v>
      </c>
      <c r="CS40" s="82"/>
      <c r="CT40" s="6">
        <f t="shared" ref="CT40:CU40" si="825">CT41+CT46+CT47+CT48+CT49</f>
        <v>0</v>
      </c>
      <c r="CU40" s="6">
        <f t="shared" si="825"/>
        <v>0</v>
      </c>
      <c r="CV40" s="82"/>
      <c r="CW40" s="6">
        <f t="shared" ref="CW40:CX40" si="826">CW41+CW46+CW47+CW48+CW49</f>
        <v>0</v>
      </c>
      <c r="CX40" s="6">
        <f t="shared" si="826"/>
        <v>0</v>
      </c>
      <c r="CY40" s="82"/>
      <c r="CZ40" s="6">
        <f t="shared" ref="CZ40:DA40" si="827">CZ41+CZ46+CZ47+CZ48+CZ49</f>
        <v>0</v>
      </c>
      <c r="DA40" s="6">
        <f t="shared" si="827"/>
        <v>0</v>
      </c>
      <c r="DB40" s="82"/>
      <c r="DC40" s="6">
        <f t="shared" ref="DC40:DD40" si="828">DC41+DC46+DC47+DC48+DC49</f>
        <v>240000</v>
      </c>
      <c r="DD40" s="6">
        <f t="shared" si="828"/>
        <v>350000</v>
      </c>
      <c r="DE40" s="82"/>
      <c r="DF40" s="6">
        <f t="shared" ref="DF40:DG40" si="829">DF41+DF46+DF47+DF48+DF49</f>
        <v>0</v>
      </c>
      <c r="DG40" s="6">
        <f t="shared" si="829"/>
        <v>0</v>
      </c>
      <c r="DH40" s="82"/>
      <c r="DI40" s="6">
        <f t="shared" ref="DI40:DJ40" si="830">DI41+DI46+DI47+DI48+DI49</f>
        <v>0</v>
      </c>
      <c r="DJ40" s="6">
        <f t="shared" si="830"/>
        <v>0</v>
      </c>
      <c r="DK40" s="82"/>
      <c r="DL40" s="6">
        <f t="shared" ref="DL40:DM40" si="831">DL41+DL46+DL47+DL48+DL49</f>
        <v>0</v>
      </c>
      <c r="DM40" s="6">
        <f t="shared" si="831"/>
        <v>0</v>
      </c>
      <c r="DN40" s="82"/>
      <c r="DO40" s="6">
        <f t="shared" ref="DO40:DP40" si="832">DO41+DO46+DO47+DO48+DO49</f>
        <v>0</v>
      </c>
      <c r="DP40" s="6">
        <f t="shared" si="832"/>
        <v>0</v>
      </c>
      <c r="DQ40" s="82"/>
      <c r="DR40" s="38">
        <f t="shared" si="169"/>
        <v>2947480</v>
      </c>
      <c r="DS40" s="38">
        <f t="shared" si="169"/>
        <v>1142150</v>
      </c>
      <c r="DT40" s="82">
        <f t="shared" si="170"/>
        <v>38.750050890930559</v>
      </c>
      <c r="DU40" s="6">
        <f>DU41+DU46+DU47+DU48+DU49</f>
        <v>0</v>
      </c>
      <c r="DV40" s="6">
        <f>DV41+DV46+DV47+DV48+DV49</f>
        <v>0</v>
      </c>
      <c r="DW40" s="38"/>
      <c r="DX40" s="6">
        <f t="shared" ref="DX40:DY40" si="833">DX41+DX46+DX47+DX48+DX49</f>
        <v>0</v>
      </c>
      <c r="DY40" s="6">
        <f t="shared" si="833"/>
        <v>0</v>
      </c>
      <c r="DZ40" s="38"/>
      <c r="EA40" s="6">
        <f t="shared" ref="EA40:EB40" si="834">EA41+EA46+EA47+EA48+EA49</f>
        <v>0</v>
      </c>
      <c r="EB40" s="6">
        <f t="shared" si="834"/>
        <v>0</v>
      </c>
      <c r="EC40" s="38"/>
      <c r="ED40" s="6">
        <f t="shared" ref="ED40:EE40" si="835">ED41+ED46+ED47+ED48+ED49</f>
        <v>0</v>
      </c>
      <c r="EE40" s="6">
        <f t="shared" si="835"/>
        <v>0</v>
      </c>
      <c r="EF40" s="38"/>
      <c r="EG40" s="6">
        <f t="shared" ref="EG40:EH40" si="836">EG41+EG46+EG47+EG48+EG49</f>
        <v>0</v>
      </c>
      <c r="EH40" s="6">
        <f t="shared" si="836"/>
        <v>0</v>
      </c>
      <c r="EI40" s="38"/>
      <c r="EJ40" s="6">
        <f t="shared" ref="EJ40:EK40" si="837">EJ41+EJ46+EJ47+EJ48+EJ49</f>
        <v>0</v>
      </c>
      <c r="EK40" s="6">
        <f t="shared" si="837"/>
        <v>0</v>
      </c>
      <c r="EL40" s="38"/>
      <c r="EM40" s="6">
        <f t="shared" ref="EM40:EN40" si="838">EM41+EM46+EM47+EM48+EM49</f>
        <v>0</v>
      </c>
      <c r="EN40" s="6">
        <f t="shared" si="838"/>
        <v>0</v>
      </c>
      <c r="EO40" s="38"/>
      <c r="EP40" s="6">
        <f t="shared" ref="EP40:EQ40" si="839">EP41+EP46+EP47+EP48+EP49</f>
        <v>0</v>
      </c>
      <c r="EQ40" s="6">
        <f t="shared" si="839"/>
        <v>0</v>
      </c>
      <c r="ER40" s="38"/>
      <c r="ES40" s="6">
        <f t="shared" ref="ES40:ET40" si="840">ES41+ES46+ES47+ES48+ES49</f>
        <v>0</v>
      </c>
      <c r="ET40" s="6">
        <f t="shared" si="840"/>
        <v>0</v>
      </c>
      <c r="EU40" s="38"/>
      <c r="EV40" s="38">
        <f t="shared" si="179"/>
        <v>0</v>
      </c>
      <c r="EW40" s="38">
        <f t="shared" si="179"/>
        <v>0</v>
      </c>
      <c r="EX40" s="84"/>
      <c r="EY40" s="6">
        <f t="shared" ref="EY40:EZ40" si="841">EY41+EY46+EY47+EY48+EY49</f>
        <v>0</v>
      </c>
      <c r="EZ40" s="6">
        <f t="shared" si="841"/>
        <v>0</v>
      </c>
      <c r="FA40" s="38"/>
      <c r="FB40" s="6">
        <f t="shared" ref="FB40:FC40" si="842">FB41+FB46+FB47+FB48+FB49</f>
        <v>0</v>
      </c>
      <c r="FC40" s="6">
        <f t="shared" si="842"/>
        <v>0</v>
      </c>
      <c r="FD40" s="38"/>
      <c r="FE40" s="6">
        <f t="shared" ref="FE40:FF40" si="843">FE41+FE46+FE47+FE48+FE49</f>
        <v>0</v>
      </c>
      <c r="FF40" s="6">
        <f t="shared" si="843"/>
        <v>0</v>
      </c>
      <c r="FG40" s="38"/>
      <c r="FH40" s="6">
        <f t="shared" ref="FH40:FI40" si="844">FH41+FH46+FH47+FH48+FH49</f>
        <v>0</v>
      </c>
      <c r="FI40" s="6">
        <f t="shared" si="844"/>
        <v>0</v>
      </c>
      <c r="FJ40" s="38"/>
      <c r="FK40" s="38"/>
      <c r="FL40" s="6">
        <f t="shared" ref="FL40" si="845">FL41+FL46+FL47+FL48+FL49</f>
        <v>0</v>
      </c>
      <c r="FM40" s="38"/>
      <c r="FN40" s="6">
        <f t="shared" ref="FN40:FO40" si="846">FN41+FN46+FN47+FN48+FN49</f>
        <v>0</v>
      </c>
      <c r="FO40" s="6">
        <f t="shared" si="846"/>
        <v>0</v>
      </c>
      <c r="FP40" s="38"/>
      <c r="FQ40" s="6">
        <f t="shared" ref="FQ40:FR40" si="847">FQ41+FQ46+FQ47+FQ48+FQ49</f>
        <v>0</v>
      </c>
      <c r="FR40" s="6">
        <f t="shared" si="847"/>
        <v>0</v>
      </c>
      <c r="FS40" s="38"/>
      <c r="FT40" s="6">
        <f t="shared" ref="FT40:FU40" si="848">FT41+FT46+FT47+FT48+FT49</f>
        <v>0</v>
      </c>
      <c r="FU40" s="6">
        <f t="shared" si="848"/>
        <v>0</v>
      </c>
      <c r="FV40" s="38"/>
      <c r="FW40" s="6">
        <f t="shared" ref="FW40:FX40" si="849">FW41+FW46+FW47+FW48+FW49</f>
        <v>0</v>
      </c>
      <c r="FX40" s="6">
        <f t="shared" si="849"/>
        <v>0</v>
      </c>
      <c r="FY40" s="38"/>
      <c r="FZ40" s="6">
        <f t="shared" ref="FZ40:GA40" si="850">FZ41+FZ46+FZ47+FZ48+FZ49</f>
        <v>0</v>
      </c>
      <c r="GA40" s="6">
        <f t="shared" si="850"/>
        <v>0</v>
      </c>
      <c r="GB40" s="38"/>
      <c r="GC40" s="6">
        <f t="shared" ref="GC40:GD40" si="851">GC41+GC46+GC47+GC48+GC49</f>
        <v>0</v>
      </c>
      <c r="GD40" s="6">
        <f t="shared" si="851"/>
        <v>0</v>
      </c>
      <c r="GE40" s="38"/>
      <c r="GF40" s="6">
        <f t="shared" ref="GF40:GG40" si="852">GF41+GF46+GF47+GF48+GF49</f>
        <v>0</v>
      </c>
      <c r="GG40" s="6">
        <f t="shared" si="852"/>
        <v>0</v>
      </c>
      <c r="GH40" s="38"/>
      <c r="GI40" s="6">
        <f t="shared" ref="GI40:GJ40" si="853">GI41+GI46+GI47+GI48+GI49</f>
        <v>0</v>
      </c>
      <c r="GJ40" s="6">
        <f t="shared" si="853"/>
        <v>0</v>
      </c>
      <c r="GK40" s="38"/>
      <c r="GL40" s="6">
        <f t="shared" ref="GL40:GM40" si="854">GL41+GL46+GL47+GL48+GL49</f>
        <v>0</v>
      </c>
      <c r="GM40" s="6">
        <f t="shared" si="854"/>
        <v>0</v>
      </c>
      <c r="GN40" s="38"/>
      <c r="GO40" s="38">
        <f t="shared" si="790"/>
        <v>0</v>
      </c>
      <c r="GP40" s="6">
        <f t="shared" ref="GP40" si="855">GP41+GP46+GP47+GP48+GP49</f>
        <v>0</v>
      </c>
      <c r="GQ40" s="38"/>
      <c r="GR40" s="6">
        <f t="shared" ref="GR40:GS40" si="856">GR41+GR46+GR47+GR48+GR49</f>
        <v>0</v>
      </c>
      <c r="GS40" s="6">
        <f t="shared" si="856"/>
        <v>0</v>
      </c>
      <c r="GT40" s="38"/>
      <c r="GU40" s="6">
        <f t="shared" ref="GU40:GV40" si="857">GU41+GU46+GU47+GU48+GU49</f>
        <v>0</v>
      </c>
      <c r="GV40" s="6">
        <f t="shared" si="857"/>
        <v>0</v>
      </c>
      <c r="GW40" s="38"/>
      <c r="GX40" s="6">
        <f t="shared" ref="GX40:GY40" si="858">GX41+GX46+GX47+GX48+GX49</f>
        <v>0</v>
      </c>
      <c r="GY40" s="6">
        <f t="shared" si="858"/>
        <v>0</v>
      </c>
      <c r="GZ40" s="38"/>
      <c r="HA40" s="38">
        <f t="shared" si="198"/>
        <v>0</v>
      </c>
      <c r="HB40" s="38">
        <f t="shared" si="198"/>
        <v>0</v>
      </c>
      <c r="HC40" s="38"/>
      <c r="HD40" s="38">
        <f t="shared" si="792"/>
        <v>2947480</v>
      </c>
      <c r="HE40" s="38">
        <f t="shared" si="793"/>
        <v>1142150</v>
      </c>
      <c r="HF40" s="238">
        <f t="shared" si="129"/>
        <v>38.750050890930559</v>
      </c>
      <c r="HH40" s="242"/>
      <c r="HI40" s="242"/>
    </row>
    <row r="41" spans="1:217" s="13" customFormat="1" ht="30" customHeight="1" x14ac:dyDescent="0.25">
      <c r="A41" s="219" t="s">
        <v>367</v>
      </c>
      <c r="B41" s="6">
        <f>B42+B43+B44+B45</f>
        <v>0</v>
      </c>
      <c r="C41" s="6">
        <f>C42+C43+C44+C45</f>
        <v>0</v>
      </c>
      <c r="D41" s="82"/>
      <c r="E41" s="6">
        <f t="shared" ref="E41:F41" si="859">E42+E43+E44+E45</f>
        <v>0</v>
      </c>
      <c r="F41" s="6">
        <f t="shared" si="859"/>
        <v>0</v>
      </c>
      <c r="G41" s="82"/>
      <c r="H41" s="6">
        <f t="shared" ref="H41:I41" si="860">H42+H43+H44+H45</f>
        <v>0</v>
      </c>
      <c r="I41" s="6">
        <f t="shared" si="860"/>
        <v>0</v>
      </c>
      <c r="J41" s="82"/>
      <c r="K41" s="6">
        <f t="shared" ref="K41:L41" si="861">K42+K43+K44+K45</f>
        <v>0</v>
      </c>
      <c r="L41" s="6">
        <f t="shared" si="861"/>
        <v>0</v>
      </c>
      <c r="M41" s="82"/>
      <c r="N41" s="6">
        <f t="shared" ref="N41:O41" si="862">N42+N43+N44+N45</f>
        <v>0</v>
      </c>
      <c r="O41" s="6">
        <f t="shared" si="862"/>
        <v>0</v>
      </c>
      <c r="P41" s="82"/>
      <c r="Q41" s="6">
        <f t="shared" ref="Q41:R41" si="863">Q42+Q43+Q44+Q45</f>
        <v>0</v>
      </c>
      <c r="R41" s="6">
        <f t="shared" si="863"/>
        <v>0</v>
      </c>
      <c r="S41" s="82"/>
      <c r="T41" s="6">
        <f t="shared" ref="T41:U41" si="864">T42+T43+T44+T45</f>
        <v>0</v>
      </c>
      <c r="U41" s="6">
        <f t="shared" si="864"/>
        <v>0</v>
      </c>
      <c r="V41" s="82"/>
      <c r="W41" s="6">
        <f t="shared" ref="W41:X41" si="865">W42+W43+W44+W45</f>
        <v>0</v>
      </c>
      <c r="X41" s="6">
        <f t="shared" si="865"/>
        <v>0</v>
      </c>
      <c r="Y41" s="82"/>
      <c r="Z41" s="6">
        <f t="shared" ref="Z41:AA41" si="866">Z42+Z43+Z44+Z45</f>
        <v>0</v>
      </c>
      <c r="AA41" s="6">
        <f t="shared" si="866"/>
        <v>0</v>
      </c>
      <c r="AB41" s="82"/>
      <c r="AC41" s="6">
        <f t="shared" ref="AC41:AD41" si="867">AC42+AC43+AC44+AC45</f>
        <v>0</v>
      </c>
      <c r="AD41" s="6">
        <f t="shared" si="867"/>
        <v>0</v>
      </c>
      <c r="AE41" s="82"/>
      <c r="AF41" s="6">
        <f t="shared" ref="AF41:AG41" si="868">AF42+AF43+AF44+AF45</f>
        <v>0</v>
      </c>
      <c r="AG41" s="6">
        <f t="shared" si="868"/>
        <v>0</v>
      </c>
      <c r="AH41" s="82"/>
      <c r="AI41" s="6">
        <f t="shared" ref="AI41:AJ41" si="869">AI42+AI43+AI44+AI45</f>
        <v>0</v>
      </c>
      <c r="AJ41" s="6">
        <f t="shared" si="869"/>
        <v>0</v>
      </c>
      <c r="AK41" s="82"/>
      <c r="AL41" s="6">
        <f t="shared" ref="AL41:AM41" si="870">AL42+AL43+AL44+AL45</f>
        <v>0</v>
      </c>
      <c r="AM41" s="6">
        <f t="shared" si="870"/>
        <v>0</v>
      </c>
      <c r="AN41" s="82"/>
      <c r="AO41" s="6">
        <f t="shared" ref="AO41:AP41" si="871">AO42+AO43+AO44+AO45</f>
        <v>0</v>
      </c>
      <c r="AP41" s="6">
        <f t="shared" si="871"/>
        <v>0</v>
      </c>
      <c r="AQ41" s="82"/>
      <c r="AR41" s="6">
        <f t="shared" ref="AR41:AS41" si="872">AR42+AR43+AR44+AR45</f>
        <v>0</v>
      </c>
      <c r="AS41" s="6">
        <f t="shared" si="872"/>
        <v>0</v>
      </c>
      <c r="AT41" s="82"/>
      <c r="AU41" s="6">
        <f t="shared" ref="AU41:AV41" si="873">AU42+AU43+AU44+AU45</f>
        <v>0</v>
      </c>
      <c r="AV41" s="6">
        <f t="shared" si="873"/>
        <v>0</v>
      </c>
      <c r="AW41" s="82"/>
      <c r="AX41" s="6">
        <f t="shared" ref="AX41:AY41" si="874">AX42+AX43+AX44+AX45</f>
        <v>0</v>
      </c>
      <c r="AY41" s="6">
        <f t="shared" si="874"/>
        <v>0</v>
      </c>
      <c r="AZ41" s="82"/>
      <c r="BA41" s="6">
        <f t="shared" ref="BA41:BB41" si="875">BA42+BA43+BA44+BA45</f>
        <v>0</v>
      </c>
      <c r="BB41" s="6">
        <f t="shared" si="875"/>
        <v>0</v>
      </c>
      <c r="BC41" s="82"/>
      <c r="BD41" s="6">
        <f t="shared" ref="BD41:BE41" si="876">BD42+BD43+BD44+BD45</f>
        <v>0</v>
      </c>
      <c r="BE41" s="6">
        <f t="shared" si="876"/>
        <v>0</v>
      </c>
      <c r="BF41" s="82"/>
      <c r="BG41" s="6">
        <f t="shared" ref="BG41:BH41" si="877">BG42+BG43+BG44+BG45</f>
        <v>0</v>
      </c>
      <c r="BH41" s="6">
        <f t="shared" si="877"/>
        <v>0</v>
      </c>
      <c r="BI41" s="82"/>
      <c r="BJ41" s="6">
        <f t="shared" ref="BJ41:BK41" si="878">BJ42+BJ43+BJ44+BJ45</f>
        <v>0</v>
      </c>
      <c r="BK41" s="6">
        <f t="shared" si="878"/>
        <v>0</v>
      </c>
      <c r="BL41" s="82"/>
      <c r="BM41" s="6">
        <f t="shared" ref="BM41:BN41" si="879">BM42+BM43+BM44+BM45</f>
        <v>0</v>
      </c>
      <c r="BN41" s="6">
        <f t="shared" si="879"/>
        <v>0</v>
      </c>
      <c r="BO41" s="82"/>
      <c r="BP41" s="6">
        <f t="shared" ref="BP41:BQ41" si="880">BP42+BP43+BP44+BP45</f>
        <v>0</v>
      </c>
      <c r="BQ41" s="6">
        <f t="shared" si="880"/>
        <v>0</v>
      </c>
      <c r="BR41" s="82"/>
      <c r="BS41" s="6">
        <f t="shared" ref="BS41:BT41" si="881">BS42+BS43+BS44+BS45</f>
        <v>0</v>
      </c>
      <c r="BT41" s="6">
        <f t="shared" si="881"/>
        <v>0</v>
      </c>
      <c r="BU41" s="82"/>
      <c r="BV41" s="6">
        <f t="shared" ref="BV41:BW41" si="882">BV42+BV43+BV44+BV45</f>
        <v>0</v>
      </c>
      <c r="BW41" s="6">
        <f t="shared" si="882"/>
        <v>0</v>
      </c>
      <c r="BX41" s="82"/>
      <c r="BY41" s="6">
        <f t="shared" ref="BY41:BZ41" si="883">BY42+BY43+BY44+BY45</f>
        <v>0</v>
      </c>
      <c r="BZ41" s="6">
        <f t="shared" si="883"/>
        <v>0</v>
      </c>
      <c r="CA41" s="82"/>
      <c r="CB41" s="6">
        <f t="shared" ref="CB41:CC41" si="884">CB42+CB43+CB44+CB45</f>
        <v>0</v>
      </c>
      <c r="CC41" s="6">
        <f t="shared" si="884"/>
        <v>0</v>
      </c>
      <c r="CD41" s="82"/>
      <c r="CE41" s="6">
        <f t="shared" ref="CE41:CF41" si="885">CE42+CE43+CE44+CE45</f>
        <v>0</v>
      </c>
      <c r="CF41" s="6">
        <f t="shared" si="885"/>
        <v>0</v>
      </c>
      <c r="CG41" s="82"/>
      <c r="CH41" s="6">
        <f t="shared" ref="CH41:CI41" si="886">CH42+CH43+CH44+CH45</f>
        <v>0</v>
      </c>
      <c r="CI41" s="6">
        <f t="shared" si="886"/>
        <v>0</v>
      </c>
      <c r="CJ41" s="82"/>
      <c r="CK41" s="6">
        <f t="shared" ref="CK41:CL41" si="887">CK42+CK43+CK44+CK45</f>
        <v>0</v>
      </c>
      <c r="CL41" s="6">
        <f t="shared" si="887"/>
        <v>0</v>
      </c>
      <c r="CM41" s="82"/>
      <c r="CN41" s="6">
        <f t="shared" ref="CN41:CO41" si="888">CN42+CN43+CN44+CN45</f>
        <v>299451</v>
      </c>
      <c r="CO41" s="6">
        <f t="shared" si="888"/>
        <v>0</v>
      </c>
      <c r="CP41" s="82"/>
      <c r="CQ41" s="6">
        <f t="shared" ref="CQ41:CR41" si="889">CQ42+CQ43+CQ44+CQ45</f>
        <v>0</v>
      </c>
      <c r="CR41" s="6">
        <f t="shared" si="889"/>
        <v>0</v>
      </c>
      <c r="CS41" s="82"/>
      <c r="CT41" s="6">
        <f t="shared" ref="CT41:CU41" si="890">CT42+CT43+CT44+CT45</f>
        <v>0</v>
      </c>
      <c r="CU41" s="6">
        <f t="shared" si="890"/>
        <v>0</v>
      </c>
      <c r="CV41" s="82"/>
      <c r="CW41" s="6">
        <f t="shared" ref="CW41:CX41" si="891">CW42+CW43+CW44+CW45</f>
        <v>0</v>
      </c>
      <c r="CX41" s="6">
        <f t="shared" si="891"/>
        <v>0</v>
      </c>
      <c r="CY41" s="82"/>
      <c r="CZ41" s="6">
        <f t="shared" ref="CZ41:DA41" si="892">CZ42+CZ43+CZ44+CZ45</f>
        <v>0</v>
      </c>
      <c r="DA41" s="6">
        <f t="shared" si="892"/>
        <v>0</v>
      </c>
      <c r="DB41" s="82"/>
      <c r="DC41" s="6">
        <f t="shared" ref="DC41:DD41" si="893">DC42+DC43+DC44+DC45</f>
        <v>0</v>
      </c>
      <c r="DD41" s="6">
        <f t="shared" si="893"/>
        <v>0</v>
      </c>
      <c r="DE41" s="82"/>
      <c r="DF41" s="6">
        <f t="shared" ref="DF41:DG41" si="894">DF42+DF43+DF44+DF45</f>
        <v>0</v>
      </c>
      <c r="DG41" s="6">
        <f t="shared" si="894"/>
        <v>0</v>
      </c>
      <c r="DH41" s="82"/>
      <c r="DI41" s="6">
        <f t="shared" ref="DI41:DJ41" si="895">DI42+DI43+DI44+DI45</f>
        <v>0</v>
      </c>
      <c r="DJ41" s="6">
        <f t="shared" si="895"/>
        <v>0</v>
      </c>
      <c r="DK41" s="82"/>
      <c r="DL41" s="6">
        <f t="shared" ref="DL41:DM41" si="896">DL42+DL43+DL44+DL45</f>
        <v>0</v>
      </c>
      <c r="DM41" s="6">
        <f t="shared" si="896"/>
        <v>0</v>
      </c>
      <c r="DN41" s="82"/>
      <c r="DO41" s="6">
        <f t="shared" ref="DO41:DP41" si="897">DO42+DO43+DO44+DO45</f>
        <v>0</v>
      </c>
      <c r="DP41" s="6">
        <f t="shared" si="897"/>
        <v>0</v>
      </c>
      <c r="DQ41" s="82"/>
      <c r="DR41" s="38">
        <f t="shared" si="169"/>
        <v>299451</v>
      </c>
      <c r="DS41" s="38">
        <f t="shared" si="169"/>
        <v>0</v>
      </c>
      <c r="DT41" s="82">
        <f t="shared" si="170"/>
        <v>0</v>
      </c>
      <c r="DU41" s="6">
        <f>DU42+DU43+DU44+DU45</f>
        <v>0</v>
      </c>
      <c r="DV41" s="6">
        <f>DV42+DV43+DV44+DV45</f>
        <v>0</v>
      </c>
      <c r="DW41" s="38"/>
      <c r="DX41" s="6">
        <f t="shared" ref="DX41:DY41" si="898">DX42+DX43+DX44+DX45</f>
        <v>0</v>
      </c>
      <c r="DY41" s="6">
        <f t="shared" si="898"/>
        <v>0</v>
      </c>
      <c r="DZ41" s="38"/>
      <c r="EA41" s="6">
        <f t="shared" ref="EA41:EB41" si="899">EA42+EA43+EA44+EA45</f>
        <v>0</v>
      </c>
      <c r="EB41" s="6">
        <f t="shared" si="899"/>
        <v>0</v>
      </c>
      <c r="EC41" s="38"/>
      <c r="ED41" s="6">
        <f t="shared" ref="ED41:EE41" si="900">ED42+ED43+ED44+ED45</f>
        <v>0</v>
      </c>
      <c r="EE41" s="6">
        <f t="shared" si="900"/>
        <v>0</v>
      </c>
      <c r="EF41" s="38"/>
      <c r="EG41" s="6">
        <f t="shared" ref="EG41:EH41" si="901">EG42+EG43+EG44+EG45</f>
        <v>0</v>
      </c>
      <c r="EH41" s="6">
        <f t="shared" si="901"/>
        <v>0</v>
      </c>
      <c r="EI41" s="38"/>
      <c r="EJ41" s="6">
        <f t="shared" ref="EJ41:EK41" si="902">EJ42+EJ43+EJ44+EJ45</f>
        <v>0</v>
      </c>
      <c r="EK41" s="6">
        <f t="shared" si="902"/>
        <v>0</v>
      </c>
      <c r="EL41" s="38"/>
      <c r="EM41" s="6">
        <f t="shared" ref="EM41:EN41" si="903">EM42+EM43+EM44+EM45</f>
        <v>0</v>
      </c>
      <c r="EN41" s="6">
        <f t="shared" si="903"/>
        <v>0</v>
      </c>
      <c r="EO41" s="38"/>
      <c r="EP41" s="6">
        <f t="shared" ref="EP41:EQ41" si="904">EP42+EP43+EP44+EP45</f>
        <v>0</v>
      </c>
      <c r="EQ41" s="6">
        <f t="shared" si="904"/>
        <v>0</v>
      </c>
      <c r="ER41" s="38"/>
      <c r="ES41" s="6">
        <f t="shared" ref="ES41:ET41" si="905">ES42+ES43+ES44+ES45</f>
        <v>0</v>
      </c>
      <c r="ET41" s="6">
        <f t="shared" si="905"/>
        <v>0</v>
      </c>
      <c r="EU41" s="38"/>
      <c r="EV41" s="38">
        <f t="shared" si="179"/>
        <v>0</v>
      </c>
      <c r="EW41" s="38">
        <f t="shared" si="179"/>
        <v>0</v>
      </c>
      <c r="EX41" s="84"/>
      <c r="EY41" s="6">
        <f t="shared" ref="EY41:EZ41" si="906">EY42+EY43+EY44+EY45</f>
        <v>0</v>
      </c>
      <c r="EZ41" s="6">
        <f t="shared" si="906"/>
        <v>0</v>
      </c>
      <c r="FA41" s="38"/>
      <c r="FB41" s="6">
        <f t="shared" ref="FB41:FC41" si="907">FB42+FB43+FB44+FB45</f>
        <v>0</v>
      </c>
      <c r="FC41" s="6">
        <f t="shared" si="907"/>
        <v>0</v>
      </c>
      <c r="FD41" s="38"/>
      <c r="FE41" s="6">
        <f t="shared" ref="FE41:FF41" si="908">FE42+FE43+FE44+FE45</f>
        <v>0</v>
      </c>
      <c r="FF41" s="6">
        <f t="shared" si="908"/>
        <v>0</v>
      </c>
      <c r="FG41" s="38"/>
      <c r="FH41" s="6">
        <f t="shared" ref="FH41:FI41" si="909">FH42+FH43+FH44+FH45</f>
        <v>0</v>
      </c>
      <c r="FI41" s="6">
        <f t="shared" si="909"/>
        <v>0</v>
      </c>
      <c r="FJ41" s="38"/>
      <c r="FK41" s="38"/>
      <c r="FL41" s="6">
        <f t="shared" ref="FL41" si="910">FL42+FL43+FL44+FL45</f>
        <v>0</v>
      </c>
      <c r="FM41" s="38"/>
      <c r="FN41" s="6">
        <f t="shared" ref="FN41:FO41" si="911">FN42+FN43+FN44+FN45</f>
        <v>0</v>
      </c>
      <c r="FO41" s="6">
        <f t="shared" si="911"/>
        <v>0</v>
      </c>
      <c r="FP41" s="38"/>
      <c r="FQ41" s="6">
        <f t="shared" ref="FQ41:FR41" si="912">FQ42+FQ43+FQ44+FQ45</f>
        <v>0</v>
      </c>
      <c r="FR41" s="6">
        <f t="shared" si="912"/>
        <v>0</v>
      </c>
      <c r="FS41" s="38"/>
      <c r="FT41" s="6">
        <f t="shared" ref="FT41:FU41" si="913">FT42+FT43+FT44+FT45</f>
        <v>0</v>
      </c>
      <c r="FU41" s="6">
        <f t="shared" si="913"/>
        <v>0</v>
      </c>
      <c r="FV41" s="38"/>
      <c r="FW41" s="6">
        <f t="shared" ref="FW41:FX41" si="914">FW42+FW43+FW44+FW45</f>
        <v>0</v>
      </c>
      <c r="FX41" s="6">
        <f t="shared" si="914"/>
        <v>0</v>
      </c>
      <c r="FY41" s="38"/>
      <c r="FZ41" s="6">
        <f t="shared" ref="FZ41:GA41" si="915">FZ42+FZ43+FZ44+FZ45</f>
        <v>0</v>
      </c>
      <c r="GA41" s="6">
        <f t="shared" si="915"/>
        <v>0</v>
      </c>
      <c r="GB41" s="38"/>
      <c r="GC41" s="6">
        <f t="shared" ref="GC41:GD41" si="916">GC42+GC43+GC44+GC45</f>
        <v>0</v>
      </c>
      <c r="GD41" s="6">
        <f t="shared" si="916"/>
        <v>0</v>
      </c>
      <c r="GE41" s="38"/>
      <c r="GF41" s="6">
        <f t="shared" ref="GF41:GG41" si="917">GF42+GF43+GF44+GF45</f>
        <v>0</v>
      </c>
      <c r="GG41" s="6">
        <f t="shared" si="917"/>
        <v>0</v>
      </c>
      <c r="GH41" s="38"/>
      <c r="GI41" s="6">
        <f t="shared" ref="GI41:GJ41" si="918">GI42+GI43+GI44+GI45</f>
        <v>0</v>
      </c>
      <c r="GJ41" s="6">
        <f t="shared" si="918"/>
        <v>0</v>
      </c>
      <c r="GK41" s="38"/>
      <c r="GL41" s="6">
        <f t="shared" ref="GL41:GM41" si="919">GL42+GL43+GL44+GL45</f>
        <v>0</v>
      </c>
      <c r="GM41" s="6">
        <f t="shared" si="919"/>
        <v>0</v>
      </c>
      <c r="GN41" s="38"/>
      <c r="GO41" s="38">
        <f t="shared" si="790"/>
        <v>0</v>
      </c>
      <c r="GP41" s="6">
        <f t="shared" ref="GP41" si="920">GP42+GP43+GP44+GP45</f>
        <v>0</v>
      </c>
      <c r="GQ41" s="38"/>
      <c r="GR41" s="6">
        <f t="shared" ref="GR41:GS41" si="921">GR42+GR43+GR44+GR45</f>
        <v>0</v>
      </c>
      <c r="GS41" s="6">
        <f t="shared" si="921"/>
        <v>0</v>
      </c>
      <c r="GT41" s="38"/>
      <c r="GU41" s="6">
        <f t="shared" ref="GU41:GV41" si="922">GU42+GU43+GU44+GU45</f>
        <v>0</v>
      </c>
      <c r="GV41" s="6">
        <f t="shared" si="922"/>
        <v>0</v>
      </c>
      <c r="GW41" s="38"/>
      <c r="GX41" s="6">
        <f t="shared" ref="GX41:GY41" si="923">GX42+GX43+GX44+GX45</f>
        <v>0</v>
      </c>
      <c r="GY41" s="6">
        <f t="shared" si="923"/>
        <v>0</v>
      </c>
      <c r="GZ41" s="38"/>
      <c r="HA41" s="38">
        <f t="shared" si="198"/>
        <v>0</v>
      </c>
      <c r="HB41" s="38">
        <f t="shared" si="198"/>
        <v>0</v>
      </c>
      <c r="HC41" s="38"/>
      <c r="HD41" s="38">
        <f t="shared" si="792"/>
        <v>299451</v>
      </c>
      <c r="HE41" s="38">
        <f t="shared" si="793"/>
        <v>0</v>
      </c>
      <c r="HF41" s="238"/>
      <c r="HH41" s="242"/>
      <c r="HI41" s="242"/>
    </row>
    <row r="42" spans="1:217" ht="15" customHeight="1" x14ac:dyDescent="0.25">
      <c r="A42" s="218" t="s">
        <v>368</v>
      </c>
      <c r="B42" s="7"/>
      <c r="C42" s="7">
        <f>SUM('címrend kötelező'!B42+'címrend önként'!B42+'címrend államig'!B42)</f>
        <v>0</v>
      </c>
      <c r="D42" s="82"/>
      <c r="E42" s="7"/>
      <c r="F42" s="7">
        <f>SUM('címrend kötelező'!C42+'címrend önként'!C42+'címrend államig'!C42)</f>
        <v>0</v>
      </c>
      <c r="G42" s="82"/>
      <c r="H42" s="7"/>
      <c r="I42" s="7">
        <f>SUM('címrend kötelező'!D42+'címrend önként'!D42+'címrend államig'!D42)</f>
        <v>0</v>
      </c>
      <c r="J42" s="82"/>
      <c r="K42" s="7"/>
      <c r="L42" s="7">
        <f>SUM('címrend kötelező'!E42+'címrend önként'!E42+'címrend államig'!E42)</f>
        <v>0</v>
      </c>
      <c r="M42" s="82"/>
      <c r="N42" s="7"/>
      <c r="O42" s="7">
        <f>SUM('címrend kötelező'!F42+'címrend önként'!F42+'címrend államig'!F42)</f>
        <v>0</v>
      </c>
      <c r="P42" s="82"/>
      <c r="Q42" s="7"/>
      <c r="R42" s="7">
        <f>SUM('címrend kötelező'!G42+'címrend önként'!G42+'címrend államig'!G42)</f>
        <v>0</v>
      </c>
      <c r="S42" s="82"/>
      <c r="T42" s="7"/>
      <c r="U42" s="7">
        <f>SUM('címrend kötelező'!H42+'címrend önként'!H42+'címrend államig'!H42)</f>
        <v>0</v>
      </c>
      <c r="V42" s="82"/>
      <c r="W42" s="7"/>
      <c r="X42" s="7">
        <f>SUM('címrend kötelező'!I42+'címrend önként'!I42+'címrend államig'!I42)</f>
        <v>0</v>
      </c>
      <c r="Y42" s="82"/>
      <c r="Z42" s="7"/>
      <c r="AA42" s="7">
        <f>SUM('címrend kötelező'!J42+'címrend önként'!J42+'címrend államig'!J42)</f>
        <v>0</v>
      </c>
      <c r="AB42" s="82"/>
      <c r="AC42" s="7"/>
      <c r="AD42" s="7">
        <f>SUM('címrend kötelező'!K42+'címrend önként'!K42+'címrend államig'!K42)</f>
        <v>0</v>
      </c>
      <c r="AE42" s="82"/>
      <c r="AF42" s="7"/>
      <c r="AG42" s="7">
        <f>SUM('címrend kötelező'!L42+'címrend önként'!L42+'címrend államig'!L42)</f>
        <v>0</v>
      </c>
      <c r="AH42" s="82"/>
      <c r="AI42" s="7"/>
      <c r="AJ42" s="7">
        <f>SUM('címrend kötelező'!M42+'címrend önként'!M42+'címrend államig'!M42)</f>
        <v>0</v>
      </c>
      <c r="AK42" s="82"/>
      <c r="AL42" s="7"/>
      <c r="AM42" s="7">
        <f>SUM('címrend kötelező'!N42+'címrend önként'!N42+'címrend államig'!N42)</f>
        <v>0</v>
      </c>
      <c r="AN42" s="82"/>
      <c r="AO42" s="7"/>
      <c r="AP42" s="7">
        <f>SUM('címrend kötelező'!O42+'címrend önként'!O42+'címrend államig'!O42)</f>
        <v>0</v>
      </c>
      <c r="AQ42" s="82"/>
      <c r="AR42" s="7"/>
      <c r="AS42" s="7">
        <f>SUM('címrend kötelező'!P42+'címrend önként'!P42+'címrend államig'!P42)</f>
        <v>0</v>
      </c>
      <c r="AT42" s="82"/>
      <c r="AU42" s="7"/>
      <c r="AV42" s="7">
        <f>SUM('címrend kötelező'!Q42+'címrend önként'!Q42+'címrend államig'!Q42)</f>
        <v>0</v>
      </c>
      <c r="AW42" s="82"/>
      <c r="AX42" s="7"/>
      <c r="AY42" s="7">
        <f>SUM('címrend kötelező'!R42+'címrend önként'!R42+'címrend államig'!R42)</f>
        <v>0</v>
      </c>
      <c r="AZ42" s="82"/>
      <c r="BA42" s="7"/>
      <c r="BB42" s="7">
        <f>SUM('címrend kötelező'!S42+'címrend önként'!S42+'címrend államig'!S42)</f>
        <v>0</v>
      </c>
      <c r="BC42" s="82"/>
      <c r="BD42" s="7"/>
      <c r="BE42" s="7">
        <f>SUM('címrend kötelező'!T42+'címrend önként'!T42+'címrend államig'!T42)</f>
        <v>0</v>
      </c>
      <c r="BF42" s="82"/>
      <c r="BG42" s="7"/>
      <c r="BH42" s="7">
        <f>SUM('címrend kötelező'!U42+'címrend önként'!U42+'címrend államig'!U42)</f>
        <v>0</v>
      </c>
      <c r="BI42" s="82"/>
      <c r="BJ42" s="7"/>
      <c r="BK42" s="7">
        <f>SUM('címrend kötelező'!V42+'címrend önként'!V42+'címrend államig'!V42)</f>
        <v>0</v>
      </c>
      <c r="BL42" s="82"/>
      <c r="BM42" s="7"/>
      <c r="BN42" s="7">
        <f>SUM('címrend kötelező'!W42+'címrend önként'!W42+'címrend államig'!W42)</f>
        <v>0</v>
      </c>
      <c r="BO42" s="82"/>
      <c r="BP42" s="7"/>
      <c r="BQ42" s="7">
        <f>SUM('címrend kötelező'!X42+'címrend önként'!X42+'címrend államig'!X42)</f>
        <v>0</v>
      </c>
      <c r="BR42" s="82"/>
      <c r="BS42" s="7"/>
      <c r="BT42" s="7">
        <f>SUM('címrend kötelező'!Y42+'címrend önként'!Y42+'címrend államig'!Y42)</f>
        <v>0</v>
      </c>
      <c r="BU42" s="82"/>
      <c r="BV42" s="7"/>
      <c r="BW42" s="7">
        <f>SUM('címrend kötelező'!Z42+'címrend önként'!Z42+'címrend államig'!Z42)</f>
        <v>0</v>
      </c>
      <c r="BX42" s="82"/>
      <c r="BY42" s="7"/>
      <c r="BZ42" s="7">
        <f>SUM('címrend kötelező'!AA42+'címrend önként'!AA42+'címrend államig'!AA42)</f>
        <v>0</v>
      </c>
      <c r="CA42" s="82"/>
      <c r="CB42" s="7"/>
      <c r="CC42" s="7">
        <f>SUM('címrend kötelező'!AB42+'címrend önként'!AB42+'címrend államig'!AB42)</f>
        <v>0</v>
      </c>
      <c r="CD42" s="82"/>
      <c r="CE42" s="7"/>
      <c r="CF42" s="7">
        <f>SUM('címrend kötelező'!AC42+'címrend önként'!AC42+'címrend államig'!AC42)</f>
        <v>0</v>
      </c>
      <c r="CG42" s="82"/>
      <c r="CH42" s="7"/>
      <c r="CI42" s="7">
        <f>SUM('címrend kötelező'!AD42+'címrend önként'!AD42+'címrend államig'!AD42)</f>
        <v>0</v>
      </c>
      <c r="CJ42" s="82"/>
      <c r="CK42" s="7"/>
      <c r="CL42" s="7">
        <f>SUM('címrend kötelező'!AE42+'címrend önként'!AE42+'címrend államig'!AE42)</f>
        <v>0</v>
      </c>
      <c r="CM42" s="82"/>
      <c r="CN42" s="7"/>
      <c r="CO42" s="7">
        <f>SUM('címrend kötelező'!AF42+'címrend önként'!AF42+'címrend államig'!AF42)</f>
        <v>0</v>
      </c>
      <c r="CP42" s="82"/>
      <c r="CQ42" s="7"/>
      <c r="CR42" s="7">
        <f>SUM('címrend kötelező'!AG42+'címrend önként'!AG42+'címrend államig'!AG42)</f>
        <v>0</v>
      </c>
      <c r="CS42" s="82"/>
      <c r="CT42" s="7"/>
      <c r="CU42" s="7">
        <f>SUM('címrend kötelező'!AH42+'címrend önként'!AH42+'címrend államig'!AH42)</f>
        <v>0</v>
      </c>
      <c r="CV42" s="82"/>
      <c r="CW42" s="7"/>
      <c r="CX42" s="7">
        <f>SUM('címrend kötelező'!AI42+'címrend önként'!AI42+'címrend államig'!AI42)</f>
        <v>0</v>
      </c>
      <c r="CY42" s="82"/>
      <c r="CZ42" s="7"/>
      <c r="DA42" s="7">
        <f>SUM('címrend kötelező'!AJ42+'címrend önként'!AJ42+'címrend államig'!AJ42)</f>
        <v>0</v>
      </c>
      <c r="DB42" s="82"/>
      <c r="DC42" s="7"/>
      <c r="DD42" s="7">
        <f>SUM('címrend kötelező'!AK42+'címrend önként'!AK42+'címrend államig'!AK42)</f>
        <v>0</v>
      </c>
      <c r="DE42" s="82"/>
      <c r="DF42" s="7"/>
      <c r="DG42" s="7">
        <f>SUM('címrend kötelező'!AL42+'címrend önként'!AL42+'címrend államig'!AL42)</f>
        <v>0</v>
      </c>
      <c r="DH42" s="82"/>
      <c r="DI42" s="7"/>
      <c r="DJ42" s="7">
        <f>SUM('címrend kötelező'!AM42+'címrend önként'!AM42+'címrend államig'!AM42)</f>
        <v>0</v>
      </c>
      <c r="DK42" s="82"/>
      <c r="DL42" s="7"/>
      <c r="DM42" s="7">
        <f>SUM('címrend kötelező'!AN42+'címrend önként'!AN42+'címrend államig'!AN42)</f>
        <v>0</v>
      </c>
      <c r="DN42" s="82"/>
      <c r="DO42" s="7"/>
      <c r="DP42" s="7">
        <f>SUM('címrend kötelező'!AO42+'címrend önként'!AO42+'címrend államig'!AO42)</f>
        <v>0</v>
      </c>
      <c r="DQ42" s="82"/>
      <c r="DR42" s="387">
        <f t="shared" si="169"/>
        <v>0</v>
      </c>
      <c r="DS42" s="387">
        <f t="shared" si="169"/>
        <v>0</v>
      </c>
      <c r="DT42" s="387"/>
      <c r="DU42" s="7"/>
      <c r="DV42" s="7">
        <f>SUM('címrend kötelező'!AQ42+'címrend önként'!AQ42+'címrend államig'!AQ42)</f>
        <v>0</v>
      </c>
      <c r="DW42" s="38"/>
      <c r="DX42" s="7"/>
      <c r="DY42" s="7">
        <f>SUM('címrend kötelező'!AR42+'címrend önként'!AR42+'címrend államig'!AR42)</f>
        <v>0</v>
      </c>
      <c r="DZ42" s="38"/>
      <c r="EA42" s="7"/>
      <c r="EB42" s="7">
        <f>SUM('címrend kötelező'!AS42+'címrend önként'!AS42+'címrend államig'!AS42)</f>
        <v>0</v>
      </c>
      <c r="EC42" s="38"/>
      <c r="ED42" s="7"/>
      <c r="EE42" s="7">
        <f>SUM('címrend kötelező'!AT42+'címrend önként'!AT42+'címrend államig'!AT42)</f>
        <v>0</v>
      </c>
      <c r="EF42" s="38"/>
      <c r="EG42" s="7"/>
      <c r="EH42" s="7">
        <f>SUM('címrend kötelező'!AU42+'címrend önként'!AU42+'címrend államig'!AU42)</f>
        <v>0</v>
      </c>
      <c r="EI42" s="38"/>
      <c r="EJ42" s="7"/>
      <c r="EK42" s="7">
        <f>SUM('címrend kötelező'!AV42+'címrend önként'!AV42+'címrend államig'!AV42)</f>
        <v>0</v>
      </c>
      <c r="EL42" s="38"/>
      <c r="EM42" s="7"/>
      <c r="EN42" s="7">
        <f>SUM('címrend kötelező'!AW42+'címrend önként'!AW42+'címrend államig'!AW42)</f>
        <v>0</v>
      </c>
      <c r="EO42" s="38"/>
      <c r="EP42" s="7"/>
      <c r="EQ42" s="7">
        <f>SUM('címrend kötelező'!AX42+'címrend önként'!AX42+'címrend államig'!AX42)</f>
        <v>0</v>
      </c>
      <c r="ER42" s="38"/>
      <c r="ES42" s="7"/>
      <c r="ET42" s="7">
        <f>SUM('címrend kötelező'!AY42+'címrend önként'!AY42+'címrend államig'!AY42)</f>
        <v>0</v>
      </c>
      <c r="EU42" s="38"/>
      <c r="EV42" s="387">
        <f t="shared" si="179"/>
        <v>0</v>
      </c>
      <c r="EW42" s="387">
        <f t="shared" si="179"/>
        <v>0</v>
      </c>
      <c r="EX42" s="84"/>
      <c r="EY42" s="7"/>
      <c r="EZ42" s="7">
        <f>'címrend kötelező'!BA42+'címrend önként'!BA42+'címrend államig'!BA42</f>
        <v>0</v>
      </c>
      <c r="FA42" s="38"/>
      <c r="FB42" s="7"/>
      <c r="FC42" s="7">
        <f>'címrend kötelező'!BB42+'címrend önként'!BB42+'címrend államig'!BB42</f>
        <v>0</v>
      </c>
      <c r="FD42" s="38"/>
      <c r="FE42" s="7"/>
      <c r="FF42" s="7">
        <f>'címrend kötelező'!BC42+'címrend önként'!BC42+'címrend államig'!BC42</f>
        <v>0</v>
      </c>
      <c r="FG42" s="38"/>
      <c r="FH42" s="7"/>
      <c r="FI42" s="7">
        <f>'címrend kötelező'!BD42+'címrend önként'!BD42+'címrend államig'!BD42</f>
        <v>0</v>
      </c>
      <c r="FJ42" s="38"/>
      <c r="FK42" s="38"/>
      <c r="FL42" s="7">
        <f>'címrend kötelező'!BE42+'címrend önként'!BE42+'címrend államig'!BE42</f>
        <v>0</v>
      </c>
      <c r="FM42" s="38"/>
      <c r="FN42" s="7"/>
      <c r="FO42" s="7">
        <f>SUM('címrend kötelező'!BF42+'címrend önként'!BF42+'címrend államig'!BF42)</f>
        <v>0</v>
      </c>
      <c r="FP42" s="38"/>
      <c r="FQ42" s="7"/>
      <c r="FR42" s="7">
        <f>SUM('címrend kötelező'!BG42+'címrend önként'!BG42+'címrend államig'!BG42)</f>
        <v>0</v>
      </c>
      <c r="FS42" s="38"/>
      <c r="FT42" s="7"/>
      <c r="FU42" s="7">
        <f>SUM('címrend kötelező'!BH42+'címrend önként'!BH42+'címrend államig'!BH42)</f>
        <v>0</v>
      </c>
      <c r="FV42" s="38"/>
      <c r="FW42" s="7"/>
      <c r="FX42" s="7">
        <f>SUM('címrend kötelező'!BI42+'címrend önként'!BI42+'címrend államig'!BI42)</f>
        <v>0</v>
      </c>
      <c r="FY42" s="38"/>
      <c r="FZ42" s="7"/>
      <c r="GA42" s="7">
        <f>SUM('címrend kötelező'!BJ42+'címrend önként'!BJ42+'címrend államig'!BJ42)</f>
        <v>0</v>
      </c>
      <c r="GB42" s="38"/>
      <c r="GC42" s="7"/>
      <c r="GD42" s="7">
        <f>SUM('címrend kötelező'!BK42+'címrend önként'!BK42+'címrend államig'!BK42)</f>
        <v>0</v>
      </c>
      <c r="GE42" s="38"/>
      <c r="GF42" s="7"/>
      <c r="GG42" s="7">
        <f>SUM('címrend kötelező'!BL42+'címrend önként'!BL42+'címrend államig'!BL42)</f>
        <v>0</v>
      </c>
      <c r="GH42" s="38"/>
      <c r="GI42" s="7"/>
      <c r="GJ42" s="7">
        <f>SUM('címrend kötelező'!BM42+'címrend önként'!BM42+'címrend államig'!BM42)</f>
        <v>0</v>
      </c>
      <c r="GK42" s="38"/>
      <c r="GL42" s="7"/>
      <c r="GM42" s="7">
        <f>SUM('címrend kötelező'!BN42+'címrend önként'!BN42+'címrend államig'!BN42)</f>
        <v>0</v>
      </c>
      <c r="GN42" s="38"/>
      <c r="GO42" s="387">
        <f t="shared" si="790"/>
        <v>0</v>
      </c>
      <c r="GP42" s="387">
        <f t="shared" ref="GP42:GP48" si="924">EZ42+FC42+FF42+FI42+FL42+FO42+FR42+FU42+FX42+GA42+GD42+GG42+GJ42+GM42</f>
        <v>0</v>
      </c>
      <c r="GQ42" s="38"/>
      <c r="GR42" s="7"/>
      <c r="GS42" s="7">
        <f>SUM('címrend kötelező'!BP42+'címrend önként'!BP42+'címrend államig'!BP42)</f>
        <v>0</v>
      </c>
      <c r="GT42" s="38"/>
      <c r="GU42" s="7"/>
      <c r="GV42" s="7">
        <f>SUM('címrend kötelező'!BQ42+'címrend önként'!BQ42+'címrend államig'!BQ42)</f>
        <v>0</v>
      </c>
      <c r="GW42" s="38"/>
      <c r="GX42" s="7"/>
      <c r="GY42" s="7">
        <f>SUM('címrend kötelező'!BR42+'címrend önként'!BR42+'címrend államig'!BR42)</f>
        <v>0</v>
      </c>
      <c r="GZ42" s="38"/>
      <c r="HA42" s="387">
        <f t="shared" si="198"/>
        <v>0</v>
      </c>
      <c r="HB42" s="387">
        <f t="shared" si="198"/>
        <v>0</v>
      </c>
      <c r="HC42" s="387"/>
      <c r="HD42" s="38">
        <f t="shared" si="792"/>
        <v>0</v>
      </c>
      <c r="HE42" s="38">
        <f t="shared" si="793"/>
        <v>0</v>
      </c>
      <c r="HF42" s="238"/>
      <c r="HH42" s="242"/>
      <c r="HI42" s="242"/>
    </row>
    <row r="43" spans="1:217" ht="24.9" customHeight="1" x14ac:dyDescent="0.25">
      <c r="A43" s="218" t="s">
        <v>369</v>
      </c>
      <c r="B43" s="7"/>
      <c r="C43" s="7">
        <f>SUM('címrend kötelező'!B43+'címrend önként'!B43+'címrend államig'!B43)</f>
        <v>0</v>
      </c>
      <c r="D43" s="82"/>
      <c r="E43" s="7"/>
      <c r="F43" s="7">
        <f>SUM('címrend kötelező'!C43+'címrend önként'!C43+'címrend államig'!C43)</f>
        <v>0</v>
      </c>
      <c r="G43" s="82"/>
      <c r="H43" s="7"/>
      <c r="I43" s="7">
        <f>SUM('címrend kötelező'!D43+'címrend önként'!D43+'címrend államig'!D43)</f>
        <v>0</v>
      </c>
      <c r="J43" s="82"/>
      <c r="K43" s="7"/>
      <c r="L43" s="7">
        <f>SUM('címrend kötelező'!E43+'címrend önként'!E43+'címrend államig'!E43)</f>
        <v>0</v>
      </c>
      <c r="M43" s="82"/>
      <c r="N43" s="7"/>
      <c r="O43" s="7">
        <f>SUM('címrend kötelező'!F43+'címrend önként'!F43+'címrend államig'!F43)</f>
        <v>0</v>
      </c>
      <c r="P43" s="82"/>
      <c r="Q43" s="7"/>
      <c r="R43" s="7">
        <f>SUM('címrend kötelező'!G43+'címrend önként'!G43+'címrend államig'!G43)</f>
        <v>0</v>
      </c>
      <c r="S43" s="82"/>
      <c r="T43" s="7"/>
      <c r="U43" s="7">
        <f>SUM('címrend kötelező'!H43+'címrend önként'!H43+'címrend államig'!H43)</f>
        <v>0</v>
      </c>
      <c r="V43" s="82"/>
      <c r="W43" s="7"/>
      <c r="X43" s="7">
        <f>SUM('címrend kötelező'!I43+'címrend önként'!I43+'címrend államig'!I43)</f>
        <v>0</v>
      </c>
      <c r="Y43" s="82"/>
      <c r="Z43" s="7"/>
      <c r="AA43" s="7">
        <f>SUM('címrend kötelező'!J43+'címrend önként'!J43+'címrend államig'!J43)</f>
        <v>0</v>
      </c>
      <c r="AB43" s="82"/>
      <c r="AC43" s="7"/>
      <c r="AD43" s="7">
        <f>SUM('címrend kötelező'!K43+'címrend önként'!K43+'címrend államig'!K43)</f>
        <v>0</v>
      </c>
      <c r="AE43" s="82"/>
      <c r="AF43" s="7"/>
      <c r="AG43" s="7">
        <f>SUM('címrend kötelező'!L43+'címrend önként'!L43+'címrend államig'!L43)</f>
        <v>0</v>
      </c>
      <c r="AH43" s="82"/>
      <c r="AI43" s="7"/>
      <c r="AJ43" s="7">
        <f>SUM('címrend kötelező'!M43+'címrend önként'!M43+'címrend államig'!M43)</f>
        <v>0</v>
      </c>
      <c r="AK43" s="82"/>
      <c r="AL43" s="7"/>
      <c r="AM43" s="7">
        <f>SUM('címrend kötelező'!N43+'címrend önként'!N43+'címrend államig'!N43)</f>
        <v>0</v>
      </c>
      <c r="AN43" s="82"/>
      <c r="AO43" s="7"/>
      <c r="AP43" s="7">
        <f>SUM('címrend kötelező'!O43+'címrend önként'!O43+'címrend államig'!O43)</f>
        <v>0</v>
      </c>
      <c r="AQ43" s="82"/>
      <c r="AR43" s="7"/>
      <c r="AS43" s="7">
        <f>SUM('címrend kötelező'!P43+'címrend önként'!P43+'címrend államig'!P43)</f>
        <v>0</v>
      </c>
      <c r="AT43" s="82"/>
      <c r="AU43" s="7"/>
      <c r="AV43" s="7">
        <f>SUM('címrend kötelező'!Q43+'címrend önként'!Q43+'címrend államig'!Q43)</f>
        <v>0</v>
      </c>
      <c r="AW43" s="82"/>
      <c r="AX43" s="7"/>
      <c r="AY43" s="7">
        <f>SUM('címrend kötelező'!R43+'címrend önként'!R43+'címrend államig'!R43)</f>
        <v>0</v>
      </c>
      <c r="AZ43" s="82"/>
      <c r="BA43" s="7"/>
      <c r="BB43" s="7">
        <f>SUM('címrend kötelező'!S43+'címrend önként'!S43+'címrend államig'!S43)</f>
        <v>0</v>
      </c>
      <c r="BC43" s="82"/>
      <c r="BD43" s="7"/>
      <c r="BE43" s="7">
        <f>SUM('címrend kötelező'!T43+'címrend önként'!T43+'címrend államig'!T43)</f>
        <v>0</v>
      </c>
      <c r="BF43" s="82"/>
      <c r="BG43" s="7"/>
      <c r="BH43" s="7">
        <f>SUM('címrend kötelező'!U43+'címrend önként'!U43+'címrend államig'!U43)</f>
        <v>0</v>
      </c>
      <c r="BI43" s="82"/>
      <c r="BJ43" s="7"/>
      <c r="BK43" s="7">
        <f>SUM('címrend kötelező'!V43+'címrend önként'!V43+'címrend államig'!V43)</f>
        <v>0</v>
      </c>
      <c r="BL43" s="82"/>
      <c r="BM43" s="7"/>
      <c r="BN43" s="7">
        <f>SUM('címrend kötelező'!W43+'címrend önként'!W43+'címrend államig'!W43)</f>
        <v>0</v>
      </c>
      <c r="BO43" s="82"/>
      <c r="BP43" s="7"/>
      <c r="BQ43" s="7">
        <f>SUM('címrend kötelező'!X43+'címrend önként'!X43+'címrend államig'!X43)</f>
        <v>0</v>
      </c>
      <c r="BR43" s="82"/>
      <c r="BS43" s="7"/>
      <c r="BT43" s="7">
        <f>SUM('címrend kötelező'!Y43+'címrend önként'!Y43+'címrend államig'!Y43)</f>
        <v>0</v>
      </c>
      <c r="BU43" s="82"/>
      <c r="BV43" s="7"/>
      <c r="BW43" s="7">
        <f>SUM('címrend kötelező'!Z43+'címrend önként'!Z43+'címrend államig'!Z43)</f>
        <v>0</v>
      </c>
      <c r="BX43" s="82"/>
      <c r="BY43" s="7"/>
      <c r="BZ43" s="7">
        <f>SUM('címrend kötelező'!AA43+'címrend önként'!AA43+'címrend államig'!AA43)</f>
        <v>0</v>
      </c>
      <c r="CA43" s="82"/>
      <c r="CB43" s="7"/>
      <c r="CC43" s="7">
        <f>SUM('címrend kötelező'!AB43+'címrend önként'!AB43+'címrend államig'!AB43)</f>
        <v>0</v>
      </c>
      <c r="CD43" s="82"/>
      <c r="CE43" s="7"/>
      <c r="CF43" s="7">
        <f>SUM('címrend kötelező'!AC43+'címrend önként'!AC43+'címrend államig'!AC43)</f>
        <v>0</v>
      </c>
      <c r="CG43" s="82"/>
      <c r="CH43" s="7"/>
      <c r="CI43" s="7">
        <f>SUM('címrend kötelező'!AD43+'címrend önként'!AD43+'címrend államig'!AD43)</f>
        <v>0</v>
      </c>
      <c r="CJ43" s="82"/>
      <c r="CK43" s="7"/>
      <c r="CL43" s="7">
        <f>SUM('címrend kötelező'!AE43+'címrend önként'!AE43+'címrend államig'!AE43)</f>
        <v>0</v>
      </c>
      <c r="CM43" s="82"/>
      <c r="CN43" s="7"/>
      <c r="CO43" s="7">
        <f>SUM('címrend kötelező'!AF43+'címrend önként'!AF43+'címrend államig'!AF43)</f>
        <v>0</v>
      </c>
      <c r="CP43" s="82"/>
      <c r="CQ43" s="7"/>
      <c r="CR43" s="7">
        <f>SUM('címrend kötelező'!AG43+'címrend önként'!AG43+'címrend államig'!AG43)</f>
        <v>0</v>
      </c>
      <c r="CS43" s="82"/>
      <c r="CT43" s="7"/>
      <c r="CU43" s="7">
        <f>SUM('címrend kötelező'!AH43+'címrend önként'!AH43+'címrend államig'!AH43)</f>
        <v>0</v>
      </c>
      <c r="CV43" s="82"/>
      <c r="CW43" s="7"/>
      <c r="CX43" s="7">
        <f>SUM('címrend kötelező'!AI43+'címrend önként'!AI43+'címrend államig'!AI43)</f>
        <v>0</v>
      </c>
      <c r="CY43" s="82"/>
      <c r="CZ43" s="7"/>
      <c r="DA43" s="7">
        <f>SUM('címrend kötelező'!AJ43+'címrend önként'!AJ43+'címrend államig'!AJ43)</f>
        <v>0</v>
      </c>
      <c r="DB43" s="82"/>
      <c r="DC43" s="7"/>
      <c r="DD43" s="7">
        <f>SUM('címrend kötelező'!AK43+'címrend önként'!AK43+'címrend államig'!AK43)</f>
        <v>0</v>
      </c>
      <c r="DE43" s="82"/>
      <c r="DF43" s="7"/>
      <c r="DG43" s="7">
        <f>SUM('címrend kötelező'!AL43+'címrend önként'!AL43+'címrend államig'!AL43)</f>
        <v>0</v>
      </c>
      <c r="DH43" s="82"/>
      <c r="DI43" s="7"/>
      <c r="DJ43" s="7">
        <f>SUM('címrend kötelező'!AM43+'címrend önként'!AM43+'címrend államig'!AM43)</f>
        <v>0</v>
      </c>
      <c r="DK43" s="82"/>
      <c r="DL43" s="7"/>
      <c r="DM43" s="7">
        <f>SUM('címrend kötelező'!AN43+'címrend önként'!AN43+'címrend államig'!AN43)</f>
        <v>0</v>
      </c>
      <c r="DN43" s="82"/>
      <c r="DO43" s="7"/>
      <c r="DP43" s="7">
        <f>SUM('címrend kötelező'!AO43+'címrend önként'!AO43+'címrend államig'!AO43)</f>
        <v>0</v>
      </c>
      <c r="DQ43" s="82"/>
      <c r="DR43" s="387">
        <f t="shared" si="169"/>
        <v>0</v>
      </c>
      <c r="DS43" s="387">
        <f t="shared" si="169"/>
        <v>0</v>
      </c>
      <c r="DT43" s="387"/>
      <c r="DU43" s="7"/>
      <c r="DV43" s="7">
        <f>SUM('címrend kötelező'!AQ43+'címrend önként'!AQ43+'címrend államig'!AQ43)</f>
        <v>0</v>
      </c>
      <c r="DW43" s="38"/>
      <c r="DX43" s="7"/>
      <c r="DY43" s="7">
        <f>SUM('címrend kötelező'!AR43+'címrend önként'!AR43+'címrend államig'!AR43)</f>
        <v>0</v>
      </c>
      <c r="DZ43" s="38"/>
      <c r="EA43" s="7"/>
      <c r="EB43" s="7">
        <f>SUM('címrend kötelező'!AS43+'címrend önként'!AS43+'címrend államig'!AS43)</f>
        <v>0</v>
      </c>
      <c r="EC43" s="38"/>
      <c r="ED43" s="7"/>
      <c r="EE43" s="7">
        <f>SUM('címrend kötelező'!AT43+'címrend önként'!AT43+'címrend államig'!AT43)</f>
        <v>0</v>
      </c>
      <c r="EF43" s="38"/>
      <c r="EG43" s="7"/>
      <c r="EH43" s="7">
        <f>SUM('címrend kötelező'!AU43+'címrend önként'!AU43+'címrend államig'!AU43)</f>
        <v>0</v>
      </c>
      <c r="EI43" s="38"/>
      <c r="EJ43" s="7"/>
      <c r="EK43" s="7">
        <f>SUM('címrend kötelező'!AV43+'címrend önként'!AV43+'címrend államig'!AV43)</f>
        <v>0</v>
      </c>
      <c r="EL43" s="38"/>
      <c r="EM43" s="7"/>
      <c r="EN43" s="7">
        <f>SUM('címrend kötelező'!AW43+'címrend önként'!AW43+'címrend államig'!AW43)</f>
        <v>0</v>
      </c>
      <c r="EO43" s="38"/>
      <c r="EP43" s="7"/>
      <c r="EQ43" s="7">
        <f>SUM('címrend kötelező'!AX43+'címrend önként'!AX43+'címrend államig'!AX43)</f>
        <v>0</v>
      </c>
      <c r="ER43" s="38"/>
      <c r="ES43" s="7"/>
      <c r="ET43" s="7">
        <f>SUM('címrend kötelező'!AY43+'címrend önként'!AY43+'címrend államig'!AY43)</f>
        <v>0</v>
      </c>
      <c r="EU43" s="38"/>
      <c r="EV43" s="387">
        <f t="shared" si="179"/>
        <v>0</v>
      </c>
      <c r="EW43" s="387">
        <f t="shared" si="179"/>
        <v>0</v>
      </c>
      <c r="EX43" s="84"/>
      <c r="EY43" s="7"/>
      <c r="EZ43" s="7">
        <f>'címrend kötelező'!BA43+'címrend önként'!BA43+'címrend államig'!BA43</f>
        <v>0</v>
      </c>
      <c r="FA43" s="38"/>
      <c r="FB43" s="7"/>
      <c r="FC43" s="7">
        <f>'címrend kötelező'!BB43+'címrend önként'!BB43+'címrend államig'!BB43</f>
        <v>0</v>
      </c>
      <c r="FD43" s="38"/>
      <c r="FE43" s="7"/>
      <c r="FF43" s="7">
        <f>'címrend kötelező'!BC43+'címrend önként'!BC43+'címrend államig'!BC43</f>
        <v>0</v>
      </c>
      <c r="FG43" s="38"/>
      <c r="FH43" s="7"/>
      <c r="FI43" s="7">
        <f>'címrend kötelező'!BD43+'címrend önként'!BD43+'címrend államig'!BD43</f>
        <v>0</v>
      </c>
      <c r="FJ43" s="38"/>
      <c r="FK43" s="38"/>
      <c r="FL43" s="7">
        <f>'címrend kötelező'!BE43+'címrend önként'!BE43+'címrend államig'!BE43</f>
        <v>0</v>
      </c>
      <c r="FM43" s="38"/>
      <c r="FN43" s="7"/>
      <c r="FO43" s="7">
        <f>SUM('címrend kötelező'!BF43+'címrend önként'!BF43+'címrend államig'!BF43)</f>
        <v>0</v>
      </c>
      <c r="FP43" s="38"/>
      <c r="FQ43" s="7"/>
      <c r="FR43" s="7">
        <f>SUM('címrend kötelező'!BG43+'címrend önként'!BG43+'címrend államig'!BG43)</f>
        <v>0</v>
      </c>
      <c r="FS43" s="38"/>
      <c r="FT43" s="7"/>
      <c r="FU43" s="7">
        <f>SUM('címrend kötelező'!BH43+'címrend önként'!BH43+'címrend államig'!BH43)</f>
        <v>0</v>
      </c>
      <c r="FV43" s="38"/>
      <c r="FW43" s="7"/>
      <c r="FX43" s="7">
        <f>SUM('címrend kötelező'!BI43+'címrend önként'!BI43+'címrend államig'!BI43)</f>
        <v>0</v>
      </c>
      <c r="FY43" s="38"/>
      <c r="FZ43" s="7"/>
      <c r="GA43" s="7">
        <f>SUM('címrend kötelező'!BJ43+'címrend önként'!BJ43+'címrend államig'!BJ43)</f>
        <v>0</v>
      </c>
      <c r="GB43" s="38"/>
      <c r="GC43" s="7"/>
      <c r="GD43" s="7">
        <f>SUM('címrend kötelező'!BK43+'címrend önként'!BK43+'címrend államig'!BK43)</f>
        <v>0</v>
      </c>
      <c r="GE43" s="38"/>
      <c r="GF43" s="7"/>
      <c r="GG43" s="7">
        <f>SUM('címrend kötelező'!BL43+'címrend önként'!BL43+'címrend államig'!BL43)</f>
        <v>0</v>
      </c>
      <c r="GH43" s="38"/>
      <c r="GI43" s="7"/>
      <c r="GJ43" s="7">
        <f>SUM('címrend kötelező'!BM43+'címrend önként'!BM43+'címrend államig'!BM43)</f>
        <v>0</v>
      </c>
      <c r="GK43" s="38"/>
      <c r="GL43" s="7"/>
      <c r="GM43" s="7">
        <f>SUM('címrend kötelező'!BN43+'címrend önként'!BN43+'címrend államig'!BN43)</f>
        <v>0</v>
      </c>
      <c r="GN43" s="38"/>
      <c r="GO43" s="387">
        <f t="shared" si="790"/>
        <v>0</v>
      </c>
      <c r="GP43" s="387">
        <f t="shared" si="924"/>
        <v>0</v>
      </c>
      <c r="GQ43" s="38"/>
      <c r="GR43" s="7"/>
      <c r="GS43" s="7">
        <f>SUM('címrend kötelező'!BP43+'címrend önként'!BP43+'címrend államig'!BP43)</f>
        <v>0</v>
      </c>
      <c r="GT43" s="38"/>
      <c r="GU43" s="7"/>
      <c r="GV43" s="7">
        <f>SUM('címrend kötelező'!BQ43+'címrend önként'!BQ43+'címrend államig'!BQ43)</f>
        <v>0</v>
      </c>
      <c r="GW43" s="38"/>
      <c r="GX43" s="7"/>
      <c r="GY43" s="7">
        <f>SUM('címrend kötelező'!BR43+'címrend önként'!BR43+'címrend államig'!BR43)</f>
        <v>0</v>
      </c>
      <c r="GZ43" s="38"/>
      <c r="HA43" s="387">
        <f t="shared" si="198"/>
        <v>0</v>
      </c>
      <c r="HB43" s="387">
        <f t="shared" si="198"/>
        <v>0</v>
      </c>
      <c r="HC43" s="387"/>
      <c r="HD43" s="38">
        <f t="shared" si="792"/>
        <v>0</v>
      </c>
      <c r="HE43" s="38">
        <f t="shared" si="793"/>
        <v>0</v>
      </c>
      <c r="HF43" s="238"/>
      <c r="HH43" s="242"/>
      <c r="HI43" s="242"/>
    </row>
    <row r="44" spans="1:217" ht="30" customHeight="1" x14ac:dyDescent="0.25">
      <c r="A44" s="218" t="s">
        <v>370</v>
      </c>
      <c r="B44" s="7"/>
      <c r="C44" s="7">
        <f>SUM('címrend kötelező'!B44+'címrend önként'!B44+'címrend államig'!B44)</f>
        <v>0</v>
      </c>
      <c r="D44" s="82"/>
      <c r="E44" s="7"/>
      <c r="F44" s="7">
        <f>SUM('címrend kötelező'!C44+'címrend önként'!C44+'címrend államig'!C44)</f>
        <v>0</v>
      </c>
      <c r="G44" s="82"/>
      <c r="H44" s="7"/>
      <c r="I44" s="7">
        <f>SUM('címrend kötelező'!D44+'címrend önként'!D44+'címrend államig'!D44)</f>
        <v>0</v>
      </c>
      <c r="J44" s="82"/>
      <c r="K44" s="7"/>
      <c r="L44" s="7">
        <f>SUM('címrend kötelező'!E44+'címrend önként'!E44+'címrend államig'!E44)</f>
        <v>0</v>
      </c>
      <c r="M44" s="82"/>
      <c r="N44" s="7"/>
      <c r="O44" s="7">
        <f>SUM('címrend kötelező'!F44+'címrend önként'!F44+'címrend államig'!F44)</f>
        <v>0</v>
      </c>
      <c r="P44" s="82"/>
      <c r="Q44" s="7"/>
      <c r="R44" s="7">
        <f>SUM('címrend kötelező'!G44+'címrend önként'!G44+'címrend államig'!G44)</f>
        <v>0</v>
      </c>
      <c r="S44" s="82"/>
      <c r="T44" s="7"/>
      <c r="U44" s="7">
        <f>SUM('címrend kötelező'!H44+'címrend önként'!H44+'címrend államig'!H44)</f>
        <v>0</v>
      </c>
      <c r="V44" s="82"/>
      <c r="W44" s="7"/>
      <c r="X44" s="7">
        <f>SUM('címrend kötelező'!I44+'címrend önként'!I44+'címrend államig'!I44)</f>
        <v>0</v>
      </c>
      <c r="Y44" s="82"/>
      <c r="Z44" s="7"/>
      <c r="AA44" s="7">
        <f>SUM('címrend kötelező'!J44+'címrend önként'!J44+'címrend államig'!J44)</f>
        <v>0</v>
      </c>
      <c r="AB44" s="82"/>
      <c r="AC44" s="7"/>
      <c r="AD44" s="7">
        <f>SUM('címrend kötelező'!K44+'címrend önként'!K44+'címrend államig'!K44)</f>
        <v>0</v>
      </c>
      <c r="AE44" s="82"/>
      <c r="AF44" s="7"/>
      <c r="AG44" s="7">
        <f>SUM('címrend kötelező'!L44+'címrend önként'!L44+'címrend államig'!L44)</f>
        <v>0</v>
      </c>
      <c r="AH44" s="82"/>
      <c r="AI44" s="7"/>
      <c r="AJ44" s="7">
        <f>SUM('címrend kötelező'!M44+'címrend önként'!M44+'címrend államig'!M44)</f>
        <v>0</v>
      </c>
      <c r="AK44" s="82"/>
      <c r="AL44" s="7"/>
      <c r="AM44" s="7">
        <f>SUM('címrend kötelező'!N44+'címrend önként'!N44+'címrend államig'!N44)</f>
        <v>0</v>
      </c>
      <c r="AN44" s="82"/>
      <c r="AO44" s="7"/>
      <c r="AP44" s="7">
        <f>SUM('címrend kötelező'!O44+'címrend önként'!O44+'címrend államig'!O44)</f>
        <v>0</v>
      </c>
      <c r="AQ44" s="82"/>
      <c r="AR44" s="7"/>
      <c r="AS44" s="7">
        <f>SUM('címrend kötelező'!P44+'címrend önként'!P44+'címrend államig'!P44)</f>
        <v>0</v>
      </c>
      <c r="AT44" s="82"/>
      <c r="AU44" s="7"/>
      <c r="AV44" s="7">
        <f>SUM('címrend kötelező'!Q44+'címrend önként'!Q44+'címrend államig'!Q44)</f>
        <v>0</v>
      </c>
      <c r="AW44" s="82"/>
      <c r="AX44" s="7"/>
      <c r="AY44" s="7">
        <f>SUM('címrend kötelező'!R44+'címrend önként'!R44+'címrend államig'!R44)</f>
        <v>0</v>
      </c>
      <c r="AZ44" s="82"/>
      <c r="BA44" s="7"/>
      <c r="BB44" s="7">
        <f>SUM('címrend kötelező'!S44+'címrend önként'!S44+'címrend államig'!S44)</f>
        <v>0</v>
      </c>
      <c r="BC44" s="82"/>
      <c r="BD44" s="7"/>
      <c r="BE44" s="7">
        <f>SUM('címrend kötelező'!T44+'címrend önként'!T44+'címrend államig'!T44)</f>
        <v>0</v>
      </c>
      <c r="BF44" s="82"/>
      <c r="BG44" s="7"/>
      <c r="BH44" s="7">
        <f>SUM('címrend kötelező'!U44+'címrend önként'!U44+'címrend államig'!U44)</f>
        <v>0</v>
      </c>
      <c r="BI44" s="82"/>
      <c r="BJ44" s="7"/>
      <c r="BK44" s="7">
        <f>SUM('címrend kötelező'!V44+'címrend önként'!V44+'címrend államig'!V44)</f>
        <v>0</v>
      </c>
      <c r="BL44" s="82"/>
      <c r="BM44" s="7"/>
      <c r="BN44" s="7">
        <f>SUM('címrend kötelező'!W44+'címrend önként'!W44+'címrend államig'!W44)</f>
        <v>0</v>
      </c>
      <c r="BO44" s="82"/>
      <c r="BP44" s="7"/>
      <c r="BQ44" s="7">
        <f>SUM('címrend kötelező'!X44+'címrend önként'!X44+'címrend államig'!X44)</f>
        <v>0</v>
      </c>
      <c r="BR44" s="82"/>
      <c r="BS44" s="7"/>
      <c r="BT44" s="7">
        <f>SUM('címrend kötelező'!Y44+'címrend önként'!Y44+'címrend államig'!Y44)</f>
        <v>0</v>
      </c>
      <c r="BU44" s="82"/>
      <c r="BV44" s="7"/>
      <c r="BW44" s="7">
        <f>SUM('címrend kötelező'!Z44+'címrend önként'!Z44+'címrend államig'!Z44)</f>
        <v>0</v>
      </c>
      <c r="BX44" s="82"/>
      <c r="BY44" s="7"/>
      <c r="BZ44" s="7">
        <f>SUM('címrend kötelező'!AA44+'címrend önként'!AA44+'címrend államig'!AA44)</f>
        <v>0</v>
      </c>
      <c r="CA44" s="82"/>
      <c r="CB44" s="7"/>
      <c r="CC44" s="7">
        <f>SUM('címrend kötelező'!AB44+'címrend önként'!AB44+'címrend államig'!AB44)</f>
        <v>0</v>
      </c>
      <c r="CD44" s="82"/>
      <c r="CE44" s="7"/>
      <c r="CF44" s="7">
        <f>SUM('címrend kötelező'!AC44+'címrend önként'!AC44+'címrend államig'!AC44)</f>
        <v>0</v>
      </c>
      <c r="CG44" s="82"/>
      <c r="CH44" s="7"/>
      <c r="CI44" s="7">
        <f>SUM('címrend kötelező'!AD44+'címrend önként'!AD44+'címrend államig'!AD44)</f>
        <v>0</v>
      </c>
      <c r="CJ44" s="82"/>
      <c r="CK44" s="7"/>
      <c r="CL44" s="7">
        <f>SUM('címrend kötelező'!AE44+'címrend önként'!AE44+'címrend államig'!AE44)</f>
        <v>0</v>
      </c>
      <c r="CM44" s="82"/>
      <c r="CN44" s="7"/>
      <c r="CO44" s="7">
        <f>SUM('címrend kötelező'!AF44+'címrend önként'!AF44+'címrend államig'!AF44)</f>
        <v>0</v>
      </c>
      <c r="CP44" s="82"/>
      <c r="CQ44" s="7"/>
      <c r="CR44" s="7">
        <f>SUM('címrend kötelező'!AG44+'címrend önként'!AG44+'címrend államig'!AG44)</f>
        <v>0</v>
      </c>
      <c r="CS44" s="82"/>
      <c r="CT44" s="7"/>
      <c r="CU44" s="7">
        <f>SUM('címrend kötelező'!AH44+'címrend önként'!AH44+'címrend államig'!AH44)</f>
        <v>0</v>
      </c>
      <c r="CV44" s="82"/>
      <c r="CW44" s="7"/>
      <c r="CX44" s="7">
        <f>SUM('címrend kötelező'!AI44+'címrend önként'!AI44+'címrend államig'!AI44)</f>
        <v>0</v>
      </c>
      <c r="CY44" s="82"/>
      <c r="CZ44" s="7"/>
      <c r="DA44" s="7">
        <f>SUM('címrend kötelező'!AJ44+'címrend önként'!AJ44+'címrend államig'!AJ44)</f>
        <v>0</v>
      </c>
      <c r="DB44" s="82"/>
      <c r="DC44" s="7"/>
      <c r="DD44" s="7">
        <f>SUM('címrend kötelező'!AK44+'címrend önként'!AK44+'címrend államig'!AK44)</f>
        <v>0</v>
      </c>
      <c r="DE44" s="82"/>
      <c r="DF44" s="7"/>
      <c r="DG44" s="7">
        <f>SUM('címrend kötelező'!AL44+'címrend önként'!AL44+'címrend államig'!AL44)</f>
        <v>0</v>
      </c>
      <c r="DH44" s="82"/>
      <c r="DI44" s="7"/>
      <c r="DJ44" s="7">
        <f>SUM('címrend kötelező'!AM44+'címrend önként'!AM44+'címrend államig'!AM44)</f>
        <v>0</v>
      </c>
      <c r="DK44" s="82"/>
      <c r="DL44" s="7"/>
      <c r="DM44" s="7">
        <f>SUM('címrend kötelező'!AN44+'címrend önként'!AN44+'címrend államig'!AN44)</f>
        <v>0</v>
      </c>
      <c r="DN44" s="82"/>
      <c r="DO44" s="7"/>
      <c r="DP44" s="7">
        <f>SUM('címrend kötelező'!AO44+'címrend önként'!AO44+'címrend államig'!AO44)</f>
        <v>0</v>
      </c>
      <c r="DQ44" s="82"/>
      <c r="DR44" s="387">
        <f t="shared" si="169"/>
        <v>0</v>
      </c>
      <c r="DS44" s="387">
        <f t="shared" si="169"/>
        <v>0</v>
      </c>
      <c r="DT44" s="387"/>
      <c r="DU44" s="7"/>
      <c r="DV44" s="7">
        <f>SUM('címrend kötelező'!AQ44+'címrend önként'!AQ44+'címrend államig'!AQ44)</f>
        <v>0</v>
      </c>
      <c r="DW44" s="38"/>
      <c r="DX44" s="7"/>
      <c r="DY44" s="7">
        <f>SUM('címrend kötelező'!AR44+'címrend önként'!AR44+'címrend államig'!AR44)</f>
        <v>0</v>
      </c>
      <c r="DZ44" s="38"/>
      <c r="EA44" s="7"/>
      <c r="EB44" s="7">
        <f>SUM('címrend kötelező'!AS44+'címrend önként'!AS44+'címrend államig'!AS44)</f>
        <v>0</v>
      </c>
      <c r="EC44" s="38"/>
      <c r="ED44" s="7"/>
      <c r="EE44" s="7">
        <f>SUM('címrend kötelező'!AT44+'címrend önként'!AT44+'címrend államig'!AT44)</f>
        <v>0</v>
      </c>
      <c r="EF44" s="38"/>
      <c r="EG44" s="7"/>
      <c r="EH44" s="7">
        <f>SUM('címrend kötelező'!AU44+'címrend önként'!AU44+'címrend államig'!AU44)</f>
        <v>0</v>
      </c>
      <c r="EI44" s="38"/>
      <c r="EJ44" s="7"/>
      <c r="EK44" s="7">
        <f>SUM('címrend kötelező'!AV44+'címrend önként'!AV44+'címrend államig'!AV44)</f>
        <v>0</v>
      </c>
      <c r="EL44" s="38"/>
      <c r="EM44" s="7"/>
      <c r="EN44" s="7">
        <f>SUM('címrend kötelező'!AW44+'címrend önként'!AW44+'címrend államig'!AW44)</f>
        <v>0</v>
      </c>
      <c r="EO44" s="38"/>
      <c r="EP44" s="7"/>
      <c r="EQ44" s="7">
        <f>SUM('címrend kötelező'!AX44+'címrend önként'!AX44+'címrend államig'!AX44)</f>
        <v>0</v>
      </c>
      <c r="ER44" s="38"/>
      <c r="ES44" s="7"/>
      <c r="ET44" s="7">
        <f>SUM('címrend kötelező'!AY44+'címrend önként'!AY44+'címrend államig'!AY44)</f>
        <v>0</v>
      </c>
      <c r="EU44" s="38"/>
      <c r="EV44" s="387">
        <f t="shared" si="179"/>
        <v>0</v>
      </c>
      <c r="EW44" s="387">
        <f t="shared" si="179"/>
        <v>0</v>
      </c>
      <c r="EX44" s="84"/>
      <c r="EY44" s="7"/>
      <c r="EZ44" s="7">
        <f>'címrend kötelező'!BA44+'címrend önként'!BA44+'címrend államig'!BA44</f>
        <v>0</v>
      </c>
      <c r="FA44" s="38"/>
      <c r="FB44" s="7"/>
      <c r="FC44" s="7">
        <f>'címrend kötelező'!BB44+'címrend önként'!BB44+'címrend államig'!BB44</f>
        <v>0</v>
      </c>
      <c r="FD44" s="38"/>
      <c r="FE44" s="7"/>
      <c r="FF44" s="7">
        <f>'címrend kötelező'!BC44+'címrend önként'!BC44+'címrend államig'!BC44</f>
        <v>0</v>
      </c>
      <c r="FG44" s="38"/>
      <c r="FH44" s="7"/>
      <c r="FI44" s="7">
        <f>'címrend kötelező'!BD44+'címrend önként'!BD44+'címrend államig'!BD44</f>
        <v>0</v>
      </c>
      <c r="FJ44" s="38"/>
      <c r="FK44" s="38"/>
      <c r="FL44" s="7">
        <f>'címrend kötelező'!BE44+'címrend önként'!BE44+'címrend államig'!BE44</f>
        <v>0</v>
      </c>
      <c r="FM44" s="38"/>
      <c r="FN44" s="7"/>
      <c r="FO44" s="7">
        <f>SUM('címrend kötelező'!BF44+'címrend önként'!BF44+'címrend államig'!BF44)</f>
        <v>0</v>
      </c>
      <c r="FP44" s="38"/>
      <c r="FQ44" s="7"/>
      <c r="FR44" s="7">
        <f>SUM('címrend kötelező'!BG44+'címrend önként'!BG44+'címrend államig'!BG44)</f>
        <v>0</v>
      </c>
      <c r="FS44" s="38"/>
      <c r="FT44" s="7"/>
      <c r="FU44" s="7">
        <f>SUM('címrend kötelező'!BH44+'címrend önként'!BH44+'címrend államig'!BH44)</f>
        <v>0</v>
      </c>
      <c r="FV44" s="38"/>
      <c r="FW44" s="7"/>
      <c r="FX44" s="7">
        <f>SUM('címrend kötelező'!BI44+'címrend önként'!BI44+'címrend államig'!BI44)</f>
        <v>0</v>
      </c>
      <c r="FY44" s="38"/>
      <c r="FZ44" s="7"/>
      <c r="GA44" s="7">
        <f>SUM('címrend kötelező'!BJ44+'címrend önként'!BJ44+'címrend államig'!BJ44)</f>
        <v>0</v>
      </c>
      <c r="GB44" s="38"/>
      <c r="GC44" s="7"/>
      <c r="GD44" s="7">
        <f>SUM('címrend kötelező'!BK44+'címrend önként'!BK44+'címrend államig'!BK44)</f>
        <v>0</v>
      </c>
      <c r="GE44" s="38"/>
      <c r="GF44" s="7"/>
      <c r="GG44" s="7">
        <f>SUM('címrend kötelező'!BL44+'címrend önként'!BL44+'címrend államig'!BL44)</f>
        <v>0</v>
      </c>
      <c r="GH44" s="38"/>
      <c r="GI44" s="7"/>
      <c r="GJ44" s="7">
        <f>SUM('címrend kötelező'!BM44+'címrend önként'!BM44+'címrend államig'!BM44)</f>
        <v>0</v>
      </c>
      <c r="GK44" s="38"/>
      <c r="GL44" s="7"/>
      <c r="GM44" s="7">
        <f>SUM('címrend kötelező'!BN44+'címrend önként'!BN44+'címrend államig'!BN44)</f>
        <v>0</v>
      </c>
      <c r="GN44" s="38"/>
      <c r="GO44" s="387">
        <f t="shared" si="790"/>
        <v>0</v>
      </c>
      <c r="GP44" s="387">
        <f t="shared" si="924"/>
        <v>0</v>
      </c>
      <c r="GQ44" s="38"/>
      <c r="GR44" s="7"/>
      <c r="GS44" s="7">
        <f>SUM('címrend kötelező'!BP44+'címrend önként'!BP44+'címrend államig'!BP44)</f>
        <v>0</v>
      </c>
      <c r="GT44" s="38"/>
      <c r="GU44" s="7"/>
      <c r="GV44" s="7">
        <f>SUM('címrend kötelező'!BQ44+'címrend önként'!BQ44+'címrend államig'!BQ44)</f>
        <v>0</v>
      </c>
      <c r="GW44" s="38"/>
      <c r="GX44" s="7"/>
      <c r="GY44" s="7">
        <f>SUM('címrend kötelező'!BR44+'címrend önként'!BR44+'címrend államig'!BR44)</f>
        <v>0</v>
      </c>
      <c r="GZ44" s="38"/>
      <c r="HA44" s="387">
        <f t="shared" si="198"/>
        <v>0</v>
      </c>
      <c r="HB44" s="387">
        <f t="shared" si="198"/>
        <v>0</v>
      </c>
      <c r="HC44" s="387"/>
      <c r="HD44" s="38">
        <f t="shared" si="792"/>
        <v>0</v>
      </c>
      <c r="HE44" s="38">
        <f t="shared" si="793"/>
        <v>0</v>
      </c>
      <c r="HF44" s="238"/>
      <c r="HH44" s="242"/>
      <c r="HI44" s="242"/>
    </row>
    <row r="45" spans="1:217" ht="15" customHeight="1" x14ac:dyDescent="0.25">
      <c r="A45" s="218" t="s">
        <v>371</v>
      </c>
      <c r="B45" s="7"/>
      <c r="C45" s="7">
        <f>SUM('címrend kötelező'!B45+'címrend önként'!B45+'címrend államig'!B45)</f>
        <v>0</v>
      </c>
      <c r="D45" s="82"/>
      <c r="E45" s="7"/>
      <c r="F45" s="7">
        <f>SUM('címrend kötelező'!C45+'címrend önként'!C45+'címrend államig'!C45)</f>
        <v>0</v>
      </c>
      <c r="G45" s="82"/>
      <c r="H45" s="7"/>
      <c r="I45" s="7">
        <f>SUM('címrend kötelező'!D45+'címrend önként'!D45+'címrend államig'!D45)</f>
        <v>0</v>
      </c>
      <c r="J45" s="82"/>
      <c r="K45" s="7"/>
      <c r="L45" s="7">
        <f>SUM('címrend kötelező'!E45+'címrend önként'!E45+'címrend államig'!E45)</f>
        <v>0</v>
      </c>
      <c r="M45" s="82"/>
      <c r="N45" s="7"/>
      <c r="O45" s="7">
        <f>SUM('címrend kötelező'!F45+'címrend önként'!F45+'címrend államig'!F45)</f>
        <v>0</v>
      </c>
      <c r="P45" s="82"/>
      <c r="Q45" s="7"/>
      <c r="R45" s="7">
        <f>SUM('címrend kötelező'!G45+'címrend önként'!G45+'címrend államig'!G45)</f>
        <v>0</v>
      </c>
      <c r="S45" s="82"/>
      <c r="T45" s="7"/>
      <c r="U45" s="7">
        <f>SUM('címrend kötelező'!H45+'címrend önként'!H45+'címrend államig'!H45)</f>
        <v>0</v>
      </c>
      <c r="V45" s="82"/>
      <c r="W45" s="7"/>
      <c r="X45" s="7">
        <f>SUM('címrend kötelező'!I45+'címrend önként'!I45+'címrend államig'!I45)</f>
        <v>0</v>
      </c>
      <c r="Y45" s="82"/>
      <c r="Z45" s="7"/>
      <c r="AA45" s="7">
        <f>SUM('címrend kötelező'!J45+'címrend önként'!J45+'címrend államig'!J45)</f>
        <v>0</v>
      </c>
      <c r="AB45" s="82"/>
      <c r="AC45" s="7"/>
      <c r="AD45" s="7">
        <f>SUM('címrend kötelező'!K45+'címrend önként'!K45+'címrend államig'!K45)</f>
        <v>0</v>
      </c>
      <c r="AE45" s="82"/>
      <c r="AF45" s="7"/>
      <c r="AG45" s="7">
        <f>SUM('címrend kötelező'!L45+'címrend önként'!L45+'címrend államig'!L45)</f>
        <v>0</v>
      </c>
      <c r="AH45" s="82"/>
      <c r="AI45" s="7"/>
      <c r="AJ45" s="7">
        <f>SUM('címrend kötelező'!M45+'címrend önként'!M45+'címrend államig'!M45)</f>
        <v>0</v>
      </c>
      <c r="AK45" s="82"/>
      <c r="AL45" s="7"/>
      <c r="AM45" s="7">
        <f>SUM('címrend kötelező'!N45+'címrend önként'!N45+'címrend államig'!N45)</f>
        <v>0</v>
      </c>
      <c r="AN45" s="82"/>
      <c r="AO45" s="7"/>
      <c r="AP45" s="7">
        <f>SUM('címrend kötelező'!O45+'címrend önként'!O45+'címrend államig'!O45)</f>
        <v>0</v>
      </c>
      <c r="AQ45" s="82"/>
      <c r="AR45" s="7"/>
      <c r="AS45" s="7">
        <f>SUM('címrend kötelező'!P45+'címrend önként'!P45+'címrend államig'!P45)</f>
        <v>0</v>
      </c>
      <c r="AT45" s="82"/>
      <c r="AU45" s="7"/>
      <c r="AV45" s="7">
        <f>SUM('címrend kötelező'!Q45+'címrend önként'!Q45+'címrend államig'!Q45)</f>
        <v>0</v>
      </c>
      <c r="AW45" s="82"/>
      <c r="AX45" s="7"/>
      <c r="AY45" s="7">
        <f>SUM('címrend kötelező'!R45+'címrend önként'!R45+'címrend államig'!R45)</f>
        <v>0</v>
      </c>
      <c r="AZ45" s="82"/>
      <c r="BA45" s="7"/>
      <c r="BB45" s="7">
        <f>SUM('címrend kötelező'!S45+'címrend önként'!S45+'címrend államig'!S45)</f>
        <v>0</v>
      </c>
      <c r="BC45" s="82"/>
      <c r="BD45" s="7"/>
      <c r="BE45" s="7">
        <f>SUM('címrend kötelező'!T45+'címrend önként'!T45+'címrend államig'!T45)</f>
        <v>0</v>
      </c>
      <c r="BF45" s="82"/>
      <c r="BG45" s="7"/>
      <c r="BH45" s="7">
        <f>SUM('címrend kötelező'!U45+'címrend önként'!U45+'címrend államig'!U45)</f>
        <v>0</v>
      </c>
      <c r="BI45" s="82"/>
      <c r="BJ45" s="7"/>
      <c r="BK45" s="7">
        <f>SUM('címrend kötelező'!V45+'címrend önként'!V45+'címrend államig'!V45)</f>
        <v>0</v>
      </c>
      <c r="BL45" s="82"/>
      <c r="BM45" s="7"/>
      <c r="BN45" s="7">
        <f>SUM('címrend kötelező'!W45+'címrend önként'!W45+'címrend államig'!W45)</f>
        <v>0</v>
      </c>
      <c r="BO45" s="82"/>
      <c r="BP45" s="7"/>
      <c r="BQ45" s="7">
        <f>SUM('címrend kötelező'!X45+'címrend önként'!X45+'címrend államig'!X45)</f>
        <v>0</v>
      </c>
      <c r="BR45" s="82"/>
      <c r="BS45" s="7"/>
      <c r="BT45" s="7">
        <f>SUM('címrend kötelező'!Y45+'címrend önként'!Y45+'címrend államig'!Y45)</f>
        <v>0</v>
      </c>
      <c r="BU45" s="82"/>
      <c r="BV45" s="7"/>
      <c r="BW45" s="7">
        <f>SUM('címrend kötelező'!Z45+'címrend önként'!Z45+'címrend államig'!Z45)</f>
        <v>0</v>
      </c>
      <c r="BX45" s="82"/>
      <c r="BY45" s="7"/>
      <c r="BZ45" s="7">
        <f>SUM('címrend kötelező'!AA45+'címrend önként'!AA45+'címrend államig'!AA45)</f>
        <v>0</v>
      </c>
      <c r="CA45" s="82"/>
      <c r="CB45" s="7"/>
      <c r="CC45" s="7">
        <f>SUM('címrend kötelező'!AB45+'címrend önként'!AB45+'címrend államig'!AB45)</f>
        <v>0</v>
      </c>
      <c r="CD45" s="82"/>
      <c r="CE45" s="7"/>
      <c r="CF45" s="7">
        <f>SUM('címrend kötelező'!AC45+'címrend önként'!AC45+'címrend államig'!AC45)</f>
        <v>0</v>
      </c>
      <c r="CG45" s="82"/>
      <c r="CH45" s="7"/>
      <c r="CI45" s="7">
        <f>SUM('címrend kötelező'!AD45+'címrend önként'!AD45+'címrend államig'!AD45)</f>
        <v>0</v>
      </c>
      <c r="CJ45" s="82"/>
      <c r="CK45" s="7"/>
      <c r="CL45" s="7">
        <f>SUM('címrend kötelező'!AE45+'címrend önként'!AE45+'címrend államig'!AE45)</f>
        <v>0</v>
      </c>
      <c r="CM45" s="82"/>
      <c r="CN45" s="7">
        <v>299451</v>
      </c>
      <c r="CO45" s="7">
        <f>SUM('címrend kötelező'!AF45+'címrend önként'!AF45+'címrend államig'!AF45)</f>
        <v>0</v>
      </c>
      <c r="CP45" s="82"/>
      <c r="CQ45" s="7"/>
      <c r="CR45" s="7">
        <f>SUM('címrend kötelező'!AG45+'címrend önként'!AG45+'címrend államig'!AG45)</f>
        <v>0</v>
      </c>
      <c r="CS45" s="82"/>
      <c r="CT45" s="7"/>
      <c r="CU45" s="7">
        <f>SUM('címrend kötelező'!AH45+'címrend önként'!AH45+'címrend államig'!AH45)</f>
        <v>0</v>
      </c>
      <c r="CV45" s="82"/>
      <c r="CW45" s="7"/>
      <c r="CX45" s="7">
        <f>SUM('címrend kötelező'!AI45+'címrend önként'!AI45+'címrend államig'!AI45)</f>
        <v>0</v>
      </c>
      <c r="CY45" s="82"/>
      <c r="CZ45" s="7"/>
      <c r="DA45" s="7">
        <f>SUM('címrend kötelező'!AJ45+'címrend önként'!AJ45+'címrend államig'!AJ45)</f>
        <v>0</v>
      </c>
      <c r="DB45" s="82"/>
      <c r="DC45" s="7"/>
      <c r="DD45" s="7">
        <f>SUM('címrend kötelező'!AK45+'címrend önként'!AK45+'címrend államig'!AK45)</f>
        <v>0</v>
      </c>
      <c r="DE45" s="82"/>
      <c r="DF45" s="7"/>
      <c r="DG45" s="7">
        <f>SUM('címrend kötelező'!AL45+'címrend önként'!AL45+'címrend államig'!AL45)</f>
        <v>0</v>
      </c>
      <c r="DH45" s="82"/>
      <c r="DI45" s="7"/>
      <c r="DJ45" s="7">
        <f>SUM('címrend kötelező'!AM45+'címrend önként'!AM45+'címrend államig'!AM45)</f>
        <v>0</v>
      </c>
      <c r="DK45" s="82"/>
      <c r="DL45" s="7"/>
      <c r="DM45" s="7">
        <f>SUM('címrend kötelező'!AN45+'címrend önként'!AN45+'címrend államig'!AN45)</f>
        <v>0</v>
      </c>
      <c r="DN45" s="82"/>
      <c r="DO45" s="7"/>
      <c r="DP45" s="7">
        <f>SUM('címrend kötelező'!AO45+'címrend önként'!AO45+'címrend államig'!AO45)</f>
        <v>0</v>
      </c>
      <c r="DQ45" s="82"/>
      <c r="DR45" s="387">
        <f t="shared" si="169"/>
        <v>299451</v>
      </c>
      <c r="DS45" s="387">
        <f t="shared" si="169"/>
        <v>0</v>
      </c>
      <c r="DT45" s="87">
        <f t="shared" si="170"/>
        <v>0</v>
      </c>
      <c r="DU45" s="7"/>
      <c r="DV45" s="7">
        <f>SUM('címrend kötelező'!AQ45+'címrend önként'!AQ45+'címrend államig'!AQ45)</f>
        <v>0</v>
      </c>
      <c r="DW45" s="38"/>
      <c r="DX45" s="7"/>
      <c r="DY45" s="7">
        <f>SUM('címrend kötelező'!AR45+'címrend önként'!AR45+'címrend államig'!AR45)</f>
        <v>0</v>
      </c>
      <c r="DZ45" s="38"/>
      <c r="EA45" s="7"/>
      <c r="EB45" s="7">
        <f>SUM('címrend kötelező'!AS45+'címrend önként'!AS45+'címrend államig'!AS45)</f>
        <v>0</v>
      </c>
      <c r="EC45" s="38"/>
      <c r="ED45" s="7"/>
      <c r="EE45" s="7">
        <f>SUM('címrend kötelező'!AT45+'címrend önként'!AT45+'címrend államig'!AT45)</f>
        <v>0</v>
      </c>
      <c r="EF45" s="38"/>
      <c r="EG45" s="7"/>
      <c r="EH45" s="7">
        <f>SUM('címrend kötelező'!AU45+'címrend önként'!AU45+'címrend államig'!AU45)</f>
        <v>0</v>
      </c>
      <c r="EI45" s="38"/>
      <c r="EJ45" s="7"/>
      <c r="EK45" s="7">
        <f>SUM('címrend kötelező'!AV45+'címrend önként'!AV45+'címrend államig'!AV45)</f>
        <v>0</v>
      </c>
      <c r="EL45" s="38"/>
      <c r="EM45" s="7"/>
      <c r="EN45" s="7">
        <f>SUM('címrend kötelező'!AW45+'címrend önként'!AW45+'címrend államig'!AW45)</f>
        <v>0</v>
      </c>
      <c r="EO45" s="38"/>
      <c r="EP45" s="7"/>
      <c r="EQ45" s="7">
        <f>SUM('címrend kötelező'!AX45+'címrend önként'!AX45+'címrend államig'!AX45)</f>
        <v>0</v>
      </c>
      <c r="ER45" s="38"/>
      <c r="ES45" s="7"/>
      <c r="ET45" s="7">
        <f>SUM('címrend kötelező'!AY45+'címrend önként'!AY45+'címrend államig'!AY45)</f>
        <v>0</v>
      </c>
      <c r="EU45" s="38"/>
      <c r="EV45" s="387">
        <f t="shared" si="179"/>
        <v>0</v>
      </c>
      <c r="EW45" s="387">
        <f t="shared" si="179"/>
        <v>0</v>
      </c>
      <c r="EX45" s="84"/>
      <c r="EY45" s="7"/>
      <c r="EZ45" s="7">
        <f>'címrend kötelező'!BA45+'címrend önként'!BA45+'címrend államig'!BA45</f>
        <v>0</v>
      </c>
      <c r="FA45" s="38"/>
      <c r="FB45" s="7"/>
      <c r="FC45" s="7">
        <f>'címrend kötelező'!BB45+'címrend önként'!BB45+'címrend államig'!BB45</f>
        <v>0</v>
      </c>
      <c r="FD45" s="38"/>
      <c r="FE45" s="7"/>
      <c r="FF45" s="7">
        <f>'címrend kötelező'!BC45+'címrend önként'!BC45+'címrend államig'!BC45</f>
        <v>0</v>
      </c>
      <c r="FG45" s="38"/>
      <c r="FH45" s="7"/>
      <c r="FI45" s="7">
        <f>'címrend kötelező'!BD45+'címrend önként'!BD45+'címrend államig'!BD45</f>
        <v>0</v>
      </c>
      <c r="FJ45" s="38"/>
      <c r="FK45" s="38"/>
      <c r="FL45" s="7">
        <f>'címrend kötelező'!BE45+'címrend önként'!BE45+'címrend államig'!BE45</f>
        <v>0</v>
      </c>
      <c r="FM45" s="38"/>
      <c r="FN45" s="7"/>
      <c r="FO45" s="7">
        <f>SUM('címrend kötelező'!BF45+'címrend önként'!BF45+'címrend államig'!BF45)</f>
        <v>0</v>
      </c>
      <c r="FP45" s="38"/>
      <c r="FQ45" s="7"/>
      <c r="FR45" s="7">
        <f>SUM('címrend kötelező'!BG45+'címrend önként'!BG45+'címrend államig'!BG45)</f>
        <v>0</v>
      </c>
      <c r="FS45" s="38"/>
      <c r="FT45" s="7"/>
      <c r="FU45" s="7">
        <f>SUM('címrend kötelező'!BH45+'címrend önként'!BH45+'címrend államig'!BH45)</f>
        <v>0</v>
      </c>
      <c r="FV45" s="38"/>
      <c r="FW45" s="7"/>
      <c r="FX45" s="7">
        <f>SUM('címrend kötelező'!BI45+'címrend önként'!BI45+'címrend államig'!BI45)</f>
        <v>0</v>
      </c>
      <c r="FY45" s="38"/>
      <c r="FZ45" s="7"/>
      <c r="GA45" s="7">
        <f>SUM('címrend kötelező'!BJ45+'címrend önként'!BJ45+'címrend államig'!BJ45)</f>
        <v>0</v>
      </c>
      <c r="GB45" s="38"/>
      <c r="GC45" s="7"/>
      <c r="GD45" s="7">
        <f>SUM('címrend kötelező'!BK45+'címrend önként'!BK45+'címrend államig'!BK45)</f>
        <v>0</v>
      </c>
      <c r="GE45" s="38"/>
      <c r="GF45" s="7"/>
      <c r="GG45" s="7">
        <f>SUM('címrend kötelező'!BL45+'címrend önként'!BL45+'címrend államig'!BL45)</f>
        <v>0</v>
      </c>
      <c r="GH45" s="38"/>
      <c r="GI45" s="7"/>
      <c r="GJ45" s="7">
        <f>SUM('címrend kötelező'!BM45+'címrend önként'!BM45+'címrend államig'!BM45)</f>
        <v>0</v>
      </c>
      <c r="GK45" s="38"/>
      <c r="GL45" s="7"/>
      <c r="GM45" s="7">
        <f>SUM('címrend kötelező'!BN45+'címrend önként'!BN45+'címrend államig'!BN45)</f>
        <v>0</v>
      </c>
      <c r="GN45" s="38"/>
      <c r="GO45" s="387">
        <f t="shared" si="790"/>
        <v>0</v>
      </c>
      <c r="GP45" s="387">
        <f t="shared" si="924"/>
        <v>0</v>
      </c>
      <c r="GQ45" s="38"/>
      <c r="GR45" s="7"/>
      <c r="GS45" s="7">
        <f>SUM('címrend kötelező'!BP45+'címrend önként'!BP45+'címrend államig'!BP45)</f>
        <v>0</v>
      </c>
      <c r="GT45" s="38"/>
      <c r="GU45" s="7"/>
      <c r="GV45" s="7">
        <f>SUM('címrend kötelező'!BQ45+'címrend önként'!BQ45+'címrend államig'!BQ45)</f>
        <v>0</v>
      </c>
      <c r="GW45" s="38"/>
      <c r="GX45" s="7"/>
      <c r="GY45" s="7">
        <f>SUM('címrend kötelező'!BR45+'címrend önként'!BR45+'címrend államig'!BR45)</f>
        <v>0</v>
      </c>
      <c r="GZ45" s="38"/>
      <c r="HA45" s="387">
        <f t="shared" si="198"/>
        <v>0</v>
      </c>
      <c r="HB45" s="387">
        <f t="shared" si="198"/>
        <v>0</v>
      </c>
      <c r="HC45" s="387"/>
      <c r="HD45" s="38">
        <f t="shared" si="792"/>
        <v>299451</v>
      </c>
      <c r="HE45" s="38">
        <f t="shared" si="793"/>
        <v>0</v>
      </c>
      <c r="HF45" s="238"/>
      <c r="HH45" s="242"/>
      <c r="HI45" s="242"/>
    </row>
    <row r="46" spans="1:217" ht="15" customHeight="1" x14ac:dyDescent="0.25">
      <c r="A46" s="218" t="s">
        <v>372</v>
      </c>
      <c r="B46" s="7"/>
      <c r="C46" s="7">
        <f>SUM('címrend kötelező'!B46+'címrend önként'!B46+'címrend államig'!B46)</f>
        <v>0</v>
      </c>
      <c r="D46" s="82"/>
      <c r="E46" s="7"/>
      <c r="F46" s="7">
        <f>SUM('címrend kötelező'!C46+'címrend önként'!C46+'címrend államig'!C46)</f>
        <v>0</v>
      </c>
      <c r="G46" s="82"/>
      <c r="H46" s="7"/>
      <c r="I46" s="7">
        <f>SUM('címrend kötelező'!D46+'címrend önként'!D46+'címrend államig'!D46)</f>
        <v>0</v>
      </c>
      <c r="J46" s="82"/>
      <c r="K46" s="7"/>
      <c r="L46" s="7">
        <f>SUM('címrend kötelező'!E46+'címrend önként'!E46+'címrend államig'!E46)</f>
        <v>0</v>
      </c>
      <c r="M46" s="82"/>
      <c r="N46" s="7"/>
      <c r="O46" s="7">
        <f>SUM('címrend kötelező'!F46+'címrend önként'!F46+'címrend államig'!F46)</f>
        <v>0</v>
      </c>
      <c r="P46" s="82"/>
      <c r="Q46" s="7"/>
      <c r="R46" s="7">
        <f>SUM('címrend kötelező'!G46+'címrend önként'!G46+'címrend államig'!G46)</f>
        <v>0</v>
      </c>
      <c r="S46" s="82"/>
      <c r="T46" s="7"/>
      <c r="U46" s="7">
        <f>SUM('címrend kötelező'!H46+'címrend önként'!H46+'címrend államig'!H46)</f>
        <v>0</v>
      </c>
      <c r="V46" s="82"/>
      <c r="W46" s="7"/>
      <c r="X46" s="7">
        <f>SUM('címrend kötelező'!I46+'címrend önként'!I46+'címrend államig'!I46)</f>
        <v>0</v>
      </c>
      <c r="Y46" s="82"/>
      <c r="Z46" s="7"/>
      <c r="AA46" s="7">
        <f>SUM('címrend kötelező'!J46+'címrend önként'!J46+'címrend államig'!J46)</f>
        <v>0</v>
      </c>
      <c r="AB46" s="82"/>
      <c r="AC46" s="7"/>
      <c r="AD46" s="7">
        <f>SUM('címrend kötelező'!K46+'címrend önként'!K46+'címrend államig'!K46)</f>
        <v>0</v>
      </c>
      <c r="AE46" s="82"/>
      <c r="AF46" s="7"/>
      <c r="AG46" s="7">
        <f>SUM('címrend kötelező'!L46+'címrend önként'!L46+'címrend államig'!L46)</f>
        <v>0</v>
      </c>
      <c r="AH46" s="82"/>
      <c r="AI46" s="7"/>
      <c r="AJ46" s="7">
        <f>SUM('címrend kötelező'!M46+'címrend önként'!M46+'címrend államig'!M46)</f>
        <v>0</v>
      </c>
      <c r="AK46" s="82"/>
      <c r="AL46" s="7"/>
      <c r="AM46" s="7">
        <f>SUM('címrend kötelező'!N46+'címrend önként'!N46+'címrend államig'!N46)</f>
        <v>0</v>
      </c>
      <c r="AN46" s="82"/>
      <c r="AO46" s="7"/>
      <c r="AP46" s="7">
        <f>SUM('címrend kötelező'!O46+'címrend önként'!O46+'címrend államig'!O46)</f>
        <v>0</v>
      </c>
      <c r="AQ46" s="82"/>
      <c r="AR46" s="7"/>
      <c r="AS46" s="7">
        <f>SUM('címrend kötelező'!P46+'címrend önként'!P46+'címrend államig'!P46)</f>
        <v>0</v>
      </c>
      <c r="AT46" s="82"/>
      <c r="AU46" s="7"/>
      <c r="AV46" s="7">
        <f>SUM('címrend kötelező'!Q46+'címrend önként'!Q46+'címrend államig'!Q46)</f>
        <v>0</v>
      </c>
      <c r="AW46" s="82"/>
      <c r="AX46" s="7"/>
      <c r="AY46" s="7">
        <f>SUM('címrend kötelező'!R46+'címrend önként'!R46+'címrend államig'!R46)</f>
        <v>0</v>
      </c>
      <c r="AZ46" s="82"/>
      <c r="BA46" s="7"/>
      <c r="BB46" s="7">
        <f>SUM('címrend kötelező'!S46+'címrend önként'!S46+'címrend államig'!S46)</f>
        <v>0</v>
      </c>
      <c r="BC46" s="82"/>
      <c r="BD46" s="7"/>
      <c r="BE46" s="7">
        <f>SUM('címrend kötelező'!T46+'címrend önként'!T46+'címrend államig'!T46)</f>
        <v>0</v>
      </c>
      <c r="BF46" s="82"/>
      <c r="BG46" s="7"/>
      <c r="BH46" s="7">
        <f>SUM('címrend kötelező'!U46+'címrend önként'!U46+'címrend államig'!U46)</f>
        <v>0</v>
      </c>
      <c r="BI46" s="82"/>
      <c r="BJ46" s="7"/>
      <c r="BK46" s="7">
        <f>SUM('címrend kötelező'!V46+'címrend önként'!V46+'címrend államig'!V46)</f>
        <v>0</v>
      </c>
      <c r="BL46" s="82"/>
      <c r="BM46" s="7"/>
      <c r="BN46" s="7">
        <f>SUM('címrend kötelező'!W46+'címrend önként'!W46+'címrend államig'!W46)</f>
        <v>0</v>
      </c>
      <c r="BO46" s="82"/>
      <c r="BP46" s="7"/>
      <c r="BQ46" s="7">
        <f>SUM('címrend kötelező'!X46+'címrend önként'!X46+'címrend államig'!X46)</f>
        <v>0</v>
      </c>
      <c r="BR46" s="82"/>
      <c r="BS46" s="7"/>
      <c r="BT46" s="7">
        <f>SUM('címrend kötelező'!Y46+'címrend önként'!Y46+'címrend államig'!Y46)</f>
        <v>0</v>
      </c>
      <c r="BU46" s="82"/>
      <c r="BV46" s="7"/>
      <c r="BW46" s="7">
        <f>SUM('címrend kötelező'!Z46+'címrend önként'!Z46+'címrend államig'!Z46)</f>
        <v>0</v>
      </c>
      <c r="BX46" s="82"/>
      <c r="BY46" s="7"/>
      <c r="BZ46" s="7">
        <f>SUM('címrend kötelező'!AA46+'címrend önként'!AA46+'címrend államig'!AA46)</f>
        <v>0</v>
      </c>
      <c r="CA46" s="82"/>
      <c r="CB46" s="7"/>
      <c r="CC46" s="7">
        <f>SUM('címrend kötelező'!AB46+'címrend önként'!AB46+'címrend államig'!AB46)</f>
        <v>0</v>
      </c>
      <c r="CD46" s="82"/>
      <c r="CE46" s="7">
        <v>2407529</v>
      </c>
      <c r="CF46" s="7">
        <f>SUM('címrend kötelező'!AC46+'címrend önként'!AC46+'címrend államig'!AC46)</f>
        <v>791850</v>
      </c>
      <c r="CG46" s="82"/>
      <c r="CH46" s="7"/>
      <c r="CI46" s="7">
        <f>SUM('címrend kötelező'!AD46+'címrend önként'!AD46+'címrend államig'!AD46)</f>
        <v>0</v>
      </c>
      <c r="CJ46" s="82"/>
      <c r="CK46" s="7"/>
      <c r="CL46" s="7">
        <f>SUM('címrend kötelező'!AE46+'címrend önként'!AE46+'címrend államig'!AE46)</f>
        <v>0</v>
      </c>
      <c r="CM46" s="82"/>
      <c r="CN46" s="7"/>
      <c r="CO46" s="7">
        <f>SUM('címrend kötelező'!AF46+'címrend önként'!AF46+'címrend államig'!AF46)</f>
        <v>0</v>
      </c>
      <c r="CP46" s="82"/>
      <c r="CQ46" s="7"/>
      <c r="CR46" s="7">
        <f>SUM('címrend kötelező'!AG46+'címrend önként'!AG46+'címrend államig'!AG46)</f>
        <v>0</v>
      </c>
      <c r="CS46" s="82"/>
      <c r="CT46" s="7"/>
      <c r="CU46" s="7">
        <f>SUM('címrend kötelező'!AH46+'címrend önként'!AH46+'címrend államig'!AH46)</f>
        <v>0</v>
      </c>
      <c r="CV46" s="82"/>
      <c r="CW46" s="7"/>
      <c r="CX46" s="7">
        <f>SUM('címrend kötelező'!AI46+'címrend önként'!AI46+'címrend államig'!AI46)</f>
        <v>0</v>
      </c>
      <c r="CY46" s="82"/>
      <c r="CZ46" s="7"/>
      <c r="DA46" s="7">
        <f>SUM('címrend kötelező'!AJ46+'címrend önként'!AJ46+'címrend államig'!AJ46)</f>
        <v>0</v>
      </c>
      <c r="DB46" s="82"/>
      <c r="DC46" s="7"/>
      <c r="DD46" s="7">
        <f>SUM('címrend kötelező'!AK46+'címrend önként'!AK46+'címrend államig'!AK46)</f>
        <v>0</v>
      </c>
      <c r="DE46" s="82"/>
      <c r="DF46" s="7"/>
      <c r="DG46" s="7">
        <f>SUM('címrend kötelező'!AL46+'címrend önként'!AL46+'címrend államig'!AL46)</f>
        <v>0</v>
      </c>
      <c r="DH46" s="82"/>
      <c r="DI46" s="7"/>
      <c r="DJ46" s="7">
        <f>SUM('címrend kötelező'!AM46+'címrend önként'!AM46+'címrend államig'!AM46)</f>
        <v>0</v>
      </c>
      <c r="DK46" s="82"/>
      <c r="DL46" s="7"/>
      <c r="DM46" s="7">
        <f>SUM('címrend kötelező'!AN46+'címrend önként'!AN46+'címrend államig'!AN46)</f>
        <v>0</v>
      </c>
      <c r="DN46" s="82"/>
      <c r="DO46" s="7"/>
      <c r="DP46" s="7">
        <f>SUM('címrend kötelező'!AO46+'címrend önként'!AO46+'címrend államig'!AO46)</f>
        <v>0</v>
      </c>
      <c r="DQ46" s="82"/>
      <c r="DR46" s="387">
        <f t="shared" si="169"/>
        <v>2407529</v>
      </c>
      <c r="DS46" s="387">
        <f t="shared" si="169"/>
        <v>791850</v>
      </c>
      <c r="DT46" s="87">
        <f t="shared" si="170"/>
        <v>32.89056954246449</v>
      </c>
      <c r="DU46" s="7"/>
      <c r="DV46" s="7">
        <f>SUM('címrend kötelező'!AQ46+'címrend önként'!AQ46+'címrend államig'!AQ46)</f>
        <v>0</v>
      </c>
      <c r="DW46" s="38"/>
      <c r="DX46" s="7"/>
      <c r="DY46" s="7">
        <f>SUM('címrend kötelező'!AR46+'címrend önként'!AR46+'címrend államig'!AR46)</f>
        <v>0</v>
      </c>
      <c r="DZ46" s="38"/>
      <c r="EA46" s="7"/>
      <c r="EB46" s="7">
        <f>SUM('címrend kötelező'!AS46+'címrend önként'!AS46+'címrend államig'!AS46)</f>
        <v>0</v>
      </c>
      <c r="EC46" s="38"/>
      <c r="ED46" s="7"/>
      <c r="EE46" s="7">
        <f>SUM('címrend kötelező'!AT46+'címrend önként'!AT46+'címrend államig'!AT46)</f>
        <v>0</v>
      </c>
      <c r="EF46" s="38"/>
      <c r="EG46" s="7"/>
      <c r="EH46" s="7">
        <f>SUM('címrend kötelező'!AU46+'címrend önként'!AU46+'címrend államig'!AU46)</f>
        <v>0</v>
      </c>
      <c r="EI46" s="38"/>
      <c r="EJ46" s="7"/>
      <c r="EK46" s="7">
        <f>SUM('címrend kötelező'!AV46+'címrend önként'!AV46+'címrend államig'!AV46)</f>
        <v>0</v>
      </c>
      <c r="EL46" s="38"/>
      <c r="EM46" s="7"/>
      <c r="EN46" s="7">
        <f>SUM('címrend kötelező'!AW46+'címrend önként'!AW46+'címrend államig'!AW46)</f>
        <v>0</v>
      </c>
      <c r="EO46" s="38"/>
      <c r="EP46" s="7"/>
      <c r="EQ46" s="7">
        <f>SUM('címrend kötelező'!AX46+'címrend önként'!AX46+'címrend államig'!AX46)</f>
        <v>0</v>
      </c>
      <c r="ER46" s="38"/>
      <c r="ES46" s="7"/>
      <c r="ET46" s="7">
        <f>SUM('címrend kötelező'!AY46+'címrend önként'!AY46+'címrend államig'!AY46)</f>
        <v>0</v>
      </c>
      <c r="EU46" s="38"/>
      <c r="EV46" s="387">
        <f t="shared" si="179"/>
        <v>0</v>
      </c>
      <c r="EW46" s="387">
        <f t="shared" si="179"/>
        <v>0</v>
      </c>
      <c r="EX46" s="84"/>
      <c r="EY46" s="7"/>
      <c r="EZ46" s="7">
        <f>'címrend kötelező'!BA46+'címrend önként'!BA46+'címrend államig'!BA46</f>
        <v>0</v>
      </c>
      <c r="FA46" s="38"/>
      <c r="FB46" s="7"/>
      <c r="FC46" s="7">
        <f>'címrend kötelező'!BB46+'címrend önként'!BB46+'címrend államig'!BB46</f>
        <v>0</v>
      </c>
      <c r="FD46" s="38"/>
      <c r="FE46" s="7"/>
      <c r="FF46" s="7">
        <f>'címrend kötelező'!BC46+'címrend önként'!BC46+'címrend államig'!BC46</f>
        <v>0</v>
      </c>
      <c r="FG46" s="38"/>
      <c r="FH46" s="7"/>
      <c r="FI46" s="7">
        <f>'címrend kötelező'!BD46+'címrend önként'!BD46+'címrend államig'!BD46</f>
        <v>0</v>
      </c>
      <c r="FJ46" s="38"/>
      <c r="FK46" s="38"/>
      <c r="FL46" s="7">
        <f>'címrend kötelező'!BE46+'címrend önként'!BE46+'címrend államig'!BE46</f>
        <v>0</v>
      </c>
      <c r="FM46" s="38"/>
      <c r="FN46" s="7"/>
      <c r="FO46" s="7">
        <f>SUM('címrend kötelező'!BF46+'címrend önként'!BF46+'címrend államig'!BF46)</f>
        <v>0</v>
      </c>
      <c r="FP46" s="38"/>
      <c r="FQ46" s="7"/>
      <c r="FR46" s="7">
        <f>SUM('címrend kötelező'!BG46+'címrend önként'!BG46+'címrend államig'!BG46)</f>
        <v>0</v>
      </c>
      <c r="FS46" s="38"/>
      <c r="FT46" s="7"/>
      <c r="FU46" s="7">
        <f>SUM('címrend kötelező'!BH46+'címrend önként'!BH46+'címrend államig'!BH46)</f>
        <v>0</v>
      </c>
      <c r="FV46" s="38"/>
      <c r="FW46" s="7"/>
      <c r="FX46" s="7">
        <f>SUM('címrend kötelező'!BI46+'címrend önként'!BI46+'címrend államig'!BI46)</f>
        <v>0</v>
      </c>
      <c r="FY46" s="38"/>
      <c r="FZ46" s="7"/>
      <c r="GA46" s="7">
        <f>SUM('címrend kötelező'!BJ46+'címrend önként'!BJ46+'címrend államig'!BJ46)</f>
        <v>0</v>
      </c>
      <c r="GB46" s="38"/>
      <c r="GC46" s="7"/>
      <c r="GD46" s="7">
        <f>SUM('címrend kötelező'!BK46+'címrend önként'!BK46+'címrend államig'!BK46)</f>
        <v>0</v>
      </c>
      <c r="GE46" s="38"/>
      <c r="GF46" s="7"/>
      <c r="GG46" s="7">
        <f>SUM('címrend kötelező'!BL46+'címrend önként'!BL46+'címrend államig'!BL46)</f>
        <v>0</v>
      </c>
      <c r="GH46" s="38"/>
      <c r="GI46" s="7"/>
      <c r="GJ46" s="7">
        <f>SUM('címrend kötelező'!BM46+'címrend önként'!BM46+'címrend államig'!BM46)</f>
        <v>0</v>
      </c>
      <c r="GK46" s="38"/>
      <c r="GL46" s="7"/>
      <c r="GM46" s="7">
        <f>SUM('címrend kötelező'!BN46+'címrend önként'!BN46+'címrend államig'!BN46)</f>
        <v>0</v>
      </c>
      <c r="GN46" s="38"/>
      <c r="GO46" s="387">
        <f t="shared" si="790"/>
        <v>0</v>
      </c>
      <c r="GP46" s="387">
        <f t="shared" si="924"/>
        <v>0</v>
      </c>
      <c r="GQ46" s="38"/>
      <c r="GR46" s="7"/>
      <c r="GS46" s="7">
        <f>SUM('címrend kötelező'!BP46+'címrend önként'!BP46+'címrend államig'!BP46)</f>
        <v>0</v>
      </c>
      <c r="GT46" s="38"/>
      <c r="GU46" s="7"/>
      <c r="GV46" s="7">
        <f>SUM('címrend kötelező'!BQ46+'címrend önként'!BQ46+'címrend államig'!BQ46)</f>
        <v>0</v>
      </c>
      <c r="GW46" s="38"/>
      <c r="GX46" s="7"/>
      <c r="GY46" s="7">
        <f>SUM('címrend kötelező'!BR46+'címrend önként'!BR46+'címrend államig'!BR46)</f>
        <v>0</v>
      </c>
      <c r="GZ46" s="38"/>
      <c r="HA46" s="387">
        <f t="shared" si="198"/>
        <v>0</v>
      </c>
      <c r="HB46" s="387">
        <f t="shared" si="198"/>
        <v>0</v>
      </c>
      <c r="HC46" s="387"/>
      <c r="HD46" s="38">
        <f t="shared" si="792"/>
        <v>2407529</v>
      </c>
      <c r="HE46" s="38">
        <f t="shared" si="793"/>
        <v>791850</v>
      </c>
      <c r="HF46" s="238">
        <f t="shared" si="129"/>
        <v>32.89056954246449</v>
      </c>
      <c r="HH46" s="242"/>
      <c r="HI46" s="242"/>
    </row>
    <row r="47" spans="1:217" ht="15" customHeight="1" x14ac:dyDescent="0.25">
      <c r="A47" s="218" t="s">
        <v>373</v>
      </c>
      <c r="B47" s="7"/>
      <c r="C47" s="7">
        <f>SUM('címrend kötelező'!B47+'címrend önként'!B47+'címrend államig'!B47)</f>
        <v>0</v>
      </c>
      <c r="D47" s="82"/>
      <c r="E47" s="7"/>
      <c r="F47" s="7">
        <f>SUM('címrend kötelező'!C47+'címrend önként'!C47+'címrend államig'!C47)</f>
        <v>0</v>
      </c>
      <c r="G47" s="82"/>
      <c r="H47" s="7"/>
      <c r="I47" s="7">
        <f>SUM('címrend kötelező'!D47+'címrend önként'!D47+'címrend államig'!D47)</f>
        <v>0</v>
      </c>
      <c r="J47" s="82"/>
      <c r="K47" s="7"/>
      <c r="L47" s="7">
        <f>SUM('címrend kötelező'!E47+'címrend önként'!E47+'címrend államig'!E47)</f>
        <v>0</v>
      </c>
      <c r="M47" s="82"/>
      <c r="N47" s="7"/>
      <c r="O47" s="7">
        <f>SUM('címrend kötelező'!F47+'címrend önként'!F47+'címrend államig'!F47)</f>
        <v>0</v>
      </c>
      <c r="P47" s="82"/>
      <c r="Q47" s="7"/>
      <c r="R47" s="7">
        <f>SUM('címrend kötelező'!G47+'címrend önként'!G47+'címrend államig'!G47)</f>
        <v>0</v>
      </c>
      <c r="S47" s="82"/>
      <c r="T47" s="7"/>
      <c r="U47" s="7">
        <f>SUM('címrend kötelező'!H47+'címrend önként'!H47+'címrend államig'!H47)</f>
        <v>0</v>
      </c>
      <c r="V47" s="82"/>
      <c r="W47" s="7"/>
      <c r="X47" s="7">
        <f>SUM('címrend kötelező'!I47+'címrend önként'!I47+'címrend államig'!I47)</f>
        <v>0</v>
      </c>
      <c r="Y47" s="82"/>
      <c r="Z47" s="7"/>
      <c r="AA47" s="7">
        <f>SUM('címrend kötelező'!J47+'címrend önként'!J47+'címrend államig'!J47)</f>
        <v>0</v>
      </c>
      <c r="AB47" s="82"/>
      <c r="AC47" s="7"/>
      <c r="AD47" s="7">
        <f>SUM('címrend kötelező'!K47+'címrend önként'!K47+'címrend államig'!K47)</f>
        <v>0</v>
      </c>
      <c r="AE47" s="82"/>
      <c r="AF47" s="7"/>
      <c r="AG47" s="7">
        <f>SUM('címrend kötelező'!L47+'címrend önként'!L47+'címrend államig'!L47)</f>
        <v>0</v>
      </c>
      <c r="AH47" s="82"/>
      <c r="AI47" s="7"/>
      <c r="AJ47" s="7">
        <f>SUM('címrend kötelező'!M47+'címrend önként'!M47+'címrend államig'!M47)</f>
        <v>0</v>
      </c>
      <c r="AK47" s="82"/>
      <c r="AL47" s="7"/>
      <c r="AM47" s="7">
        <f>SUM('címrend kötelező'!N47+'címrend önként'!N47+'címrend államig'!N47)</f>
        <v>0</v>
      </c>
      <c r="AN47" s="82"/>
      <c r="AO47" s="7"/>
      <c r="AP47" s="7">
        <f>SUM('címrend kötelező'!O47+'címrend önként'!O47+'címrend államig'!O47)</f>
        <v>0</v>
      </c>
      <c r="AQ47" s="82"/>
      <c r="AR47" s="7"/>
      <c r="AS47" s="7">
        <f>SUM('címrend kötelező'!P47+'címrend önként'!P47+'címrend államig'!P47)</f>
        <v>0</v>
      </c>
      <c r="AT47" s="82"/>
      <c r="AU47" s="7"/>
      <c r="AV47" s="7">
        <f>SUM('címrend kötelező'!Q47+'címrend önként'!Q47+'címrend államig'!Q47)</f>
        <v>0</v>
      </c>
      <c r="AW47" s="82"/>
      <c r="AX47" s="7"/>
      <c r="AY47" s="7">
        <f>SUM('címrend kötelező'!R47+'címrend önként'!R47+'címrend államig'!R47)</f>
        <v>0</v>
      </c>
      <c r="AZ47" s="82"/>
      <c r="BA47" s="7"/>
      <c r="BB47" s="7">
        <f>SUM('címrend kötelező'!S47+'címrend önként'!S47+'címrend államig'!S47)</f>
        <v>0</v>
      </c>
      <c r="BC47" s="82"/>
      <c r="BD47" s="7"/>
      <c r="BE47" s="7">
        <f>SUM('címrend kötelező'!T47+'címrend önként'!T47+'címrend államig'!T47)</f>
        <v>0</v>
      </c>
      <c r="BF47" s="82"/>
      <c r="BG47" s="7"/>
      <c r="BH47" s="7">
        <f>SUM('címrend kötelező'!U47+'címrend önként'!U47+'címrend államig'!U47)</f>
        <v>0</v>
      </c>
      <c r="BI47" s="82"/>
      <c r="BJ47" s="7"/>
      <c r="BK47" s="7">
        <f>SUM('címrend kötelező'!V47+'címrend önként'!V47+'címrend államig'!V47)</f>
        <v>0</v>
      </c>
      <c r="BL47" s="82"/>
      <c r="BM47" s="7"/>
      <c r="BN47" s="7">
        <f>SUM('címrend kötelező'!W47+'címrend önként'!W47+'címrend államig'!W47)</f>
        <v>0</v>
      </c>
      <c r="BO47" s="82"/>
      <c r="BP47" s="7"/>
      <c r="BQ47" s="7">
        <f>SUM('címrend kötelező'!X47+'címrend önként'!X47+'címrend államig'!X47)</f>
        <v>0</v>
      </c>
      <c r="BR47" s="82"/>
      <c r="BS47" s="7"/>
      <c r="BT47" s="7">
        <f>SUM('címrend kötelező'!Y47+'címrend önként'!Y47+'címrend államig'!Y47)</f>
        <v>0</v>
      </c>
      <c r="BU47" s="82"/>
      <c r="BV47" s="7"/>
      <c r="BW47" s="7">
        <f>SUM('címrend kötelező'!Z47+'címrend önként'!Z47+'címrend államig'!Z47)</f>
        <v>0</v>
      </c>
      <c r="BX47" s="82"/>
      <c r="BY47" s="7"/>
      <c r="BZ47" s="7">
        <f>SUM('címrend kötelező'!AA47+'címrend önként'!AA47+'címrend államig'!AA47)</f>
        <v>0</v>
      </c>
      <c r="CA47" s="82"/>
      <c r="CB47" s="7"/>
      <c r="CC47" s="7">
        <f>SUM('címrend kötelező'!AB47+'címrend önként'!AB47+'címrend államig'!AB47)</f>
        <v>0</v>
      </c>
      <c r="CD47" s="82"/>
      <c r="CE47" s="7"/>
      <c r="CF47" s="7">
        <f>SUM('címrend kötelező'!AC47+'címrend önként'!AC47+'címrend államig'!AC47)</f>
        <v>0</v>
      </c>
      <c r="CG47" s="82"/>
      <c r="CH47" s="7"/>
      <c r="CI47" s="7">
        <f>SUM('címrend kötelező'!AD47+'címrend önként'!AD47+'címrend államig'!AD47)</f>
        <v>0</v>
      </c>
      <c r="CJ47" s="82"/>
      <c r="CK47" s="7"/>
      <c r="CL47" s="7">
        <f>SUM('címrend kötelező'!AE47+'címrend önként'!AE47+'címrend államig'!AE47)</f>
        <v>0</v>
      </c>
      <c r="CM47" s="82"/>
      <c r="CN47" s="7"/>
      <c r="CO47" s="7">
        <f>SUM('címrend kötelező'!AF47+'címrend önként'!AF47+'címrend államig'!AF47)</f>
        <v>0</v>
      </c>
      <c r="CP47" s="82"/>
      <c r="CQ47" s="7"/>
      <c r="CR47" s="7">
        <f>SUM('címrend kötelező'!AG47+'címrend önként'!AG47+'címrend államig'!AG47)</f>
        <v>0</v>
      </c>
      <c r="CS47" s="82"/>
      <c r="CT47" s="7"/>
      <c r="CU47" s="7">
        <f>SUM('címrend kötelező'!AH47+'címrend önként'!AH47+'címrend államig'!AH47)</f>
        <v>0</v>
      </c>
      <c r="CV47" s="82"/>
      <c r="CW47" s="7"/>
      <c r="CX47" s="7">
        <f>SUM('címrend kötelező'!AI47+'címrend önként'!AI47+'címrend államig'!AI47)</f>
        <v>0</v>
      </c>
      <c r="CY47" s="82"/>
      <c r="CZ47" s="7"/>
      <c r="DA47" s="7">
        <f>SUM('címrend kötelező'!AJ47+'címrend önként'!AJ47+'címrend államig'!AJ47)</f>
        <v>0</v>
      </c>
      <c r="DB47" s="82"/>
      <c r="DC47" s="7"/>
      <c r="DD47" s="7">
        <f>SUM('címrend kötelező'!AK47+'címrend önként'!AK47+'címrend államig'!AK47)</f>
        <v>0</v>
      </c>
      <c r="DE47" s="82"/>
      <c r="DF47" s="7"/>
      <c r="DG47" s="7">
        <f>SUM('címrend kötelező'!AL47+'címrend önként'!AL47+'címrend államig'!AL47)</f>
        <v>0</v>
      </c>
      <c r="DH47" s="82"/>
      <c r="DI47" s="7"/>
      <c r="DJ47" s="7">
        <f>SUM('címrend kötelező'!AM47+'címrend önként'!AM47+'címrend államig'!AM47)</f>
        <v>0</v>
      </c>
      <c r="DK47" s="82"/>
      <c r="DL47" s="7"/>
      <c r="DM47" s="7">
        <f>SUM('címrend kötelező'!AN47+'címrend önként'!AN47+'címrend államig'!AN47)</f>
        <v>0</v>
      </c>
      <c r="DN47" s="82"/>
      <c r="DO47" s="7"/>
      <c r="DP47" s="7">
        <f>SUM('címrend kötelező'!AO47+'címrend önként'!AO47+'címrend államig'!AO47)</f>
        <v>0</v>
      </c>
      <c r="DQ47" s="82"/>
      <c r="DR47" s="387">
        <f t="shared" si="169"/>
        <v>0</v>
      </c>
      <c r="DS47" s="387">
        <f t="shared" si="169"/>
        <v>0</v>
      </c>
      <c r="DT47" s="387"/>
      <c r="DU47" s="7"/>
      <c r="DV47" s="7">
        <f>SUM('címrend kötelező'!AQ47+'címrend önként'!AQ47+'címrend államig'!AQ47)</f>
        <v>0</v>
      </c>
      <c r="DW47" s="38"/>
      <c r="DX47" s="7"/>
      <c r="DY47" s="7">
        <f>SUM('címrend kötelező'!AR47+'címrend önként'!AR47+'címrend államig'!AR47)</f>
        <v>0</v>
      </c>
      <c r="DZ47" s="38"/>
      <c r="EA47" s="7"/>
      <c r="EB47" s="7">
        <f>SUM('címrend kötelező'!AS47+'címrend önként'!AS47+'címrend államig'!AS47)</f>
        <v>0</v>
      </c>
      <c r="EC47" s="38"/>
      <c r="ED47" s="7"/>
      <c r="EE47" s="7">
        <f>SUM('címrend kötelező'!AT47+'címrend önként'!AT47+'címrend államig'!AT47)</f>
        <v>0</v>
      </c>
      <c r="EF47" s="38"/>
      <c r="EG47" s="7"/>
      <c r="EH47" s="7">
        <f>SUM('címrend kötelező'!AU47+'címrend önként'!AU47+'címrend államig'!AU47)</f>
        <v>0</v>
      </c>
      <c r="EI47" s="38"/>
      <c r="EJ47" s="7"/>
      <c r="EK47" s="7">
        <f>SUM('címrend kötelező'!AV47+'címrend önként'!AV47+'címrend államig'!AV47)</f>
        <v>0</v>
      </c>
      <c r="EL47" s="38"/>
      <c r="EM47" s="7"/>
      <c r="EN47" s="7">
        <f>SUM('címrend kötelező'!AW47+'címrend önként'!AW47+'címrend államig'!AW47)</f>
        <v>0</v>
      </c>
      <c r="EO47" s="38"/>
      <c r="EP47" s="7"/>
      <c r="EQ47" s="7">
        <f>SUM('címrend kötelező'!AX47+'címrend önként'!AX47+'címrend államig'!AX47)</f>
        <v>0</v>
      </c>
      <c r="ER47" s="38"/>
      <c r="ES47" s="7"/>
      <c r="ET47" s="7">
        <f>SUM('címrend kötelező'!AY47+'címrend önként'!AY47+'címrend államig'!AY47)</f>
        <v>0</v>
      </c>
      <c r="EU47" s="38"/>
      <c r="EV47" s="387">
        <f t="shared" si="179"/>
        <v>0</v>
      </c>
      <c r="EW47" s="387">
        <f t="shared" si="179"/>
        <v>0</v>
      </c>
      <c r="EX47" s="84"/>
      <c r="EY47" s="7"/>
      <c r="EZ47" s="7">
        <f>'címrend kötelező'!BA47+'címrend önként'!BA47+'címrend államig'!BA47</f>
        <v>0</v>
      </c>
      <c r="FA47" s="38"/>
      <c r="FB47" s="7"/>
      <c r="FC47" s="7">
        <f>'címrend kötelező'!BB47+'címrend önként'!BB47+'címrend államig'!BB47</f>
        <v>0</v>
      </c>
      <c r="FD47" s="38"/>
      <c r="FE47" s="7"/>
      <c r="FF47" s="7">
        <f>'címrend kötelező'!BC47+'címrend önként'!BC47+'címrend államig'!BC47</f>
        <v>0</v>
      </c>
      <c r="FG47" s="38"/>
      <c r="FH47" s="7"/>
      <c r="FI47" s="7">
        <f>'címrend kötelező'!BD47+'címrend önként'!BD47+'címrend államig'!BD47</f>
        <v>0</v>
      </c>
      <c r="FJ47" s="38"/>
      <c r="FK47" s="38"/>
      <c r="FL47" s="7">
        <f>'címrend kötelező'!BE47+'címrend önként'!BE47+'címrend államig'!BE47</f>
        <v>0</v>
      </c>
      <c r="FM47" s="38"/>
      <c r="FN47" s="7"/>
      <c r="FO47" s="7">
        <f>SUM('címrend kötelező'!BF47+'címrend önként'!BF47+'címrend államig'!BF47)</f>
        <v>0</v>
      </c>
      <c r="FP47" s="38"/>
      <c r="FQ47" s="7"/>
      <c r="FR47" s="7">
        <f>SUM('címrend kötelező'!BG47+'címrend önként'!BG47+'címrend államig'!BG47)</f>
        <v>0</v>
      </c>
      <c r="FS47" s="38"/>
      <c r="FT47" s="7"/>
      <c r="FU47" s="7">
        <f>SUM('címrend kötelező'!BH47+'címrend önként'!BH47+'címrend államig'!BH47)</f>
        <v>0</v>
      </c>
      <c r="FV47" s="38"/>
      <c r="FW47" s="7"/>
      <c r="FX47" s="7">
        <f>SUM('címrend kötelező'!BI47+'címrend önként'!BI47+'címrend államig'!BI47)</f>
        <v>0</v>
      </c>
      <c r="FY47" s="38"/>
      <c r="FZ47" s="7"/>
      <c r="GA47" s="7">
        <f>SUM('címrend kötelező'!BJ47+'címrend önként'!BJ47+'címrend államig'!BJ47)</f>
        <v>0</v>
      </c>
      <c r="GB47" s="38"/>
      <c r="GC47" s="7"/>
      <c r="GD47" s="7">
        <f>SUM('címrend kötelező'!BK47+'címrend önként'!BK47+'címrend államig'!BK47)</f>
        <v>0</v>
      </c>
      <c r="GE47" s="38"/>
      <c r="GF47" s="7"/>
      <c r="GG47" s="7">
        <f>SUM('címrend kötelező'!BL47+'címrend önként'!BL47+'címrend államig'!BL47)</f>
        <v>0</v>
      </c>
      <c r="GH47" s="38"/>
      <c r="GI47" s="7"/>
      <c r="GJ47" s="7">
        <f>SUM('címrend kötelező'!BM47+'címrend önként'!BM47+'címrend államig'!BM47)</f>
        <v>0</v>
      </c>
      <c r="GK47" s="38"/>
      <c r="GL47" s="7"/>
      <c r="GM47" s="7">
        <f>SUM('címrend kötelező'!BN47+'címrend önként'!BN47+'címrend államig'!BN47)</f>
        <v>0</v>
      </c>
      <c r="GN47" s="38"/>
      <c r="GO47" s="387">
        <f t="shared" si="790"/>
        <v>0</v>
      </c>
      <c r="GP47" s="387">
        <f t="shared" si="924"/>
        <v>0</v>
      </c>
      <c r="GQ47" s="38"/>
      <c r="GR47" s="7"/>
      <c r="GS47" s="7">
        <f>SUM('címrend kötelező'!BP47+'címrend önként'!BP47+'címrend államig'!BP47)</f>
        <v>0</v>
      </c>
      <c r="GT47" s="38"/>
      <c r="GU47" s="7"/>
      <c r="GV47" s="7">
        <f>SUM('címrend kötelező'!BQ47+'címrend önként'!BQ47+'címrend államig'!BQ47)</f>
        <v>0</v>
      </c>
      <c r="GW47" s="38"/>
      <c r="GX47" s="7"/>
      <c r="GY47" s="7">
        <f>SUM('címrend kötelező'!BR47+'címrend önként'!BR47+'címrend államig'!BR47)</f>
        <v>0</v>
      </c>
      <c r="GZ47" s="38"/>
      <c r="HA47" s="387">
        <f t="shared" si="198"/>
        <v>0</v>
      </c>
      <c r="HB47" s="387">
        <f t="shared" si="198"/>
        <v>0</v>
      </c>
      <c r="HC47" s="387"/>
      <c r="HD47" s="38">
        <f t="shared" si="792"/>
        <v>0</v>
      </c>
      <c r="HE47" s="38">
        <f t="shared" si="793"/>
        <v>0</v>
      </c>
      <c r="HF47" s="238"/>
      <c r="HH47" s="242"/>
      <c r="HI47" s="242"/>
    </row>
    <row r="48" spans="1:217" ht="24.9" customHeight="1" x14ac:dyDescent="0.25">
      <c r="A48" s="218" t="s">
        <v>374</v>
      </c>
      <c r="B48" s="7"/>
      <c r="C48" s="7">
        <f>SUM('címrend kötelező'!B48+'címrend önként'!B48+'címrend államig'!B48)</f>
        <v>0</v>
      </c>
      <c r="D48" s="82"/>
      <c r="E48" s="7"/>
      <c r="F48" s="7">
        <f>SUM('címrend kötelező'!C48+'címrend önként'!C48+'címrend államig'!C48)</f>
        <v>0</v>
      </c>
      <c r="G48" s="82"/>
      <c r="H48" s="7"/>
      <c r="I48" s="7">
        <f>SUM('címrend kötelező'!D48+'címrend önként'!D48+'címrend államig'!D48)</f>
        <v>0</v>
      </c>
      <c r="J48" s="82"/>
      <c r="K48" s="7"/>
      <c r="L48" s="7">
        <f>SUM('címrend kötelező'!E48+'címrend önként'!E48+'címrend államig'!E48)</f>
        <v>0</v>
      </c>
      <c r="M48" s="82"/>
      <c r="N48" s="7"/>
      <c r="O48" s="7">
        <f>SUM('címrend kötelező'!F48+'címrend önként'!F48+'címrend államig'!F48)</f>
        <v>0</v>
      </c>
      <c r="P48" s="82"/>
      <c r="Q48" s="7"/>
      <c r="R48" s="7">
        <f>SUM('címrend kötelező'!G48+'címrend önként'!G48+'címrend államig'!G48)</f>
        <v>0</v>
      </c>
      <c r="S48" s="82"/>
      <c r="T48" s="7"/>
      <c r="U48" s="7">
        <f>SUM('címrend kötelező'!H48+'címrend önként'!H48+'címrend államig'!H48)</f>
        <v>0</v>
      </c>
      <c r="V48" s="82"/>
      <c r="W48" s="7"/>
      <c r="X48" s="7">
        <f>SUM('címrend kötelező'!I48+'címrend önként'!I48+'címrend államig'!I48)</f>
        <v>0</v>
      </c>
      <c r="Y48" s="82"/>
      <c r="Z48" s="7"/>
      <c r="AA48" s="7">
        <f>SUM('címrend kötelező'!J48+'címrend önként'!J48+'címrend államig'!J48)</f>
        <v>0</v>
      </c>
      <c r="AB48" s="82"/>
      <c r="AC48" s="7"/>
      <c r="AD48" s="7">
        <f>SUM('címrend kötelező'!K48+'címrend önként'!K48+'címrend államig'!K48)</f>
        <v>0</v>
      </c>
      <c r="AE48" s="82"/>
      <c r="AF48" s="7"/>
      <c r="AG48" s="7">
        <f>SUM('címrend kötelező'!L48+'címrend önként'!L48+'címrend államig'!L48)</f>
        <v>0</v>
      </c>
      <c r="AH48" s="82"/>
      <c r="AI48" s="7"/>
      <c r="AJ48" s="7">
        <f>SUM('címrend kötelező'!M48+'címrend önként'!M48+'címrend államig'!M48)</f>
        <v>0</v>
      </c>
      <c r="AK48" s="82"/>
      <c r="AL48" s="7"/>
      <c r="AM48" s="7">
        <f>SUM('címrend kötelező'!N48+'címrend önként'!N48+'címrend államig'!N48)</f>
        <v>0</v>
      </c>
      <c r="AN48" s="82"/>
      <c r="AO48" s="7"/>
      <c r="AP48" s="7">
        <f>SUM('címrend kötelező'!O48+'címrend önként'!O48+'címrend államig'!O48)</f>
        <v>0</v>
      </c>
      <c r="AQ48" s="82"/>
      <c r="AR48" s="7"/>
      <c r="AS48" s="7">
        <f>SUM('címrend kötelező'!P48+'címrend önként'!P48+'címrend államig'!P48)</f>
        <v>0</v>
      </c>
      <c r="AT48" s="82"/>
      <c r="AU48" s="7"/>
      <c r="AV48" s="7">
        <f>SUM('címrend kötelező'!Q48+'címrend önként'!Q48+'címrend államig'!Q48)</f>
        <v>0</v>
      </c>
      <c r="AW48" s="82"/>
      <c r="AX48" s="7"/>
      <c r="AY48" s="7">
        <f>SUM('címrend kötelező'!R48+'címrend önként'!R48+'címrend államig'!R48)</f>
        <v>0</v>
      </c>
      <c r="AZ48" s="82"/>
      <c r="BA48" s="7"/>
      <c r="BB48" s="7">
        <f>SUM('címrend kötelező'!S48+'címrend önként'!S48+'címrend államig'!S48)</f>
        <v>0</v>
      </c>
      <c r="BC48" s="82"/>
      <c r="BD48" s="7"/>
      <c r="BE48" s="7">
        <f>SUM('címrend kötelező'!T48+'címrend önként'!T48+'címrend államig'!T48)</f>
        <v>0</v>
      </c>
      <c r="BF48" s="82"/>
      <c r="BG48" s="7"/>
      <c r="BH48" s="7">
        <f>SUM('címrend kötelező'!U48+'címrend önként'!U48+'címrend államig'!U48)</f>
        <v>0</v>
      </c>
      <c r="BI48" s="82"/>
      <c r="BJ48" s="7"/>
      <c r="BK48" s="7">
        <f>SUM('címrend kötelező'!V48+'címrend önként'!V48+'címrend államig'!V48)</f>
        <v>0</v>
      </c>
      <c r="BL48" s="82"/>
      <c r="BM48" s="7"/>
      <c r="BN48" s="7">
        <f>SUM('címrend kötelező'!W48+'címrend önként'!W48+'címrend államig'!W48)</f>
        <v>0</v>
      </c>
      <c r="BO48" s="82"/>
      <c r="BP48" s="7"/>
      <c r="BQ48" s="7">
        <f>SUM('címrend kötelező'!X48+'címrend önként'!X48+'címrend államig'!X48)</f>
        <v>0</v>
      </c>
      <c r="BR48" s="82"/>
      <c r="BS48" s="7"/>
      <c r="BT48" s="7">
        <f>SUM('címrend kötelező'!Y48+'címrend önként'!Y48+'címrend államig'!Y48)</f>
        <v>0</v>
      </c>
      <c r="BU48" s="82"/>
      <c r="BV48" s="7"/>
      <c r="BW48" s="7">
        <f>SUM('címrend kötelező'!Z48+'címrend önként'!Z48+'címrend államig'!Z48)</f>
        <v>0</v>
      </c>
      <c r="BX48" s="82"/>
      <c r="BY48" s="7"/>
      <c r="BZ48" s="7">
        <f>SUM('címrend kötelező'!AA48+'címrend önként'!AA48+'címrend államig'!AA48)</f>
        <v>0</v>
      </c>
      <c r="CA48" s="82"/>
      <c r="CB48" s="7"/>
      <c r="CC48" s="7">
        <f>SUM('címrend kötelező'!AB48+'címrend önként'!AB48+'címrend államig'!AB48)</f>
        <v>0</v>
      </c>
      <c r="CD48" s="82"/>
      <c r="CE48" s="7"/>
      <c r="CF48" s="7">
        <f>SUM('címrend kötelező'!AC48+'címrend önként'!AC48+'címrend államig'!AC48)</f>
        <v>0</v>
      </c>
      <c r="CG48" s="82"/>
      <c r="CH48" s="7"/>
      <c r="CI48" s="7">
        <f>SUM('címrend kötelező'!AD48+'címrend önként'!AD48+'címrend államig'!AD48)</f>
        <v>0</v>
      </c>
      <c r="CJ48" s="82"/>
      <c r="CK48" s="7"/>
      <c r="CL48" s="7">
        <f>SUM('címrend kötelező'!AE48+'címrend önként'!AE48+'címrend államig'!AE48)</f>
        <v>0</v>
      </c>
      <c r="CM48" s="82"/>
      <c r="CN48" s="7"/>
      <c r="CO48" s="7">
        <f>SUM('címrend kötelező'!AF48+'címrend önként'!AF48+'címrend államig'!AF48)</f>
        <v>0</v>
      </c>
      <c r="CP48" s="82"/>
      <c r="CQ48" s="7"/>
      <c r="CR48" s="7">
        <f>SUM('címrend kötelező'!AG48+'címrend önként'!AG48+'címrend államig'!AG48)</f>
        <v>0</v>
      </c>
      <c r="CS48" s="82"/>
      <c r="CT48" s="7"/>
      <c r="CU48" s="7">
        <f>SUM('címrend kötelező'!AH48+'címrend önként'!AH48+'címrend államig'!AH48)</f>
        <v>0</v>
      </c>
      <c r="CV48" s="82"/>
      <c r="CW48" s="7"/>
      <c r="CX48" s="7">
        <f>SUM('címrend kötelező'!AI48+'címrend önként'!AI48+'címrend államig'!AI48)</f>
        <v>0</v>
      </c>
      <c r="CY48" s="82"/>
      <c r="CZ48" s="7"/>
      <c r="DA48" s="7">
        <f>SUM('címrend kötelező'!AJ48+'címrend önként'!AJ48+'címrend államig'!AJ48)</f>
        <v>0</v>
      </c>
      <c r="DB48" s="82"/>
      <c r="DC48" s="7"/>
      <c r="DD48" s="7">
        <f>SUM('címrend kötelező'!AK48+'címrend önként'!AK48+'címrend államig'!AK48)</f>
        <v>0</v>
      </c>
      <c r="DE48" s="82"/>
      <c r="DF48" s="7"/>
      <c r="DG48" s="7">
        <f>SUM('címrend kötelező'!AL48+'címrend önként'!AL48+'címrend államig'!AL48)</f>
        <v>0</v>
      </c>
      <c r="DH48" s="82"/>
      <c r="DI48" s="7"/>
      <c r="DJ48" s="7">
        <f>SUM('címrend kötelező'!AM48+'címrend önként'!AM48+'címrend államig'!AM48)</f>
        <v>0</v>
      </c>
      <c r="DK48" s="82"/>
      <c r="DL48" s="7"/>
      <c r="DM48" s="7">
        <f>SUM('címrend kötelező'!AN48+'címrend önként'!AN48+'címrend államig'!AN48)</f>
        <v>0</v>
      </c>
      <c r="DN48" s="82"/>
      <c r="DO48" s="7"/>
      <c r="DP48" s="7">
        <f>SUM('címrend kötelező'!AO48+'címrend önként'!AO48+'címrend államig'!AO48)</f>
        <v>0</v>
      </c>
      <c r="DQ48" s="82"/>
      <c r="DR48" s="387">
        <f t="shared" si="169"/>
        <v>0</v>
      </c>
      <c r="DS48" s="387">
        <f t="shared" si="169"/>
        <v>0</v>
      </c>
      <c r="DT48" s="387"/>
      <c r="DU48" s="7"/>
      <c r="DV48" s="7">
        <f>SUM('címrend kötelező'!AQ48+'címrend önként'!AQ48+'címrend államig'!AQ48)</f>
        <v>0</v>
      </c>
      <c r="DW48" s="38"/>
      <c r="DX48" s="7"/>
      <c r="DY48" s="7">
        <f>SUM('címrend kötelező'!AR48+'címrend önként'!AR48+'címrend államig'!AR48)</f>
        <v>0</v>
      </c>
      <c r="DZ48" s="38"/>
      <c r="EA48" s="7"/>
      <c r="EB48" s="7">
        <f>SUM('címrend kötelező'!AS48+'címrend önként'!AS48+'címrend államig'!AS48)</f>
        <v>0</v>
      </c>
      <c r="EC48" s="38"/>
      <c r="ED48" s="7"/>
      <c r="EE48" s="7">
        <f>SUM('címrend kötelező'!AT48+'címrend önként'!AT48+'címrend államig'!AT48)</f>
        <v>0</v>
      </c>
      <c r="EF48" s="38"/>
      <c r="EG48" s="7"/>
      <c r="EH48" s="7">
        <f>SUM('címrend kötelező'!AU48+'címrend önként'!AU48+'címrend államig'!AU48)</f>
        <v>0</v>
      </c>
      <c r="EI48" s="38"/>
      <c r="EJ48" s="7"/>
      <c r="EK48" s="7">
        <f>SUM('címrend kötelező'!AV48+'címrend önként'!AV48+'címrend államig'!AV48)</f>
        <v>0</v>
      </c>
      <c r="EL48" s="38"/>
      <c r="EM48" s="7"/>
      <c r="EN48" s="7">
        <f>SUM('címrend kötelező'!AW48+'címrend önként'!AW48+'címrend államig'!AW48)</f>
        <v>0</v>
      </c>
      <c r="EO48" s="38"/>
      <c r="EP48" s="7"/>
      <c r="EQ48" s="7">
        <f>SUM('címrend kötelező'!AX48+'címrend önként'!AX48+'címrend államig'!AX48)</f>
        <v>0</v>
      </c>
      <c r="ER48" s="38"/>
      <c r="ES48" s="7"/>
      <c r="ET48" s="7">
        <f>SUM('címrend kötelező'!AY48+'címrend önként'!AY48+'címrend államig'!AY48)</f>
        <v>0</v>
      </c>
      <c r="EU48" s="38"/>
      <c r="EV48" s="387">
        <f t="shared" si="179"/>
        <v>0</v>
      </c>
      <c r="EW48" s="387">
        <f t="shared" si="179"/>
        <v>0</v>
      </c>
      <c r="EX48" s="84"/>
      <c r="EY48" s="7"/>
      <c r="EZ48" s="7">
        <f>'címrend kötelező'!BA48+'címrend önként'!BA48+'címrend államig'!BA48</f>
        <v>0</v>
      </c>
      <c r="FA48" s="38"/>
      <c r="FB48" s="7"/>
      <c r="FC48" s="7">
        <f>'címrend kötelező'!BB48+'címrend önként'!BB48+'címrend államig'!BB48</f>
        <v>0</v>
      </c>
      <c r="FD48" s="38"/>
      <c r="FE48" s="7"/>
      <c r="FF48" s="7">
        <f>'címrend kötelező'!BC48+'címrend önként'!BC48+'címrend államig'!BC48</f>
        <v>0</v>
      </c>
      <c r="FG48" s="38"/>
      <c r="FH48" s="7"/>
      <c r="FI48" s="7">
        <f>'címrend kötelező'!BD48+'címrend önként'!BD48+'címrend államig'!BD48</f>
        <v>0</v>
      </c>
      <c r="FJ48" s="38"/>
      <c r="FK48" s="38"/>
      <c r="FL48" s="7">
        <f>'címrend kötelező'!BE48+'címrend önként'!BE48+'címrend államig'!BE48</f>
        <v>0</v>
      </c>
      <c r="FM48" s="38"/>
      <c r="FN48" s="7"/>
      <c r="FO48" s="7">
        <f>SUM('címrend kötelező'!BF48+'címrend önként'!BF48+'címrend államig'!BF48)</f>
        <v>0</v>
      </c>
      <c r="FP48" s="38"/>
      <c r="FQ48" s="7"/>
      <c r="FR48" s="7">
        <f>SUM('címrend kötelező'!BG48+'címrend önként'!BG48+'címrend államig'!BG48)</f>
        <v>0</v>
      </c>
      <c r="FS48" s="38"/>
      <c r="FT48" s="7"/>
      <c r="FU48" s="7">
        <f>SUM('címrend kötelező'!BH48+'címrend önként'!BH48+'címrend államig'!BH48)</f>
        <v>0</v>
      </c>
      <c r="FV48" s="38"/>
      <c r="FW48" s="7"/>
      <c r="FX48" s="7">
        <f>SUM('címrend kötelező'!BI48+'címrend önként'!BI48+'címrend államig'!BI48)</f>
        <v>0</v>
      </c>
      <c r="FY48" s="38"/>
      <c r="FZ48" s="7"/>
      <c r="GA48" s="7">
        <f>SUM('címrend kötelező'!BJ48+'címrend önként'!BJ48+'címrend államig'!BJ48)</f>
        <v>0</v>
      </c>
      <c r="GB48" s="38"/>
      <c r="GC48" s="7"/>
      <c r="GD48" s="7">
        <f>SUM('címrend kötelező'!BK48+'címrend önként'!BK48+'címrend államig'!BK48)</f>
        <v>0</v>
      </c>
      <c r="GE48" s="38"/>
      <c r="GF48" s="7"/>
      <c r="GG48" s="7">
        <f>SUM('címrend kötelező'!BL48+'címrend önként'!BL48+'címrend államig'!BL48)</f>
        <v>0</v>
      </c>
      <c r="GH48" s="38"/>
      <c r="GI48" s="7"/>
      <c r="GJ48" s="7">
        <f>SUM('címrend kötelező'!BM48+'címrend önként'!BM48+'címrend államig'!BM48)</f>
        <v>0</v>
      </c>
      <c r="GK48" s="38"/>
      <c r="GL48" s="7"/>
      <c r="GM48" s="7">
        <f>SUM('címrend kötelező'!BN48+'címrend önként'!BN48+'címrend államig'!BN48)</f>
        <v>0</v>
      </c>
      <c r="GN48" s="38"/>
      <c r="GO48" s="387">
        <f t="shared" si="790"/>
        <v>0</v>
      </c>
      <c r="GP48" s="387">
        <f t="shared" si="924"/>
        <v>0</v>
      </c>
      <c r="GQ48" s="38"/>
      <c r="GR48" s="7"/>
      <c r="GS48" s="7">
        <f>SUM('címrend kötelező'!BP48+'címrend önként'!BP48+'címrend államig'!BP48)</f>
        <v>0</v>
      </c>
      <c r="GT48" s="38"/>
      <c r="GU48" s="7"/>
      <c r="GV48" s="7">
        <f>SUM('címrend kötelező'!BQ48+'címrend önként'!BQ48+'címrend államig'!BQ48)</f>
        <v>0</v>
      </c>
      <c r="GW48" s="38"/>
      <c r="GX48" s="7"/>
      <c r="GY48" s="7">
        <f>SUM('címrend kötelező'!BR48+'címrend önként'!BR48+'címrend államig'!BR48)</f>
        <v>0</v>
      </c>
      <c r="GZ48" s="38"/>
      <c r="HA48" s="387">
        <f t="shared" si="198"/>
        <v>0</v>
      </c>
      <c r="HB48" s="387">
        <f t="shared" si="198"/>
        <v>0</v>
      </c>
      <c r="HC48" s="387"/>
      <c r="HD48" s="38">
        <f t="shared" si="792"/>
        <v>0</v>
      </c>
      <c r="HE48" s="38">
        <f t="shared" si="793"/>
        <v>0</v>
      </c>
      <c r="HF48" s="238"/>
      <c r="HH48" s="242"/>
      <c r="HI48" s="242"/>
    </row>
    <row r="49" spans="1:217" s="13" customFormat="1" ht="15" customHeight="1" x14ac:dyDescent="0.25">
      <c r="A49" s="219" t="s">
        <v>375</v>
      </c>
      <c r="B49" s="6">
        <f>B50+B51</f>
        <v>0</v>
      </c>
      <c r="C49" s="6">
        <f>C50+C51</f>
        <v>0</v>
      </c>
      <c r="D49" s="82"/>
      <c r="E49" s="6">
        <f t="shared" ref="E49:F49" si="925">E50+E51</f>
        <v>0</v>
      </c>
      <c r="F49" s="6">
        <f t="shared" si="925"/>
        <v>0</v>
      </c>
      <c r="G49" s="82"/>
      <c r="H49" s="6">
        <f t="shared" ref="H49:I49" si="926">H50+H51</f>
        <v>0</v>
      </c>
      <c r="I49" s="6">
        <f t="shared" si="926"/>
        <v>0</v>
      </c>
      <c r="J49" s="82"/>
      <c r="K49" s="6">
        <f t="shared" ref="K49:L49" si="927">K50+K51</f>
        <v>500</v>
      </c>
      <c r="L49" s="6">
        <f t="shared" si="927"/>
        <v>300</v>
      </c>
      <c r="M49" s="82"/>
      <c r="N49" s="6">
        <f t="shared" ref="N49:O49" si="928">N50+N51</f>
        <v>0</v>
      </c>
      <c r="O49" s="6">
        <f t="shared" si="928"/>
        <v>0</v>
      </c>
      <c r="P49" s="82"/>
      <c r="Q49" s="6">
        <f t="shared" ref="Q49:R49" si="929">Q50+Q51</f>
        <v>0</v>
      </c>
      <c r="R49" s="6">
        <f t="shared" si="929"/>
        <v>0</v>
      </c>
      <c r="S49" s="82"/>
      <c r="T49" s="6">
        <f t="shared" ref="T49:U49" si="930">T50+T51</f>
        <v>0</v>
      </c>
      <c r="U49" s="6">
        <f t="shared" si="930"/>
        <v>0</v>
      </c>
      <c r="V49" s="82"/>
      <c r="W49" s="6">
        <f t="shared" ref="W49:X49" si="931">W50+W51</f>
        <v>0</v>
      </c>
      <c r="X49" s="6">
        <f t="shared" si="931"/>
        <v>0</v>
      </c>
      <c r="Y49" s="82"/>
      <c r="Z49" s="6">
        <f t="shared" ref="Z49:AA49" si="932">Z50+Z51</f>
        <v>0</v>
      </c>
      <c r="AA49" s="6">
        <f t="shared" si="932"/>
        <v>0</v>
      </c>
      <c r="AB49" s="82"/>
      <c r="AC49" s="6">
        <f t="shared" ref="AC49:AD49" si="933">AC50+AC51</f>
        <v>0</v>
      </c>
      <c r="AD49" s="6">
        <f t="shared" si="933"/>
        <v>0</v>
      </c>
      <c r="AE49" s="82"/>
      <c r="AF49" s="6">
        <f t="shared" ref="AF49:AG49" si="934">AF50+AF51</f>
        <v>0</v>
      </c>
      <c r="AG49" s="6">
        <f t="shared" si="934"/>
        <v>0</v>
      </c>
      <c r="AH49" s="82"/>
      <c r="AI49" s="6">
        <f t="shared" ref="AI49:AJ49" si="935">AI50+AI51</f>
        <v>0</v>
      </c>
      <c r="AJ49" s="6">
        <f t="shared" si="935"/>
        <v>0</v>
      </c>
      <c r="AK49" s="82"/>
      <c r="AL49" s="6">
        <f t="shared" ref="AL49:AM49" si="936">AL50+AL51</f>
        <v>0</v>
      </c>
      <c r="AM49" s="6">
        <f t="shared" si="936"/>
        <v>0</v>
      </c>
      <c r="AN49" s="82"/>
      <c r="AO49" s="6">
        <f t="shared" ref="AO49:AP49" si="937">AO50+AO51</f>
        <v>0</v>
      </c>
      <c r="AP49" s="6">
        <f t="shared" si="937"/>
        <v>0</v>
      </c>
      <c r="AQ49" s="82"/>
      <c r="AR49" s="6">
        <f t="shared" ref="AR49:AS49" si="938">AR50+AR51</f>
        <v>0</v>
      </c>
      <c r="AS49" s="6">
        <f t="shared" si="938"/>
        <v>0</v>
      </c>
      <c r="AT49" s="82"/>
      <c r="AU49" s="6">
        <f t="shared" ref="AU49:AV49" si="939">AU50+AU51</f>
        <v>0</v>
      </c>
      <c r="AV49" s="6">
        <f t="shared" si="939"/>
        <v>0</v>
      </c>
      <c r="AW49" s="82"/>
      <c r="AX49" s="6">
        <f t="shared" ref="AX49:AY49" si="940">AX50+AX51</f>
        <v>0</v>
      </c>
      <c r="AY49" s="6">
        <f t="shared" si="940"/>
        <v>0</v>
      </c>
      <c r="AZ49" s="82"/>
      <c r="BA49" s="6">
        <f t="shared" ref="BA49:BB49" si="941">BA50+BA51</f>
        <v>0</v>
      </c>
      <c r="BB49" s="6">
        <f t="shared" si="941"/>
        <v>0</v>
      </c>
      <c r="BC49" s="82"/>
      <c r="BD49" s="6">
        <f t="shared" ref="BD49:BE49" si="942">BD50+BD51</f>
        <v>0</v>
      </c>
      <c r="BE49" s="6">
        <f t="shared" si="942"/>
        <v>0</v>
      </c>
      <c r="BF49" s="82"/>
      <c r="BG49" s="6">
        <f t="shared" ref="BG49:BH49" si="943">BG50+BG51</f>
        <v>0</v>
      </c>
      <c r="BH49" s="6">
        <f t="shared" si="943"/>
        <v>0</v>
      </c>
      <c r="BI49" s="82"/>
      <c r="BJ49" s="6">
        <f t="shared" ref="BJ49:BK49" si="944">BJ50+BJ51</f>
        <v>0</v>
      </c>
      <c r="BK49" s="6">
        <f t="shared" si="944"/>
        <v>0</v>
      </c>
      <c r="BL49" s="82"/>
      <c r="BM49" s="6">
        <f t="shared" ref="BM49:BN49" si="945">BM50+BM51</f>
        <v>0</v>
      </c>
      <c r="BN49" s="6">
        <f t="shared" si="945"/>
        <v>0</v>
      </c>
      <c r="BO49" s="82"/>
      <c r="BP49" s="6">
        <f t="shared" ref="BP49:BQ49" si="946">BP50+BP51</f>
        <v>0</v>
      </c>
      <c r="BQ49" s="6">
        <f t="shared" si="946"/>
        <v>0</v>
      </c>
      <c r="BR49" s="82"/>
      <c r="BS49" s="6">
        <f t="shared" ref="BS49:BT49" si="947">BS50+BS51</f>
        <v>0</v>
      </c>
      <c r="BT49" s="6">
        <f t="shared" si="947"/>
        <v>0</v>
      </c>
      <c r="BU49" s="82"/>
      <c r="BV49" s="6">
        <f t="shared" ref="BV49:BW49" si="948">BV50+BV51</f>
        <v>0</v>
      </c>
      <c r="BW49" s="6">
        <f t="shared" si="948"/>
        <v>0</v>
      </c>
      <c r="BX49" s="82"/>
      <c r="BY49" s="6">
        <f t="shared" ref="BY49:BZ49" si="949">BY50+BY51</f>
        <v>0</v>
      </c>
      <c r="BZ49" s="6">
        <f t="shared" si="949"/>
        <v>0</v>
      </c>
      <c r="CA49" s="82"/>
      <c r="CB49" s="6">
        <f t="shared" ref="CB49:CC49" si="950">CB50+CB51</f>
        <v>0</v>
      </c>
      <c r="CC49" s="6">
        <f t="shared" si="950"/>
        <v>0</v>
      </c>
      <c r="CD49" s="82"/>
      <c r="CE49" s="6">
        <f t="shared" ref="CE49:CF49" si="951">CE50+CE51</f>
        <v>0</v>
      </c>
      <c r="CF49" s="6">
        <f t="shared" si="951"/>
        <v>0</v>
      </c>
      <c r="CG49" s="82"/>
      <c r="CH49" s="6">
        <f t="shared" ref="CH49:CI49" si="952">CH50+CH51</f>
        <v>0</v>
      </c>
      <c r="CI49" s="6">
        <f t="shared" si="952"/>
        <v>0</v>
      </c>
      <c r="CJ49" s="82"/>
      <c r="CK49" s="6">
        <f t="shared" ref="CK49:CL49" si="953">CK50+CK51</f>
        <v>0</v>
      </c>
      <c r="CL49" s="6">
        <f t="shared" si="953"/>
        <v>0</v>
      </c>
      <c r="CM49" s="82"/>
      <c r="CN49" s="6">
        <f t="shared" ref="CN49:CO49" si="954">CN50+CN51</f>
        <v>0</v>
      </c>
      <c r="CO49" s="6">
        <f t="shared" si="954"/>
        <v>0</v>
      </c>
      <c r="CP49" s="82"/>
      <c r="CQ49" s="6">
        <f t="shared" ref="CQ49:CR49" si="955">CQ50+CQ51</f>
        <v>0</v>
      </c>
      <c r="CR49" s="6">
        <f t="shared" si="955"/>
        <v>0</v>
      </c>
      <c r="CS49" s="82"/>
      <c r="CT49" s="6">
        <f t="shared" ref="CT49:CU49" si="956">CT50+CT51</f>
        <v>0</v>
      </c>
      <c r="CU49" s="6">
        <f t="shared" si="956"/>
        <v>0</v>
      </c>
      <c r="CV49" s="82"/>
      <c r="CW49" s="6">
        <f t="shared" ref="CW49:CX49" si="957">CW50+CW51</f>
        <v>0</v>
      </c>
      <c r="CX49" s="6">
        <f t="shared" si="957"/>
        <v>0</v>
      </c>
      <c r="CY49" s="82"/>
      <c r="CZ49" s="6">
        <f t="shared" ref="CZ49:DA49" si="958">CZ50+CZ51</f>
        <v>0</v>
      </c>
      <c r="DA49" s="6">
        <f t="shared" si="958"/>
        <v>0</v>
      </c>
      <c r="DB49" s="82"/>
      <c r="DC49" s="6">
        <f t="shared" ref="DC49:DD49" si="959">DC50+DC51</f>
        <v>240000</v>
      </c>
      <c r="DD49" s="6">
        <f t="shared" si="959"/>
        <v>350000</v>
      </c>
      <c r="DE49" s="82"/>
      <c r="DF49" s="6">
        <f t="shared" ref="DF49:DG49" si="960">DF50+DF51</f>
        <v>0</v>
      </c>
      <c r="DG49" s="6">
        <f t="shared" si="960"/>
        <v>0</v>
      </c>
      <c r="DH49" s="82"/>
      <c r="DI49" s="6">
        <f t="shared" ref="DI49:DJ49" si="961">DI50+DI51</f>
        <v>0</v>
      </c>
      <c r="DJ49" s="6">
        <f t="shared" si="961"/>
        <v>0</v>
      </c>
      <c r="DK49" s="82"/>
      <c r="DL49" s="6">
        <f t="shared" ref="DL49:DM49" si="962">DL50+DL51</f>
        <v>0</v>
      </c>
      <c r="DM49" s="6">
        <f t="shared" si="962"/>
        <v>0</v>
      </c>
      <c r="DN49" s="82"/>
      <c r="DO49" s="6">
        <f t="shared" ref="DO49:DP49" si="963">DO50+DO51</f>
        <v>0</v>
      </c>
      <c r="DP49" s="6">
        <f t="shared" si="963"/>
        <v>0</v>
      </c>
      <c r="DQ49" s="82"/>
      <c r="DR49" s="38">
        <f t="shared" si="169"/>
        <v>240500</v>
      </c>
      <c r="DS49" s="38">
        <f t="shared" si="169"/>
        <v>350300</v>
      </c>
      <c r="DT49" s="82">
        <f t="shared" si="170"/>
        <v>145.65488565488565</v>
      </c>
      <c r="DU49" s="6">
        <f>DU50+DU51</f>
        <v>0</v>
      </c>
      <c r="DV49" s="6">
        <f>DV50+DV51</f>
        <v>0</v>
      </c>
      <c r="DW49" s="38"/>
      <c r="DX49" s="6">
        <f t="shared" ref="DX49:DY49" si="964">DX50+DX51</f>
        <v>0</v>
      </c>
      <c r="DY49" s="6">
        <f t="shared" si="964"/>
        <v>0</v>
      </c>
      <c r="DZ49" s="38"/>
      <c r="EA49" s="6">
        <f t="shared" ref="EA49:EB49" si="965">EA50+EA51</f>
        <v>0</v>
      </c>
      <c r="EB49" s="6">
        <f t="shared" si="965"/>
        <v>0</v>
      </c>
      <c r="EC49" s="38"/>
      <c r="ED49" s="6">
        <f t="shared" ref="ED49:EE49" si="966">ED50+ED51</f>
        <v>0</v>
      </c>
      <c r="EE49" s="6">
        <f t="shared" si="966"/>
        <v>0</v>
      </c>
      <c r="EF49" s="38"/>
      <c r="EG49" s="6">
        <f t="shared" ref="EG49:EH49" si="967">EG50+EG51</f>
        <v>0</v>
      </c>
      <c r="EH49" s="6">
        <f t="shared" si="967"/>
        <v>0</v>
      </c>
      <c r="EI49" s="38"/>
      <c r="EJ49" s="6">
        <f t="shared" ref="EJ49:EK49" si="968">EJ50+EJ51</f>
        <v>0</v>
      </c>
      <c r="EK49" s="6">
        <f t="shared" si="968"/>
        <v>0</v>
      </c>
      <c r="EL49" s="38"/>
      <c r="EM49" s="6">
        <f t="shared" ref="EM49:EN49" si="969">EM50+EM51</f>
        <v>0</v>
      </c>
      <c r="EN49" s="6">
        <f t="shared" si="969"/>
        <v>0</v>
      </c>
      <c r="EO49" s="38"/>
      <c r="EP49" s="6">
        <f t="shared" ref="EP49:EQ49" si="970">EP50+EP51</f>
        <v>0</v>
      </c>
      <c r="EQ49" s="6">
        <f t="shared" si="970"/>
        <v>0</v>
      </c>
      <c r="ER49" s="38"/>
      <c r="ES49" s="6">
        <f t="shared" ref="ES49:ET49" si="971">ES50+ES51</f>
        <v>0</v>
      </c>
      <c r="ET49" s="6">
        <f t="shared" si="971"/>
        <v>0</v>
      </c>
      <c r="EU49" s="38"/>
      <c r="EV49" s="38">
        <f t="shared" si="179"/>
        <v>0</v>
      </c>
      <c r="EW49" s="38">
        <f t="shared" si="179"/>
        <v>0</v>
      </c>
      <c r="EX49" s="84"/>
      <c r="EY49" s="6">
        <f t="shared" ref="EY49:EZ49" si="972">EY50+EY51</f>
        <v>0</v>
      </c>
      <c r="EZ49" s="6">
        <f t="shared" si="972"/>
        <v>0</v>
      </c>
      <c r="FA49" s="38"/>
      <c r="FB49" s="6">
        <f t="shared" ref="FB49:FC49" si="973">FB50+FB51</f>
        <v>0</v>
      </c>
      <c r="FC49" s="6">
        <f t="shared" si="973"/>
        <v>0</v>
      </c>
      <c r="FD49" s="38"/>
      <c r="FE49" s="6">
        <f t="shared" ref="FE49:FF49" si="974">FE50+FE51</f>
        <v>0</v>
      </c>
      <c r="FF49" s="6">
        <f t="shared" si="974"/>
        <v>0</v>
      </c>
      <c r="FG49" s="38"/>
      <c r="FH49" s="6">
        <f t="shared" ref="FH49:FI49" si="975">FH50+FH51</f>
        <v>0</v>
      </c>
      <c r="FI49" s="6">
        <f t="shared" si="975"/>
        <v>0</v>
      </c>
      <c r="FJ49" s="38"/>
      <c r="FK49" s="38"/>
      <c r="FL49" s="6">
        <f t="shared" ref="FL49" si="976">FL50+FL51</f>
        <v>0</v>
      </c>
      <c r="FM49" s="38"/>
      <c r="FN49" s="6">
        <f t="shared" ref="FN49:FO49" si="977">FN50+FN51</f>
        <v>0</v>
      </c>
      <c r="FO49" s="6">
        <f t="shared" si="977"/>
        <v>0</v>
      </c>
      <c r="FP49" s="38"/>
      <c r="FQ49" s="6">
        <f t="shared" ref="FQ49:FR49" si="978">FQ50+FQ51</f>
        <v>0</v>
      </c>
      <c r="FR49" s="6">
        <f t="shared" si="978"/>
        <v>0</v>
      </c>
      <c r="FS49" s="38"/>
      <c r="FT49" s="6">
        <f t="shared" ref="FT49:FU49" si="979">FT50+FT51</f>
        <v>0</v>
      </c>
      <c r="FU49" s="6">
        <f t="shared" si="979"/>
        <v>0</v>
      </c>
      <c r="FV49" s="38"/>
      <c r="FW49" s="6">
        <f t="shared" ref="FW49:FX49" si="980">FW50+FW51</f>
        <v>0</v>
      </c>
      <c r="FX49" s="6">
        <f t="shared" si="980"/>
        <v>0</v>
      </c>
      <c r="FY49" s="38"/>
      <c r="FZ49" s="6">
        <f t="shared" ref="FZ49:GA49" si="981">FZ50+FZ51</f>
        <v>0</v>
      </c>
      <c r="GA49" s="6">
        <f t="shared" si="981"/>
        <v>0</v>
      </c>
      <c r="GB49" s="38"/>
      <c r="GC49" s="6">
        <f t="shared" ref="GC49:GD49" si="982">GC50+GC51</f>
        <v>0</v>
      </c>
      <c r="GD49" s="6">
        <f t="shared" si="982"/>
        <v>0</v>
      </c>
      <c r="GE49" s="38"/>
      <c r="GF49" s="6">
        <f t="shared" ref="GF49:GG49" si="983">GF50+GF51</f>
        <v>0</v>
      </c>
      <c r="GG49" s="6">
        <f t="shared" si="983"/>
        <v>0</v>
      </c>
      <c r="GH49" s="38"/>
      <c r="GI49" s="6">
        <f t="shared" ref="GI49:GJ49" si="984">GI50+GI51</f>
        <v>0</v>
      </c>
      <c r="GJ49" s="6">
        <f t="shared" si="984"/>
        <v>0</v>
      </c>
      <c r="GK49" s="38"/>
      <c r="GL49" s="6">
        <f t="shared" ref="GL49:GM49" si="985">GL50+GL51</f>
        <v>0</v>
      </c>
      <c r="GM49" s="6">
        <f t="shared" si="985"/>
        <v>0</v>
      </c>
      <c r="GN49" s="38"/>
      <c r="GO49" s="38">
        <f t="shared" si="790"/>
        <v>0</v>
      </c>
      <c r="GP49" s="6">
        <f t="shared" ref="GP49" si="986">GP50+GP51</f>
        <v>0</v>
      </c>
      <c r="GQ49" s="38"/>
      <c r="GR49" s="6">
        <f t="shared" ref="GR49:GS49" si="987">GR50+GR51</f>
        <v>0</v>
      </c>
      <c r="GS49" s="6">
        <f t="shared" si="987"/>
        <v>0</v>
      </c>
      <c r="GT49" s="38"/>
      <c r="GU49" s="6">
        <f t="shared" ref="GU49:GV49" si="988">GU50+GU51</f>
        <v>0</v>
      </c>
      <c r="GV49" s="6">
        <f t="shared" si="988"/>
        <v>0</v>
      </c>
      <c r="GW49" s="38"/>
      <c r="GX49" s="6">
        <f t="shared" ref="GX49:GY49" si="989">GX50+GX51</f>
        <v>0</v>
      </c>
      <c r="GY49" s="6">
        <f t="shared" si="989"/>
        <v>0</v>
      </c>
      <c r="GZ49" s="38"/>
      <c r="HA49" s="38">
        <f t="shared" si="198"/>
        <v>0</v>
      </c>
      <c r="HB49" s="38">
        <f t="shared" si="198"/>
        <v>0</v>
      </c>
      <c r="HC49" s="38"/>
      <c r="HD49" s="38">
        <f t="shared" si="792"/>
        <v>240500</v>
      </c>
      <c r="HE49" s="38">
        <f t="shared" si="793"/>
        <v>350300</v>
      </c>
      <c r="HF49" s="238">
        <f t="shared" si="129"/>
        <v>145.65488565488565</v>
      </c>
      <c r="HH49" s="242"/>
      <c r="HI49" s="242"/>
    </row>
    <row r="50" spans="1:217" ht="24.9" customHeight="1" x14ac:dyDescent="0.25">
      <c r="A50" s="218" t="s">
        <v>376</v>
      </c>
      <c r="B50" s="7"/>
      <c r="C50" s="7">
        <f>SUM('címrend kötelező'!B50+'címrend önként'!B50+'címrend államig'!B50)</f>
        <v>0</v>
      </c>
      <c r="D50" s="82"/>
      <c r="E50" s="7"/>
      <c r="F50" s="7">
        <f>SUM('címrend kötelező'!C50+'címrend önként'!C50+'címrend államig'!C50)</f>
        <v>0</v>
      </c>
      <c r="G50" s="82"/>
      <c r="H50" s="7"/>
      <c r="I50" s="7">
        <f>SUM('címrend kötelező'!D50+'címrend önként'!D50+'címrend államig'!D50)</f>
        <v>0</v>
      </c>
      <c r="J50" s="82"/>
      <c r="K50" s="7">
        <v>500</v>
      </c>
      <c r="L50" s="7">
        <f>SUM('címrend kötelező'!E50+'címrend önként'!E50+'címrend államig'!E50)</f>
        <v>300</v>
      </c>
      <c r="M50" s="82"/>
      <c r="N50" s="7"/>
      <c r="O50" s="7">
        <f>SUM('címrend kötelező'!F50+'címrend önként'!F50+'címrend államig'!F50)</f>
        <v>0</v>
      </c>
      <c r="P50" s="82"/>
      <c r="Q50" s="7"/>
      <c r="R50" s="7">
        <f>SUM('címrend kötelező'!G50+'címrend önként'!G50+'címrend államig'!G50)</f>
        <v>0</v>
      </c>
      <c r="S50" s="82"/>
      <c r="T50" s="7"/>
      <c r="U50" s="7">
        <f>SUM('címrend kötelező'!H50+'címrend önként'!H50+'címrend államig'!H50)</f>
        <v>0</v>
      </c>
      <c r="V50" s="82"/>
      <c r="W50" s="7"/>
      <c r="X50" s="7">
        <f>SUM('címrend kötelező'!I50+'címrend önként'!I50+'címrend államig'!I50)</f>
        <v>0</v>
      </c>
      <c r="Y50" s="82"/>
      <c r="Z50" s="7"/>
      <c r="AA50" s="7">
        <f>SUM('címrend kötelező'!J50+'címrend önként'!J50+'címrend államig'!J50)</f>
        <v>0</v>
      </c>
      <c r="AB50" s="82"/>
      <c r="AC50" s="7"/>
      <c r="AD50" s="7">
        <f>SUM('címrend kötelező'!K50+'címrend önként'!K50+'címrend államig'!K50)</f>
        <v>0</v>
      </c>
      <c r="AE50" s="82"/>
      <c r="AF50" s="7"/>
      <c r="AG50" s="7">
        <f>SUM('címrend kötelező'!L50+'címrend önként'!L50+'címrend államig'!L50)</f>
        <v>0</v>
      </c>
      <c r="AH50" s="82"/>
      <c r="AI50" s="7"/>
      <c r="AJ50" s="7">
        <f>SUM('címrend kötelező'!M50+'címrend önként'!M50+'címrend államig'!M50)</f>
        <v>0</v>
      </c>
      <c r="AK50" s="82"/>
      <c r="AL50" s="7"/>
      <c r="AM50" s="7">
        <f>SUM('címrend kötelező'!N50+'címrend önként'!N50+'címrend államig'!N50)</f>
        <v>0</v>
      </c>
      <c r="AN50" s="82"/>
      <c r="AO50" s="7"/>
      <c r="AP50" s="7">
        <f>SUM('címrend kötelező'!O50+'címrend önként'!O50+'címrend államig'!O50)</f>
        <v>0</v>
      </c>
      <c r="AQ50" s="82"/>
      <c r="AR50" s="7"/>
      <c r="AS50" s="7">
        <f>SUM('címrend kötelező'!P50+'címrend önként'!P50+'címrend államig'!P50)</f>
        <v>0</v>
      </c>
      <c r="AT50" s="82"/>
      <c r="AU50" s="7"/>
      <c r="AV50" s="7">
        <f>SUM('címrend kötelező'!Q50+'címrend önként'!Q50+'címrend államig'!Q50)</f>
        <v>0</v>
      </c>
      <c r="AW50" s="82"/>
      <c r="AX50" s="7"/>
      <c r="AY50" s="7">
        <f>SUM('címrend kötelező'!R50+'címrend önként'!R50+'címrend államig'!R50)</f>
        <v>0</v>
      </c>
      <c r="AZ50" s="82"/>
      <c r="BA50" s="7"/>
      <c r="BB50" s="7">
        <f>SUM('címrend kötelező'!S50+'címrend önként'!S50+'címrend államig'!S50)</f>
        <v>0</v>
      </c>
      <c r="BC50" s="82"/>
      <c r="BD50" s="7"/>
      <c r="BE50" s="7">
        <f>SUM('címrend kötelező'!T50+'címrend önként'!T50+'címrend államig'!T50)</f>
        <v>0</v>
      </c>
      <c r="BF50" s="82"/>
      <c r="BG50" s="7"/>
      <c r="BH50" s="7">
        <f>SUM('címrend kötelező'!U50+'címrend önként'!U50+'címrend államig'!U50)</f>
        <v>0</v>
      </c>
      <c r="BI50" s="82"/>
      <c r="BJ50" s="7"/>
      <c r="BK50" s="7">
        <f>SUM('címrend kötelező'!V50+'címrend önként'!V50+'címrend államig'!V50)</f>
        <v>0</v>
      </c>
      <c r="BL50" s="82"/>
      <c r="BM50" s="7"/>
      <c r="BN50" s="7">
        <f>SUM('címrend kötelező'!W50+'címrend önként'!W50+'címrend államig'!W50)</f>
        <v>0</v>
      </c>
      <c r="BO50" s="82"/>
      <c r="BP50" s="7"/>
      <c r="BQ50" s="7">
        <f>SUM('címrend kötelező'!X50+'címrend önként'!X50+'címrend államig'!X50)</f>
        <v>0</v>
      </c>
      <c r="BR50" s="82"/>
      <c r="BS50" s="7"/>
      <c r="BT50" s="7">
        <f>SUM('címrend kötelező'!Y50+'címrend önként'!Y50+'címrend államig'!Y50)</f>
        <v>0</v>
      </c>
      <c r="BU50" s="82"/>
      <c r="BV50" s="7"/>
      <c r="BW50" s="7">
        <f>SUM('címrend kötelező'!Z50+'címrend önként'!Z50+'címrend államig'!Z50)</f>
        <v>0</v>
      </c>
      <c r="BX50" s="82"/>
      <c r="BY50" s="7"/>
      <c r="BZ50" s="7">
        <f>SUM('címrend kötelező'!AA50+'címrend önként'!AA50+'címrend államig'!AA50)</f>
        <v>0</v>
      </c>
      <c r="CA50" s="82"/>
      <c r="CB50" s="7"/>
      <c r="CC50" s="7">
        <f>SUM('címrend kötelező'!AB50+'címrend önként'!AB50+'címrend államig'!AB50)</f>
        <v>0</v>
      </c>
      <c r="CD50" s="82"/>
      <c r="CE50" s="7"/>
      <c r="CF50" s="7">
        <f>SUM('címrend kötelező'!AC50+'címrend önként'!AC50+'címrend államig'!AC50)</f>
        <v>0</v>
      </c>
      <c r="CG50" s="82"/>
      <c r="CH50" s="7"/>
      <c r="CI50" s="7">
        <f>SUM('címrend kötelező'!AD50+'címrend önként'!AD50+'címrend államig'!AD50)</f>
        <v>0</v>
      </c>
      <c r="CJ50" s="82"/>
      <c r="CK50" s="7"/>
      <c r="CL50" s="7">
        <f>SUM('címrend kötelező'!AE50+'címrend önként'!AE50+'címrend államig'!AE50)</f>
        <v>0</v>
      </c>
      <c r="CM50" s="82"/>
      <c r="CN50" s="7"/>
      <c r="CO50" s="7">
        <f>SUM('címrend kötelező'!AF50+'címrend önként'!AF50+'címrend államig'!AF50)</f>
        <v>0</v>
      </c>
      <c r="CP50" s="82"/>
      <c r="CQ50" s="7"/>
      <c r="CR50" s="7">
        <f>SUM('címrend kötelező'!AG50+'címrend önként'!AG50+'címrend államig'!AG50)</f>
        <v>0</v>
      </c>
      <c r="CS50" s="82"/>
      <c r="CT50" s="7"/>
      <c r="CU50" s="7">
        <f>SUM('címrend kötelező'!AH50+'címrend önként'!AH50+'címrend államig'!AH50)</f>
        <v>0</v>
      </c>
      <c r="CV50" s="82"/>
      <c r="CW50" s="7"/>
      <c r="CX50" s="7">
        <f>SUM('címrend kötelező'!AI50+'címrend önként'!AI50+'címrend államig'!AI50)</f>
        <v>0</v>
      </c>
      <c r="CY50" s="82"/>
      <c r="CZ50" s="7"/>
      <c r="DA50" s="7">
        <f>SUM('címrend kötelező'!AJ50+'címrend önként'!AJ50+'címrend államig'!AJ50)</f>
        <v>0</v>
      </c>
      <c r="DB50" s="82"/>
      <c r="DC50" s="7">
        <v>240000</v>
      </c>
      <c r="DD50" s="7">
        <f>SUM('címrend kötelező'!AK50+'címrend önként'!AK50+'címrend államig'!AK50)</f>
        <v>350000</v>
      </c>
      <c r="DE50" s="82"/>
      <c r="DF50" s="7"/>
      <c r="DG50" s="7">
        <f>SUM('címrend kötelező'!AL50+'címrend önként'!AL50+'címrend államig'!AL50)</f>
        <v>0</v>
      </c>
      <c r="DH50" s="82"/>
      <c r="DI50" s="7"/>
      <c r="DJ50" s="7">
        <f>SUM('címrend kötelező'!AM50+'címrend önként'!AM50+'címrend államig'!AM50)</f>
        <v>0</v>
      </c>
      <c r="DK50" s="82"/>
      <c r="DL50" s="7"/>
      <c r="DM50" s="7">
        <f>SUM('címrend kötelező'!AN50+'címrend önként'!AN50+'címrend államig'!AN50)</f>
        <v>0</v>
      </c>
      <c r="DN50" s="82"/>
      <c r="DO50" s="7"/>
      <c r="DP50" s="7">
        <f>SUM('címrend kötelező'!AO50+'címrend önként'!AO50+'címrend államig'!AO50)</f>
        <v>0</v>
      </c>
      <c r="DQ50" s="82"/>
      <c r="DR50" s="387">
        <f t="shared" si="169"/>
        <v>240500</v>
      </c>
      <c r="DS50" s="387">
        <f t="shared" si="169"/>
        <v>350300</v>
      </c>
      <c r="DT50" s="87">
        <f t="shared" si="170"/>
        <v>145.65488565488565</v>
      </c>
      <c r="DU50" s="7"/>
      <c r="DV50" s="7">
        <f>SUM('címrend kötelező'!AQ50+'címrend önként'!AQ50+'címrend államig'!AQ50)</f>
        <v>0</v>
      </c>
      <c r="DW50" s="38"/>
      <c r="DX50" s="7"/>
      <c r="DY50" s="7">
        <f>SUM('címrend kötelező'!AR50+'címrend önként'!AR50+'címrend államig'!AR50)</f>
        <v>0</v>
      </c>
      <c r="DZ50" s="38"/>
      <c r="EA50" s="7"/>
      <c r="EB50" s="7">
        <f>SUM('címrend kötelező'!AS50+'címrend önként'!AS50+'címrend államig'!AS50)</f>
        <v>0</v>
      </c>
      <c r="EC50" s="38"/>
      <c r="ED50" s="7"/>
      <c r="EE50" s="7">
        <f>SUM('címrend kötelező'!AT50+'címrend önként'!AT50+'címrend államig'!AT50)</f>
        <v>0</v>
      </c>
      <c r="EF50" s="38"/>
      <c r="EG50" s="7"/>
      <c r="EH50" s="7">
        <f>SUM('címrend kötelező'!AU50+'címrend önként'!AU50+'címrend államig'!AU50)</f>
        <v>0</v>
      </c>
      <c r="EI50" s="38"/>
      <c r="EJ50" s="7"/>
      <c r="EK50" s="7">
        <f>SUM('címrend kötelező'!AV50+'címrend önként'!AV50+'címrend államig'!AV50)</f>
        <v>0</v>
      </c>
      <c r="EL50" s="38"/>
      <c r="EM50" s="7"/>
      <c r="EN50" s="7">
        <f>SUM('címrend kötelező'!AW50+'címrend önként'!AW50+'címrend államig'!AW50)</f>
        <v>0</v>
      </c>
      <c r="EO50" s="38"/>
      <c r="EP50" s="7"/>
      <c r="EQ50" s="7">
        <f>SUM('címrend kötelező'!AX50+'címrend önként'!AX50+'címrend államig'!AX50)</f>
        <v>0</v>
      </c>
      <c r="ER50" s="38"/>
      <c r="ES50" s="7"/>
      <c r="ET50" s="7">
        <f>SUM('címrend kötelező'!AY50+'címrend önként'!AY50+'címrend államig'!AY50)</f>
        <v>0</v>
      </c>
      <c r="EU50" s="38"/>
      <c r="EV50" s="387">
        <f t="shared" si="179"/>
        <v>0</v>
      </c>
      <c r="EW50" s="387">
        <f t="shared" si="179"/>
        <v>0</v>
      </c>
      <c r="EX50" s="84"/>
      <c r="EY50" s="7"/>
      <c r="EZ50" s="7">
        <f>'címrend kötelező'!BA50+'címrend önként'!BA50+'címrend államig'!BA50</f>
        <v>0</v>
      </c>
      <c r="FA50" s="38"/>
      <c r="FB50" s="7"/>
      <c r="FC50" s="7">
        <f>'címrend kötelező'!BB50+'címrend önként'!BB50+'címrend államig'!BB50</f>
        <v>0</v>
      </c>
      <c r="FD50" s="38"/>
      <c r="FE50" s="7"/>
      <c r="FF50" s="7">
        <f>'címrend kötelező'!BC50+'címrend önként'!BC50+'címrend államig'!BC50</f>
        <v>0</v>
      </c>
      <c r="FG50" s="38"/>
      <c r="FH50" s="7"/>
      <c r="FI50" s="7">
        <f>'címrend kötelező'!BD50+'címrend önként'!BD50+'címrend államig'!BD50</f>
        <v>0</v>
      </c>
      <c r="FJ50" s="38"/>
      <c r="FK50" s="38"/>
      <c r="FL50" s="7">
        <f>'címrend kötelező'!BE50+'címrend önként'!BE50+'címrend államig'!BE50</f>
        <v>0</v>
      </c>
      <c r="FM50" s="38"/>
      <c r="FN50" s="7"/>
      <c r="FO50" s="7">
        <f>SUM('címrend kötelező'!BF50+'címrend önként'!BF50+'címrend államig'!BF50)</f>
        <v>0</v>
      </c>
      <c r="FP50" s="38"/>
      <c r="FQ50" s="7"/>
      <c r="FR50" s="7">
        <f>SUM('címrend kötelező'!BG50+'címrend önként'!BG50+'címrend államig'!BG50)</f>
        <v>0</v>
      </c>
      <c r="FS50" s="38"/>
      <c r="FT50" s="7"/>
      <c r="FU50" s="7">
        <f>SUM('címrend kötelező'!BH50+'címrend önként'!BH50+'címrend államig'!BH50)</f>
        <v>0</v>
      </c>
      <c r="FV50" s="38"/>
      <c r="FW50" s="7"/>
      <c r="FX50" s="7">
        <f>SUM('címrend kötelező'!BI50+'címrend önként'!BI50+'címrend államig'!BI50)</f>
        <v>0</v>
      </c>
      <c r="FY50" s="38"/>
      <c r="FZ50" s="7"/>
      <c r="GA50" s="7">
        <f>SUM('címrend kötelező'!BJ50+'címrend önként'!BJ50+'címrend államig'!BJ50)</f>
        <v>0</v>
      </c>
      <c r="GB50" s="38"/>
      <c r="GC50" s="7"/>
      <c r="GD50" s="7">
        <f>SUM('címrend kötelező'!BK50+'címrend önként'!BK50+'címrend államig'!BK50)</f>
        <v>0</v>
      </c>
      <c r="GE50" s="38"/>
      <c r="GF50" s="7"/>
      <c r="GG50" s="7">
        <f>SUM('címrend kötelező'!BL50+'címrend önként'!BL50+'címrend államig'!BL50)</f>
        <v>0</v>
      </c>
      <c r="GH50" s="38"/>
      <c r="GI50" s="7"/>
      <c r="GJ50" s="7">
        <f>SUM('címrend kötelező'!BM50+'címrend önként'!BM50+'címrend államig'!BM50)</f>
        <v>0</v>
      </c>
      <c r="GK50" s="38"/>
      <c r="GL50" s="7"/>
      <c r="GM50" s="7">
        <f>SUM('címrend kötelező'!BN50+'címrend önként'!BN50+'címrend államig'!BN50)</f>
        <v>0</v>
      </c>
      <c r="GN50" s="38"/>
      <c r="GO50" s="387">
        <f t="shared" si="790"/>
        <v>0</v>
      </c>
      <c r="GP50" s="387">
        <f t="shared" ref="GP50:GP51" si="990">EZ50+FC50+FF50+FI50+FL50+FO50+FR50+FU50+FX50+GA50+GD50+GG50+GJ50+GM50</f>
        <v>0</v>
      </c>
      <c r="GQ50" s="38"/>
      <c r="GR50" s="7"/>
      <c r="GS50" s="7">
        <f>SUM('címrend kötelező'!BP50+'címrend önként'!BP50+'címrend államig'!BP50)</f>
        <v>0</v>
      </c>
      <c r="GT50" s="38"/>
      <c r="GU50" s="7"/>
      <c r="GV50" s="7">
        <f>SUM('címrend kötelező'!BQ50+'címrend önként'!BQ50+'címrend államig'!BQ50)</f>
        <v>0</v>
      </c>
      <c r="GW50" s="38"/>
      <c r="GX50" s="7"/>
      <c r="GY50" s="7">
        <f>SUM('címrend kötelező'!BR50+'címrend önként'!BR50+'címrend államig'!BR50)</f>
        <v>0</v>
      </c>
      <c r="GZ50" s="38"/>
      <c r="HA50" s="387">
        <f t="shared" si="198"/>
        <v>0</v>
      </c>
      <c r="HB50" s="387">
        <f t="shared" si="198"/>
        <v>0</v>
      </c>
      <c r="HC50" s="387"/>
      <c r="HD50" s="38">
        <f t="shared" si="792"/>
        <v>240500</v>
      </c>
      <c r="HE50" s="38">
        <f t="shared" si="793"/>
        <v>350300</v>
      </c>
      <c r="HF50" s="238">
        <f t="shared" si="129"/>
        <v>145.65488565488565</v>
      </c>
      <c r="HH50" s="242"/>
      <c r="HI50" s="242"/>
    </row>
    <row r="51" spans="1:217" ht="15" customHeight="1" x14ac:dyDescent="0.25">
      <c r="A51" s="218" t="s">
        <v>377</v>
      </c>
      <c r="B51" s="7"/>
      <c r="C51" s="7">
        <f>SUM('címrend kötelező'!B51+'címrend önként'!B51+'címrend államig'!B51)</f>
        <v>0</v>
      </c>
      <c r="D51" s="82"/>
      <c r="E51" s="7"/>
      <c r="F51" s="7">
        <f>SUM('címrend kötelező'!C51+'címrend önként'!C51+'címrend államig'!C51)</f>
        <v>0</v>
      </c>
      <c r="G51" s="82"/>
      <c r="H51" s="7"/>
      <c r="I51" s="7">
        <f>SUM('címrend kötelező'!D51+'címrend önként'!D51+'címrend államig'!D51)</f>
        <v>0</v>
      </c>
      <c r="J51" s="82"/>
      <c r="K51" s="7"/>
      <c r="L51" s="7">
        <f>SUM('címrend kötelező'!E51+'címrend önként'!E51+'címrend államig'!E51)</f>
        <v>0</v>
      </c>
      <c r="M51" s="82"/>
      <c r="N51" s="7"/>
      <c r="O51" s="7">
        <f>SUM('címrend kötelező'!F51+'címrend önként'!F51+'címrend államig'!F51)</f>
        <v>0</v>
      </c>
      <c r="P51" s="82"/>
      <c r="Q51" s="7"/>
      <c r="R51" s="7">
        <f>SUM('címrend kötelező'!G51+'címrend önként'!G51+'címrend államig'!G51)</f>
        <v>0</v>
      </c>
      <c r="S51" s="82"/>
      <c r="T51" s="7"/>
      <c r="U51" s="7">
        <f>SUM('címrend kötelező'!H51+'címrend önként'!H51+'címrend államig'!H51)</f>
        <v>0</v>
      </c>
      <c r="V51" s="82"/>
      <c r="W51" s="7"/>
      <c r="X51" s="7">
        <f>SUM('címrend kötelező'!I51+'címrend önként'!I51+'címrend államig'!I51)</f>
        <v>0</v>
      </c>
      <c r="Y51" s="82"/>
      <c r="Z51" s="7"/>
      <c r="AA51" s="7">
        <f>SUM('címrend kötelező'!J51+'címrend önként'!J51+'címrend államig'!J51)</f>
        <v>0</v>
      </c>
      <c r="AB51" s="82"/>
      <c r="AC51" s="7"/>
      <c r="AD51" s="7">
        <f>SUM('címrend kötelező'!K51+'címrend önként'!K51+'címrend államig'!K51)</f>
        <v>0</v>
      </c>
      <c r="AE51" s="82"/>
      <c r="AF51" s="7"/>
      <c r="AG51" s="7">
        <f>SUM('címrend kötelező'!L51+'címrend önként'!L51+'címrend államig'!L51)</f>
        <v>0</v>
      </c>
      <c r="AH51" s="82"/>
      <c r="AI51" s="7"/>
      <c r="AJ51" s="7">
        <f>SUM('címrend kötelező'!M51+'címrend önként'!M51+'címrend államig'!M51)</f>
        <v>0</v>
      </c>
      <c r="AK51" s="82"/>
      <c r="AL51" s="7"/>
      <c r="AM51" s="7">
        <f>SUM('címrend kötelező'!N51+'címrend önként'!N51+'címrend államig'!N51)</f>
        <v>0</v>
      </c>
      <c r="AN51" s="82"/>
      <c r="AO51" s="7"/>
      <c r="AP51" s="7">
        <f>SUM('címrend kötelező'!O51+'címrend önként'!O51+'címrend államig'!O51)</f>
        <v>0</v>
      </c>
      <c r="AQ51" s="82"/>
      <c r="AR51" s="7"/>
      <c r="AS51" s="7">
        <f>SUM('címrend kötelező'!P51+'címrend önként'!P51+'címrend államig'!P51)</f>
        <v>0</v>
      </c>
      <c r="AT51" s="82"/>
      <c r="AU51" s="7"/>
      <c r="AV51" s="7">
        <f>SUM('címrend kötelező'!Q51+'címrend önként'!Q51+'címrend államig'!Q51)</f>
        <v>0</v>
      </c>
      <c r="AW51" s="82"/>
      <c r="AX51" s="7"/>
      <c r="AY51" s="7">
        <f>SUM('címrend kötelező'!R51+'címrend önként'!R51+'címrend államig'!R51)</f>
        <v>0</v>
      </c>
      <c r="AZ51" s="82"/>
      <c r="BA51" s="7"/>
      <c r="BB51" s="7">
        <f>SUM('címrend kötelező'!S51+'címrend önként'!S51+'címrend államig'!S51)</f>
        <v>0</v>
      </c>
      <c r="BC51" s="82"/>
      <c r="BD51" s="7"/>
      <c r="BE51" s="7">
        <f>SUM('címrend kötelező'!T51+'címrend önként'!T51+'címrend államig'!T51)</f>
        <v>0</v>
      </c>
      <c r="BF51" s="82"/>
      <c r="BG51" s="7"/>
      <c r="BH51" s="7">
        <f>SUM('címrend kötelező'!U51+'címrend önként'!U51+'címrend államig'!U51)</f>
        <v>0</v>
      </c>
      <c r="BI51" s="82"/>
      <c r="BJ51" s="7"/>
      <c r="BK51" s="7">
        <f>SUM('címrend kötelező'!V51+'címrend önként'!V51+'címrend államig'!V51)</f>
        <v>0</v>
      </c>
      <c r="BL51" s="82"/>
      <c r="BM51" s="7"/>
      <c r="BN51" s="7">
        <f>SUM('címrend kötelező'!W51+'címrend önként'!W51+'címrend államig'!W51)</f>
        <v>0</v>
      </c>
      <c r="BO51" s="82"/>
      <c r="BP51" s="7"/>
      <c r="BQ51" s="7">
        <f>SUM('címrend kötelező'!X51+'címrend önként'!X51+'címrend államig'!X51)</f>
        <v>0</v>
      </c>
      <c r="BR51" s="82"/>
      <c r="BS51" s="7"/>
      <c r="BT51" s="7">
        <f>SUM('címrend kötelező'!Y51+'címrend önként'!Y51+'címrend államig'!Y51)</f>
        <v>0</v>
      </c>
      <c r="BU51" s="82"/>
      <c r="BV51" s="7"/>
      <c r="BW51" s="7">
        <f>SUM('címrend kötelező'!Z51+'címrend önként'!Z51+'címrend államig'!Z51)</f>
        <v>0</v>
      </c>
      <c r="BX51" s="82"/>
      <c r="BY51" s="7"/>
      <c r="BZ51" s="7">
        <f>SUM('címrend kötelező'!AA51+'címrend önként'!AA51+'címrend államig'!AA51)</f>
        <v>0</v>
      </c>
      <c r="CA51" s="82"/>
      <c r="CB51" s="7"/>
      <c r="CC51" s="7">
        <f>SUM('címrend kötelező'!AB51+'címrend önként'!AB51+'címrend államig'!AB51)</f>
        <v>0</v>
      </c>
      <c r="CD51" s="82"/>
      <c r="CE51" s="7"/>
      <c r="CF51" s="7">
        <f>SUM('címrend kötelező'!AC51+'címrend önként'!AC51+'címrend államig'!AC51)</f>
        <v>0</v>
      </c>
      <c r="CG51" s="82"/>
      <c r="CH51" s="7"/>
      <c r="CI51" s="7">
        <f>SUM('címrend kötelező'!AD51+'címrend önként'!AD51+'címrend államig'!AD51)</f>
        <v>0</v>
      </c>
      <c r="CJ51" s="82"/>
      <c r="CK51" s="7"/>
      <c r="CL51" s="7">
        <f>SUM('címrend kötelező'!AE51+'címrend önként'!AE51+'címrend államig'!AE51)</f>
        <v>0</v>
      </c>
      <c r="CM51" s="82"/>
      <c r="CN51" s="7"/>
      <c r="CO51" s="7">
        <f>SUM('címrend kötelező'!AF51+'címrend önként'!AF51+'címrend államig'!AF51)</f>
        <v>0</v>
      </c>
      <c r="CP51" s="82"/>
      <c r="CQ51" s="7"/>
      <c r="CR51" s="7">
        <f>SUM('címrend kötelező'!AG51+'címrend önként'!AG51+'címrend államig'!AG51)</f>
        <v>0</v>
      </c>
      <c r="CS51" s="82"/>
      <c r="CT51" s="7"/>
      <c r="CU51" s="7">
        <f>SUM('címrend kötelező'!AH51+'címrend önként'!AH51+'címrend államig'!AH51)</f>
        <v>0</v>
      </c>
      <c r="CV51" s="82"/>
      <c r="CW51" s="7"/>
      <c r="CX51" s="7">
        <f>SUM('címrend kötelező'!AI51+'címrend önként'!AI51+'címrend államig'!AI51)</f>
        <v>0</v>
      </c>
      <c r="CY51" s="82"/>
      <c r="CZ51" s="7"/>
      <c r="DA51" s="7">
        <f>SUM('címrend kötelező'!AJ51+'címrend önként'!AJ51+'címrend államig'!AJ51)</f>
        <v>0</v>
      </c>
      <c r="DB51" s="82"/>
      <c r="DC51" s="7"/>
      <c r="DD51" s="7">
        <f>SUM('címrend kötelező'!AK51+'címrend önként'!AK51+'címrend államig'!AK51)</f>
        <v>0</v>
      </c>
      <c r="DE51" s="82"/>
      <c r="DF51" s="7"/>
      <c r="DG51" s="7">
        <f>SUM('címrend kötelező'!AL51+'címrend önként'!AL51+'címrend államig'!AL51)</f>
        <v>0</v>
      </c>
      <c r="DH51" s="82"/>
      <c r="DI51" s="7"/>
      <c r="DJ51" s="7">
        <f>SUM('címrend kötelező'!AM51+'címrend önként'!AM51+'címrend államig'!AM51)</f>
        <v>0</v>
      </c>
      <c r="DK51" s="82"/>
      <c r="DL51" s="7"/>
      <c r="DM51" s="7">
        <f>SUM('címrend kötelező'!AN51+'címrend önként'!AN51+'címrend államig'!AN51)</f>
        <v>0</v>
      </c>
      <c r="DN51" s="82"/>
      <c r="DO51" s="7"/>
      <c r="DP51" s="7">
        <f>SUM('címrend kötelező'!AO51+'címrend önként'!AO51+'címrend államig'!AO51)</f>
        <v>0</v>
      </c>
      <c r="DQ51" s="82"/>
      <c r="DR51" s="387">
        <f t="shared" si="169"/>
        <v>0</v>
      </c>
      <c r="DS51" s="387">
        <f t="shared" si="169"/>
        <v>0</v>
      </c>
      <c r="DT51" s="387"/>
      <c r="DU51" s="7"/>
      <c r="DV51" s="7">
        <f>SUM('címrend kötelező'!AQ51+'címrend önként'!AQ51+'címrend államig'!AQ51)</f>
        <v>0</v>
      </c>
      <c r="DW51" s="38"/>
      <c r="DX51" s="7"/>
      <c r="DY51" s="7">
        <f>SUM('címrend kötelező'!AR51+'címrend önként'!AR51+'címrend államig'!AR51)</f>
        <v>0</v>
      </c>
      <c r="DZ51" s="38"/>
      <c r="EA51" s="7"/>
      <c r="EB51" s="7">
        <f>SUM('címrend kötelező'!AS51+'címrend önként'!AS51+'címrend államig'!AS51)</f>
        <v>0</v>
      </c>
      <c r="EC51" s="38"/>
      <c r="ED51" s="7"/>
      <c r="EE51" s="7">
        <f>SUM('címrend kötelező'!AT51+'címrend önként'!AT51+'címrend államig'!AT51)</f>
        <v>0</v>
      </c>
      <c r="EF51" s="38"/>
      <c r="EG51" s="7"/>
      <c r="EH51" s="7">
        <f>SUM('címrend kötelező'!AU51+'címrend önként'!AU51+'címrend államig'!AU51)</f>
        <v>0</v>
      </c>
      <c r="EI51" s="38"/>
      <c r="EJ51" s="7"/>
      <c r="EK51" s="7">
        <f>SUM('címrend kötelező'!AV51+'címrend önként'!AV51+'címrend államig'!AV51)</f>
        <v>0</v>
      </c>
      <c r="EL51" s="38"/>
      <c r="EM51" s="7"/>
      <c r="EN51" s="7">
        <f>SUM('címrend kötelező'!AW51+'címrend önként'!AW51+'címrend államig'!AW51)</f>
        <v>0</v>
      </c>
      <c r="EO51" s="38"/>
      <c r="EP51" s="7"/>
      <c r="EQ51" s="7">
        <f>SUM('címrend kötelező'!AX51+'címrend önként'!AX51+'címrend államig'!AX51)</f>
        <v>0</v>
      </c>
      <c r="ER51" s="38"/>
      <c r="ES51" s="7"/>
      <c r="ET51" s="7">
        <f>SUM('címrend kötelező'!AY51+'címrend önként'!AY51+'címrend államig'!AY51)</f>
        <v>0</v>
      </c>
      <c r="EU51" s="38"/>
      <c r="EV51" s="387">
        <f t="shared" si="179"/>
        <v>0</v>
      </c>
      <c r="EW51" s="387">
        <f t="shared" si="179"/>
        <v>0</v>
      </c>
      <c r="EX51" s="84"/>
      <c r="EY51" s="7"/>
      <c r="EZ51" s="7">
        <f>'címrend kötelező'!BA51+'címrend önként'!BA51+'címrend államig'!BA51</f>
        <v>0</v>
      </c>
      <c r="FA51" s="38"/>
      <c r="FB51" s="7"/>
      <c r="FC51" s="7">
        <f>'címrend kötelező'!BB51+'címrend önként'!BB51+'címrend államig'!BB51</f>
        <v>0</v>
      </c>
      <c r="FD51" s="38"/>
      <c r="FE51" s="7"/>
      <c r="FF51" s="7">
        <f>'címrend kötelező'!BC51+'címrend önként'!BC51+'címrend államig'!BC51</f>
        <v>0</v>
      </c>
      <c r="FG51" s="38"/>
      <c r="FH51" s="7"/>
      <c r="FI51" s="7">
        <f>'címrend kötelező'!BD51+'címrend önként'!BD51+'címrend államig'!BD51</f>
        <v>0</v>
      </c>
      <c r="FJ51" s="38"/>
      <c r="FK51" s="38"/>
      <c r="FL51" s="7">
        <f>'címrend kötelező'!BE51+'címrend önként'!BE51+'címrend államig'!BE51</f>
        <v>0</v>
      </c>
      <c r="FM51" s="38"/>
      <c r="FN51" s="7"/>
      <c r="FO51" s="7">
        <f>SUM('címrend kötelező'!BF51+'címrend önként'!BF51+'címrend államig'!BF51)</f>
        <v>0</v>
      </c>
      <c r="FP51" s="38"/>
      <c r="FQ51" s="7"/>
      <c r="FR51" s="7">
        <f>SUM('címrend kötelező'!BG51+'címrend önként'!BG51+'címrend államig'!BG51)</f>
        <v>0</v>
      </c>
      <c r="FS51" s="38"/>
      <c r="FT51" s="7"/>
      <c r="FU51" s="7">
        <f>SUM('címrend kötelező'!BH51+'címrend önként'!BH51+'címrend államig'!BH51)</f>
        <v>0</v>
      </c>
      <c r="FV51" s="38"/>
      <c r="FW51" s="7"/>
      <c r="FX51" s="7">
        <f>SUM('címrend kötelező'!BI51+'címrend önként'!BI51+'címrend államig'!BI51)</f>
        <v>0</v>
      </c>
      <c r="FY51" s="38"/>
      <c r="FZ51" s="7"/>
      <c r="GA51" s="7">
        <f>SUM('címrend kötelező'!BJ51+'címrend önként'!BJ51+'címrend államig'!BJ51)</f>
        <v>0</v>
      </c>
      <c r="GB51" s="38"/>
      <c r="GC51" s="7"/>
      <c r="GD51" s="7">
        <f>SUM('címrend kötelező'!BK51+'címrend önként'!BK51+'címrend államig'!BK51)</f>
        <v>0</v>
      </c>
      <c r="GE51" s="38"/>
      <c r="GF51" s="7"/>
      <c r="GG51" s="7">
        <f>SUM('címrend kötelező'!BL51+'címrend önként'!BL51+'címrend államig'!BL51)</f>
        <v>0</v>
      </c>
      <c r="GH51" s="38"/>
      <c r="GI51" s="7"/>
      <c r="GJ51" s="7">
        <f>SUM('címrend kötelező'!BM51+'címrend önként'!BM51+'címrend államig'!BM51)</f>
        <v>0</v>
      </c>
      <c r="GK51" s="38"/>
      <c r="GL51" s="7"/>
      <c r="GM51" s="7">
        <f>SUM('címrend kötelező'!BN51+'címrend önként'!BN51+'címrend államig'!BN51)</f>
        <v>0</v>
      </c>
      <c r="GN51" s="38"/>
      <c r="GO51" s="387">
        <f t="shared" si="790"/>
        <v>0</v>
      </c>
      <c r="GP51" s="387">
        <f t="shared" si="990"/>
        <v>0</v>
      </c>
      <c r="GQ51" s="38"/>
      <c r="GR51" s="7"/>
      <c r="GS51" s="7">
        <f>SUM('címrend kötelező'!BP51+'címrend önként'!BP51+'címrend államig'!BP51)</f>
        <v>0</v>
      </c>
      <c r="GT51" s="38"/>
      <c r="GU51" s="7"/>
      <c r="GV51" s="7">
        <f>SUM('címrend kötelező'!BQ51+'címrend önként'!BQ51+'címrend államig'!BQ51)</f>
        <v>0</v>
      </c>
      <c r="GW51" s="38"/>
      <c r="GX51" s="7"/>
      <c r="GY51" s="7">
        <f>SUM('címrend kötelező'!BR51+'címrend önként'!BR51+'címrend államig'!BR51)</f>
        <v>0</v>
      </c>
      <c r="GZ51" s="38"/>
      <c r="HA51" s="387">
        <f t="shared" si="198"/>
        <v>0</v>
      </c>
      <c r="HB51" s="387">
        <f t="shared" si="198"/>
        <v>0</v>
      </c>
      <c r="HC51" s="387"/>
      <c r="HD51" s="38">
        <f t="shared" si="792"/>
        <v>0</v>
      </c>
      <c r="HE51" s="38">
        <f t="shared" si="793"/>
        <v>0</v>
      </c>
      <c r="HF51" s="238"/>
      <c r="HH51" s="242"/>
      <c r="HI51" s="242"/>
    </row>
    <row r="52" spans="1:217" s="13" customFormat="1" ht="15" customHeight="1" x14ac:dyDescent="0.25">
      <c r="A52" s="219" t="s">
        <v>378</v>
      </c>
      <c r="B52" s="6">
        <f>B28+B40</f>
        <v>0</v>
      </c>
      <c r="C52" s="6">
        <f>C28+C40</f>
        <v>0</v>
      </c>
      <c r="D52" s="82"/>
      <c r="E52" s="6">
        <f t="shared" ref="E52:F52" si="991">E28+E40</f>
        <v>0</v>
      </c>
      <c r="F52" s="6">
        <f t="shared" si="991"/>
        <v>0</v>
      </c>
      <c r="G52" s="82"/>
      <c r="H52" s="6">
        <f t="shared" ref="H52:I52" si="992">H28+H40</f>
        <v>0</v>
      </c>
      <c r="I52" s="6">
        <f t="shared" si="992"/>
        <v>0</v>
      </c>
      <c r="J52" s="82"/>
      <c r="K52" s="6">
        <f t="shared" ref="K52:L52" si="993">K28+K40</f>
        <v>500</v>
      </c>
      <c r="L52" s="6">
        <f t="shared" si="993"/>
        <v>300</v>
      </c>
      <c r="M52" s="82"/>
      <c r="N52" s="6">
        <f t="shared" ref="N52:O52" si="994">N28+N40</f>
        <v>0</v>
      </c>
      <c r="O52" s="6">
        <f t="shared" si="994"/>
        <v>0</v>
      </c>
      <c r="P52" s="82"/>
      <c r="Q52" s="6">
        <f t="shared" ref="Q52:R52" si="995">Q28+Q40</f>
        <v>0</v>
      </c>
      <c r="R52" s="6">
        <f t="shared" si="995"/>
        <v>0</v>
      </c>
      <c r="S52" s="82"/>
      <c r="T52" s="6">
        <f t="shared" ref="T52:U52" si="996">T28+T40</f>
        <v>0</v>
      </c>
      <c r="U52" s="6">
        <f t="shared" si="996"/>
        <v>0</v>
      </c>
      <c r="V52" s="82"/>
      <c r="W52" s="6">
        <f t="shared" ref="W52:X52" si="997">W28+W40</f>
        <v>7807000</v>
      </c>
      <c r="X52" s="6">
        <f t="shared" si="997"/>
        <v>8835936</v>
      </c>
      <c r="Y52" s="82"/>
      <c r="Z52" s="6">
        <f t="shared" ref="Z52:AA52" si="998">Z28+Z40</f>
        <v>1989538</v>
      </c>
      <c r="AA52" s="6">
        <f t="shared" si="998"/>
        <v>2030251.764</v>
      </c>
      <c r="AB52" s="82"/>
      <c r="AC52" s="6">
        <f t="shared" ref="AC52:AD52" si="999">AC28+AC40</f>
        <v>0</v>
      </c>
      <c r="AD52" s="6">
        <f t="shared" si="999"/>
        <v>0</v>
      </c>
      <c r="AE52" s="82"/>
      <c r="AF52" s="6">
        <f t="shared" ref="AF52:AG52" si="1000">AF28+AF40</f>
        <v>0</v>
      </c>
      <c r="AG52" s="6">
        <f t="shared" si="1000"/>
        <v>0</v>
      </c>
      <c r="AH52" s="82"/>
      <c r="AI52" s="6">
        <f t="shared" ref="AI52:AJ52" si="1001">AI28+AI40</f>
        <v>5603</v>
      </c>
      <c r="AJ52" s="6">
        <f t="shared" si="1001"/>
        <v>5698</v>
      </c>
      <c r="AK52" s="82"/>
      <c r="AL52" s="6">
        <f t="shared" ref="AL52:AM52" si="1002">AL28+AL40</f>
        <v>4000</v>
      </c>
      <c r="AM52" s="6">
        <f t="shared" si="1002"/>
        <v>4000</v>
      </c>
      <c r="AN52" s="82"/>
      <c r="AO52" s="6">
        <f t="shared" ref="AO52:AP52" si="1003">AO28+AO40</f>
        <v>1529011</v>
      </c>
      <c r="AP52" s="6">
        <f t="shared" si="1003"/>
        <v>1649610</v>
      </c>
      <c r="AQ52" s="82"/>
      <c r="AR52" s="6">
        <f t="shared" ref="AR52:AS52" si="1004">AR28+AR40</f>
        <v>0</v>
      </c>
      <c r="AS52" s="6">
        <f t="shared" si="1004"/>
        <v>0</v>
      </c>
      <c r="AT52" s="82"/>
      <c r="AU52" s="6">
        <f t="shared" ref="AU52:AV52" si="1005">AU28+AU40</f>
        <v>1300</v>
      </c>
      <c r="AV52" s="6">
        <f t="shared" si="1005"/>
        <v>0</v>
      </c>
      <c r="AW52" s="82"/>
      <c r="AX52" s="6">
        <f t="shared" ref="AX52:AY52" si="1006">AX28+AX40</f>
        <v>269000</v>
      </c>
      <c r="AY52" s="6">
        <f t="shared" si="1006"/>
        <v>300000</v>
      </c>
      <c r="AZ52" s="82"/>
      <c r="BA52" s="6">
        <f t="shared" ref="BA52:BB52" si="1007">BA28+BA40</f>
        <v>0</v>
      </c>
      <c r="BB52" s="6">
        <f t="shared" si="1007"/>
        <v>0</v>
      </c>
      <c r="BC52" s="82"/>
      <c r="BD52" s="6">
        <f t="shared" ref="BD52:BE52" si="1008">BD28+BD40</f>
        <v>0</v>
      </c>
      <c r="BE52" s="6">
        <f t="shared" si="1008"/>
        <v>0</v>
      </c>
      <c r="BF52" s="82"/>
      <c r="BG52" s="6">
        <f t="shared" ref="BG52:BH52" si="1009">BG28+BG40</f>
        <v>58944</v>
      </c>
      <c r="BH52" s="6">
        <f t="shared" si="1009"/>
        <v>71954</v>
      </c>
      <c r="BI52" s="82"/>
      <c r="BJ52" s="6">
        <f t="shared" ref="BJ52:BK52" si="1010">BJ28+BJ40</f>
        <v>0</v>
      </c>
      <c r="BK52" s="6">
        <f t="shared" si="1010"/>
        <v>0</v>
      </c>
      <c r="BL52" s="82"/>
      <c r="BM52" s="6">
        <f t="shared" ref="BM52:BN52" si="1011">BM28+BM40</f>
        <v>0</v>
      </c>
      <c r="BN52" s="6">
        <f t="shared" si="1011"/>
        <v>0</v>
      </c>
      <c r="BO52" s="82"/>
      <c r="BP52" s="6">
        <f t="shared" ref="BP52:BQ52" si="1012">BP28+BP40</f>
        <v>170049</v>
      </c>
      <c r="BQ52" s="6">
        <f t="shared" si="1012"/>
        <v>145962</v>
      </c>
      <c r="BR52" s="82"/>
      <c r="BS52" s="6">
        <f t="shared" ref="BS52:BT52" si="1013">BS28+BS40</f>
        <v>20000</v>
      </c>
      <c r="BT52" s="6">
        <f t="shared" si="1013"/>
        <v>25000</v>
      </c>
      <c r="BU52" s="82"/>
      <c r="BV52" s="6">
        <f t="shared" ref="BV52:BW52" si="1014">BV28+BV40</f>
        <v>0</v>
      </c>
      <c r="BW52" s="6">
        <f t="shared" si="1014"/>
        <v>0</v>
      </c>
      <c r="BX52" s="82"/>
      <c r="BY52" s="6">
        <f t="shared" ref="BY52:BZ52" si="1015">BY28+BY40</f>
        <v>100000</v>
      </c>
      <c r="BZ52" s="6">
        <f t="shared" si="1015"/>
        <v>110000</v>
      </c>
      <c r="CA52" s="82"/>
      <c r="CB52" s="6">
        <f t="shared" ref="CB52:CC52" si="1016">CB28+CB40</f>
        <v>0</v>
      </c>
      <c r="CC52" s="6">
        <f t="shared" si="1016"/>
        <v>0</v>
      </c>
      <c r="CD52" s="82"/>
      <c r="CE52" s="6">
        <f t="shared" ref="CE52:CF52" si="1017">CE28+CE40</f>
        <v>4896312</v>
      </c>
      <c r="CF52" s="6">
        <f t="shared" si="1017"/>
        <v>2799300</v>
      </c>
      <c r="CG52" s="82"/>
      <c r="CH52" s="6">
        <f t="shared" ref="CH52:CI52" si="1018">CH28+CH40</f>
        <v>0</v>
      </c>
      <c r="CI52" s="6">
        <f t="shared" si="1018"/>
        <v>0</v>
      </c>
      <c r="CJ52" s="82"/>
      <c r="CK52" s="6">
        <f t="shared" ref="CK52:CL52" si="1019">CK28+CK40</f>
        <v>0</v>
      </c>
      <c r="CL52" s="6">
        <f t="shared" si="1019"/>
        <v>0</v>
      </c>
      <c r="CM52" s="82"/>
      <c r="CN52" s="6">
        <f t="shared" ref="CN52:CO52" si="1020">CN28+CN40</f>
        <v>310000</v>
      </c>
      <c r="CO52" s="6">
        <f t="shared" si="1020"/>
        <v>0</v>
      </c>
      <c r="CP52" s="82"/>
      <c r="CQ52" s="6">
        <f t="shared" ref="CQ52:CR52" si="1021">CQ28+CQ40</f>
        <v>0</v>
      </c>
      <c r="CR52" s="6">
        <f t="shared" si="1021"/>
        <v>0</v>
      </c>
      <c r="CS52" s="82"/>
      <c r="CT52" s="6">
        <f t="shared" ref="CT52:CU52" si="1022">CT28+CT40</f>
        <v>0</v>
      </c>
      <c r="CU52" s="6">
        <f t="shared" si="1022"/>
        <v>0</v>
      </c>
      <c r="CV52" s="82"/>
      <c r="CW52" s="6">
        <f t="shared" ref="CW52:CX52" si="1023">CW28+CW40</f>
        <v>0</v>
      </c>
      <c r="CX52" s="6">
        <f t="shared" si="1023"/>
        <v>0</v>
      </c>
      <c r="CY52" s="82"/>
      <c r="CZ52" s="6">
        <f t="shared" ref="CZ52:DA52" si="1024">CZ28+CZ40</f>
        <v>0</v>
      </c>
      <c r="DA52" s="6">
        <f t="shared" si="1024"/>
        <v>0</v>
      </c>
      <c r="DB52" s="82"/>
      <c r="DC52" s="6">
        <f t="shared" ref="DC52:DD52" si="1025">DC28+DC40</f>
        <v>240000</v>
      </c>
      <c r="DD52" s="6">
        <f t="shared" si="1025"/>
        <v>350000</v>
      </c>
      <c r="DE52" s="82"/>
      <c r="DF52" s="6">
        <f t="shared" ref="DF52:DG52" si="1026">DF28+DF40</f>
        <v>0</v>
      </c>
      <c r="DG52" s="6">
        <f t="shared" si="1026"/>
        <v>0</v>
      </c>
      <c r="DH52" s="82"/>
      <c r="DI52" s="6">
        <f t="shared" ref="DI52:DJ52" si="1027">DI28+DI40</f>
        <v>15000</v>
      </c>
      <c r="DJ52" s="6">
        <f t="shared" si="1027"/>
        <v>76446</v>
      </c>
      <c r="DK52" s="82"/>
      <c r="DL52" s="6">
        <f t="shared" ref="DL52:DM52" si="1028">DL28+DL40</f>
        <v>0</v>
      </c>
      <c r="DM52" s="6">
        <f t="shared" si="1028"/>
        <v>0</v>
      </c>
      <c r="DN52" s="82"/>
      <c r="DO52" s="6">
        <f t="shared" ref="DO52:DP52" si="1029">DO28+DO40</f>
        <v>35000</v>
      </c>
      <c r="DP52" s="6">
        <f t="shared" si="1029"/>
        <v>100000</v>
      </c>
      <c r="DQ52" s="82"/>
      <c r="DR52" s="38">
        <f t="shared" si="169"/>
        <v>17451257</v>
      </c>
      <c r="DS52" s="38">
        <f t="shared" si="169"/>
        <v>16504457.764</v>
      </c>
      <c r="DT52" s="82">
        <f t="shared" si="170"/>
        <v>94.574607227433532</v>
      </c>
      <c r="DU52" s="6">
        <f>DU28+DU40</f>
        <v>1000</v>
      </c>
      <c r="DV52" s="6">
        <f>DV28+DV40</f>
        <v>1000</v>
      </c>
      <c r="DW52" s="84">
        <f t="shared" ref="DW52" si="1030">DV52/DU52*100</f>
        <v>100</v>
      </c>
      <c r="DX52" s="6">
        <f t="shared" ref="DX52:DY52" si="1031">DX28+DX40</f>
        <v>600</v>
      </c>
      <c r="DY52" s="6">
        <f t="shared" si="1031"/>
        <v>1300</v>
      </c>
      <c r="DZ52" s="84">
        <f t="shared" ref="DZ52" si="1032">DY52/DX52*100</f>
        <v>216.66666666666666</v>
      </c>
      <c r="EA52" s="6">
        <f t="shared" ref="EA52:EB52" si="1033">EA28+EA40</f>
        <v>1600</v>
      </c>
      <c r="EB52" s="6">
        <f t="shared" si="1033"/>
        <v>1600</v>
      </c>
      <c r="EC52" s="84">
        <f t="shared" ref="EC52" si="1034">EB52/EA52*100</f>
        <v>100</v>
      </c>
      <c r="ED52" s="6">
        <f t="shared" ref="ED52:EE52" si="1035">ED28+ED40</f>
        <v>4000</v>
      </c>
      <c r="EE52" s="6">
        <f t="shared" si="1035"/>
        <v>4000</v>
      </c>
      <c r="EF52" s="84">
        <f t="shared" ref="EF52" si="1036">EE52/ED52*100</f>
        <v>100</v>
      </c>
      <c r="EG52" s="6">
        <f t="shared" ref="EG52:EH52" si="1037">EG28+EG40</f>
        <v>0</v>
      </c>
      <c r="EH52" s="6">
        <f t="shared" si="1037"/>
        <v>0</v>
      </c>
      <c r="EI52" s="84"/>
      <c r="EJ52" s="6">
        <f t="shared" ref="EJ52:EK52" si="1038">EJ28+EJ40</f>
        <v>0</v>
      </c>
      <c r="EK52" s="6">
        <f t="shared" si="1038"/>
        <v>0</v>
      </c>
      <c r="EL52" s="84"/>
      <c r="EM52" s="6">
        <f t="shared" ref="EM52:EN52" si="1039">EM28+EM40</f>
        <v>0</v>
      </c>
      <c r="EN52" s="6">
        <f t="shared" si="1039"/>
        <v>0</v>
      </c>
      <c r="EO52" s="84"/>
      <c r="EP52" s="6">
        <f t="shared" ref="EP52:EQ52" si="1040">EP28+EP40</f>
        <v>0</v>
      </c>
      <c r="EQ52" s="6">
        <f t="shared" si="1040"/>
        <v>0</v>
      </c>
      <c r="ER52" s="84"/>
      <c r="ES52" s="6">
        <f t="shared" ref="ES52:ET52" si="1041">ES28+ES40</f>
        <v>35000</v>
      </c>
      <c r="ET52" s="6">
        <f t="shared" si="1041"/>
        <v>35000</v>
      </c>
      <c r="EU52" s="84">
        <f t="shared" ref="EU52" si="1042">ET52/ES52*100</f>
        <v>100</v>
      </c>
      <c r="EV52" s="38">
        <f t="shared" si="179"/>
        <v>42200</v>
      </c>
      <c r="EW52" s="38">
        <f t="shared" si="179"/>
        <v>42900</v>
      </c>
      <c r="EX52" s="84">
        <f t="shared" si="722"/>
        <v>101.65876777251184</v>
      </c>
      <c r="EY52" s="6">
        <f t="shared" ref="EY52:EZ52" si="1043">EY28+EY40</f>
        <v>3000</v>
      </c>
      <c r="EZ52" s="6">
        <f t="shared" si="1043"/>
        <v>3000</v>
      </c>
      <c r="FA52" s="84">
        <f t="shared" ref="FA52" si="1044">EZ52/EY52*100</f>
        <v>100</v>
      </c>
      <c r="FB52" s="6">
        <f t="shared" ref="FB52:FC52" si="1045">FB28+FB40</f>
        <v>40000</v>
      </c>
      <c r="FC52" s="6">
        <f t="shared" si="1045"/>
        <v>40000</v>
      </c>
      <c r="FD52" s="84">
        <f t="shared" ref="FD52" si="1046">FC52/FB52*100</f>
        <v>100</v>
      </c>
      <c r="FE52" s="6">
        <f t="shared" ref="FE52:FF52" si="1047">FE28+FE40</f>
        <v>0</v>
      </c>
      <c r="FF52" s="6">
        <f t="shared" si="1047"/>
        <v>0</v>
      </c>
      <c r="FG52" s="84"/>
      <c r="FH52" s="6">
        <f t="shared" ref="FH52:FI52" si="1048">FH28+FH40</f>
        <v>1097</v>
      </c>
      <c r="FI52" s="6">
        <f t="shared" si="1048"/>
        <v>1084</v>
      </c>
      <c r="FJ52" s="84">
        <f t="shared" ref="FJ52" si="1049">FI52/FH52*100</f>
        <v>98.81494986326345</v>
      </c>
      <c r="FK52" s="84"/>
      <c r="FL52" s="6">
        <f t="shared" ref="FL52" si="1050">FL28+FL40</f>
        <v>0</v>
      </c>
      <c r="FM52" s="84"/>
      <c r="FN52" s="6">
        <f t="shared" ref="FN52:FO52" si="1051">FN28+FN40</f>
        <v>0</v>
      </c>
      <c r="FO52" s="6">
        <f t="shared" si="1051"/>
        <v>0</v>
      </c>
      <c r="FP52" s="84"/>
      <c r="FQ52" s="6">
        <f t="shared" ref="FQ52:FR52" si="1052">FQ28+FQ40</f>
        <v>38796</v>
      </c>
      <c r="FR52" s="6">
        <f t="shared" si="1052"/>
        <v>32935</v>
      </c>
      <c r="FS52" s="84">
        <f t="shared" ref="FS52" si="1053">FR52/FQ52*100</f>
        <v>84.892772450768121</v>
      </c>
      <c r="FT52" s="6">
        <f t="shared" ref="FT52:FU52" si="1054">FT28+FT40</f>
        <v>6596</v>
      </c>
      <c r="FU52" s="6">
        <f t="shared" si="1054"/>
        <v>6565</v>
      </c>
      <c r="FV52" s="84">
        <f t="shared" ref="FV52" si="1055">FU52/FT52*100</f>
        <v>99.530018192844153</v>
      </c>
      <c r="FW52" s="6">
        <f t="shared" ref="FW52:FX52" si="1056">FW28+FW40</f>
        <v>3513</v>
      </c>
      <c r="FX52" s="6">
        <f t="shared" si="1056"/>
        <v>2895</v>
      </c>
      <c r="FY52" s="84">
        <f t="shared" ref="FY52" si="1057">FX52/FW52*100</f>
        <v>82.408198121263879</v>
      </c>
      <c r="FZ52" s="6">
        <f t="shared" ref="FZ52:GA52" si="1058">FZ28+FZ40</f>
        <v>13603</v>
      </c>
      <c r="GA52" s="6">
        <f t="shared" si="1058"/>
        <v>13640</v>
      </c>
      <c r="GB52" s="84">
        <f t="shared" ref="GB52" si="1059">GA52/FZ52*100</f>
        <v>100.27199882378888</v>
      </c>
      <c r="GC52" s="6">
        <f t="shared" ref="GC52:GD52" si="1060">GC28+GC40</f>
        <v>0</v>
      </c>
      <c r="GD52" s="6">
        <f t="shared" si="1060"/>
        <v>0</v>
      </c>
      <c r="GE52" s="84"/>
      <c r="GF52" s="6">
        <f t="shared" ref="GF52:GG52" si="1061">GF28+GF40</f>
        <v>0</v>
      </c>
      <c r="GG52" s="6">
        <f t="shared" si="1061"/>
        <v>0</v>
      </c>
      <c r="GH52" s="84"/>
      <c r="GI52" s="6">
        <f t="shared" ref="GI52:GJ52" si="1062">GI28+GI40</f>
        <v>0</v>
      </c>
      <c r="GJ52" s="6">
        <f t="shared" si="1062"/>
        <v>0</v>
      </c>
      <c r="GK52" s="84"/>
      <c r="GL52" s="6">
        <f t="shared" ref="GL52:GM52" si="1063">GL28+GL40</f>
        <v>102188</v>
      </c>
      <c r="GM52" s="6">
        <f t="shared" si="1063"/>
        <v>73174</v>
      </c>
      <c r="GN52" s="84">
        <f t="shared" ref="GN52" si="1064">GM52/GL52*100</f>
        <v>71.607233726073517</v>
      </c>
      <c r="GO52" s="38">
        <f t="shared" si="790"/>
        <v>208793</v>
      </c>
      <c r="GP52" s="6">
        <f t="shared" ref="GP52" si="1065">GP28+GP40</f>
        <v>173293</v>
      </c>
      <c r="GQ52" s="84">
        <f t="shared" ref="GQ52" si="1066">GP52/GO52*100</f>
        <v>82.997514284482719</v>
      </c>
      <c r="GR52" s="6">
        <f t="shared" ref="GR52:GS52" si="1067">GR28+GR40</f>
        <v>80682</v>
      </c>
      <c r="GS52" s="6">
        <f t="shared" si="1067"/>
        <v>75497</v>
      </c>
      <c r="GT52" s="84">
        <f t="shared" ref="GT52" si="1068">GS52/GR52*100</f>
        <v>93.573535608933838</v>
      </c>
      <c r="GU52" s="6">
        <f t="shared" ref="GU52:GV52" si="1069">GU28+GU40</f>
        <v>1571097</v>
      </c>
      <c r="GV52" s="6">
        <f t="shared" si="1069"/>
        <v>1618757</v>
      </c>
      <c r="GW52" s="84">
        <f t="shared" ref="GW52" si="1070">GV52/GU52*100</f>
        <v>103.03354916978391</v>
      </c>
      <c r="GX52" s="6">
        <f t="shared" ref="GX52:GY52" si="1071">GX28+GX40</f>
        <v>0</v>
      </c>
      <c r="GY52" s="6">
        <f t="shared" si="1071"/>
        <v>0</v>
      </c>
      <c r="GZ52" s="84"/>
      <c r="HA52" s="38">
        <f t="shared" si="198"/>
        <v>1860572</v>
      </c>
      <c r="HB52" s="38">
        <f t="shared" si="198"/>
        <v>1867547</v>
      </c>
      <c r="HC52" s="84">
        <f t="shared" ref="HC52" si="1072">HB52/HA52*100</f>
        <v>100.37488471287324</v>
      </c>
      <c r="HD52" s="38">
        <f t="shared" si="792"/>
        <v>19354029</v>
      </c>
      <c r="HE52" s="38">
        <f t="shared" si="793"/>
        <v>18414904.763999999</v>
      </c>
      <c r="HF52" s="238">
        <f t="shared" si="129"/>
        <v>95.147655116151782</v>
      </c>
      <c r="HH52" s="242"/>
      <c r="HI52" s="242"/>
    </row>
    <row r="53" spans="1:217" s="13" customFormat="1" ht="15" customHeight="1" x14ac:dyDescent="0.25">
      <c r="A53" s="219" t="s">
        <v>379</v>
      </c>
      <c r="B53" s="6">
        <f>B54+B58</f>
        <v>0</v>
      </c>
      <c r="C53" s="6">
        <f>C54+C58</f>
        <v>0</v>
      </c>
      <c r="D53" s="82"/>
      <c r="E53" s="6">
        <f t="shared" ref="E53:F53" si="1073">E54+E58</f>
        <v>0</v>
      </c>
      <c r="F53" s="6">
        <f t="shared" si="1073"/>
        <v>0</v>
      </c>
      <c r="G53" s="82"/>
      <c r="H53" s="6">
        <f t="shared" ref="H53:I53" si="1074">H54+H58</f>
        <v>0</v>
      </c>
      <c r="I53" s="6">
        <f t="shared" si="1074"/>
        <v>0</v>
      </c>
      <c r="J53" s="82"/>
      <c r="K53" s="6">
        <f t="shared" ref="K53:L53" si="1075">K54+K58</f>
        <v>0</v>
      </c>
      <c r="L53" s="6">
        <f t="shared" si="1075"/>
        <v>0</v>
      </c>
      <c r="M53" s="82"/>
      <c r="N53" s="6">
        <f t="shared" ref="N53:O53" si="1076">N54+N58</f>
        <v>0</v>
      </c>
      <c r="O53" s="6">
        <f t="shared" si="1076"/>
        <v>0</v>
      </c>
      <c r="P53" s="82"/>
      <c r="Q53" s="6">
        <f t="shared" ref="Q53:R53" si="1077">Q54+Q58</f>
        <v>0</v>
      </c>
      <c r="R53" s="6">
        <f t="shared" si="1077"/>
        <v>0</v>
      </c>
      <c r="S53" s="82"/>
      <c r="T53" s="6">
        <f t="shared" ref="T53:U53" si="1078">T54+T58</f>
        <v>0</v>
      </c>
      <c r="U53" s="6">
        <f t="shared" si="1078"/>
        <v>0</v>
      </c>
      <c r="V53" s="82"/>
      <c r="W53" s="6">
        <f t="shared" ref="W53:X53" si="1079">W54+W58</f>
        <v>0</v>
      </c>
      <c r="X53" s="6">
        <f t="shared" si="1079"/>
        <v>0</v>
      </c>
      <c r="Y53" s="82"/>
      <c r="Z53" s="6">
        <f t="shared" ref="Z53:AA53" si="1080">Z54+Z58</f>
        <v>6933369</v>
      </c>
      <c r="AA53" s="6">
        <f t="shared" si="1080"/>
        <v>6918575</v>
      </c>
      <c r="AB53" s="82"/>
      <c r="AC53" s="6">
        <f t="shared" ref="AC53:AD53" si="1081">AC54+AC58</f>
        <v>0</v>
      </c>
      <c r="AD53" s="6">
        <f t="shared" si="1081"/>
        <v>0</v>
      </c>
      <c r="AE53" s="82"/>
      <c r="AF53" s="6">
        <f t="shared" ref="AF53:AG53" si="1082">AF54+AF58</f>
        <v>0</v>
      </c>
      <c r="AG53" s="6">
        <f t="shared" si="1082"/>
        <v>0</v>
      </c>
      <c r="AH53" s="82"/>
      <c r="AI53" s="6">
        <f t="shared" ref="AI53:AJ53" si="1083">AI54+AI58</f>
        <v>0</v>
      </c>
      <c r="AJ53" s="6">
        <f t="shared" si="1083"/>
        <v>0</v>
      </c>
      <c r="AK53" s="82"/>
      <c r="AL53" s="6">
        <f t="shared" ref="AL53:AM53" si="1084">AL54+AL58</f>
        <v>0</v>
      </c>
      <c r="AM53" s="6">
        <f t="shared" si="1084"/>
        <v>0</v>
      </c>
      <c r="AN53" s="82"/>
      <c r="AO53" s="6">
        <f t="shared" ref="AO53:AP53" si="1085">AO54+AO58</f>
        <v>0</v>
      </c>
      <c r="AP53" s="6">
        <f t="shared" si="1085"/>
        <v>0</v>
      </c>
      <c r="AQ53" s="82"/>
      <c r="AR53" s="6">
        <f t="shared" ref="AR53:AS53" si="1086">AR54+AR58</f>
        <v>0</v>
      </c>
      <c r="AS53" s="6">
        <f t="shared" si="1086"/>
        <v>0</v>
      </c>
      <c r="AT53" s="82"/>
      <c r="AU53" s="6">
        <f t="shared" ref="AU53:AV53" si="1087">AU54+AU58</f>
        <v>0</v>
      </c>
      <c r="AV53" s="6">
        <f t="shared" si="1087"/>
        <v>0</v>
      </c>
      <c r="AW53" s="82"/>
      <c r="AX53" s="6">
        <f t="shared" ref="AX53:AY53" si="1088">AX54+AX58</f>
        <v>0</v>
      </c>
      <c r="AY53" s="6">
        <f t="shared" si="1088"/>
        <v>0</v>
      </c>
      <c r="AZ53" s="82"/>
      <c r="BA53" s="6">
        <f t="shared" ref="BA53:BB53" si="1089">BA54+BA58</f>
        <v>0</v>
      </c>
      <c r="BB53" s="6">
        <f t="shared" si="1089"/>
        <v>0</v>
      </c>
      <c r="BC53" s="82"/>
      <c r="BD53" s="6">
        <f t="shared" ref="BD53:BE53" si="1090">BD54+BD58</f>
        <v>0</v>
      </c>
      <c r="BE53" s="6">
        <f t="shared" si="1090"/>
        <v>0</v>
      </c>
      <c r="BF53" s="82"/>
      <c r="BG53" s="6">
        <f t="shared" ref="BG53:BH53" si="1091">BG54+BG58</f>
        <v>0</v>
      </c>
      <c r="BH53" s="6">
        <f t="shared" si="1091"/>
        <v>0</v>
      </c>
      <c r="BI53" s="82"/>
      <c r="BJ53" s="6">
        <f t="shared" ref="BJ53:BK53" si="1092">BJ54+BJ58</f>
        <v>0</v>
      </c>
      <c r="BK53" s="6">
        <f t="shared" si="1092"/>
        <v>0</v>
      </c>
      <c r="BL53" s="82"/>
      <c r="BM53" s="6">
        <f t="shared" ref="BM53:BN53" si="1093">BM54+BM58</f>
        <v>0</v>
      </c>
      <c r="BN53" s="6">
        <f t="shared" si="1093"/>
        <v>0</v>
      </c>
      <c r="BO53" s="82"/>
      <c r="BP53" s="6">
        <f t="shared" ref="BP53:BQ53" si="1094">BP54+BP58</f>
        <v>0</v>
      </c>
      <c r="BQ53" s="6">
        <f t="shared" si="1094"/>
        <v>0</v>
      </c>
      <c r="BR53" s="82"/>
      <c r="BS53" s="6">
        <f t="shared" ref="BS53:BT53" si="1095">BS54+BS58</f>
        <v>0</v>
      </c>
      <c r="BT53" s="6">
        <f t="shared" si="1095"/>
        <v>0</v>
      </c>
      <c r="BU53" s="82"/>
      <c r="BV53" s="6">
        <f t="shared" ref="BV53:BW53" si="1096">BV54+BV58</f>
        <v>0</v>
      </c>
      <c r="BW53" s="6">
        <f t="shared" si="1096"/>
        <v>0</v>
      </c>
      <c r="BX53" s="82"/>
      <c r="BY53" s="6">
        <f t="shared" ref="BY53:BZ53" si="1097">BY54+BY58</f>
        <v>0</v>
      </c>
      <c r="BZ53" s="6">
        <f t="shared" si="1097"/>
        <v>0</v>
      </c>
      <c r="CA53" s="82"/>
      <c r="CB53" s="6">
        <f t="shared" ref="CB53:CC53" si="1098">CB54+CB58</f>
        <v>0</v>
      </c>
      <c r="CC53" s="6">
        <f t="shared" si="1098"/>
        <v>0</v>
      </c>
      <c r="CD53" s="82"/>
      <c r="CE53" s="6">
        <f t="shared" ref="CE53:CF53" si="1099">CE54+CE58</f>
        <v>0</v>
      </c>
      <c r="CF53" s="6">
        <f t="shared" si="1099"/>
        <v>0</v>
      </c>
      <c r="CG53" s="82"/>
      <c r="CH53" s="6">
        <f t="shared" ref="CH53:CI53" si="1100">CH54+CH58</f>
        <v>0</v>
      </c>
      <c r="CI53" s="6">
        <f t="shared" si="1100"/>
        <v>0</v>
      </c>
      <c r="CJ53" s="82"/>
      <c r="CK53" s="6">
        <f t="shared" ref="CK53:CL53" si="1101">CK54+CK58</f>
        <v>0</v>
      </c>
      <c r="CL53" s="6">
        <f t="shared" si="1101"/>
        <v>0</v>
      </c>
      <c r="CM53" s="82"/>
      <c r="CN53" s="6">
        <f t="shared" ref="CN53:CO53" si="1102">CN54+CN58</f>
        <v>0</v>
      </c>
      <c r="CO53" s="6">
        <f t="shared" si="1102"/>
        <v>0</v>
      </c>
      <c r="CP53" s="82"/>
      <c r="CQ53" s="6">
        <f t="shared" ref="CQ53:CR53" si="1103">CQ54+CQ58</f>
        <v>0</v>
      </c>
      <c r="CR53" s="6">
        <f t="shared" si="1103"/>
        <v>0</v>
      </c>
      <c r="CS53" s="82"/>
      <c r="CT53" s="6">
        <f t="shared" ref="CT53:CU53" si="1104">CT54+CT58</f>
        <v>0</v>
      </c>
      <c r="CU53" s="6">
        <f t="shared" si="1104"/>
        <v>0</v>
      </c>
      <c r="CV53" s="82"/>
      <c r="CW53" s="6">
        <f t="shared" ref="CW53:CX53" si="1105">CW54+CW58</f>
        <v>0</v>
      </c>
      <c r="CX53" s="6">
        <f t="shared" si="1105"/>
        <v>0</v>
      </c>
      <c r="CY53" s="82"/>
      <c r="CZ53" s="6">
        <f t="shared" ref="CZ53:DA53" si="1106">CZ54+CZ58</f>
        <v>0</v>
      </c>
      <c r="DA53" s="6">
        <f t="shared" si="1106"/>
        <v>0</v>
      </c>
      <c r="DB53" s="82"/>
      <c r="DC53" s="6">
        <f t="shared" ref="DC53:DD53" si="1107">DC54+DC58</f>
        <v>0</v>
      </c>
      <c r="DD53" s="6">
        <f t="shared" si="1107"/>
        <v>0</v>
      </c>
      <c r="DE53" s="82"/>
      <c r="DF53" s="6">
        <f t="shared" ref="DF53:DG53" si="1108">DF54+DF58</f>
        <v>0</v>
      </c>
      <c r="DG53" s="6">
        <f t="shared" si="1108"/>
        <v>0</v>
      </c>
      <c r="DH53" s="82"/>
      <c r="DI53" s="6">
        <f t="shared" ref="DI53:DJ53" si="1109">DI54+DI58</f>
        <v>0</v>
      </c>
      <c r="DJ53" s="6">
        <f t="shared" si="1109"/>
        <v>0</v>
      </c>
      <c r="DK53" s="82"/>
      <c r="DL53" s="6">
        <f t="shared" ref="DL53:DM53" si="1110">DL54+DL58</f>
        <v>0</v>
      </c>
      <c r="DM53" s="6">
        <f t="shared" si="1110"/>
        <v>0</v>
      </c>
      <c r="DN53" s="82"/>
      <c r="DO53" s="6">
        <f t="shared" ref="DO53:DP53" si="1111">DO54+DO58</f>
        <v>0</v>
      </c>
      <c r="DP53" s="6">
        <f t="shared" si="1111"/>
        <v>0</v>
      </c>
      <c r="DQ53" s="82"/>
      <c r="DR53" s="38">
        <f t="shared" si="169"/>
        <v>6933369</v>
      </c>
      <c r="DS53" s="38">
        <f t="shared" si="169"/>
        <v>6918575</v>
      </c>
      <c r="DT53" s="82">
        <f t="shared" si="170"/>
        <v>99.786626097644586</v>
      </c>
      <c r="DU53" s="6">
        <f>DU54+DU58</f>
        <v>0</v>
      </c>
      <c r="DV53" s="6">
        <f>DV54+DV58</f>
        <v>0</v>
      </c>
      <c r="DW53" s="38"/>
      <c r="DX53" s="6">
        <f t="shared" ref="DX53:DY53" si="1112">DX54+DX58</f>
        <v>0</v>
      </c>
      <c r="DY53" s="6">
        <f t="shared" si="1112"/>
        <v>0</v>
      </c>
      <c r="DZ53" s="38"/>
      <c r="EA53" s="6">
        <f t="shared" ref="EA53:EB53" si="1113">EA54+EA58</f>
        <v>0</v>
      </c>
      <c r="EB53" s="6">
        <f t="shared" si="1113"/>
        <v>0</v>
      </c>
      <c r="EC53" s="38"/>
      <c r="ED53" s="6">
        <f t="shared" ref="ED53:EE53" si="1114">ED54+ED58</f>
        <v>0</v>
      </c>
      <c r="EE53" s="6">
        <f t="shared" si="1114"/>
        <v>0</v>
      </c>
      <c r="EF53" s="38"/>
      <c r="EG53" s="6">
        <f t="shared" ref="EG53:EH53" si="1115">EG54+EG58</f>
        <v>0</v>
      </c>
      <c r="EH53" s="6">
        <f t="shared" si="1115"/>
        <v>0</v>
      </c>
      <c r="EI53" s="38"/>
      <c r="EJ53" s="6">
        <f t="shared" ref="EJ53:EK53" si="1116">EJ54+EJ58</f>
        <v>0</v>
      </c>
      <c r="EK53" s="6">
        <f t="shared" si="1116"/>
        <v>0</v>
      </c>
      <c r="EL53" s="38"/>
      <c r="EM53" s="6">
        <f t="shared" ref="EM53:EN53" si="1117">EM54+EM58</f>
        <v>0</v>
      </c>
      <c r="EN53" s="6">
        <f t="shared" si="1117"/>
        <v>0</v>
      </c>
      <c r="EO53" s="38"/>
      <c r="EP53" s="6">
        <f t="shared" ref="EP53:EQ53" si="1118">EP54+EP58</f>
        <v>0</v>
      </c>
      <c r="EQ53" s="6">
        <f t="shared" si="1118"/>
        <v>0</v>
      </c>
      <c r="ER53" s="38"/>
      <c r="ES53" s="6">
        <f t="shared" ref="ES53:ET53" si="1119">ES54+ES58</f>
        <v>0</v>
      </c>
      <c r="ET53" s="6">
        <f t="shared" si="1119"/>
        <v>0</v>
      </c>
      <c r="EU53" s="38"/>
      <c r="EV53" s="38">
        <f t="shared" si="179"/>
        <v>0</v>
      </c>
      <c r="EW53" s="38">
        <f t="shared" si="179"/>
        <v>0</v>
      </c>
      <c r="EX53" s="84"/>
      <c r="EY53" s="6">
        <f t="shared" ref="EY53:EZ53" si="1120">EY54+EY58</f>
        <v>0</v>
      </c>
      <c r="EZ53" s="6">
        <f t="shared" si="1120"/>
        <v>0</v>
      </c>
      <c r="FA53" s="38"/>
      <c r="FB53" s="6">
        <f t="shared" ref="FB53:FC53" si="1121">FB54+FB58</f>
        <v>0</v>
      </c>
      <c r="FC53" s="6">
        <f t="shared" si="1121"/>
        <v>0</v>
      </c>
      <c r="FD53" s="38"/>
      <c r="FE53" s="6">
        <f t="shared" ref="FE53:FF53" si="1122">FE54+FE58</f>
        <v>0</v>
      </c>
      <c r="FF53" s="6">
        <f t="shared" si="1122"/>
        <v>0</v>
      </c>
      <c r="FG53" s="38"/>
      <c r="FH53" s="6">
        <f t="shared" ref="FH53:FI53" si="1123">FH54+FH58</f>
        <v>0</v>
      </c>
      <c r="FI53" s="6">
        <f t="shared" si="1123"/>
        <v>0</v>
      </c>
      <c r="FJ53" s="38"/>
      <c r="FK53" s="38"/>
      <c r="FL53" s="6">
        <f t="shared" ref="FL53" si="1124">FL54+FL58</f>
        <v>0</v>
      </c>
      <c r="FM53" s="38"/>
      <c r="FN53" s="6">
        <f t="shared" ref="FN53:FO53" si="1125">FN54+FN58</f>
        <v>0</v>
      </c>
      <c r="FO53" s="6">
        <f t="shared" si="1125"/>
        <v>0</v>
      </c>
      <c r="FP53" s="38"/>
      <c r="FQ53" s="6">
        <f t="shared" ref="FQ53:FR53" si="1126">FQ54+FQ58</f>
        <v>0</v>
      </c>
      <c r="FR53" s="6">
        <f t="shared" si="1126"/>
        <v>0</v>
      </c>
      <c r="FS53" s="38"/>
      <c r="FT53" s="6">
        <f t="shared" ref="FT53:FU53" si="1127">FT54+FT58</f>
        <v>0</v>
      </c>
      <c r="FU53" s="6">
        <f t="shared" si="1127"/>
        <v>0</v>
      </c>
      <c r="FV53" s="38"/>
      <c r="FW53" s="6">
        <f t="shared" ref="FW53:FX53" si="1128">FW54+FW58</f>
        <v>0</v>
      </c>
      <c r="FX53" s="6">
        <f t="shared" si="1128"/>
        <v>0</v>
      </c>
      <c r="FY53" s="38"/>
      <c r="FZ53" s="6">
        <f t="shared" ref="FZ53:GA53" si="1129">FZ54+FZ58</f>
        <v>0</v>
      </c>
      <c r="GA53" s="6">
        <f t="shared" si="1129"/>
        <v>0</v>
      </c>
      <c r="GB53" s="38"/>
      <c r="GC53" s="6">
        <f t="shared" ref="GC53:GD53" si="1130">GC54+GC58</f>
        <v>0</v>
      </c>
      <c r="GD53" s="6">
        <f t="shared" si="1130"/>
        <v>0</v>
      </c>
      <c r="GE53" s="38"/>
      <c r="GF53" s="6">
        <f t="shared" ref="GF53:GG53" si="1131">GF54+GF58</f>
        <v>0</v>
      </c>
      <c r="GG53" s="6">
        <f t="shared" si="1131"/>
        <v>0</v>
      </c>
      <c r="GH53" s="38"/>
      <c r="GI53" s="6">
        <f t="shared" ref="GI53:GJ53" si="1132">GI54+GI58</f>
        <v>0</v>
      </c>
      <c r="GJ53" s="6">
        <f t="shared" si="1132"/>
        <v>0</v>
      </c>
      <c r="GK53" s="38"/>
      <c r="GL53" s="6">
        <f t="shared" ref="GL53:GM53" si="1133">GL54+GL58</f>
        <v>0</v>
      </c>
      <c r="GM53" s="6">
        <f t="shared" si="1133"/>
        <v>0</v>
      </c>
      <c r="GN53" s="38"/>
      <c r="GO53" s="38">
        <f t="shared" si="790"/>
        <v>0</v>
      </c>
      <c r="GP53" s="6">
        <f t="shared" ref="GP53" si="1134">GP54+GP58</f>
        <v>0</v>
      </c>
      <c r="GQ53" s="38"/>
      <c r="GR53" s="6">
        <f t="shared" ref="GR53:GS53" si="1135">GR54+GR58</f>
        <v>0</v>
      </c>
      <c r="GS53" s="6">
        <f t="shared" si="1135"/>
        <v>0</v>
      </c>
      <c r="GT53" s="38"/>
      <c r="GU53" s="6">
        <f t="shared" ref="GU53:GV53" si="1136">GU54+GU58</f>
        <v>0</v>
      </c>
      <c r="GV53" s="6">
        <f t="shared" si="1136"/>
        <v>0</v>
      </c>
      <c r="GW53" s="38"/>
      <c r="GX53" s="6">
        <f t="shared" ref="GX53:GY53" si="1137">GX54+GX58</f>
        <v>0</v>
      </c>
      <c r="GY53" s="6">
        <f t="shared" si="1137"/>
        <v>0</v>
      </c>
      <c r="GZ53" s="38"/>
      <c r="HA53" s="38">
        <f t="shared" si="198"/>
        <v>0</v>
      </c>
      <c r="HB53" s="38">
        <f t="shared" si="198"/>
        <v>0</v>
      </c>
      <c r="HC53" s="38"/>
      <c r="HD53" s="38">
        <f t="shared" si="792"/>
        <v>6933369</v>
      </c>
      <c r="HE53" s="38">
        <f t="shared" si="793"/>
        <v>6918575</v>
      </c>
      <c r="HF53" s="238">
        <f t="shared" si="129"/>
        <v>99.786626097644586</v>
      </c>
      <c r="HH53" s="242"/>
      <c r="HI53" s="242"/>
    </row>
    <row r="54" spans="1:217" s="13" customFormat="1" ht="15" customHeight="1" x14ac:dyDescent="0.25">
      <c r="A54" s="219" t="s">
        <v>380</v>
      </c>
      <c r="B54" s="6">
        <f>B55+B56+B57</f>
        <v>0</v>
      </c>
      <c r="C54" s="6">
        <f>C55+C56+C57</f>
        <v>0</v>
      </c>
      <c r="D54" s="82"/>
      <c r="E54" s="6">
        <f t="shared" ref="E54:F54" si="1138">E55+E56+E57</f>
        <v>0</v>
      </c>
      <c r="F54" s="6">
        <f t="shared" si="1138"/>
        <v>0</v>
      </c>
      <c r="G54" s="82"/>
      <c r="H54" s="6">
        <f t="shared" ref="H54:I54" si="1139">H55+H56+H57</f>
        <v>0</v>
      </c>
      <c r="I54" s="6">
        <f t="shared" si="1139"/>
        <v>0</v>
      </c>
      <c r="J54" s="82"/>
      <c r="K54" s="6">
        <f t="shared" ref="K54:L54" si="1140">K55+K56+K57</f>
        <v>0</v>
      </c>
      <c r="L54" s="6">
        <f t="shared" si="1140"/>
        <v>0</v>
      </c>
      <c r="M54" s="82"/>
      <c r="N54" s="6">
        <f t="shared" ref="N54:O54" si="1141">N55+N56+N57</f>
        <v>0</v>
      </c>
      <c r="O54" s="6">
        <f t="shared" si="1141"/>
        <v>0</v>
      </c>
      <c r="P54" s="82"/>
      <c r="Q54" s="6">
        <f t="shared" ref="Q54:R54" si="1142">Q55+Q56+Q57</f>
        <v>0</v>
      </c>
      <c r="R54" s="6">
        <f t="shared" si="1142"/>
        <v>0</v>
      </c>
      <c r="S54" s="82"/>
      <c r="T54" s="6">
        <f t="shared" ref="T54:U54" si="1143">T55+T56+T57</f>
        <v>0</v>
      </c>
      <c r="U54" s="6">
        <f t="shared" si="1143"/>
        <v>0</v>
      </c>
      <c r="V54" s="82"/>
      <c r="W54" s="6">
        <f t="shared" ref="W54:X54" si="1144">W55+W56+W57</f>
        <v>0</v>
      </c>
      <c r="X54" s="6">
        <f t="shared" si="1144"/>
        <v>0</v>
      </c>
      <c r="Y54" s="82"/>
      <c r="Z54" s="6">
        <f t="shared" ref="Z54:AA54" si="1145">Z55+Z56+Z57</f>
        <v>6667458</v>
      </c>
      <c r="AA54" s="6">
        <f t="shared" si="1145"/>
        <v>6849654</v>
      </c>
      <c r="AB54" s="82"/>
      <c r="AC54" s="6">
        <f t="shared" ref="AC54:AD54" si="1146">AC55+AC56+AC57</f>
        <v>0</v>
      </c>
      <c r="AD54" s="6">
        <f t="shared" si="1146"/>
        <v>0</v>
      </c>
      <c r="AE54" s="82"/>
      <c r="AF54" s="6">
        <f t="shared" ref="AF54:AG54" si="1147">AF55+AF56+AF57</f>
        <v>0</v>
      </c>
      <c r="AG54" s="6">
        <f t="shared" si="1147"/>
        <v>0</v>
      </c>
      <c r="AH54" s="82"/>
      <c r="AI54" s="6">
        <f t="shared" ref="AI54:AJ54" si="1148">AI55+AI56+AI57</f>
        <v>0</v>
      </c>
      <c r="AJ54" s="6">
        <f t="shared" si="1148"/>
        <v>0</v>
      </c>
      <c r="AK54" s="82"/>
      <c r="AL54" s="6">
        <f t="shared" ref="AL54:AM54" si="1149">AL55+AL56+AL57</f>
        <v>0</v>
      </c>
      <c r="AM54" s="6">
        <f t="shared" si="1149"/>
        <v>0</v>
      </c>
      <c r="AN54" s="82"/>
      <c r="AO54" s="6">
        <f t="shared" ref="AO54:AP54" si="1150">AO55+AO56+AO57</f>
        <v>0</v>
      </c>
      <c r="AP54" s="6">
        <f t="shared" si="1150"/>
        <v>0</v>
      </c>
      <c r="AQ54" s="82"/>
      <c r="AR54" s="6">
        <f t="shared" ref="AR54:AS54" si="1151">AR55+AR56+AR57</f>
        <v>0</v>
      </c>
      <c r="AS54" s="6">
        <f t="shared" si="1151"/>
        <v>0</v>
      </c>
      <c r="AT54" s="82"/>
      <c r="AU54" s="6">
        <f t="shared" ref="AU54:AV54" si="1152">AU55+AU56+AU57</f>
        <v>0</v>
      </c>
      <c r="AV54" s="6">
        <f t="shared" si="1152"/>
        <v>0</v>
      </c>
      <c r="AW54" s="82"/>
      <c r="AX54" s="6">
        <f t="shared" ref="AX54:AY54" si="1153">AX55+AX56+AX57</f>
        <v>0</v>
      </c>
      <c r="AY54" s="6">
        <f t="shared" si="1153"/>
        <v>0</v>
      </c>
      <c r="AZ54" s="82"/>
      <c r="BA54" s="6">
        <f t="shared" ref="BA54:BB54" si="1154">BA55+BA56+BA57</f>
        <v>0</v>
      </c>
      <c r="BB54" s="6">
        <f t="shared" si="1154"/>
        <v>0</v>
      </c>
      <c r="BC54" s="82"/>
      <c r="BD54" s="6">
        <f t="shared" ref="BD54:BE54" si="1155">BD55+BD56+BD57</f>
        <v>0</v>
      </c>
      <c r="BE54" s="6">
        <f t="shared" si="1155"/>
        <v>0</v>
      </c>
      <c r="BF54" s="82"/>
      <c r="BG54" s="6">
        <f t="shared" ref="BG54:BH54" si="1156">BG55+BG56+BG57</f>
        <v>0</v>
      </c>
      <c r="BH54" s="6">
        <f t="shared" si="1156"/>
        <v>0</v>
      </c>
      <c r="BI54" s="82"/>
      <c r="BJ54" s="6">
        <f t="shared" ref="BJ54:BK54" si="1157">BJ55+BJ56+BJ57</f>
        <v>0</v>
      </c>
      <c r="BK54" s="6">
        <f t="shared" si="1157"/>
        <v>0</v>
      </c>
      <c r="BL54" s="82"/>
      <c r="BM54" s="6">
        <f t="shared" ref="BM54:BN54" si="1158">BM55+BM56+BM57</f>
        <v>0</v>
      </c>
      <c r="BN54" s="6">
        <f t="shared" si="1158"/>
        <v>0</v>
      </c>
      <c r="BO54" s="82"/>
      <c r="BP54" s="6">
        <f t="shared" ref="BP54:BQ54" si="1159">BP55+BP56+BP57</f>
        <v>0</v>
      </c>
      <c r="BQ54" s="6">
        <f t="shared" si="1159"/>
        <v>0</v>
      </c>
      <c r="BR54" s="82"/>
      <c r="BS54" s="6">
        <f t="shared" ref="BS54:BT54" si="1160">BS55+BS56+BS57</f>
        <v>0</v>
      </c>
      <c r="BT54" s="6">
        <f t="shared" si="1160"/>
        <v>0</v>
      </c>
      <c r="BU54" s="82"/>
      <c r="BV54" s="6">
        <f t="shared" ref="BV54:BW54" si="1161">BV55+BV56+BV57</f>
        <v>0</v>
      </c>
      <c r="BW54" s="6">
        <f t="shared" si="1161"/>
        <v>0</v>
      </c>
      <c r="BX54" s="82"/>
      <c r="BY54" s="6">
        <f t="shared" ref="BY54:BZ54" si="1162">BY55+BY56+BY57</f>
        <v>0</v>
      </c>
      <c r="BZ54" s="6">
        <f t="shared" si="1162"/>
        <v>0</v>
      </c>
      <c r="CA54" s="82"/>
      <c r="CB54" s="6">
        <f t="shared" ref="CB54:CC54" si="1163">CB55+CB56+CB57</f>
        <v>0</v>
      </c>
      <c r="CC54" s="6">
        <f t="shared" si="1163"/>
        <v>0</v>
      </c>
      <c r="CD54" s="82"/>
      <c r="CE54" s="6">
        <f t="shared" ref="CE54:CF54" si="1164">CE55+CE56+CE57</f>
        <v>0</v>
      </c>
      <c r="CF54" s="6">
        <f t="shared" si="1164"/>
        <v>0</v>
      </c>
      <c r="CG54" s="82"/>
      <c r="CH54" s="6">
        <f t="shared" ref="CH54:CI54" si="1165">CH55+CH56+CH57</f>
        <v>0</v>
      </c>
      <c r="CI54" s="6">
        <f t="shared" si="1165"/>
        <v>0</v>
      </c>
      <c r="CJ54" s="82"/>
      <c r="CK54" s="6">
        <f t="shared" ref="CK54:CL54" si="1166">CK55+CK56+CK57</f>
        <v>0</v>
      </c>
      <c r="CL54" s="6">
        <f t="shared" si="1166"/>
        <v>0</v>
      </c>
      <c r="CM54" s="82"/>
      <c r="CN54" s="6">
        <f t="shared" ref="CN54:CO54" si="1167">CN55+CN56+CN57</f>
        <v>0</v>
      </c>
      <c r="CO54" s="6">
        <f t="shared" si="1167"/>
        <v>0</v>
      </c>
      <c r="CP54" s="82"/>
      <c r="CQ54" s="6">
        <f t="shared" ref="CQ54:CR54" si="1168">CQ55+CQ56+CQ57</f>
        <v>0</v>
      </c>
      <c r="CR54" s="6">
        <f t="shared" si="1168"/>
        <v>0</v>
      </c>
      <c r="CS54" s="82"/>
      <c r="CT54" s="6">
        <f t="shared" ref="CT54:CU54" si="1169">CT55+CT56+CT57</f>
        <v>0</v>
      </c>
      <c r="CU54" s="6">
        <f t="shared" si="1169"/>
        <v>0</v>
      </c>
      <c r="CV54" s="82"/>
      <c r="CW54" s="6">
        <f t="shared" ref="CW54:CX54" si="1170">CW55+CW56+CW57</f>
        <v>0</v>
      </c>
      <c r="CX54" s="6">
        <f t="shared" si="1170"/>
        <v>0</v>
      </c>
      <c r="CY54" s="82"/>
      <c r="CZ54" s="6">
        <f t="shared" ref="CZ54:DA54" si="1171">CZ55+CZ56+CZ57</f>
        <v>0</v>
      </c>
      <c r="DA54" s="6">
        <f t="shared" si="1171"/>
        <v>0</v>
      </c>
      <c r="DB54" s="82"/>
      <c r="DC54" s="6">
        <f t="shared" ref="DC54:DD54" si="1172">DC55+DC56+DC57</f>
        <v>0</v>
      </c>
      <c r="DD54" s="6">
        <f t="shared" si="1172"/>
        <v>0</v>
      </c>
      <c r="DE54" s="82"/>
      <c r="DF54" s="6">
        <f t="shared" ref="DF54:DG54" si="1173">DF55+DF56+DF57</f>
        <v>0</v>
      </c>
      <c r="DG54" s="6">
        <f t="shared" si="1173"/>
        <v>0</v>
      </c>
      <c r="DH54" s="82"/>
      <c r="DI54" s="6">
        <f t="shared" ref="DI54:DJ54" si="1174">DI55+DI56+DI57</f>
        <v>0</v>
      </c>
      <c r="DJ54" s="6">
        <f t="shared" si="1174"/>
        <v>0</v>
      </c>
      <c r="DK54" s="82"/>
      <c r="DL54" s="6">
        <f t="shared" ref="DL54:DM54" si="1175">DL55+DL56+DL57</f>
        <v>0</v>
      </c>
      <c r="DM54" s="6">
        <f t="shared" si="1175"/>
        <v>0</v>
      </c>
      <c r="DN54" s="82"/>
      <c r="DO54" s="6">
        <f t="shared" ref="DO54:DP54" si="1176">DO55+DO56+DO57</f>
        <v>0</v>
      </c>
      <c r="DP54" s="6">
        <f t="shared" si="1176"/>
        <v>0</v>
      </c>
      <c r="DQ54" s="82"/>
      <c r="DR54" s="38">
        <f t="shared" si="169"/>
        <v>6667458</v>
      </c>
      <c r="DS54" s="38">
        <f t="shared" si="169"/>
        <v>6849654</v>
      </c>
      <c r="DT54" s="82">
        <f t="shared" si="170"/>
        <v>102.73261563852371</v>
      </c>
      <c r="DU54" s="6">
        <f>DU55+DU56+DU57</f>
        <v>0</v>
      </c>
      <c r="DV54" s="6">
        <f>DV55+DV56+DV57</f>
        <v>0</v>
      </c>
      <c r="DW54" s="38"/>
      <c r="DX54" s="6">
        <f t="shared" ref="DX54:DY54" si="1177">DX55+DX56+DX57</f>
        <v>0</v>
      </c>
      <c r="DY54" s="6">
        <f t="shared" si="1177"/>
        <v>0</v>
      </c>
      <c r="DZ54" s="38"/>
      <c r="EA54" s="6">
        <f t="shared" ref="EA54:EB54" si="1178">EA55+EA56+EA57</f>
        <v>0</v>
      </c>
      <c r="EB54" s="6">
        <f t="shared" si="1178"/>
        <v>0</v>
      </c>
      <c r="EC54" s="38"/>
      <c r="ED54" s="6">
        <f t="shared" ref="ED54:EE54" si="1179">ED55+ED56+ED57</f>
        <v>0</v>
      </c>
      <c r="EE54" s="6">
        <f t="shared" si="1179"/>
        <v>0</v>
      </c>
      <c r="EF54" s="38"/>
      <c r="EG54" s="6">
        <f t="shared" ref="EG54:EH54" si="1180">EG55+EG56+EG57</f>
        <v>0</v>
      </c>
      <c r="EH54" s="6">
        <f t="shared" si="1180"/>
        <v>0</v>
      </c>
      <c r="EI54" s="38"/>
      <c r="EJ54" s="6">
        <f t="shared" ref="EJ54:EK54" si="1181">EJ55+EJ56+EJ57</f>
        <v>0</v>
      </c>
      <c r="EK54" s="6">
        <f t="shared" si="1181"/>
        <v>0</v>
      </c>
      <c r="EL54" s="38"/>
      <c r="EM54" s="6">
        <f t="shared" ref="EM54:EN54" si="1182">EM55+EM56+EM57</f>
        <v>0</v>
      </c>
      <c r="EN54" s="6">
        <f t="shared" si="1182"/>
        <v>0</v>
      </c>
      <c r="EO54" s="38"/>
      <c r="EP54" s="6">
        <f t="shared" ref="EP54:EQ54" si="1183">EP55+EP56+EP57</f>
        <v>0</v>
      </c>
      <c r="EQ54" s="6">
        <f t="shared" si="1183"/>
        <v>0</v>
      </c>
      <c r="ER54" s="38"/>
      <c r="ES54" s="6">
        <f t="shared" ref="ES54:ET54" si="1184">ES55+ES56+ES57</f>
        <v>0</v>
      </c>
      <c r="ET54" s="6">
        <f t="shared" si="1184"/>
        <v>0</v>
      </c>
      <c r="EU54" s="38"/>
      <c r="EV54" s="38">
        <f t="shared" si="179"/>
        <v>0</v>
      </c>
      <c r="EW54" s="38">
        <f t="shared" si="179"/>
        <v>0</v>
      </c>
      <c r="EX54" s="84"/>
      <c r="EY54" s="6">
        <f t="shared" ref="EY54:EZ54" si="1185">EY55+EY56+EY57</f>
        <v>0</v>
      </c>
      <c r="EZ54" s="6">
        <f t="shared" si="1185"/>
        <v>0</v>
      </c>
      <c r="FA54" s="38"/>
      <c r="FB54" s="6">
        <f t="shared" ref="FB54:FC54" si="1186">FB55+FB56+FB57</f>
        <v>0</v>
      </c>
      <c r="FC54" s="6">
        <f t="shared" si="1186"/>
        <v>0</v>
      </c>
      <c r="FD54" s="38"/>
      <c r="FE54" s="6">
        <f t="shared" ref="FE54:FF54" si="1187">FE55+FE56+FE57</f>
        <v>0</v>
      </c>
      <c r="FF54" s="6">
        <f t="shared" si="1187"/>
        <v>0</v>
      </c>
      <c r="FG54" s="38"/>
      <c r="FH54" s="6">
        <f t="shared" ref="FH54:FI54" si="1188">FH55+FH56+FH57</f>
        <v>0</v>
      </c>
      <c r="FI54" s="6">
        <f t="shared" si="1188"/>
        <v>0</v>
      </c>
      <c r="FJ54" s="38"/>
      <c r="FK54" s="38"/>
      <c r="FL54" s="6">
        <f t="shared" ref="FL54" si="1189">FL55+FL56+FL57</f>
        <v>0</v>
      </c>
      <c r="FM54" s="38"/>
      <c r="FN54" s="6">
        <f t="shared" ref="FN54:FO54" si="1190">FN55+FN56+FN57</f>
        <v>0</v>
      </c>
      <c r="FO54" s="6">
        <f t="shared" si="1190"/>
        <v>0</v>
      </c>
      <c r="FP54" s="38"/>
      <c r="FQ54" s="6">
        <f t="shared" ref="FQ54:FR54" si="1191">FQ55+FQ56+FQ57</f>
        <v>0</v>
      </c>
      <c r="FR54" s="6">
        <f t="shared" si="1191"/>
        <v>0</v>
      </c>
      <c r="FS54" s="38"/>
      <c r="FT54" s="6">
        <f t="shared" ref="FT54:FU54" si="1192">FT55+FT56+FT57</f>
        <v>0</v>
      </c>
      <c r="FU54" s="6">
        <f t="shared" si="1192"/>
        <v>0</v>
      </c>
      <c r="FV54" s="38"/>
      <c r="FW54" s="6">
        <f t="shared" ref="FW54:FX54" si="1193">FW55+FW56+FW57</f>
        <v>0</v>
      </c>
      <c r="FX54" s="6">
        <f t="shared" si="1193"/>
        <v>0</v>
      </c>
      <c r="FY54" s="38"/>
      <c r="FZ54" s="6">
        <f t="shared" ref="FZ54:GA54" si="1194">FZ55+FZ56+FZ57</f>
        <v>0</v>
      </c>
      <c r="GA54" s="6">
        <f t="shared" si="1194"/>
        <v>0</v>
      </c>
      <c r="GB54" s="38"/>
      <c r="GC54" s="6">
        <f t="shared" ref="GC54:GD54" si="1195">GC55+GC56+GC57</f>
        <v>0</v>
      </c>
      <c r="GD54" s="6">
        <f t="shared" si="1195"/>
        <v>0</v>
      </c>
      <c r="GE54" s="38"/>
      <c r="GF54" s="6">
        <f t="shared" ref="GF54:GG54" si="1196">GF55+GF56+GF57</f>
        <v>0</v>
      </c>
      <c r="GG54" s="6">
        <f t="shared" si="1196"/>
        <v>0</v>
      </c>
      <c r="GH54" s="38"/>
      <c r="GI54" s="6">
        <f t="shared" ref="GI54:GJ54" si="1197">GI55+GI56+GI57</f>
        <v>0</v>
      </c>
      <c r="GJ54" s="6">
        <f t="shared" si="1197"/>
        <v>0</v>
      </c>
      <c r="GK54" s="38"/>
      <c r="GL54" s="6">
        <f t="shared" ref="GL54:GM54" si="1198">GL55+GL56+GL57</f>
        <v>0</v>
      </c>
      <c r="GM54" s="6">
        <f t="shared" si="1198"/>
        <v>0</v>
      </c>
      <c r="GN54" s="38"/>
      <c r="GO54" s="38">
        <f t="shared" si="790"/>
        <v>0</v>
      </c>
      <c r="GP54" s="6">
        <f t="shared" ref="GP54" si="1199">GP55+GP56+GP57</f>
        <v>0</v>
      </c>
      <c r="GQ54" s="38"/>
      <c r="GR54" s="6">
        <f t="shared" ref="GR54:GS54" si="1200">GR55+GR56+GR57</f>
        <v>0</v>
      </c>
      <c r="GS54" s="6">
        <f t="shared" si="1200"/>
        <v>0</v>
      </c>
      <c r="GT54" s="38"/>
      <c r="GU54" s="6">
        <f t="shared" ref="GU54:GV54" si="1201">GU55+GU56+GU57</f>
        <v>0</v>
      </c>
      <c r="GV54" s="6">
        <f t="shared" si="1201"/>
        <v>0</v>
      </c>
      <c r="GW54" s="38"/>
      <c r="GX54" s="6">
        <f t="shared" ref="GX54:GY54" si="1202">GX55+GX56+GX57</f>
        <v>0</v>
      </c>
      <c r="GY54" s="6">
        <f t="shared" si="1202"/>
        <v>0</v>
      </c>
      <c r="GZ54" s="38"/>
      <c r="HA54" s="38">
        <f t="shared" si="198"/>
        <v>0</v>
      </c>
      <c r="HB54" s="38">
        <f t="shared" si="198"/>
        <v>0</v>
      </c>
      <c r="HC54" s="38"/>
      <c r="HD54" s="38">
        <f t="shared" si="792"/>
        <v>6667458</v>
      </c>
      <c r="HE54" s="38">
        <f t="shared" si="793"/>
        <v>6849654</v>
      </c>
      <c r="HF54" s="238">
        <f t="shared" si="129"/>
        <v>102.73261563852371</v>
      </c>
      <c r="HH54" s="242"/>
      <c r="HI54" s="242"/>
    </row>
    <row r="55" spans="1:217" s="13" customFormat="1" ht="15" customHeight="1" x14ac:dyDescent="0.25">
      <c r="A55" s="218" t="s">
        <v>381</v>
      </c>
      <c r="B55" s="7"/>
      <c r="C55" s="7">
        <f>SUM('címrend kötelező'!B55+'címrend önként'!B55+'címrend államig'!B55)</f>
        <v>0</v>
      </c>
      <c r="D55" s="82"/>
      <c r="E55" s="7"/>
      <c r="F55" s="7">
        <f>SUM('címrend kötelező'!C55+'címrend önként'!C55+'címrend államig'!C55)</f>
        <v>0</v>
      </c>
      <c r="G55" s="82"/>
      <c r="H55" s="7"/>
      <c r="I55" s="7">
        <f>SUM('címrend kötelező'!D55+'címrend önként'!D55+'címrend államig'!D55)</f>
        <v>0</v>
      </c>
      <c r="J55" s="82"/>
      <c r="K55" s="7"/>
      <c r="L55" s="7">
        <f>SUM('címrend kötelező'!E55+'címrend önként'!E55+'címrend államig'!E55)</f>
        <v>0</v>
      </c>
      <c r="M55" s="82"/>
      <c r="N55" s="7"/>
      <c r="O55" s="7">
        <f>SUM('címrend kötelező'!F55+'címrend önként'!F55+'címrend államig'!F55)</f>
        <v>0</v>
      </c>
      <c r="P55" s="82"/>
      <c r="Q55" s="7"/>
      <c r="R55" s="7">
        <f>SUM('címrend kötelező'!G55+'címrend önként'!G55+'címrend államig'!G55)</f>
        <v>0</v>
      </c>
      <c r="S55" s="82"/>
      <c r="T55" s="7"/>
      <c r="U55" s="7">
        <f>SUM('címrend kötelező'!H55+'címrend önként'!H55+'címrend államig'!H55)</f>
        <v>0</v>
      </c>
      <c r="V55" s="82"/>
      <c r="W55" s="7"/>
      <c r="X55" s="7">
        <f>SUM('címrend kötelező'!I55+'címrend önként'!I55+'címrend államig'!I55)</f>
        <v>0</v>
      </c>
      <c r="Y55" s="82"/>
      <c r="Z55" s="7"/>
      <c r="AA55" s="7">
        <f>SUM('címrend kötelező'!J55+'címrend önként'!J55+'címrend államig'!J55)</f>
        <v>0</v>
      </c>
      <c r="AB55" s="82"/>
      <c r="AC55" s="7"/>
      <c r="AD55" s="7">
        <f>SUM('címrend kötelező'!K55+'címrend önként'!K55+'címrend államig'!K55)</f>
        <v>0</v>
      </c>
      <c r="AE55" s="82"/>
      <c r="AF55" s="7"/>
      <c r="AG55" s="7">
        <f>SUM('címrend kötelező'!L55+'címrend önként'!L55+'címrend államig'!L55)</f>
        <v>0</v>
      </c>
      <c r="AH55" s="82"/>
      <c r="AI55" s="7"/>
      <c r="AJ55" s="7">
        <f>SUM('címrend kötelező'!M55+'címrend önként'!M55+'címrend államig'!M55)</f>
        <v>0</v>
      </c>
      <c r="AK55" s="82"/>
      <c r="AL55" s="7"/>
      <c r="AM55" s="7">
        <f>SUM('címrend kötelező'!N55+'címrend önként'!N55+'címrend államig'!N55)</f>
        <v>0</v>
      </c>
      <c r="AN55" s="82"/>
      <c r="AO55" s="7"/>
      <c r="AP55" s="7">
        <f>SUM('címrend kötelező'!O55+'címrend önként'!O55+'címrend államig'!O55)</f>
        <v>0</v>
      </c>
      <c r="AQ55" s="82"/>
      <c r="AR55" s="7"/>
      <c r="AS55" s="7">
        <f>SUM('címrend kötelező'!P55+'címrend önként'!P55+'címrend államig'!P55)</f>
        <v>0</v>
      </c>
      <c r="AT55" s="82"/>
      <c r="AU55" s="7"/>
      <c r="AV55" s="7">
        <f>SUM('címrend kötelező'!Q55+'címrend önként'!Q55+'címrend államig'!Q55)</f>
        <v>0</v>
      </c>
      <c r="AW55" s="82"/>
      <c r="AX55" s="7"/>
      <c r="AY55" s="7">
        <f>SUM('címrend kötelező'!R55+'címrend önként'!R55+'címrend államig'!R55)</f>
        <v>0</v>
      </c>
      <c r="AZ55" s="82"/>
      <c r="BA55" s="7"/>
      <c r="BB55" s="7">
        <f>SUM('címrend kötelező'!S55+'címrend önként'!S55+'címrend államig'!S55)</f>
        <v>0</v>
      </c>
      <c r="BC55" s="82"/>
      <c r="BD55" s="7"/>
      <c r="BE55" s="7">
        <f>SUM('címrend kötelező'!T55+'címrend önként'!T55+'címrend államig'!T55)</f>
        <v>0</v>
      </c>
      <c r="BF55" s="82"/>
      <c r="BG55" s="7"/>
      <c r="BH55" s="7">
        <f>SUM('címrend kötelező'!U55+'címrend önként'!U55+'címrend államig'!U55)</f>
        <v>0</v>
      </c>
      <c r="BI55" s="82"/>
      <c r="BJ55" s="7"/>
      <c r="BK55" s="7">
        <f>SUM('címrend kötelező'!V55+'címrend önként'!V55+'címrend államig'!V55)</f>
        <v>0</v>
      </c>
      <c r="BL55" s="82"/>
      <c r="BM55" s="7"/>
      <c r="BN55" s="7">
        <f>SUM('címrend kötelező'!W55+'címrend önként'!W55+'címrend államig'!W55)</f>
        <v>0</v>
      </c>
      <c r="BO55" s="82"/>
      <c r="BP55" s="7"/>
      <c r="BQ55" s="7">
        <f>SUM('címrend kötelező'!X55+'címrend önként'!X55+'címrend államig'!X55)</f>
        <v>0</v>
      </c>
      <c r="BR55" s="82"/>
      <c r="BS55" s="7"/>
      <c r="BT55" s="7">
        <f>SUM('címrend kötelező'!Y55+'címrend önként'!Y55+'címrend államig'!Y55)</f>
        <v>0</v>
      </c>
      <c r="BU55" s="82"/>
      <c r="BV55" s="7"/>
      <c r="BW55" s="7">
        <f>SUM('címrend kötelező'!Z55+'címrend önként'!Z55+'címrend államig'!Z55)</f>
        <v>0</v>
      </c>
      <c r="BX55" s="82"/>
      <c r="BY55" s="7"/>
      <c r="BZ55" s="7">
        <f>SUM('címrend kötelező'!AA55+'címrend önként'!AA55+'címrend államig'!AA55)</f>
        <v>0</v>
      </c>
      <c r="CA55" s="82"/>
      <c r="CB55" s="7"/>
      <c r="CC55" s="7">
        <f>SUM('címrend kötelező'!AB55+'címrend önként'!AB55+'címrend államig'!AB55)</f>
        <v>0</v>
      </c>
      <c r="CD55" s="82"/>
      <c r="CE55" s="7"/>
      <c r="CF55" s="7">
        <f>SUM('címrend kötelező'!AC55+'címrend önként'!AC55+'címrend államig'!AC55)</f>
        <v>0</v>
      </c>
      <c r="CG55" s="82"/>
      <c r="CH55" s="7"/>
      <c r="CI55" s="7">
        <f>SUM('címrend kötelező'!AD55+'címrend önként'!AD55+'címrend államig'!AD55)</f>
        <v>0</v>
      </c>
      <c r="CJ55" s="82"/>
      <c r="CK55" s="7"/>
      <c r="CL55" s="7">
        <f>SUM('címrend kötelező'!AE55+'címrend önként'!AE55+'címrend államig'!AE55)</f>
        <v>0</v>
      </c>
      <c r="CM55" s="82"/>
      <c r="CN55" s="7"/>
      <c r="CO55" s="7">
        <f>SUM('címrend kötelező'!AF55+'címrend önként'!AF55+'címrend államig'!AF55)</f>
        <v>0</v>
      </c>
      <c r="CP55" s="82"/>
      <c r="CQ55" s="7"/>
      <c r="CR55" s="7">
        <f>SUM('címrend kötelező'!AG55+'címrend önként'!AG55+'címrend államig'!AG55)</f>
        <v>0</v>
      </c>
      <c r="CS55" s="82"/>
      <c r="CT55" s="7"/>
      <c r="CU55" s="7">
        <f>SUM('címrend kötelező'!AH55+'címrend önként'!AH55+'címrend államig'!AH55)</f>
        <v>0</v>
      </c>
      <c r="CV55" s="82"/>
      <c r="CW55" s="7"/>
      <c r="CX55" s="7">
        <f>SUM('címrend kötelező'!AI55+'címrend önként'!AI55+'címrend államig'!AI55)</f>
        <v>0</v>
      </c>
      <c r="CY55" s="82"/>
      <c r="CZ55" s="7"/>
      <c r="DA55" s="7">
        <f>SUM('címrend kötelező'!AJ55+'címrend önként'!AJ55+'címrend államig'!AJ55)</f>
        <v>0</v>
      </c>
      <c r="DB55" s="82"/>
      <c r="DC55" s="7"/>
      <c r="DD55" s="7">
        <f>SUM('címrend kötelező'!AK55+'címrend önként'!AK55+'címrend államig'!AK55)</f>
        <v>0</v>
      </c>
      <c r="DE55" s="82"/>
      <c r="DF55" s="7"/>
      <c r="DG55" s="7">
        <f>SUM('címrend kötelező'!AL55+'címrend önként'!AL55+'címrend államig'!AL55)</f>
        <v>0</v>
      </c>
      <c r="DH55" s="82"/>
      <c r="DI55" s="7"/>
      <c r="DJ55" s="7">
        <f>SUM('címrend kötelező'!AM55+'címrend önként'!AM55+'címrend államig'!AM55)</f>
        <v>0</v>
      </c>
      <c r="DK55" s="82"/>
      <c r="DL55" s="7"/>
      <c r="DM55" s="7">
        <f>SUM('címrend kötelező'!AN55+'címrend önként'!AN55+'címrend államig'!AN55)</f>
        <v>0</v>
      </c>
      <c r="DN55" s="82"/>
      <c r="DO55" s="7"/>
      <c r="DP55" s="7">
        <f>SUM('címrend kötelező'!AO55+'címrend önként'!AO55+'címrend államig'!AO55)</f>
        <v>0</v>
      </c>
      <c r="DQ55" s="82"/>
      <c r="DR55" s="387">
        <f t="shared" si="169"/>
        <v>0</v>
      </c>
      <c r="DS55" s="387">
        <f t="shared" si="169"/>
        <v>0</v>
      </c>
      <c r="DT55" s="387"/>
      <c r="DU55" s="7"/>
      <c r="DV55" s="7">
        <f>SUM('címrend kötelező'!AQ55+'címrend önként'!AQ55+'címrend államig'!AQ55)</f>
        <v>0</v>
      </c>
      <c r="DW55" s="38"/>
      <c r="DX55" s="7"/>
      <c r="DY55" s="7">
        <f>SUM('címrend kötelező'!AR55+'címrend önként'!AR55+'címrend államig'!AR55)</f>
        <v>0</v>
      </c>
      <c r="DZ55" s="38"/>
      <c r="EA55" s="7"/>
      <c r="EB55" s="7">
        <f>SUM('címrend kötelező'!AS55+'címrend önként'!AS55+'címrend államig'!AS55)</f>
        <v>0</v>
      </c>
      <c r="EC55" s="38"/>
      <c r="ED55" s="7"/>
      <c r="EE55" s="7">
        <f>SUM('címrend kötelező'!AT55+'címrend önként'!AT55+'címrend államig'!AT55)</f>
        <v>0</v>
      </c>
      <c r="EF55" s="38"/>
      <c r="EG55" s="7"/>
      <c r="EH55" s="7">
        <f>SUM('címrend kötelező'!AU55+'címrend önként'!AU55+'címrend államig'!AU55)</f>
        <v>0</v>
      </c>
      <c r="EI55" s="38"/>
      <c r="EJ55" s="7"/>
      <c r="EK55" s="7">
        <f>SUM('címrend kötelező'!AV55+'címrend önként'!AV55+'címrend államig'!AV55)</f>
        <v>0</v>
      </c>
      <c r="EL55" s="38"/>
      <c r="EM55" s="7"/>
      <c r="EN55" s="7">
        <f>SUM('címrend kötelező'!AW55+'címrend önként'!AW55+'címrend államig'!AW55)</f>
        <v>0</v>
      </c>
      <c r="EO55" s="38"/>
      <c r="EP55" s="7"/>
      <c r="EQ55" s="7">
        <f>SUM('címrend kötelező'!AX55+'címrend önként'!AX55+'címrend államig'!AX55)</f>
        <v>0</v>
      </c>
      <c r="ER55" s="38"/>
      <c r="ES55" s="7"/>
      <c r="ET55" s="7">
        <f>SUM('címrend kötelező'!AY55+'címrend önként'!AY55+'címrend államig'!AY55)</f>
        <v>0</v>
      </c>
      <c r="EU55" s="38"/>
      <c r="EV55" s="387">
        <f t="shared" si="179"/>
        <v>0</v>
      </c>
      <c r="EW55" s="387">
        <f t="shared" si="179"/>
        <v>0</v>
      </c>
      <c r="EX55" s="84"/>
      <c r="EY55" s="7"/>
      <c r="EZ55" s="7">
        <f>'címrend kötelező'!BA55+'címrend önként'!BA55+'címrend államig'!BA55</f>
        <v>0</v>
      </c>
      <c r="FA55" s="38"/>
      <c r="FB55" s="7"/>
      <c r="FC55" s="7">
        <f>'címrend kötelező'!BB55+'címrend önként'!BB55+'címrend államig'!BB55</f>
        <v>0</v>
      </c>
      <c r="FD55" s="38"/>
      <c r="FE55" s="7"/>
      <c r="FF55" s="7">
        <f>'címrend kötelező'!BC55+'címrend önként'!BC55+'címrend államig'!BC55</f>
        <v>0</v>
      </c>
      <c r="FG55" s="38"/>
      <c r="FH55" s="7"/>
      <c r="FI55" s="7">
        <f>'címrend kötelező'!BD55+'címrend önként'!BD55+'címrend államig'!BD55</f>
        <v>0</v>
      </c>
      <c r="FJ55" s="38"/>
      <c r="FK55" s="38"/>
      <c r="FL55" s="7">
        <f>'címrend kötelező'!BE55+'címrend önként'!BE55+'címrend államig'!BE55</f>
        <v>0</v>
      </c>
      <c r="FM55" s="38"/>
      <c r="FN55" s="7"/>
      <c r="FO55" s="7">
        <f>SUM('címrend kötelező'!BF55+'címrend önként'!BF55+'címrend államig'!BF55)</f>
        <v>0</v>
      </c>
      <c r="FP55" s="38"/>
      <c r="FQ55" s="7"/>
      <c r="FR55" s="7">
        <f>SUM('címrend kötelező'!BG55+'címrend önként'!BG55+'címrend államig'!BG55)</f>
        <v>0</v>
      </c>
      <c r="FS55" s="38"/>
      <c r="FT55" s="7"/>
      <c r="FU55" s="7">
        <f>SUM('címrend kötelező'!BH55+'címrend önként'!BH55+'címrend államig'!BH55)</f>
        <v>0</v>
      </c>
      <c r="FV55" s="38"/>
      <c r="FW55" s="7"/>
      <c r="FX55" s="7">
        <f>SUM('címrend kötelező'!BI55+'címrend önként'!BI55+'címrend államig'!BI55)</f>
        <v>0</v>
      </c>
      <c r="FY55" s="38"/>
      <c r="FZ55" s="7"/>
      <c r="GA55" s="7">
        <f>SUM('címrend kötelező'!BJ55+'címrend önként'!BJ55+'címrend államig'!BJ55)</f>
        <v>0</v>
      </c>
      <c r="GB55" s="38"/>
      <c r="GC55" s="7"/>
      <c r="GD55" s="7">
        <f>SUM('címrend kötelező'!BK55+'címrend önként'!BK55+'címrend államig'!BK55)</f>
        <v>0</v>
      </c>
      <c r="GE55" s="38"/>
      <c r="GF55" s="7"/>
      <c r="GG55" s="7">
        <f>SUM('címrend kötelező'!BL55+'címrend önként'!BL55+'címrend államig'!BL55)</f>
        <v>0</v>
      </c>
      <c r="GH55" s="38"/>
      <c r="GI55" s="7"/>
      <c r="GJ55" s="7">
        <f>SUM('címrend kötelező'!BM55+'címrend önként'!BM55+'címrend államig'!BM55)</f>
        <v>0</v>
      </c>
      <c r="GK55" s="38"/>
      <c r="GL55" s="7"/>
      <c r="GM55" s="7">
        <f>SUM('címrend kötelező'!BN55+'címrend önként'!BN55+'címrend államig'!BN55)</f>
        <v>0</v>
      </c>
      <c r="GN55" s="38"/>
      <c r="GO55" s="387">
        <f t="shared" si="790"/>
        <v>0</v>
      </c>
      <c r="GP55" s="387">
        <f t="shared" ref="GP55:GP57" si="1203">EZ55+FC55+FF55+FI55+FL55+FO55+FR55+FU55+FX55+GA55+GD55+GG55+GJ55+GM55</f>
        <v>0</v>
      </c>
      <c r="GQ55" s="38"/>
      <c r="GR55" s="7"/>
      <c r="GS55" s="7">
        <f>SUM('címrend kötelező'!BP55+'címrend önként'!BP55+'címrend államig'!BP55)</f>
        <v>0</v>
      </c>
      <c r="GT55" s="38"/>
      <c r="GU55" s="7"/>
      <c r="GV55" s="7">
        <f>SUM('címrend kötelező'!BQ55+'címrend önként'!BQ55+'címrend államig'!BQ55)</f>
        <v>0</v>
      </c>
      <c r="GW55" s="38"/>
      <c r="GX55" s="7"/>
      <c r="GY55" s="7">
        <f>SUM('címrend kötelező'!BR55+'címrend önként'!BR55+'címrend államig'!BR55)</f>
        <v>0</v>
      </c>
      <c r="GZ55" s="38"/>
      <c r="HA55" s="387">
        <f t="shared" si="198"/>
        <v>0</v>
      </c>
      <c r="HB55" s="387">
        <f t="shared" si="198"/>
        <v>0</v>
      </c>
      <c r="HC55" s="387"/>
      <c r="HD55" s="38">
        <f t="shared" si="792"/>
        <v>0</v>
      </c>
      <c r="HE55" s="38">
        <f t="shared" si="793"/>
        <v>0</v>
      </c>
      <c r="HF55" s="238"/>
      <c r="HH55" s="242"/>
      <c r="HI55" s="242"/>
    </row>
    <row r="56" spans="1:217" s="13" customFormat="1" ht="15" customHeight="1" x14ac:dyDescent="0.25">
      <c r="A56" s="218" t="s">
        <v>382</v>
      </c>
      <c r="B56" s="7"/>
      <c r="C56" s="7">
        <f>SUM('címrend kötelező'!B56+'címrend önként'!B56+'címrend államig'!B56)</f>
        <v>0</v>
      </c>
      <c r="D56" s="82"/>
      <c r="E56" s="7"/>
      <c r="F56" s="7">
        <f>SUM('címrend kötelező'!C56+'címrend önként'!C56+'címrend államig'!C56)</f>
        <v>0</v>
      </c>
      <c r="G56" s="82"/>
      <c r="H56" s="7"/>
      <c r="I56" s="7">
        <f>SUM('címrend kötelező'!D56+'címrend önként'!D56+'címrend államig'!D56)</f>
        <v>0</v>
      </c>
      <c r="J56" s="82"/>
      <c r="K56" s="7"/>
      <c r="L56" s="7">
        <f>SUM('címrend kötelező'!E56+'címrend önként'!E56+'címrend államig'!E56)</f>
        <v>0</v>
      </c>
      <c r="M56" s="82"/>
      <c r="N56" s="7"/>
      <c r="O56" s="7">
        <f>SUM('címrend kötelező'!F56+'címrend önként'!F56+'címrend államig'!F56)</f>
        <v>0</v>
      </c>
      <c r="P56" s="82"/>
      <c r="Q56" s="7"/>
      <c r="R56" s="7">
        <f>SUM('címrend kötelező'!G56+'címrend önként'!G56+'címrend államig'!G56)</f>
        <v>0</v>
      </c>
      <c r="S56" s="82"/>
      <c r="T56" s="7"/>
      <c r="U56" s="7">
        <f>SUM('címrend kötelező'!H56+'címrend önként'!H56+'címrend államig'!H56)</f>
        <v>0</v>
      </c>
      <c r="V56" s="82"/>
      <c r="W56" s="7"/>
      <c r="X56" s="7">
        <f>SUM('címrend kötelező'!I56+'címrend önként'!I56+'címrend államig'!I56)</f>
        <v>0</v>
      </c>
      <c r="Y56" s="82"/>
      <c r="Z56" s="7"/>
      <c r="AA56" s="7">
        <f>SUM('címrend kötelező'!J56+'címrend önként'!J56+'címrend államig'!J56)</f>
        <v>0</v>
      </c>
      <c r="AB56" s="82"/>
      <c r="AC56" s="7"/>
      <c r="AD56" s="7">
        <f>SUM('címrend kötelező'!K56+'címrend önként'!K56+'címrend államig'!K56)</f>
        <v>0</v>
      </c>
      <c r="AE56" s="82"/>
      <c r="AF56" s="7"/>
      <c r="AG56" s="7">
        <f>SUM('címrend kötelező'!L56+'címrend önként'!L56+'címrend államig'!L56)</f>
        <v>0</v>
      </c>
      <c r="AH56" s="82"/>
      <c r="AI56" s="7"/>
      <c r="AJ56" s="7">
        <f>SUM('címrend kötelező'!M56+'címrend önként'!M56+'címrend államig'!M56)</f>
        <v>0</v>
      </c>
      <c r="AK56" s="82"/>
      <c r="AL56" s="7"/>
      <c r="AM56" s="7">
        <f>SUM('címrend kötelező'!N56+'címrend önként'!N56+'címrend államig'!N56)</f>
        <v>0</v>
      </c>
      <c r="AN56" s="82"/>
      <c r="AO56" s="7"/>
      <c r="AP56" s="7">
        <f>SUM('címrend kötelező'!O56+'címrend önként'!O56+'címrend államig'!O56)</f>
        <v>0</v>
      </c>
      <c r="AQ56" s="82"/>
      <c r="AR56" s="7"/>
      <c r="AS56" s="7">
        <f>SUM('címrend kötelező'!P56+'címrend önként'!P56+'címrend államig'!P56)</f>
        <v>0</v>
      </c>
      <c r="AT56" s="82"/>
      <c r="AU56" s="7"/>
      <c r="AV56" s="7">
        <f>SUM('címrend kötelező'!Q56+'címrend önként'!Q56+'címrend államig'!Q56)</f>
        <v>0</v>
      </c>
      <c r="AW56" s="82"/>
      <c r="AX56" s="7"/>
      <c r="AY56" s="7">
        <f>SUM('címrend kötelező'!R56+'címrend önként'!R56+'címrend államig'!R56)</f>
        <v>0</v>
      </c>
      <c r="AZ56" s="82"/>
      <c r="BA56" s="7"/>
      <c r="BB56" s="7">
        <f>SUM('címrend kötelező'!S56+'címrend önként'!S56+'címrend államig'!S56)</f>
        <v>0</v>
      </c>
      <c r="BC56" s="82"/>
      <c r="BD56" s="7"/>
      <c r="BE56" s="7">
        <f>SUM('címrend kötelező'!T56+'címrend önként'!T56+'címrend államig'!T56)</f>
        <v>0</v>
      </c>
      <c r="BF56" s="82"/>
      <c r="BG56" s="7"/>
      <c r="BH56" s="7">
        <f>SUM('címrend kötelező'!U56+'címrend önként'!U56+'címrend államig'!U56)</f>
        <v>0</v>
      </c>
      <c r="BI56" s="82"/>
      <c r="BJ56" s="7"/>
      <c r="BK56" s="7">
        <f>SUM('címrend kötelező'!V56+'címrend önként'!V56+'címrend államig'!V56)</f>
        <v>0</v>
      </c>
      <c r="BL56" s="82"/>
      <c r="BM56" s="7"/>
      <c r="BN56" s="7">
        <f>SUM('címrend kötelező'!W56+'címrend önként'!W56+'címrend államig'!W56)</f>
        <v>0</v>
      </c>
      <c r="BO56" s="82"/>
      <c r="BP56" s="7"/>
      <c r="BQ56" s="7">
        <f>SUM('címrend kötelező'!X56+'címrend önként'!X56+'címrend államig'!X56)</f>
        <v>0</v>
      </c>
      <c r="BR56" s="82"/>
      <c r="BS56" s="7"/>
      <c r="BT56" s="7">
        <f>SUM('címrend kötelező'!Y56+'címrend önként'!Y56+'címrend államig'!Y56)</f>
        <v>0</v>
      </c>
      <c r="BU56" s="82"/>
      <c r="BV56" s="7"/>
      <c r="BW56" s="7">
        <f>SUM('címrend kötelező'!Z56+'címrend önként'!Z56+'címrend államig'!Z56)</f>
        <v>0</v>
      </c>
      <c r="BX56" s="82"/>
      <c r="BY56" s="7"/>
      <c r="BZ56" s="7">
        <f>SUM('címrend kötelező'!AA56+'címrend önként'!AA56+'címrend államig'!AA56)</f>
        <v>0</v>
      </c>
      <c r="CA56" s="82"/>
      <c r="CB56" s="7"/>
      <c r="CC56" s="7">
        <f>SUM('címrend kötelező'!AB56+'címrend önként'!AB56+'címrend államig'!AB56)</f>
        <v>0</v>
      </c>
      <c r="CD56" s="82"/>
      <c r="CE56" s="7"/>
      <c r="CF56" s="7">
        <f>SUM('címrend kötelező'!AC56+'címrend önként'!AC56+'címrend államig'!AC56)</f>
        <v>0</v>
      </c>
      <c r="CG56" s="82"/>
      <c r="CH56" s="7"/>
      <c r="CI56" s="7">
        <f>SUM('címrend kötelező'!AD56+'címrend önként'!AD56+'címrend államig'!AD56)</f>
        <v>0</v>
      </c>
      <c r="CJ56" s="82"/>
      <c r="CK56" s="7"/>
      <c r="CL56" s="7">
        <f>SUM('címrend kötelező'!AE56+'címrend önként'!AE56+'címrend államig'!AE56)</f>
        <v>0</v>
      </c>
      <c r="CM56" s="82"/>
      <c r="CN56" s="7"/>
      <c r="CO56" s="7">
        <f>SUM('címrend kötelező'!AF56+'címrend önként'!AF56+'címrend államig'!AF56)</f>
        <v>0</v>
      </c>
      <c r="CP56" s="82"/>
      <c r="CQ56" s="7"/>
      <c r="CR56" s="7">
        <f>SUM('címrend kötelező'!AG56+'címrend önként'!AG56+'címrend államig'!AG56)</f>
        <v>0</v>
      </c>
      <c r="CS56" s="82"/>
      <c r="CT56" s="7"/>
      <c r="CU56" s="7">
        <f>SUM('címrend kötelező'!AH56+'címrend önként'!AH56+'címrend államig'!AH56)</f>
        <v>0</v>
      </c>
      <c r="CV56" s="82"/>
      <c r="CW56" s="7"/>
      <c r="CX56" s="7">
        <f>SUM('címrend kötelező'!AI56+'címrend önként'!AI56+'címrend államig'!AI56)</f>
        <v>0</v>
      </c>
      <c r="CY56" s="82"/>
      <c r="CZ56" s="7"/>
      <c r="DA56" s="7">
        <f>SUM('címrend kötelező'!AJ56+'címrend önként'!AJ56+'címrend államig'!AJ56)</f>
        <v>0</v>
      </c>
      <c r="DB56" s="82"/>
      <c r="DC56" s="7"/>
      <c r="DD56" s="7">
        <f>SUM('címrend kötelező'!AK56+'címrend önként'!AK56+'címrend államig'!AK56)</f>
        <v>0</v>
      </c>
      <c r="DE56" s="82"/>
      <c r="DF56" s="7"/>
      <c r="DG56" s="7">
        <f>SUM('címrend kötelező'!AL56+'címrend önként'!AL56+'címrend államig'!AL56)</f>
        <v>0</v>
      </c>
      <c r="DH56" s="82"/>
      <c r="DI56" s="7"/>
      <c r="DJ56" s="7">
        <f>SUM('címrend kötelező'!AM56+'címrend önként'!AM56+'címrend államig'!AM56)</f>
        <v>0</v>
      </c>
      <c r="DK56" s="82"/>
      <c r="DL56" s="7"/>
      <c r="DM56" s="7">
        <f>SUM('címrend kötelező'!AN56+'címrend önként'!AN56+'címrend államig'!AN56)</f>
        <v>0</v>
      </c>
      <c r="DN56" s="82"/>
      <c r="DO56" s="7"/>
      <c r="DP56" s="7">
        <f>SUM('címrend kötelező'!AO56+'címrend önként'!AO56+'címrend államig'!AO56)</f>
        <v>0</v>
      </c>
      <c r="DQ56" s="82"/>
      <c r="DR56" s="387">
        <f t="shared" si="169"/>
        <v>0</v>
      </c>
      <c r="DS56" s="387">
        <f t="shared" si="169"/>
        <v>0</v>
      </c>
      <c r="DT56" s="387"/>
      <c r="DU56" s="7"/>
      <c r="DV56" s="7">
        <f>SUM('címrend kötelező'!AQ56+'címrend önként'!AQ56+'címrend államig'!AQ56)</f>
        <v>0</v>
      </c>
      <c r="DW56" s="38"/>
      <c r="DX56" s="7"/>
      <c r="DY56" s="7">
        <f>SUM('címrend kötelező'!AR56+'címrend önként'!AR56+'címrend államig'!AR56)</f>
        <v>0</v>
      </c>
      <c r="DZ56" s="38"/>
      <c r="EA56" s="7"/>
      <c r="EB56" s="7">
        <f>SUM('címrend kötelező'!AS56+'címrend önként'!AS56+'címrend államig'!AS56)</f>
        <v>0</v>
      </c>
      <c r="EC56" s="38"/>
      <c r="ED56" s="7"/>
      <c r="EE56" s="7">
        <f>SUM('címrend kötelező'!AT56+'címrend önként'!AT56+'címrend államig'!AT56)</f>
        <v>0</v>
      </c>
      <c r="EF56" s="38"/>
      <c r="EG56" s="7"/>
      <c r="EH56" s="7">
        <f>SUM('címrend kötelező'!AU56+'címrend önként'!AU56+'címrend államig'!AU56)</f>
        <v>0</v>
      </c>
      <c r="EI56" s="38"/>
      <c r="EJ56" s="7"/>
      <c r="EK56" s="7">
        <f>SUM('címrend kötelező'!AV56+'címrend önként'!AV56+'címrend államig'!AV56)</f>
        <v>0</v>
      </c>
      <c r="EL56" s="38"/>
      <c r="EM56" s="7"/>
      <c r="EN56" s="7">
        <f>SUM('címrend kötelező'!AW56+'címrend önként'!AW56+'címrend államig'!AW56)</f>
        <v>0</v>
      </c>
      <c r="EO56" s="38"/>
      <c r="EP56" s="7"/>
      <c r="EQ56" s="7">
        <f>SUM('címrend kötelező'!AX56+'címrend önként'!AX56+'címrend államig'!AX56)</f>
        <v>0</v>
      </c>
      <c r="ER56" s="38"/>
      <c r="ES56" s="7"/>
      <c r="ET56" s="7">
        <f>SUM('címrend kötelező'!AY56+'címrend önként'!AY56+'címrend államig'!AY56)</f>
        <v>0</v>
      </c>
      <c r="EU56" s="38"/>
      <c r="EV56" s="387">
        <f t="shared" si="179"/>
        <v>0</v>
      </c>
      <c r="EW56" s="387">
        <f t="shared" si="179"/>
        <v>0</v>
      </c>
      <c r="EX56" s="84"/>
      <c r="EY56" s="7"/>
      <c r="EZ56" s="7">
        <f>'címrend kötelező'!BA56+'címrend önként'!BA56+'címrend államig'!BA56</f>
        <v>0</v>
      </c>
      <c r="FA56" s="38"/>
      <c r="FB56" s="7"/>
      <c r="FC56" s="7">
        <f>'címrend kötelező'!BB56+'címrend önként'!BB56+'címrend államig'!BB56</f>
        <v>0</v>
      </c>
      <c r="FD56" s="38"/>
      <c r="FE56" s="7"/>
      <c r="FF56" s="7">
        <f>'címrend kötelező'!BC56+'címrend önként'!BC56+'címrend államig'!BC56</f>
        <v>0</v>
      </c>
      <c r="FG56" s="38"/>
      <c r="FH56" s="7"/>
      <c r="FI56" s="7">
        <f>'címrend kötelező'!BD56+'címrend önként'!BD56+'címrend államig'!BD56</f>
        <v>0</v>
      </c>
      <c r="FJ56" s="38"/>
      <c r="FK56" s="38"/>
      <c r="FL56" s="7">
        <f>'címrend kötelező'!BE56+'címrend önként'!BE56+'címrend államig'!BE56</f>
        <v>0</v>
      </c>
      <c r="FM56" s="38"/>
      <c r="FN56" s="7"/>
      <c r="FO56" s="7">
        <f>SUM('címrend kötelező'!BF56+'címrend önként'!BF56+'címrend államig'!BF56)</f>
        <v>0</v>
      </c>
      <c r="FP56" s="38"/>
      <c r="FQ56" s="7"/>
      <c r="FR56" s="7">
        <f>SUM('címrend kötelező'!BG56+'címrend önként'!BG56+'címrend államig'!BG56)</f>
        <v>0</v>
      </c>
      <c r="FS56" s="38"/>
      <c r="FT56" s="7"/>
      <c r="FU56" s="7">
        <f>SUM('címrend kötelező'!BH56+'címrend önként'!BH56+'címrend államig'!BH56)</f>
        <v>0</v>
      </c>
      <c r="FV56" s="38"/>
      <c r="FW56" s="7"/>
      <c r="FX56" s="7">
        <f>SUM('címrend kötelező'!BI56+'címrend önként'!BI56+'címrend államig'!BI56)</f>
        <v>0</v>
      </c>
      <c r="FY56" s="38"/>
      <c r="FZ56" s="7"/>
      <c r="GA56" s="7">
        <f>SUM('címrend kötelező'!BJ56+'címrend önként'!BJ56+'címrend államig'!BJ56)</f>
        <v>0</v>
      </c>
      <c r="GB56" s="38"/>
      <c r="GC56" s="7"/>
      <c r="GD56" s="7">
        <f>SUM('címrend kötelező'!BK56+'címrend önként'!BK56+'címrend államig'!BK56)</f>
        <v>0</v>
      </c>
      <c r="GE56" s="38"/>
      <c r="GF56" s="7"/>
      <c r="GG56" s="7">
        <f>SUM('címrend kötelező'!BL56+'címrend önként'!BL56+'címrend államig'!BL56)</f>
        <v>0</v>
      </c>
      <c r="GH56" s="38"/>
      <c r="GI56" s="7"/>
      <c r="GJ56" s="7">
        <f>SUM('címrend kötelező'!BM56+'címrend önként'!BM56+'címrend államig'!BM56)</f>
        <v>0</v>
      </c>
      <c r="GK56" s="38"/>
      <c r="GL56" s="7"/>
      <c r="GM56" s="7">
        <f>SUM('címrend kötelező'!BN56+'címrend önként'!BN56+'címrend államig'!BN56)</f>
        <v>0</v>
      </c>
      <c r="GN56" s="38"/>
      <c r="GO56" s="387">
        <f t="shared" si="790"/>
        <v>0</v>
      </c>
      <c r="GP56" s="387">
        <f t="shared" si="1203"/>
        <v>0</v>
      </c>
      <c r="GQ56" s="38"/>
      <c r="GR56" s="7"/>
      <c r="GS56" s="7">
        <f>SUM('címrend kötelező'!BP56+'címrend önként'!BP56+'címrend államig'!BP56)</f>
        <v>0</v>
      </c>
      <c r="GT56" s="38"/>
      <c r="GU56" s="7"/>
      <c r="GV56" s="7">
        <f>SUM('címrend kötelező'!BQ56+'címrend önként'!BQ56+'címrend államig'!BQ56)</f>
        <v>0</v>
      </c>
      <c r="GW56" s="38"/>
      <c r="GX56" s="7"/>
      <c r="GY56" s="7">
        <f>SUM('címrend kötelező'!BR56+'címrend önként'!BR56+'címrend államig'!BR56)</f>
        <v>0</v>
      </c>
      <c r="GZ56" s="38"/>
      <c r="HA56" s="387">
        <f t="shared" si="198"/>
        <v>0</v>
      </c>
      <c r="HB56" s="387">
        <f t="shared" si="198"/>
        <v>0</v>
      </c>
      <c r="HC56" s="387"/>
      <c r="HD56" s="38">
        <f t="shared" si="792"/>
        <v>0</v>
      </c>
      <c r="HE56" s="38">
        <f t="shared" si="793"/>
        <v>0</v>
      </c>
      <c r="HF56" s="238"/>
      <c r="HH56" s="242"/>
      <c r="HI56" s="242"/>
    </row>
    <row r="57" spans="1:217" ht="15" customHeight="1" x14ac:dyDescent="0.25">
      <c r="A57" s="220" t="s">
        <v>383</v>
      </c>
      <c r="B57" s="7"/>
      <c r="C57" s="7">
        <f>SUM('címrend kötelező'!B57+'címrend önként'!B57+'címrend államig'!B57)</f>
        <v>0</v>
      </c>
      <c r="D57" s="82"/>
      <c r="E57" s="7"/>
      <c r="F57" s="7">
        <f>SUM('címrend kötelező'!C57+'címrend önként'!C57+'címrend államig'!C57)</f>
        <v>0</v>
      </c>
      <c r="G57" s="82"/>
      <c r="H57" s="7"/>
      <c r="I57" s="7">
        <f>SUM('címrend kötelező'!D57+'címrend önként'!D57+'címrend államig'!D57)</f>
        <v>0</v>
      </c>
      <c r="J57" s="82"/>
      <c r="K57" s="7"/>
      <c r="L57" s="7">
        <f>SUM('címrend kötelező'!E57+'címrend önként'!E57+'címrend államig'!E57)</f>
        <v>0</v>
      </c>
      <c r="M57" s="82"/>
      <c r="N57" s="7"/>
      <c r="O57" s="7">
        <f>SUM('címrend kötelező'!F57+'címrend önként'!F57+'címrend államig'!F57)</f>
        <v>0</v>
      </c>
      <c r="P57" s="82"/>
      <c r="Q57" s="7"/>
      <c r="R57" s="7">
        <f>SUM('címrend kötelező'!G57+'címrend önként'!G57+'címrend államig'!G57)</f>
        <v>0</v>
      </c>
      <c r="S57" s="82"/>
      <c r="T57" s="7"/>
      <c r="U57" s="7">
        <f>SUM('címrend kötelező'!H57+'címrend önként'!H57+'címrend államig'!H57)</f>
        <v>0</v>
      </c>
      <c r="V57" s="82"/>
      <c r="W57" s="7"/>
      <c r="X57" s="7">
        <f>SUM('címrend kötelező'!I57+'címrend önként'!I57+'címrend államig'!I57)</f>
        <v>0</v>
      </c>
      <c r="Y57" s="82"/>
      <c r="Z57" s="7">
        <v>6667458</v>
      </c>
      <c r="AA57" s="7">
        <f>SUM('címrend kötelező'!J57+'címrend önként'!J57+'címrend államig'!J57)</f>
        <v>6849654</v>
      </c>
      <c r="AB57" s="82"/>
      <c r="AC57" s="7"/>
      <c r="AD57" s="7">
        <f>SUM('címrend kötelező'!K57+'címrend önként'!K57+'címrend államig'!K57)</f>
        <v>0</v>
      </c>
      <c r="AE57" s="82"/>
      <c r="AF57" s="7"/>
      <c r="AG57" s="7">
        <f>SUM('címrend kötelező'!L57+'címrend önként'!L57+'címrend államig'!L57)</f>
        <v>0</v>
      </c>
      <c r="AH57" s="82"/>
      <c r="AI57" s="7"/>
      <c r="AJ57" s="7">
        <f>SUM('címrend kötelező'!M57+'címrend önként'!M57+'címrend államig'!M57)</f>
        <v>0</v>
      </c>
      <c r="AK57" s="82"/>
      <c r="AL57" s="7"/>
      <c r="AM57" s="7">
        <f>SUM('címrend kötelező'!N57+'címrend önként'!N57+'címrend államig'!N57)</f>
        <v>0</v>
      </c>
      <c r="AN57" s="82"/>
      <c r="AO57" s="7"/>
      <c r="AP57" s="7">
        <f>SUM('címrend kötelező'!O57+'címrend önként'!O57+'címrend államig'!O57)</f>
        <v>0</v>
      </c>
      <c r="AQ57" s="82"/>
      <c r="AR57" s="7"/>
      <c r="AS57" s="7">
        <f>SUM('címrend kötelező'!P57+'címrend önként'!P57+'címrend államig'!P57)</f>
        <v>0</v>
      </c>
      <c r="AT57" s="82"/>
      <c r="AU57" s="7"/>
      <c r="AV57" s="7">
        <f>SUM('címrend kötelező'!Q57+'címrend önként'!Q57+'címrend államig'!Q57)</f>
        <v>0</v>
      </c>
      <c r="AW57" s="82"/>
      <c r="AX57" s="7"/>
      <c r="AY57" s="7">
        <f>SUM('címrend kötelező'!R57+'címrend önként'!R57+'címrend államig'!R57)</f>
        <v>0</v>
      </c>
      <c r="AZ57" s="82"/>
      <c r="BA57" s="7"/>
      <c r="BB57" s="7">
        <f>SUM('címrend kötelező'!S57+'címrend önként'!S57+'címrend államig'!S57)</f>
        <v>0</v>
      </c>
      <c r="BC57" s="82"/>
      <c r="BD57" s="7"/>
      <c r="BE57" s="7">
        <f>SUM('címrend kötelező'!T57+'címrend önként'!T57+'címrend államig'!T57)</f>
        <v>0</v>
      </c>
      <c r="BF57" s="82"/>
      <c r="BG57" s="7"/>
      <c r="BH57" s="7">
        <f>SUM('címrend kötelező'!U57+'címrend önként'!U57+'címrend államig'!U57)</f>
        <v>0</v>
      </c>
      <c r="BI57" s="82"/>
      <c r="BJ57" s="7"/>
      <c r="BK57" s="7">
        <f>SUM('címrend kötelező'!V57+'címrend önként'!V57+'címrend államig'!V57)</f>
        <v>0</v>
      </c>
      <c r="BL57" s="82"/>
      <c r="BM57" s="7"/>
      <c r="BN57" s="7">
        <f>SUM('címrend kötelező'!W57+'címrend önként'!W57+'címrend államig'!W57)</f>
        <v>0</v>
      </c>
      <c r="BO57" s="82"/>
      <c r="BP57" s="7"/>
      <c r="BQ57" s="7">
        <f>SUM('címrend kötelező'!X57+'címrend önként'!X57+'címrend államig'!X57)</f>
        <v>0</v>
      </c>
      <c r="BR57" s="82"/>
      <c r="BS57" s="7"/>
      <c r="BT57" s="7">
        <f>SUM('címrend kötelező'!Y57+'címrend önként'!Y57+'címrend államig'!Y57)</f>
        <v>0</v>
      </c>
      <c r="BU57" s="82"/>
      <c r="BV57" s="7"/>
      <c r="BW57" s="7">
        <f>SUM('címrend kötelező'!Z57+'címrend önként'!Z57+'címrend államig'!Z57)</f>
        <v>0</v>
      </c>
      <c r="BX57" s="82"/>
      <c r="BY57" s="7"/>
      <c r="BZ57" s="7">
        <f>SUM('címrend kötelező'!AA57+'címrend önként'!AA57+'címrend államig'!AA57)</f>
        <v>0</v>
      </c>
      <c r="CA57" s="82"/>
      <c r="CB57" s="7"/>
      <c r="CC57" s="7">
        <f>SUM('címrend kötelező'!AB57+'címrend önként'!AB57+'címrend államig'!AB57)</f>
        <v>0</v>
      </c>
      <c r="CD57" s="82"/>
      <c r="CE57" s="7"/>
      <c r="CF57" s="7">
        <f>SUM('címrend kötelező'!AC57+'címrend önként'!AC57+'címrend államig'!AC57)</f>
        <v>0</v>
      </c>
      <c r="CG57" s="82"/>
      <c r="CH57" s="7"/>
      <c r="CI57" s="7">
        <f>SUM('címrend kötelező'!AD57+'címrend önként'!AD57+'címrend államig'!AD57)</f>
        <v>0</v>
      </c>
      <c r="CJ57" s="82"/>
      <c r="CK57" s="7"/>
      <c r="CL57" s="7">
        <f>SUM('címrend kötelező'!AE57+'címrend önként'!AE57+'címrend államig'!AE57)</f>
        <v>0</v>
      </c>
      <c r="CM57" s="82"/>
      <c r="CN57" s="7"/>
      <c r="CO57" s="7">
        <f>SUM('címrend kötelező'!AF57+'címrend önként'!AF57+'címrend államig'!AF57)</f>
        <v>0</v>
      </c>
      <c r="CP57" s="82"/>
      <c r="CQ57" s="7"/>
      <c r="CR57" s="7">
        <f>SUM('címrend kötelező'!AG57+'címrend önként'!AG57+'címrend államig'!AG57)</f>
        <v>0</v>
      </c>
      <c r="CS57" s="82"/>
      <c r="CT57" s="7"/>
      <c r="CU57" s="7">
        <f>SUM('címrend kötelező'!AH57+'címrend önként'!AH57+'címrend államig'!AH57)</f>
        <v>0</v>
      </c>
      <c r="CV57" s="82"/>
      <c r="CW57" s="7"/>
      <c r="CX57" s="7">
        <f>SUM('címrend kötelező'!AI57+'címrend önként'!AI57+'címrend államig'!AI57)</f>
        <v>0</v>
      </c>
      <c r="CY57" s="82"/>
      <c r="CZ57" s="7"/>
      <c r="DA57" s="7">
        <f>SUM('címrend kötelező'!AJ57+'címrend önként'!AJ57+'címrend államig'!AJ57)</f>
        <v>0</v>
      </c>
      <c r="DB57" s="82"/>
      <c r="DC57" s="7"/>
      <c r="DD57" s="7">
        <f>SUM('címrend kötelező'!AK57+'címrend önként'!AK57+'címrend államig'!AK57)</f>
        <v>0</v>
      </c>
      <c r="DE57" s="82"/>
      <c r="DF57" s="7"/>
      <c r="DG57" s="7">
        <f>SUM('címrend kötelező'!AL57+'címrend önként'!AL57+'címrend államig'!AL57)</f>
        <v>0</v>
      </c>
      <c r="DH57" s="82"/>
      <c r="DI57" s="7"/>
      <c r="DJ57" s="7">
        <f>SUM('címrend kötelező'!AM57+'címrend önként'!AM57+'címrend államig'!AM57)</f>
        <v>0</v>
      </c>
      <c r="DK57" s="82"/>
      <c r="DL57" s="7"/>
      <c r="DM57" s="7">
        <f>SUM('címrend kötelező'!AN57+'címrend önként'!AN57+'címrend államig'!AN57)</f>
        <v>0</v>
      </c>
      <c r="DN57" s="82"/>
      <c r="DO57" s="7"/>
      <c r="DP57" s="7">
        <f>SUM('címrend kötelező'!AO57+'címrend önként'!AO57+'címrend államig'!AO57)</f>
        <v>0</v>
      </c>
      <c r="DQ57" s="82"/>
      <c r="DR57" s="387">
        <f t="shared" si="169"/>
        <v>6667458</v>
      </c>
      <c r="DS57" s="387">
        <f t="shared" si="169"/>
        <v>6849654</v>
      </c>
      <c r="DT57" s="87">
        <f t="shared" si="170"/>
        <v>102.73261563852371</v>
      </c>
      <c r="DU57" s="7"/>
      <c r="DV57" s="7">
        <f>SUM('címrend kötelező'!AQ57+'címrend önként'!AQ57+'címrend államig'!AQ57)</f>
        <v>0</v>
      </c>
      <c r="DW57" s="38"/>
      <c r="DX57" s="7"/>
      <c r="DY57" s="7">
        <f>SUM('címrend kötelező'!AR57+'címrend önként'!AR57+'címrend államig'!AR57)</f>
        <v>0</v>
      </c>
      <c r="DZ57" s="38"/>
      <c r="EA57" s="7"/>
      <c r="EB57" s="7">
        <f>SUM('címrend kötelező'!AS57+'címrend önként'!AS57+'címrend államig'!AS57)</f>
        <v>0</v>
      </c>
      <c r="EC57" s="38"/>
      <c r="ED57" s="7"/>
      <c r="EE57" s="7">
        <f>SUM('címrend kötelező'!AT57+'címrend önként'!AT57+'címrend államig'!AT57)</f>
        <v>0</v>
      </c>
      <c r="EF57" s="38"/>
      <c r="EG57" s="7"/>
      <c r="EH57" s="7">
        <f>SUM('címrend kötelező'!AU57+'címrend önként'!AU57+'címrend államig'!AU57)</f>
        <v>0</v>
      </c>
      <c r="EI57" s="38"/>
      <c r="EJ57" s="7"/>
      <c r="EK57" s="7">
        <f>SUM('címrend kötelező'!AV57+'címrend önként'!AV57+'címrend államig'!AV57)</f>
        <v>0</v>
      </c>
      <c r="EL57" s="38"/>
      <c r="EM57" s="7"/>
      <c r="EN57" s="7">
        <f>SUM('címrend kötelező'!AW57+'címrend önként'!AW57+'címrend államig'!AW57)</f>
        <v>0</v>
      </c>
      <c r="EO57" s="38"/>
      <c r="EP57" s="7"/>
      <c r="EQ57" s="7">
        <f>SUM('címrend kötelező'!AX57+'címrend önként'!AX57+'címrend államig'!AX57)</f>
        <v>0</v>
      </c>
      <c r="ER57" s="38"/>
      <c r="ES57" s="7"/>
      <c r="ET57" s="7">
        <f>SUM('címrend kötelező'!AY57+'címrend önként'!AY57+'címrend államig'!AY57)</f>
        <v>0</v>
      </c>
      <c r="EU57" s="38"/>
      <c r="EV57" s="387">
        <f t="shared" si="179"/>
        <v>0</v>
      </c>
      <c r="EW57" s="387">
        <f t="shared" si="179"/>
        <v>0</v>
      </c>
      <c r="EX57" s="84"/>
      <c r="EY57" s="7"/>
      <c r="EZ57" s="7">
        <f>'címrend kötelező'!BA57+'címrend önként'!BA57+'címrend államig'!BA57</f>
        <v>0</v>
      </c>
      <c r="FA57" s="38"/>
      <c r="FB57" s="7"/>
      <c r="FC57" s="7">
        <f>'címrend kötelező'!BB57+'címrend önként'!BB57+'címrend államig'!BB57</f>
        <v>0</v>
      </c>
      <c r="FD57" s="38"/>
      <c r="FE57" s="7"/>
      <c r="FF57" s="7">
        <f>'címrend kötelező'!BC57+'címrend önként'!BC57+'címrend államig'!BC57</f>
        <v>0</v>
      </c>
      <c r="FG57" s="38"/>
      <c r="FH57" s="7"/>
      <c r="FI57" s="7">
        <f>'címrend kötelező'!BD57+'címrend önként'!BD57+'címrend államig'!BD57</f>
        <v>0</v>
      </c>
      <c r="FJ57" s="38"/>
      <c r="FK57" s="38"/>
      <c r="FL57" s="7">
        <f>'címrend kötelező'!BE57+'címrend önként'!BE57+'címrend államig'!BE57</f>
        <v>0</v>
      </c>
      <c r="FM57" s="38"/>
      <c r="FN57" s="7"/>
      <c r="FO57" s="7">
        <f>SUM('címrend kötelező'!BF57+'címrend önként'!BF57+'címrend államig'!BF57)</f>
        <v>0</v>
      </c>
      <c r="FP57" s="38"/>
      <c r="FQ57" s="7"/>
      <c r="FR57" s="7">
        <f>SUM('címrend kötelező'!BG57+'címrend önként'!BG57+'címrend államig'!BG57)</f>
        <v>0</v>
      </c>
      <c r="FS57" s="38"/>
      <c r="FT57" s="7"/>
      <c r="FU57" s="7">
        <f>SUM('címrend kötelező'!BH57+'címrend önként'!BH57+'címrend államig'!BH57)</f>
        <v>0</v>
      </c>
      <c r="FV57" s="38"/>
      <c r="FW57" s="7"/>
      <c r="FX57" s="7">
        <f>SUM('címrend kötelező'!BI57+'címrend önként'!BI57+'címrend államig'!BI57)</f>
        <v>0</v>
      </c>
      <c r="FY57" s="38"/>
      <c r="FZ57" s="7"/>
      <c r="GA57" s="7">
        <f>SUM('címrend kötelező'!BJ57+'címrend önként'!BJ57+'címrend államig'!BJ57)</f>
        <v>0</v>
      </c>
      <c r="GB57" s="38"/>
      <c r="GC57" s="7"/>
      <c r="GD57" s="7">
        <f>SUM('címrend kötelező'!BK57+'címrend önként'!BK57+'címrend államig'!BK57)</f>
        <v>0</v>
      </c>
      <c r="GE57" s="38"/>
      <c r="GF57" s="7"/>
      <c r="GG57" s="7">
        <f>SUM('címrend kötelező'!BL57+'címrend önként'!BL57+'címrend államig'!BL57)</f>
        <v>0</v>
      </c>
      <c r="GH57" s="38"/>
      <c r="GI57" s="7"/>
      <c r="GJ57" s="7">
        <f>SUM('címrend kötelező'!BM57+'címrend önként'!BM57+'címrend államig'!BM57)</f>
        <v>0</v>
      </c>
      <c r="GK57" s="38"/>
      <c r="GL57" s="7"/>
      <c r="GM57" s="7">
        <f>SUM('címrend kötelező'!BN57+'címrend önként'!BN57+'címrend államig'!BN57)</f>
        <v>0</v>
      </c>
      <c r="GN57" s="38"/>
      <c r="GO57" s="387">
        <f t="shared" si="790"/>
        <v>0</v>
      </c>
      <c r="GP57" s="387">
        <f t="shared" si="1203"/>
        <v>0</v>
      </c>
      <c r="GQ57" s="38"/>
      <c r="GR57" s="7"/>
      <c r="GS57" s="7">
        <f>SUM('címrend kötelező'!BP57+'címrend önként'!BP57+'címrend államig'!BP57)</f>
        <v>0</v>
      </c>
      <c r="GT57" s="38"/>
      <c r="GU57" s="7"/>
      <c r="GV57" s="7">
        <f>SUM('címrend kötelező'!BQ57+'címrend önként'!BQ57+'címrend államig'!BQ57)</f>
        <v>0</v>
      </c>
      <c r="GW57" s="38"/>
      <c r="GX57" s="7"/>
      <c r="GY57" s="7">
        <f>SUM('címrend kötelező'!BR57+'címrend önként'!BR57+'címrend államig'!BR57)</f>
        <v>0</v>
      </c>
      <c r="GZ57" s="38"/>
      <c r="HA57" s="387">
        <f t="shared" si="198"/>
        <v>0</v>
      </c>
      <c r="HB57" s="387">
        <f t="shared" si="198"/>
        <v>0</v>
      </c>
      <c r="HC57" s="387"/>
      <c r="HD57" s="38">
        <f t="shared" si="792"/>
        <v>6667458</v>
      </c>
      <c r="HE57" s="38">
        <f t="shared" si="793"/>
        <v>6849654</v>
      </c>
      <c r="HF57" s="238">
        <f t="shared" si="129"/>
        <v>102.73261563852371</v>
      </c>
      <c r="HH57" s="242"/>
      <c r="HI57" s="242"/>
    </row>
    <row r="58" spans="1:217" s="13" customFormat="1" ht="15" customHeight="1" x14ac:dyDescent="0.25">
      <c r="A58" s="219" t="s">
        <v>384</v>
      </c>
      <c r="B58" s="6">
        <f>B59+B60</f>
        <v>0</v>
      </c>
      <c r="C58" s="6">
        <f>C59+C60</f>
        <v>0</v>
      </c>
      <c r="D58" s="82"/>
      <c r="E58" s="6">
        <f t="shared" ref="E58:F58" si="1204">E59+E60</f>
        <v>0</v>
      </c>
      <c r="F58" s="6">
        <f t="shared" si="1204"/>
        <v>0</v>
      </c>
      <c r="G58" s="82"/>
      <c r="H58" s="6">
        <f t="shared" ref="H58:I58" si="1205">H59+H60</f>
        <v>0</v>
      </c>
      <c r="I58" s="6">
        <f t="shared" si="1205"/>
        <v>0</v>
      </c>
      <c r="J58" s="82"/>
      <c r="K58" s="6">
        <f t="shared" ref="K58:L58" si="1206">K59+K60</f>
        <v>0</v>
      </c>
      <c r="L58" s="6">
        <f t="shared" si="1206"/>
        <v>0</v>
      </c>
      <c r="M58" s="82"/>
      <c r="N58" s="6">
        <f t="shared" ref="N58:O58" si="1207">N59+N60</f>
        <v>0</v>
      </c>
      <c r="O58" s="6">
        <f t="shared" si="1207"/>
        <v>0</v>
      </c>
      <c r="P58" s="82"/>
      <c r="Q58" s="6">
        <f t="shared" ref="Q58:R58" si="1208">Q59+Q60</f>
        <v>0</v>
      </c>
      <c r="R58" s="6">
        <f t="shared" si="1208"/>
        <v>0</v>
      </c>
      <c r="S58" s="82"/>
      <c r="T58" s="6">
        <f t="shared" ref="T58:U58" si="1209">T59+T60</f>
        <v>0</v>
      </c>
      <c r="U58" s="6">
        <f t="shared" si="1209"/>
        <v>0</v>
      </c>
      <c r="V58" s="82"/>
      <c r="W58" s="6">
        <f t="shared" ref="W58:X58" si="1210">W59+W60</f>
        <v>0</v>
      </c>
      <c r="X58" s="6">
        <f t="shared" si="1210"/>
        <v>0</v>
      </c>
      <c r="Y58" s="82"/>
      <c r="Z58" s="6">
        <f t="shared" ref="Z58:AA58" si="1211">Z59+Z60</f>
        <v>265911</v>
      </c>
      <c r="AA58" s="6">
        <f t="shared" si="1211"/>
        <v>68921</v>
      </c>
      <c r="AB58" s="82"/>
      <c r="AC58" s="6">
        <f t="shared" ref="AC58:AD58" si="1212">AC59+AC60</f>
        <v>0</v>
      </c>
      <c r="AD58" s="6">
        <f t="shared" si="1212"/>
        <v>0</v>
      </c>
      <c r="AE58" s="82"/>
      <c r="AF58" s="6">
        <f t="shared" ref="AF58:AG58" si="1213">AF59+AF60</f>
        <v>0</v>
      </c>
      <c r="AG58" s="6">
        <f t="shared" si="1213"/>
        <v>0</v>
      </c>
      <c r="AH58" s="82"/>
      <c r="AI58" s="6">
        <f t="shared" ref="AI58:AJ58" si="1214">AI59+AI60</f>
        <v>0</v>
      </c>
      <c r="AJ58" s="6">
        <f t="shared" si="1214"/>
        <v>0</v>
      </c>
      <c r="AK58" s="82"/>
      <c r="AL58" s="6">
        <f t="shared" ref="AL58:AM58" si="1215">AL59+AL60</f>
        <v>0</v>
      </c>
      <c r="AM58" s="6">
        <f t="shared" si="1215"/>
        <v>0</v>
      </c>
      <c r="AN58" s="82"/>
      <c r="AO58" s="6">
        <f t="shared" ref="AO58:AP58" si="1216">AO59+AO60</f>
        <v>0</v>
      </c>
      <c r="AP58" s="6">
        <f t="shared" si="1216"/>
        <v>0</v>
      </c>
      <c r="AQ58" s="82"/>
      <c r="AR58" s="6">
        <f t="shared" ref="AR58:AS58" si="1217">AR59+AR60</f>
        <v>0</v>
      </c>
      <c r="AS58" s="6">
        <f t="shared" si="1217"/>
        <v>0</v>
      </c>
      <c r="AT58" s="82"/>
      <c r="AU58" s="6">
        <f t="shared" ref="AU58:AV58" si="1218">AU59+AU60</f>
        <v>0</v>
      </c>
      <c r="AV58" s="6">
        <f t="shared" si="1218"/>
        <v>0</v>
      </c>
      <c r="AW58" s="82"/>
      <c r="AX58" s="6">
        <f t="shared" ref="AX58:AY58" si="1219">AX59+AX60</f>
        <v>0</v>
      </c>
      <c r="AY58" s="6">
        <f t="shared" si="1219"/>
        <v>0</v>
      </c>
      <c r="AZ58" s="82"/>
      <c r="BA58" s="6">
        <f t="shared" ref="BA58:BB58" si="1220">BA59+BA60</f>
        <v>0</v>
      </c>
      <c r="BB58" s="6">
        <f t="shared" si="1220"/>
        <v>0</v>
      </c>
      <c r="BC58" s="82"/>
      <c r="BD58" s="6">
        <f t="shared" ref="BD58:BE58" si="1221">BD59+BD60</f>
        <v>0</v>
      </c>
      <c r="BE58" s="6">
        <f t="shared" si="1221"/>
        <v>0</v>
      </c>
      <c r="BF58" s="82"/>
      <c r="BG58" s="6">
        <f t="shared" ref="BG58:BH58" si="1222">BG59+BG60</f>
        <v>0</v>
      </c>
      <c r="BH58" s="6">
        <f t="shared" si="1222"/>
        <v>0</v>
      </c>
      <c r="BI58" s="82"/>
      <c r="BJ58" s="6">
        <f t="shared" ref="BJ58:BK58" si="1223">BJ59+BJ60</f>
        <v>0</v>
      </c>
      <c r="BK58" s="6">
        <f t="shared" si="1223"/>
        <v>0</v>
      </c>
      <c r="BL58" s="82"/>
      <c r="BM58" s="6">
        <f t="shared" ref="BM58:BN58" si="1224">BM59+BM60</f>
        <v>0</v>
      </c>
      <c r="BN58" s="6">
        <f t="shared" si="1224"/>
        <v>0</v>
      </c>
      <c r="BO58" s="82"/>
      <c r="BP58" s="6">
        <f t="shared" ref="BP58:BQ58" si="1225">BP59+BP60</f>
        <v>0</v>
      </c>
      <c r="BQ58" s="6">
        <f t="shared" si="1225"/>
        <v>0</v>
      </c>
      <c r="BR58" s="82"/>
      <c r="BS58" s="6">
        <f t="shared" ref="BS58:BT58" si="1226">BS59+BS60</f>
        <v>0</v>
      </c>
      <c r="BT58" s="6">
        <f t="shared" si="1226"/>
        <v>0</v>
      </c>
      <c r="BU58" s="82"/>
      <c r="BV58" s="6">
        <f t="shared" ref="BV58:BW58" si="1227">BV59+BV60</f>
        <v>0</v>
      </c>
      <c r="BW58" s="6">
        <f t="shared" si="1227"/>
        <v>0</v>
      </c>
      <c r="BX58" s="82"/>
      <c r="BY58" s="6">
        <f t="shared" ref="BY58:BZ58" si="1228">BY59+BY60</f>
        <v>0</v>
      </c>
      <c r="BZ58" s="6">
        <f t="shared" si="1228"/>
        <v>0</v>
      </c>
      <c r="CA58" s="82"/>
      <c r="CB58" s="6">
        <f t="shared" ref="CB58:CC58" si="1229">CB59+CB60</f>
        <v>0</v>
      </c>
      <c r="CC58" s="6">
        <f t="shared" si="1229"/>
        <v>0</v>
      </c>
      <c r="CD58" s="82"/>
      <c r="CE58" s="6">
        <f t="shared" ref="CE58:CF58" si="1230">CE59+CE60</f>
        <v>0</v>
      </c>
      <c r="CF58" s="6">
        <f t="shared" si="1230"/>
        <v>0</v>
      </c>
      <c r="CG58" s="82"/>
      <c r="CH58" s="6">
        <f t="shared" ref="CH58:CI58" si="1231">CH59+CH60</f>
        <v>0</v>
      </c>
      <c r="CI58" s="6">
        <f t="shared" si="1231"/>
        <v>0</v>
      </c>
      <c r="CJ58" s="82"/>
      <c r="CK58" s="6">
        <f t="shared" ref="CK58:CL58" si="1232">CK59+CK60</f>
        <v>0</v>
      </c>
      <c r="CL58" s="6">
        <f t="shared" si="1232"/>
        <v>0</v>
      </c>
      <c r="CM58" s="82"/>
      <c r="CN58" s="6">
        <f t="shared" ref="CN58:CO58" si="1233">CN59+CN60</f>
        <v>0</v>
      </c>
      <c r="CO58" s="6">
        <f t="shared" si="1233"/>
        <v>0</v>
      </c>
      <c r="CP58" s="82"/>
      <c r="CQ58" s="6">
        <f t="shared" ref="CQ58:CR58" si="1234">CQ59+CQ60</f>
        <v>0</v>
      </c>
      <c r="CR58" s="6">
        <f t="shared" si="1234"/>
        <v>0</v>
      </c>
      <c r="CS58" s="82"/>
      <c r="CT58" s="6">
        <f t="shared" ref="CT58:CU58" si="1235">CT59+CT60</f>
        <v>0</v>
      </c>
      <c r="CU58" s="6">
        <f t="shared" si="1235"/>
        <v>0</v>
      </c>
      <c r="CV58" s="82"/>
      <c r="CW58" s="6">
        <f t="shared" ref="CW58:CX58" si="1236">CW59+CW60</f>
        <v>0</v>
      </c>
      <c r="CX58" s="6">
        <f t="shared" si="1236"/>
        <v>0</v>
      </c>
      <c r="CY58" s="82"/>
      <c r="CZ58" s="6">
        <f t="shared" ref="CZ58:DA58" si="1237">CZ59+CZ60</f>
        <v>0</v>
      </c>
      <c r="DA58" s="6">
        <f t="shared" si="1237"/>
        <v>0</v>
      </c>
      <c r="DB58" s="82"/>
      <c r="DC58" s="6">
        <f t="shared" ref="DC58:DD58" si="1238">DC59+DC60</f>
        <v>0</v>
      </c>
      <c r="DD58" s="6">
        <f t="shared" si="1238"/>
        <v>0</v>
      </c>
      <c r="DE58" s="82"/>
      <c r="DF58" s="6">
        <f t="shared" ref="DF58:DG58" si="1239">DF59+DF60</f>
        <v>0</v>
      </c>
      <c r="DG58" s="6">
        <f t="shared" si="1239"/>
        <v>0</v>
      </c>
      <c r="DH58" s="82"/>
      <c r="DI58" s="6">
        <f t="shared" ref="DI58:DJ58" si="1240">DI59+DI60</f>
        <v>0</v>
      </c>
      <c r="DJ58" s="6">
        <f t="shared" si="1240"/>
        <v>0</v>
      </c>
      <c r="DK58" s="82"/>
      <c r="DL58" s="6">
        <f t="shared" ref="DL58:DM58" si="1241">DL59+DL60</f>
        <v>0</v>
      </c>
      <c r="DM58" s="6">
        <f t="shared" si="1241"/>
        <v>0</v>
      </c>
      <c r="DN58" s="82"/>
      <c r="DO58" s="6">
        <f t="shared" ref="DO58:DP58" si="1242">DO59+DO60</f>
        <v>0</v>
      </c>
      <c r="DP58" s="6">
        <f t="shared" si="1242"/>
        <v>0</v>
      </c>
      <c r="DQ58" s="82"/>
      <c r="DR58" s="38">
        <f t="shared" si="169"/>
        <v>265911</v>
      </c>
      <c r="DS58" s="38">
        <f t="shared" si="169"/>
        <v>68921</v>
      </c>
      <c r="DT58" s="82">
        <f t="shared" si="170"/>
        <v>25.918822463154967</v>
      </c>
      <c r="DU58" s="6">
        <f>DU59+DU60</f>
        <v>0</v>
      </c>
      <c r="DV58" s="6">
        <f>DV59+DV60</f>
        <v>0</v>
      </c>
      <c r="DW58" s="38"/>
      <c r="DX58" s="6">
        <f t="shared" ref="DX58:DY58" si="1243">DX59+DX60</f>
        <v>0</v>
      </c>
      <c r="DY58" s="6">
        <f t="shared" si="1243"/>
        <v>0</v>
      </c>
      <c r="DZ58" s="38"/>
      <c r="EA58" s="6">
        <f t="shared" ref="EA58:EB58" si="1244">EA59+EA60</f>
        <v>0</v>
      </c>
      <c r="EB58" s="6">
        <f t="shared" si="1244"/>
        <v>0</v>
      </c>
      <c r="EC58" s="38"/>
      <c r="ED58" s="6">
        <f t="shared" ref="ED58:EE58" si="1245">ED59+ED60</f>
        <v>0</v>
      </c>
      <c r="EE58" s="6">
        <f t="shared" si="1245"/>
        <v>0</v>
      </c>
      <c r="EF58" s="38"/>
      <c r="EG58" s="6">
        <f t="shared" ref="EG58:EH58" si="1246">EG59+EG60</f>
        <v>0</v>
      </c>
      <c r="EH58" s="6">
        <f t="shared" si="1246"/>
        <v>0</v>
      </c>
      <c r="EI58" s="38"/>
      <c r="EJ58" s="6">
        <f t="shared" ref="EJ58:EK58" si="1247">EJ59+EJ60</f>
        <v>0</v>
      </c>
      <c r="EK58" s="6">
        <f t="shared" si="1247"/>
        <v>0</v>
      </c>
      <c r="EL58" s="38"/>
      <c r="EM58" s="6">
        <f t="shared" ref="EM58:EN58" si="1248">EM59+EM60</f>
        <v>0</v>
      </c>
      <c r="EN58" s="6">
        <f t="shared" si="1248"/>
        <v>0</v>
      </c>
      <c r="EO58" s="38"/>
      <c r="EP58" s="6">
        <f t="shared" ref="EP58:EQ58" si="1249">EP59+EP60</f>
        <v>0</v>
      </c>
      <c r="EQ58" s="6">
        <f t="shared" si="1249"/>
        <v>0</v>
      </c>
      <c r="ER58" s="38"/>
      <c r="ES58" s="6">
        <f t="shared" ref="ES58:ET58" si="1250">ES59+ES60</f>
        <v>0</v>
      </c>
      <c r="ET58" s="6">
        <f t="shared" si="1250"/>
        <v>0</v>
      </c>
      <c r="EU58" s="38"/>
      <c r="EV58" s="38">
        <f t="shared" si="179"/>
        <v>0</v>
      </c>
      <c r="EW58" s="38">
        <f t="shared" si="179"/>
        <v>0</v>
      </c>
      <c r="EX58" s="84"/>
      <c r="EY58" s="6">
        <f t="shared" ref="EY58:EZ58" si="1251">EY59+EY60</f>
        <v>0</v>
      </c>
      <c r="EZ58" s="6">
        <f t="shared" si="1251"/>
        <v>0</v>
      </c>
      <c r="FA58" s="38"/>
      <c r="FB58" s="6">
        <f t="shared" ref="FB58:FC58" si="1252">FB59+FB60</f>
        <v>0</v>
      </c>
      <c r="FC58" s="6">
        <f t="shared" si="1252"/>
        <v>0</v>
      </c>
      <c r="FD58" s="38"/>
      <c r="FE58" s="6">
        <f t="shared" ref="FE58:FF58" si="1253">FE59+FE60</f>
        <v>0</v>
      </c>
      <c r="FF58" s="6">
        <f t="shared" si="1253"/>
        <v>0</v>
      </c>
      <c r="FG58" s="38"/>
      <c r="FH58" s="6">
        <f t="shared" ref="FH58:FI58" si="1254">FH59+FH60</f>
        <v>0</v>
      </c>
      <c r="FI58" s="6">
        <f t="shared" si="1254"/>
        <v>0</v>
      </c>
      <c r="FJ58" s="38"/>
      <c r="FK58" s="38"/>
      <c r="FL58" s="6">
        <f t="shared" ref="FL58" si="1255">FL59+FL60</f>
        <v>0</v>
      </c>
      <c r="FM58" s="38"/>
      <c r="FN58" s="6">
        <f t="shared" ref="FN58:FO58" si="1256">FN59+FN60</f>
        <v>0</v>
      </c>
      <c r="FO58" s="6">
        <f t="shared" si="1256"/>
        <v>0</v>
      </c>
      <c r="FP58" s="38"/>
      <c r="FQ58" s="6">
        <f t="shared" ref="FQ58:FR58" si="1257">FQ59+FQ60</f>
        <v>0</v>
      </c>
      <c r="FR58" s="6">
        <f t="shared" si="1257"/>
        <v>0</v>
      </c>
      <c r="FS58" s="38"/>
      <c r="FT58" s="6">
        <f t="shared" ref="FT58:FU58" si="1258">FT59+FT60</f>
        <v>0</v>
      </c>
      <c r="FU58" s="6">
        <f t="shared" si="1258"/>
        <v>0</v>
      </c>
      <c r="FV58" s="38"/>
      <c r="FW58" s="6">
        <f t="shared" ref="FW58:FX58" si="1259">FW59+FW60</f>
        <v>0</v>
      </c>
      <c r="FX58" s="6">
        <f t="shared" si="1259"/>
        <v>0</v>
      </c>
      <c r="FY58" s="38"/>
      <c r="FZ58" s="6">
        <f t="shared" ref="FZ58:GA58" si="1260">FZ59+FZ60</f>
        <v>0</v>
      </c>
      <c r="GA58" s="6">
        <f t="shared" si="1260"/>
        <v>0</v>
      </c>
      <c r="GB58" s="38"/>
      <c r="GC58" s="6">
        <f t="shared" ref="GC58:GD58" si="1261">GC59+GC60</f>
        <v>0</v>
      </c>
      <c r="GD58" s="6">
        <f t="shared" si="1261"/>
        <v>0</v>
      </c>
      <c r="GE58" s="38"/>
      <c r="GF58" s="6">
        <f t="shared" ref="GF58:GG58" si="1262">GF59+GF60</f>
        <v>0</v>
      </c>
      <c r="GG58" s="6">
        <f t="shared" si="1262"/>
        <v>0</v>
      </c>
      <c r="GH58" s="38"/>
      <c r="GI58" s="6">
        <f t="shared" ref="GI58:GJ58" si="1263">GI59+GI60</f>
        <v>0</v>
      </c>
      <c r="GJ58" s="6">
        <f t="shared" si="1263"/>
        <v>0</v>
      </c>
      <c r="GK58" s="38"/>
      <c r="GL58" s="6">
        <f t="shared" ref="GL58:GM58" si="1264">GL59+GL60</f>
        <v>0</v>
      </c>
      <c r="GM58" s="6">
        <f t="shared" si="1264"/>
        <v>0</v>
      </c>
      <c r="GN58" s="38"/>
      <c r="GO58" s="38">
        <f t="shared" si="790"/>
        <v>0</v>
      </c>
      <c r="GP58" s="6">
        <f t="shared" ref="GP58" si="1265">GP59+GP60</f>
        <v>0</v>
      </c>
      <c r="GQ58" s="38"/>
      <c r="GR58" s="6">
        <f t="shared" ref="GR58:GS58" si="1266">GR59+GR60</f>
        <v>0</v>
      </c>
      <c r="GS58" s="6">
        <f t="shared" si="1266"/>
        <v>0</v>
      </c>
      <c r="GT58" s="38"/>
      <c r="GU58" s="6">
        <f t="shared" ref="GU58:GV58" si="1267">GU59+GU60</f>
        <v>0</v>
      </c>
      <c r="GV58" s="6">
        <f t="shared" si="1267"/>
        <v>0</v>
      </c>
      <c r="GW58" s="38"/>
      <c r="GX58" s="6">
        <f t="shared" ref="GX58:GY58" si="1268">GX59+GX60</f>
        <v>0</v>
      </c>
      <c r="GY58" s="6">
        <f t="shared" si="1268"/>
        <v>0</v>
      </c>
      <c r="GZ58" s="38"/>
      <c r="HA58" s="38">
        <f t="shared" si="198"/>
        <v>0</v>
      </c>
      <c r="HB58" s="38">
        <f t="shared" si="198"/>
        <v>0</v>
      </c>
      <c r="HC58" s="38"/>
      <c r="HD58" s="38">
        <f t="shared" si="792"/>
        <v>265911</v>
      </c>
      <c r="HE58" s="387">
        <f t="shared" si="793"/>
        <v>68921</v>
      </c>
      <c r="HF58" s="238">
        <f t="shared" si="129"/>
        <v>25.918822463154967</v>
      </c>
      <c r="HH58" s="242"/>
      <c r="HI58" s="242"/>
    </row>
    <row r="59" spans="1:217" ht="15" customHeight="1" x14ac:dyDescent="0.25">
      <c r="A59" s="220" t="s">
        <v>385</v>
      </c>
      <c r="B59" s="7"/>
      <c r="C59" s="7">
        <f>SUM('címrend kötelező'!B59+'címrend önként'!B59+'címrend államig'!B59)</f>
        <v>0</v>
      </c>
      <c r="D59" s="82"/>
      <c r="E59" s="7"/>
      <c r="F59" s="7">
        <f>SUM('címrend kötelező'!C59+'címrend önként'!C59+'címrend államig'!C59)</f>
        <v>0</v>
      </c>
      <c r="G59" s="82"/>
      <c r="H59" s="7"/>
      <c r="I59" s="7">
        <f>SUM('címrend kötelező'!D59+'címrend önként'!D59+'címrend államig'!D59)</f>
        <v>0</v>
      </c>
      <c r="J59" s="82"/>
      <c r="K59" s="7"/>
      <c r="L59" s="7">
        <f>SUM('címrend kötelező'!E59+'címrend önként'!E59+'címrend államig'!E59)</f>
        <v>0</v>
      </c>
      <c r="M59" s="82"/>
      <c r="N59" s="7"/>
      <c r="O59" s="7">
        <f>SUM('címrend kötelező'!F59+'címrend önként'!F59+'címrend államig'!F59)</f>
        <v>0</v>
      </c>
      <c r="P59" s="82"/>
      <c r="Q59" s="7"/>
      <c r="R59" s="7">
        <f>SUM('címrend kötelező'!G59+'címrend önként'!G59+'címrend államig'!G59)</f>
        <v>0</v>
      </c>
      <c r="S59" s="82"/>
      <c r="T59" s="7"/>
      <c r="U59" s="7">
        <f>SUM('címrend kötelező'!H59+'címrend önként'!H59+'címrend államig'!H59)</f>
        <v>0</v>
      </c>
      <c r="V59" s="82"/>
      <c r="W59" s="7"/>
      <c r="X59" s="7">
        <f>SUM('címrend kötelező'!I59+'címrend önként'!I59+'címrend államig'!I59)</f>
        <v>0</v>
      </c>
      <c r="Y59" s="82"/>
      <c r="Z59" s="7">
        <v>265911</v>
      </c>
      <c r="AA59" s="7">
        <f>SUM('címrend kötelező'!J59+'címrend önként'!J59+'címrend államig'!J59)</f>
        <v>68921</v>
      </c>
      <c r="AB59" s="82"/>
      <c r="AC59" s="7"/>
      <c r="AD59" s="7">
        <f>SUM('címrend kötelező'!K59+'címrend önként'!K59+'címrend államig'!K59)</f>
        <v>0</v>
      </c>
      <c r="AE59" s="82"/>
      <c r="AF59" s="7"/>
      <c r="AG59" s="7">
        <f>SUM('címrend kötelező'!L59+'címrend önként'!L59+'címrend államig'!L59)</f>
        <v>0</v>
      </c>
      <c r="AH59" s="82"/>
      <c r="AI59" s="7"/>
      <c r="AJ59" s="7">
        <f>SUM('címrend kötelező'!M59+'címrend önként'!M59+'címrend államig'!M59)</f>
        <v>0</v>
      </c>
      <c r="AK59" s="82"/>
      <c r="AL59" s="7"/>
      <c r="AM59" s="7">
        <f>SUM('címrend kötelező'!N59+'címrend önként'!N59+'címrend államig'!N59)</f>
        <v>0</v>
      </c>
      <c r="AN59" s="82"/>
      <c r="AO59" s="7"/>
      <c r="AP59" s="7">
        <f>SUM('címrend kötelező'!O59+'címrend önként'!O59+'címrend államig'!O59)</f>
        <v>0</v>
      </c>
      <c r="AQ59" s="82"/>
      <c r="AR59" s="7"/>
      <c r="AS59" s="7">
        <f>SUM('címrend kötelező'!P59+'címrend önként'!P59+'címrend államig'!P59)</f>
        <v>0</v>
      </c>
      <c r="AT59" s="82"/>
      <c r="AU59" s="7"/>
      <c r="AV59" s="7">
        <f>SUM('címrend kötelező'!Q59+'címrend önként'!Q59+'címrend államig'!Q59)</f>
        <v>0</v>
      </c>
      <c r="AW59" s="82"/>
      <c r="AX59" s="7"/>
      <c r="AY59" s="7">
        <f>SUM('címrend kötelező'!R59+'címrend önként'!R59+'címrend államig'!R59)</f>
        <v>0</v>
      </c>
      <c r="AZ59" s="82"/>
      <c r="BA59" s="7"/>
      <c r="BB59" s="7">
        <f>SUM('címrend kötelező'!S59+'címrend önként'!S59+'címrend államig'!S59)</f>
        <v>0</v>
      </c>
      <c r="BC59" s="82"/>
      <c r="BD59" s="7"/>
      <c r="BE59" s="7">
        <f>SUM('címrend kötelező'!T59+'címrend önként'!T59+'címrend államig'!T59)</f>
        <v>0</v>
      </c>
      <c r="BF59" s="82"/>
      <c r="BG59" s="7"/>
      <c r="BH59" s="7">
        <f>SUM('címrend kötelező'!U59+'címrend önként'!U59+'címrend államig'!U59)</f>
        <v>0</v>
      </c>
      <c r="BI59" s="82"/>
      <c r="BJ59" s="7"/>
      <c r="BK59" s="7">
        <f>SUM('címrend kötelező'!V59+'címrend önként'!V59+'címrend államig'!V59)</f>
        <v>0</v>
      </c>
      <c r="BL59" s="82"/>
      <c r="BM59" s="7"/>
      <c r="BN59" s="7">
        <f>SUM('címrend kötelező'!W59+'címrend önként'!W59+'címrend államig'!W59)</f>
        <v>0</v>
      </c>
      <c r="BO59" s="82"/>
      <c r="BP59" s="7"/>
      <c r="BQ59" s="7">
        <f>SUM('címrend kötelező'!X59+'címrend önként'!X59+'címrend államig'!X59)</f>
        <v>0</v>
      </c>
      <c r="BR59" s="82"/>
      <c r="BS59" s="7"/>
      <c r="BT59" s="7">
        <f>SUM('címrend kötelező'!Y59+'címrend önként'!Y59+'címrend államig'!Y59)</f>
        <v>0</v>
      </c>
      <c r="BU59" s="82"/>
      <c r="BV59" s="7"/>
      <c r="BW59" s="7">
        <f>SUM('címrend kötelező'!Z59+'címrend önként'!Z59+'címrend államig'!Z59)</f>
        <v>0</v>
      </c>
      <c r="BX59" s="82"/>
      <c r="BY59" s="7"/>
      <c r="BZ59" s="7">
        <f>SUM('címrend kötelező'!AA59+'címrend önként'!AA59+'címrend államig'!AA59)</f>
        <v>0</v>
      </c>
      <c r="CA59" s="82"/>
      <c r="CB59" s="7"/>
      <c r="CC59" s="7">
        <f>SUM('címrend kötelező'!AB59+'címrend önként'!AB59+'címrend államig'!AB59)</f>
        <v>0</v>
      </c>
      <c r="CD59" s="82"/>
      <c r="CE59" s="7"/>
      <c r="CF59" s="7">
        <f>SUM('címrend kötelező'!AC59+'címrend önként'!AC59+'címrend államig'!AC59)</f>
        <v>0</v>
      </c>
      <c r="CG59" s="82"/>
      <c r="CH59" s="7"/>
      <c r="CI59" s="7">
        <f>SUM('címrend kötelező'!AD59+'címrend önként'!AD59+'címrend államig'!AD59)</f>
        <v>0</v>
      </c>
      <c r="CJ59" s="82"/>
      <c r="CK59" s="7"/>
      <c r="CL59" s="7">
        <f>SUM('címrend kötelező'!AE59+'címrend önként'!AE59+'címrend államig'!AE59)</f>
        <v>0</v>
      </c>
      <c r="CM59" s="82"/>
      <c r="CN59" s="7"/>
      <c r="CO59" s="7">
        <f>SUM('címrend kötelező'!AF59+'címrend önként'!AF59+'címrend államig'!AF59)</f>
        <v>0</v>
      </c>
      <c r="CP59" s="82"/>
      <c r="CQ59" s="7"/>
      <c r="CR59" s="7">
        <f>SUM('címrend kötelező'!AG59+'címrend önként'!AG59+'címrend államig'!AG59)</f>
        <v>0</v>
      </c>
      <c r="CS59" s="82"/>
      <c r="CT59" s="7"/>
      <c r="CU59" s="7">
        <f>SUM('címrend kötelező'!AH59+'címrend önként'!AH59+'címrend államig'!AH59)</f>
        <v>0</v>
      </c>
      <c r="CV59" s="82"/>
      <c r="CW59" s="7"/>
      <c r="CX59" s="7">
        <f>SUM('címrend kötelező'!AI59+'címrend önként'!AI59+'címrend államig'!AI59)</f>
        <v>0</v>
      </c>
      <c r="CY59" s="82"/>
      <c r="CZ59" s="7"/>
      <c r="DA59" s="7">
        <f>SUM('címrend kötelező'!AJ59+'címrend önként'!AJ59+'címrend államig'!AJ59)</f>
        <v>0</v>
      </c>
      <c r="DB59" s="82"/>
      <c r="DC59" s="7"/>
      <c r="DD59" s="7">
        <f>SUM('címrend kötelező'!AK59+'címrend önként'!AK59+'címrend államig'!AK59)</f>
        <v>0</v>
      </c>
      <c r="DE59" s="82"/>
      <c r="DF59" s="7"/>
      <c r="DG59" s="7">
        <f>SUM('címrend kötelező'!AL59+'címrend önként'!AL59+'címrend államig'!AL59)</f>
        <v>0</v>
      </c>
      <c r="DH59" s="82"/>
      <c r="DI59" s="7"/>
      <c r="DJ59" s="7">
        <f>SUM('címrend kötelező'!AM59+'címrend önként'!AM59+'címrend államig'!AM59)</f>
        <v>0</v>
      </c>
      <c r="DK59" s="82"/>
      <c r="DL59" s="7"/>
      <c r="DM59" s="7">
        <f>SUM('címrend kötelező'!AN59+'címrend önként'!AN59+'címrend államig'!AN59)</f>
        <v>0</v>
      </c>
      <c r="DN59" s="82"/>
      <c r="DO59" s="7"/>
      <c r="DP59" s="7">
        <f>SUM('címrend kötelező'!AO59+'címrend önként'!AO59+'címrend államig'!AO59)</f>
        <v>0</v>
      </c>
      <c r="DQ59" s="82"/>
      <c r="DR59" s="387">
        <f t="shared" si="169"/>
        <v>265911</v>
      </c>
      <c r="DS59" s="387">
        <f t="shared" si="169"/>
        <v>68921</v>
      </c>
      <c r="DT59" s="87">
        <f t="shared" si="170"/>
        <v>25.918822463154967</v>
      </c>
      <c r="DU59" s="7"/>
      <c r="DV59" s="7">
        <f>SUM('címrend kötelező'!AQ59+'címrend önként'!AQ59+'címrend államig'!AQ59)</f>
        <v>0</v>
      </c>
      <c r="DW59" s="38"/>
      <c r="DX59" s="7"/>
      <c r="DY59" s="7">
        <f>SUM('címrend kötelező'!AR59+'címrend önként'!AR59+'címrend államig'!AR59)</f>
        <v>0</v>
      </c>
      <c r="DZ59" s="38"/>
      <c r="EA59" s="7"/>
      <c r="EB59" s="7">
        <f>SUM('címrend kötelező'!AS59+'címrend önként'!AS59+'címrend államig'!AS59)</f>
        <v>0</v>
      </c>
      <c r="EC59" s="38"/>
      <c r="ED59" s="7"/>
      <c r="EE59" s="7">
        <f>SUM('címrend kötelező'!AT59+'címrend önként'!AT59+'címrend államig'!AT59)</f>
        <v>0</v>
      </c>
      <c r="EF59" s="38"/>
      <c r="EG59" s="7"/>
      <c r="EH59" s="7">
        <f>SUM('címrend kötelező'!AU59+'címrend önként'!AU59+'címrend államig'!AU59)</f>
        <v>0</v>
      </c>
      <c r="EI59" s="38"/>
      <c r="EJ59" s="7"/>
      <c r="EK59" s="7">
        <f>SUM('címrend kötelező'!AV59+'címrend önként'!AV59+'címrend államig'!AV59)</f>
        <v>0</v>
      </c>
      <c r="EL59" s="38"/>
      <c r="EM59" s="7"/>
      <c r="EN59" s="7">
        <f>SUM('címrend kötelező'!AW59+'címrend önként'!AW59+'címrend államig'!AW59)</f>
        <v>0</v>
      </c>
      <c r="EO59" s="38"/>
      <c r="EP59" s="7"/>
      <c r="EQ59" s="7">
        <f>SUM('címrend kötelező'!AX59+'címrend önként'!AX59+'címrend államig'!AX59)</f>
        <v>0</v>
      </c>
      <c r="ER59" s="38"/>
      <c r="ES59" s="7"/>
      <c r="ET59" s="7">
        <f>SUM('címrend kötelező'!AY59+'címrend önként'!AY59+'címrend államig'!AY59)</f>
        <v>0</v>
      </c>
      <c r="EU59" s="38"/>
      <c r="EV59" s="387">
        <f t="shared" si="179"/>
        <v>0</v>
      </c>
      <c r="EW59" s="387">
        <f t="shared" si="179"/>
        <v>0</v>
      </c>
      <c r="EX59" s="88"/>
      <c r="EY59" s="7"/>
      <c r="EZ59" s="7">
        <f>'címrend kötelező'!BA59+'címrend önként'!BA59+'címrend államig'!BA59</f>
        <v>0</v>
      </c>
      <c r="FA59" s="38"/>
      <c r="FB59" s="7"/>
      <c r="FC59" s="7">
        <f>'címrend kötelező'!BB59+'címrend önként'!BB59+'címrend államig'!BB59</f>
        <v>0</v>
      </c>
      <c r="FD59" s="38"/>
      <c r="FE59" s="7"/>
      <c r="FF59" s="7">
        <f>'címrend kötelező'!BC59+'címrend önként'!BC59+'címrend államig'!BC59</f>
        <v>0</v>
      </c>
      <c r="FG59" s="38"/>
      <c r="FH59" s="7"/>
      <c r="FI59" s="7">
        <f>'címrend kötelező'!BD59+'címrend önként'!BD59+'címrend államig'!BD59</f>
        <v>0</v>
      </c>
      <c r="FJ59" s="38"/>
      <c r="FK59" s="38"/>
      <c r="FL59" s="7">
        <f>'címrend kötelező'!BE59+'címrend önként'!BE59+'címrend államig'!BE59</f>
        <v>0</v>
      </c>
      <c r="FM59" s="38"/>
      <c r="FN59" s="7"/>
      <c r="FO59" s="7">
        <f>SUM('címrend kötelező'!BF59+'címrend önként'!BF59+'címrend államig'!BF59)</f>
        <v>0</v>
      </c>
      <c r="FP59" s="38"/>
      <c r="FQ59" s="7"/>
      <c r="FR59" s="7">
        <f>SUM('címrend kötelező'!BG59+'címrend önként'!BG59+'címrend államig'!BG59)</f>
        <v>0</v>
      </c>
      <c r="FS59" s="38"/>
      <c r="FT59" s="7"/>
      <c r="FU59" s="7">
        <f>SUM('címrend kötelező'!BH59+'címrend önként'!BH59+'címrend államig'!BH59)</f>
        <v>0</v>
      </c>
      <c r="FV59" s="38"/>
      <c r="FW59" s="7"/>
      <c r="FX59" s="7">
        <f>SUM('címrend kötelező'!BI59+'címrend önként'!BI59+'címrend államig'!BI59)</f>
        <v>0</v>
      </c>
      <c r="FY59" s="38"/>
      <c r="FZ59" s="7"/>
      <c r="GA59" s="7">
        <f>SUM('címrend kötelező'!BJ59+'címrend önként'!BJ59+'címrend államig'!BJ59)</f>
        <v>0</v>
      </c>
      <c r="GB59" s="38"/>
      <c r="GC59" s="7"/>
      <c r="GD59" s="7">
        <f>SUM('címrend kötelező'!BK59+'címrend önként'!BK59+'címrend államig'!BK59)</f>
        <v>0</v>
      </c>
      <c r="GE59" s="38"/>
      <c r="GF59" s="7"/>
      <c r="GG59" s="7">
        <f>SUM('címrend kötelező'!BL59+'címrend önként'!BL59+'címrend államig'!BL59)</f>
        <v>0</v>
      </c>
      <c r="GH59" s="38"/>
      <c r="GI59" s="7"/>
      <c r="GJ59" s="7">
        <f>SUM('címrend kötelező'!BM59+'címrend önként'!BM59+'címrend államig'!BM59)</f>
        <v>0</v>
      </c>
      <c r="GK59" s="38"/>
      <c r="GL59" s="7"/>
      <c r="GM59" s="7">
        <f>SUM('címrend kötelező'!BN59+'címrend önként'!BN59+'címrend államig'!BN59)</f>
        <v>0</v>
      </c>
      <c r="GN59" s="38"/>
      <c r="GO59" s="387">
        <f t="shared" si="790"/>
        <v>0</v>
      </c>
      <c r="GP59" s="387">
        <f t="shared" ref="GP59:GP60" si="1269">EZ59+FC59+FF59+FI59+FL59+FO59+FR59+FU59+FX59+GA59+GD59+GG59+GJ59+GM59</f>
        <v>0</v>
      </c>
      <c r="GQ59" s="38"/>
      <c r="GR59" s="7"/>
      <c r="GS59" s="7">
        <f>SUM('címrend kötelező'!BP59+'címrend önként'!BP59+'címrend államig'!BP59)</f>
        <v>0</v>
      </c>
      <c r="GT59" s="38"/>
      <c r="GU59" s="7"/>
      <c r="GV59" s="7">
        <f>SUM('címrend kötelező'!BQ59+'címrend önként'!BQ59+'címrend államig'!BQ59)</f>
        <v>0</v>
      </c>
      <c r="GW59" s="38"/>
      <c r="GX59" s="7"/>
      <c r="GY59" s="7">
        <f>SUM('címrend kötelező'!BR59+'címrend önként'!BR59+'címrend államig'!BR59)</f>
        <v>0</v>
      </c>
      <c r="GZ59" s="38"/>
      <c r="HA59" s="387">
        <f t="shared" si="198"/>
        <v>0</v>
      </c>
      <c r="HB59" s="387">
        <f t="shared" si="198"/>
        <v>0</v>
      </c>
      <c r="HC59" s="387"/>
      <c r="HD59" s="38">
        <f t="shared" si="792"/>
        <v>265911</v>
      </c>
      <c r="HE59" s="387">
        <f t="shared" si="793"/>
        <v>68921</v>
      </c>
      <c r="HF59" s="238">
        <f t="shared" si="129"/>
        <v>25.918822463154967</v>
      </c>
      <c r="HH59" s="242"/>
      <c r="HI59" s="242"/>
    </row>
    <row r="60" spans="1:217" ht="15" customHeight="1" x14ac:dyDescent="0.25">
      <c r="A60" s="218" t="s">
        <v>386</v>
      </c>
      <c r="B60" s="7"/>
      <c r="C60" s="7">
        <f>SUM('címrend kötelező'!B60+'címrend önként'!B60+'címrend államig'!B60)</f>
        <v>0</v>
      </c>
      <c r="D60" s="82"/>
      <c r="E60" s="7"/>
      <c r="F60" s="7">
        <f>SUM('címrend kötelező'!C60+'címrend önként'!C60+'címrend államig'!C60)</f>
        <v>0</v>
      </c>
      <c r="G60" s="82"/>
      <c r="H60" s="7"/>
      <c r="I60" s="7">
        <f>SUM('címrend kötelező'!D60+'címrend önként'!D60+'címrend államig'!D60)</f>
        <v>0</v>
      </c>
      <c r="J60" s="82"/>
      <c r="K60" s="7"/>
      <c r="L60" s="7">
        <f>SUM('címrend kötelező'!E60+'címrend önként'!E60+'címrend államig'!E60)</f>
        <v>0</v>
      </c>
      <c r="M60" s="82"/>
      <c r="N60" s="7"/>
      <c r="O60" s="7">
        <f>SUM('címrend kötelező'!F60+'címrend önként'!F60+'címrend államig'!F60)</f>
        <v>0</v>
      </c>
      <c r="P60" s="82"/>
      <c r="Q60" s="7"/>
      <c r="R60" s="7">
        <f>SUM('címrend kötelező'!G60+'címrend önként'!G60+'címrend államig'!G60)</f>
        <v>0</v>
      </c>
      <c r="S60" s="82"/>
      <c r="T60" s="7"/>
      <c r="U60" s="7">
        <f>SUM('címrend kötelező'!H60+'címrend önként'!H60+'címrend államig'!H60)</f>
        <v>0</v>
      </c>
      <c r="V60" s="82"/>
      <c r="W60" s="7"/>
      <c r="X60" s="7">
        <f>SUM('címrend kötelező'!I60+'címrend önként'!I60+'címrend államig'!I60)</f>
        <v>0</v>
      </c>
      <c r="Y60" s="82"/>
      <c r="Z60" s="7"/>
      <c r="AA60" s="7">
        <f>SUM('címrend kötelező'!J60+'címrend önként'!J60+'címrend államig'!J60)</f>
        <v>0</v>
      </c>
      <c r="AB60" s="82"/>
      <c r="AC60" s="7"/>
      <c r="AD60" s="7">
        <f>SUM('címrend kötelező'!K60+'címrend önként'!K60+'címrend államig'!K60)</f>
        <v>0</v>
      </c>
      <c r="AE60" s="82"/>
      <c r="AF60" s="7"/>
      <c r="AG60" s="7">
        <f>SUM('címrend kötelező'!L60+'címrend önként'!L60+'címrend államig'!L60)</f>
        <v>0</v>
      </c>
      <c r="AH60" s="82"/>
      <c r="AI60" s="7"/>
      <c r="AJ60" s="7">
        <f>SUM('címrend kötelező'!M60+'címrend önként'!M60+'címrend államig'!M60)</f>
        <v>0</v>
      </c>
      <c r="AK60" s="82"/>
      <c r="AL60" s="7"/>
      <c r="AM60" s="7">
        <f>SUM('címrend kötelező'!N60+'címrend önként'!N60+'címrend államig'!N60)</f>
        <v>0</v>
      </c>
      <c r="AN60" s="82"/>
      <c r="AO60" s="7"/>
      <c r="AP60" s="7">
        <f>SUM('címrend kötelező'!O60+'címrend önként'!O60+'címrend államig'!O60)</f>
        <v>0</v>
      </c>
      <c r="AQ60" s="82"/>
      <c r="AR60" s="7"/>
      <c r="AS60" s="7">
        <f>SUM('címrend kötelező'!P60+'címrend önként'!P60+'címrend államig'!P60)</f>
        <v>0</v>
      </c>
      <c r="AT60" s="82"/>
      <c r="AU60" s="7"/>
      <c r="AV60" s="7">
        <f>SUM('címrend kötelező'!Q60+'címrend önként'!Q60+'címrend államig'!Q60)</f>
        <v>0</v>
      </c>
      <c r="AW60" s="82"/>
      <c r="AX60" s="7"/>
      <c r="AY60" s="7">
        <f>SUM('címrend kötelező'!R60+'címrend önként'!R60+'címrend államig'!R60)</f>
        <v>0</v>
      </c>
      <c r="AZ60" s="82"/>
      <c r="BA60" s="7"/>
      <c r="BB60" s="7">
        <f>SUM('címrend kötelező'!S60+'címrend önként'!S60+'címrend államig'!S60)</f>
        <v>0</v>
      </c>
      <c r="BC60" s="82"/>
      <c r="BD60" s="7"/>
      <c r="BE60" s="7">
        <f>SUM('címrend kötelező'!T60+'címrend önként'!T60+'címrend államig'!T60)</f>
        <v>0</v>
      </c>
      <c r="BF60" s="82"/>
      <c r="BG60" s="7"/>
      <c r="BH60" s="7">
        <f>SUM('címrend kötelező'!U60+'címrend önként'!U60+'címrend államig'!U60)</f>
        <v>0</v>
      </c>
      <c r="BI60" s="82"/>
      <c r="BJ60" s="7"/>
      <c r="BK60" s="7">
        <f>SUM('címrend kötelező'!V60+'címrend önként'!V60+'címrend államig'!V60)</f>
        <v>0</v>
      </c>
      <c r="BL60" s="82"/>
      <c r="BM60" s="7"/>
      <c r="BN60" s="7">
        <f>SUM('címrend kötelező'!W60+'címrend önként'!W60+'címrend államig'!W60)</f>
        <v>0</v>
      </c>
      <c r="BO60" s="82"/>
      <c r="BP60" s="7"/>
      <c r="BQ60" s="7">
        <f>SUM('címrend kötelező'!X60+'címrend önként'!X60+'címrend államig'!X60)</f>
        <v>0</v>
      </c>
      <c r="BR60" s="82"/>
      <c r="BS60" s="7"/>
      <c r="BT60" s="7">
        <f>SUM('címrend kötelező'!Y60+'címrend önként'!Y60+'címrend államig'!Y60)</f>
        <v>0</v>
      </c>
      <c r="BU60" s="82"/>
      <c r="BV60" s="7"/>
      <c r="BW60" s="7">
        <f>SUM('címrend kötelező'!Z60+'címrend önként'!Z60+'címrend államig'!Z60)</f>
        <v>0</v>
      </c>
      <c r="BX60" s="82"/>
      <c r="BY60" s="7"/>
      <c r="BZ60" s="7">
        <f>SUM('címrend kötelező'!AA60+'címrend önként'!AA60+'címrend államig'!AA60)</f>
        <v>0</v>
      </c>
      <c r="CA60" s="82"/>
      <c r="CB60" s="7"/>
      <c r="CC60" s="7">
        <f>SUM('címrend kötelező'!AB60+'címrend önként'!AB60+'címrend államig'!AB60)</f>
        <v>0</v>
      </c>
      <c r="CD60" s="82"/>
      <c r="CE60" s="7"/>
      <c r="CF60" s="7">
        <f>SUM('címrend kötelező'!AC60+'címrend önként'!AC60+'címrend államig'!AC60)</f>
        <v>0</v>
      </c>
      <c r="CG60" s="82"/>
      <c r="CH60" s="7"/>
      <c r="CI60" s="7">
        <f>SUM('címrend kötelező'!AD60+'címrend önként'!AD60+'címrend államig'!AD60)</f>
        <v>0</v>
      </c>
      <c r="CJ60" s="82"/>
      <c r="CK60" s="7"/>
      <c r="CL60" s="7">
        <f>SUM('címrend kötelező'!AE60+'címrend önként'!AE60+'címrend államig'!AE60)</f>
        <v>0</v>
      </c>
      <c r="CM60" s="82"/>
      <c r="CN60" s="7"/>
      <c r="CO60" s="7">
        <f>SUM('címrend kötelező'!AF60+'címrend önként'!AF60+'címrend államig'!AF60)</f>
        <v>0</v>
      </c>
      <c r="CP60" s="82"/>
      <c r="CQ60" s="7"/>
      <c r="CR60" s="7">
        <f>SUM('címrend kötelező'!AG60+'címrend önként'!AG60+'címrend államig'!AG60)</f>
        <v>0</v>
      </c>
      <c r="CS60" s="82"/>
      <c r="CT60" s="7"/>
      <c r="CU60" s="7">
        <f>SUM('címrend kötelező'!AH60+'címrend önként'!AH60+'címrend államig'!AH60)</f>
        <v>0</v>
      </c>
      <c r="CV60" s="82"/>
      <c r="CW60" s="7"/>
      <c r="CX60" s="7">
        <f>SUM('címrend kötelező'!AI60+'címrend önként'!AI60+'címrend államig'!AI60)</f>
        <v>0</v>
      </c>
      <c r="CY60" s="82"/>
      <c r="CZ60" s="7"/>
      <c r="DA60" s="7">
        <f>SUM('címrend kötelező'!AJ60+'címrend önként'!AJ60+'címrend államig'!AJ60)</f>
        <v>0</v>
      </c>
      <c r="DB60" s="82"/>
      <c r="DC60" s="7"/>
      <c r="DD60" s="7">
        <f>SUM('címrend kötelező'!AK60+'címrend önként'!AK60+'címrend államig'!AK60)</f>
        <v>0</v>
      </c>
      <c r="DE60" s="82"/>
      <c r="DF60" s="7"/>
      <c r="DG60" s="7">
        <f>SUM('címrend kötelező'!AL60+'címrend önként'!AL60+'címrend államig'!AL60)</f>
        <v>0</v>
      </c>
      <c r="DH60" s="82"/>
      <c r="DI60" s="7"/>
      <c r="DJ60" s="7">
        <f>SUM('címrend kötelező'!AM60+'címrend önként'!AM60+'címrend államig'!AM60)</f>
        <v>0</v>
      </c>
      <c r="DK60" s="82"/>
      <c r="DL60" s="7"/>
      <c r="DM60" s="7">
        <f>SUM('címrend kötelező'!AN60+'címrend önként'!AN60+'címrend államig'!AN60)</f>
        <v>0</v>
      </c>
      <c r="DN60" s="82"/>
      <c r="DO60" s="7"/>
      <c r="DP60" s="7">
        <f>SUM('címrend kötelező'!AO60+'címrend önként'!AO60+'címrend államig'!AO60)</f>
        <v>0</v>
      </c>
      <c r="DQ60" s="82"/>
      <c r="DR60" s="387">
        <f t="shared" si="169"/>
        <v>0</v>
      </c>
      <c r="DS60" s="387">
        <f t="shared" si="169"/>
        <v>0</v>
      </c>
      <c r="DT60" s="387"/>
      <c r="DU60" s="7"/>
      <c r="DV60" s="7">
        <f>SUM('címrend kötelező'!AQ60+'címrend önként'!AQ60+'címrend államig'!AQ60)</f>
        <v>0</v>
      </c>
      <c r="DW60" s="38"/>
      <c r="DX60" s="7"/>
      <c r="DY60" s="7">
        <f>SUM('címrend kötelező'!AR60+'címrend önként'!AR60+'címrend államig'!AR60)</f>
        <v>0</v>
      </c>
      <c r="DZ60" s="38"/>
      <c r="EA60" s="7"/>
      <c r="EB60" s="7">
        <f>SUM('címrend kötelező'!AS60+'címrend önként'!AS60+'címrend államig'!AS60)</f>
        <v>0</v>
      </c>
      <c r="EC60" s="38"/>
      <c r="ED60" s="7"/>
      <c r="EE60" s="7">
        <f>SUM('címrend kötelező'!AT60+'címrend önként'!AT60+'címrend államig'!AT60)</f>
        <v>0</v>
      </c>
      <c r="EF60" s="38"/>
      <c r="EG60" s="7"/>
      <c r="EH60" s="7">
        <f>SUM('címrend kötelező'!AU60+'címrend önként'!AU60+'címrend államig'!AU60)</f>
        <v>0</v>
      </c>
      <c r="EI60" s="38"/>
      <c r="EJ60" s="7"/>
      <c r="EK60" s="7">
        <f>SUM('címrend kötelező'!AV60+'címrend önként'!AV60+'címrend államig'!AV60)</f>
        <v>0</v>
      </c>
      <c r="EL60" s="38"/>
      <c r="EM60" s="7"/>
      <c r="EN60" s="7">
        <f>SUM('címrend kötelező'!AW60+'címrend önként'!AW60+'címrend államig'!AW60)</f>
        <v>0</v>
      </c>
      <c r="EO60" s="38"/>
      <c r="EP60" s="7"/>
      <c r="EQ60" s="7">
        <f>SUM('címrend kötelező'!AX60+'címrend önként'!AX60+'címrend államig'!AX60)</f>
        <v>0</v>
      </c>
      <c r="ER60" s="38"/>
      <c r="ES60" s="7"/>
      <c r="ET60" s="7">
        <f>SUM('címrend kötelező'!AY60+'címrend önként'!AY60+'címrend államig'!AY60)</f>
        <v>0</v>
      </c>
      <c r="EU60" s="38"/>
      <c r="EV60" s="387">
        <f t="shared" si="179"/>
        <v>0</v>
      </c>
      <c r="EW60" s="387">
        <f t="shared" si="179"/>
        <v>0</v>
      </c>
      <c r="EX60" s="88"/>
      <c r="EY60" s="7"/>
      <c r="EZ60" s="7">
        <f>'címrend kötelező'!BA60+'címrend önként'!BA60+'címrend államig'!BA60</f>
        <v>0</v>
      </c>
      <c r="FA60" s="38"/>
      <c r="FB60" s="7"/>
      <c r="FC60" s="7">
        <f>'címrend kötelező'!BB60+'címrend önként'!BB60+'címrend államig'!BB60</f>
        <v>0</v>
      </c>
      <c r="FD60" s="38"/>
      <c r="FE60" s="7"/>
      <c r="FF60" s="7">
        <f>'címrend kötelező'!BC60+'címrend önként'!BC60+'címrend államig'!BC60</f>
        <v>0</v>
      </c>
      <c r="FG60" s="38"/>
      <c r="FH60" s="7"/>
      <c r="FI60" s="7">
        <f>'címrend kötelező'!BD60+'címrend önként'!BD60+'címrend államig'!BD60</f>
        <v>0</v>
      </c>
      <c r="FJ60" s="38"/>
      <c r="FK60" s="38"/>
      <c r="FL60" s="7">
        <f>'címrend kötelező'!BE60+'címrend önként'!BE60+'címrend államig'!BE60</f>
        <v>0</v>
      </c>
      <c r="FM60" s="38"/>
      <c r="FN60" s="7"/>
      <c r="FO60" s="7">
        <f>SUM('címrend kötelező'!BF60+'címrend önként'!BF60+'címrend államig'!BF60)</f>
        <v>0</v>
      </c>
      <c r="FP60" s="38"/>
      <c r="FQ60" s="7"/>
      <c r="FR60" s="7">
        <f>SUM('címrend kötelező'!BG60+'címrend önként'!BG60+'címrend államig'!BG60)</f>
        <v>0</v>
      </c>
      <c r="FS60" s="38"/>
      <c r="FT60" s="7"/>
      <c r="FU60" s="7">
        <f>SUM('címrend kötelező'!BH60+'címrend önként'!BH60+'címrend államig'!BH60)</f>
        <v>0</v>
      </c>
      <c r="FV60" s="38"/>
      <c r="FW60" s="7"/>
      <c r="FX60" s="7">
        <f>SUM('címrend kötelező'!BI60+'címrend önként'!BI60+'címrend államig'!BI60)</f>
        <v>0</v>
      </c>
      <c r="FY60" s="38"/>
      <c r="FZ60" s="7"/>
      <c r="GA60" s="7">
        <f>SUM('címrend kötelező'!BJ60+'címrend önként'!BJ60+'címrend államig'!BJ60)</f>
        <v>0</v>
      </c>
      <c r="GB60" s="38"/>
      <c r="GC60" s="7"/>
      <c r="GD60" s="7">
        <f>SUM('címrend kötelező'!BK60+'címrend önként'!BK60+'címrend államig'!BK60)</f>
        <v>0</v>
      </c>
      <c r="GE60" s="38"/>
      <c r="GF60" s="7"/>
      <c r="GG60" s="7">
        <f>SUM('címrend kötelező'!BL60+'címrend önként'!BL60+'címrend államig'!BL60)</f>
        <v>0</v>
      </c>
      <c r="GH60" s="38"/>
      <c r="GI60" s="7"/>
      <c r="GJ60" s="7">
        <f>SUM('címrend kötelező'!BM60+'címrend önként'!BM60+'címrend államig'!BM60)</f>
        <v>0</v>
      </c>
      <c r="GK60" s="38"/>
      <c r="GL60" s="7"/>
      <c r="GM60" s="7">
        <f>SUM('címrend kötelező'!BN60+'címrend önként'!BN60+'címrend államig'!BN60)</f>
        <v>0</v>
      </c>
      <c r="GN60" s="38"/>
      <c r="GO60" s="387">
        <f t="shared" si="790"/>
        <v>0</v>
      </c>
      <c r="GP60" s="387">
        <f t="shared" si="1269"/>
        <v>0</v>
      </c>
      <c r="GQ60" s="38"/>
      <c r="GR60" s="7"/>
      <c r="GS60" s="7">
        <f>SUM('címrend kötelező'!BP60+'címrend önként'!BP60+'címrend államig'!BP60)</f>
        <v>0</v>
      </c>
      <c r="GT60" s="38"/>
      <c r="GU60" s="7"/>
      <c r="GV60" s="7">
        <f>SUM('címrend kötelező'!BQ60+'címrend önként'!BQ60+'címrend államig'!BQ60)</f>
        <v>0</v>
      </c>
      <c r="GW60" s="38"/>
      <c r="GX60" s="7"/>
      <c r="GY60" s="7">
        <f>SUM('címrend kötelező'!BR60+'címrend önként'!BR60+'címrend államig'!BR60)</f>
        <v>0</v>
      </c>
      <c r="GZ60" s="38"/>
      <c r="HA60" s="387">
        <f t="shared" si="198"/>
        <v>0</v>
      </c>
      <c r="HB60" s="387">
        <f t="shared" si="198"/>
        <v>0</v>
      </c>
      <c r="HC60" s="387"/>
      <c r="HD60" s="38">
        <f t="shared" si="792"/>
        <v>0</v>
      </c>
      <c r="HE60" s="38">
        <f t="shared" si="793"/>
        <v>0</v>
      </c>
      <c r="HF60" s="238"/>
      <c r="HH60" s="242"/>
      <c r="HI60" s="242"/>
    </row>
    <row r="61" spans="1:217" s="13" customFormat="1" ht="15" customHeight="1" x14ac:dyDescent="0.25">
      <c r="A61" s="219" t="s">
        <v>387</v>
      </c>
      <c r="B61" s="6">
        <f>B62+B67</f>
        <v>0</v>
      </c>
      <c r="C61" s="6">
        <f>C62+C67</f>
        <v>0</v>
      </c>
      <c r="D61" s="82"/>
      <c r="E61" s="6">
        <f t="shared" ref="E61:F61" si="1270">E62+E67</f>
        <v>0</v>
      </c>
      <c r="F61" s="6">
        <f t="shared" si="1270"/>
        <v>0</v>
      </c>
      <c r="G61" s="82"/>
      <c r="H61" s="6">
        <f t="shared" ref="H61:I61" si="1271">H62+H67</f>
        <v>0</v>
      </c>
      <c r="I61" s="6">
        <f t="shared" si="1271"/>
        <v>0</v>
      </c>
      <c r="J61" s="82"/>
      <c r="K61" s="6">
        <f t="shared" ref="K61:L61" si="1272">K62+K67</f>
        <v>0</v>
      </c>
      <c r="L61" s="6">
        <f t="shared" si="1272"/>
        <v>0</v>
      </c>
      <c r="M61" s="82"/>
      <c r="N61" s="6">
        <f t="shared" ref="N61:O61" si="1273">N62+N67</f>
        <v>0</v>
      </c>
      <c r="O61" s="6">
        <f t="shared" si="1273"/>
        <v>0</v>
      </c>
      <c r="P61" s="82"/>
      <c r="Q61" s="6">
        <f t="shared" ref="Q61:R61" si="1274">Q62+Q67</f>
        <v>0</v>
      </c>
      <c r="R61" s="6">
        <f t="shared" si="1274"/>
        <v>0</v>
      </c>
      <c r="S61" s="82"/>
      <c r="T61" s="6">
        <f t="shared" ref="T61:U61" si="1275">T62+T67</f>
        <v>0</v>
      </c>
      <c r="U61" s="6">
        <f t="shared" si="1275"/>
        <v>0</v>
      </c>
      <c r="V61" s="82"/>
      <c r="W61" s="6">
        <f t="shared" ref="W61:X61" si="1276">W62+W67</f>
        <v>0</v>
      </c>
      <c r="X61" s="6">
        <f t="shared" si="1276"/>
        <v>0</v>
      </c>
      <c r="Y61" s="82"/>
      <c r="Z61" s="6">
        <f t="shared" ref="Z61:AA61" si="1277">Z62+Z67</f>
        <v>0</v>
      </c>
      <c r="AA61" s="6">
        <f t="shared" si="1277"/>
        <v>0</v>
      </c>
      <c r="AB61" s="82"/>
      <c r="AC61" s="6">
        <f t="shared" ref="AC61:AD61" si="1278">AC62+AC67</f>
        <v>4397594</v>
      </c>
      <c r="AD61" s="6">
        <f t="shared" si="1278"/>
        <v>5187758</v>
      </c>
      <c r="AE61" s="82"/>
      <c r="AF61" s="6">
        <f t="shared" ref="AF61:AG61" si="1279">AF62+AF67</f>
        <v>0</v>
      </c>
      <c r="AG61" s="6">
        <f t="shared" si="1279"/>
        <v>0</v>
      </c>
      <c r="AH61" s="82"/>
      <c r="AI61" s="6">
        <f t="shared" ref="AI61:AJ61" si="1280">AI62+AI67</f>
        <v>0</v>
      </c>
      <c r="AJ61" s="6">
        <f t="shared" si="1280"/>
        <v>0</v>
      </c>
      <c r="AK61" s="82"/>
      <c r="AL61" s="6">
        <f t="shared" ref="AL61:AM61" si="1281">AL62+AL67</f>
        <v>0</v>
      </c>
      <c r="AM61" s="6">
        <f t="shared" si="1281"/>
        <v>0</v>
      </c>
      <c r="AN61" s="82"/>
      <c r="AO61" s="6">
        <f t="shared" ref="AO61:AP61" si="1282">AO62+AO67</f>
        <v>0</v>
      </c>
      <c r="AP61" s="6">
        <f t="shared" si="1282"/>
        <v>0</v>
      </c>
      <c r="AQ61" s="82"/>
      <c r="AR61" s="6">
        <f t="shared" ref="AR61:AS61" si="1283">AR62+AR67</f>
        <v>0</v>
      </c>
      <c r="AS61" s="6">
        <f t="shared" si="1283"/>
        <v>0</v>
      </c>
      <c r="AT61" s="82"/>
      <c r="AU61" s="6">
        <f t="shared" ref="AU61:AV61" si="1284">AU62+AU67</f>
        <v>0</v>
      </c>
      <c r="AV61" s="6">
        <f t="shared" si="1284"/>
        <v>0</v>
      </c>
      <c r="AW61" s="82"/>
      <c r="AX61" s="6">
        <f t="shared" ref="AX61:AY61" si="1285">AX62+AX67</f>
        <v>0</v>
      </c>
      <c r="AY61" s="6">
        <f t="shared" si="1285"/>
        <v>0</v>
      </c>
      <c r="AZ61" s="82"/>
      <c r="BA61" s="6">
        <f t="shared" ref="BA61:BB61" si="1286">BA62+BA67</f>
        <v>0</v>
      </c>
      <c r="BB61" s="6">
        <f t="shared" si="1286"/>
        <v>0</v>
      </c>
      <c r="BC61" s="82"/>
      <c r="BD61" s="6">
        <f t="shared" ref="BD61:BE61" si="1287">BD62+BD67</f>
        <v>0</v>
      </c>
      <c r="BE61" s="6">
        <f t="shared" si="1287"/>
        <v>0</v>
      </c>
      <c r="BF61" s="82"/>
      <c r="BG61" s="6">
        <f t="shared" ref="BG61:BH61" si="1288">BG62+BG67</f>
        <v>0</v>
      </c>
      <c r="BH61" s="6">
        <f t="shared" si="1288"/>
        <v>0</v>
      </c>
      <c r="BI61" s="82"/>
      <c r="BJ61" s="6">
        <f t="shared" ref="BJ61:BK61" si="1289">BJ62+BJ67</f>
        <v>0</v>
      </c>
      <c r="BK61" s="6">
        <f t="shared" si="1289"/>
        <v>0</v>
      </c>
      <c r="BL61" s="82"/>
      <c r="BM61" s="6">
        <f t="shared" ref="BM61:BN61" si="1290">BM62+BM67</f>
        <v>0</v>
      </c>
      <c r="BN61" s="6">
        <f t="shared" si="1290"/>
        <v>0</v>
      </c>
      <c r="BO61" s="82"/>
      <c r="BP61" s="6">
        <f t="shared" ref="BP61:BQ61" si="1291">BP62+BP67</f>
        <v>0</v>
      </c>
      <c r="BQ61" s="6">
        <f t="shared" si="1291"/>
        <v>0</v>
      </c>
      <c r="BR61" s="82"/>
      <c r="BS61" s="6">
        <f t="shared" ref="BS61:BT61" si="1292">BS62+BS67</f>
        <v>0</v>
      </c>
      <c r="BT61" s="6">
        <f t="shared" si="1292"/>
        <v>0</v>
      </c>
      <c r="BU61" s="82"/>
      <c r="BV61" s="6">
        <f t="shared" ref="BV61:BW61" si="1293">BV62+BV67</f>
        <v>0</v>
      </c>
      <c r="BW61" s="6">
        <f t="shared" si="1293"/>
        <v>0</v>
      </c>
      <c r="BX61" s="82"/>
      <c r="BY61" s="6">
        <f t="shared" ref="BY61:BZ61" si="1294">BY62+BY67</f>
        <v>0</v>
      </c>
      <c r="BZ61" s="6">
        <f t="shared" si="1294"/>
        <v>0</v>
      </c>
      <c r="CA61" s="82"/>
      <c r="CB61" s="6">
        <f t="shared" ref="CB61:CC61" si="1295">CB62+CB67</f>
        <v>0</v>
      </c>
      <c r="CC61" s="6">
        <f t="shared" si="1295"/>
        <v>0</v>
      </c>
      <c r="CD61" s="82"/>
      <c r="CE61" s="6">
        <f t="shared" ref="CE61:CF61" si="1296">CE62+CE67</f>
        <v>0</v>
      </c>
      <c r="CF61" s="6">
        <f t="shared" si="1296"/>
        <v>0</v>
      </c>
      <c r="CG61" s="82"/>
      <c r="CH61" s="6">
        <f t="shared" ref="CH61:CI61" si="1297">CH62+CH67</f>
        <v>0</v>
      </c>
      <c r="CI61" s="6">
        <f t="shared" si="1297"/>
        <v>0</v>
      </c>
      <c r="CJ61" s="82"/>
      <c r="CK61" s="6">
        <f t="shared" ref="CK61:CL61" si="1298">CK62+CK67</f>
        <v>0</v>
      </c>
      <c r="CL61" s="6">
        <f t="shared" si="1298"/>
        <v>0</v>
      </c>
      <c r="CM61" s="82"/>
      <c r="CN61" s="6">
        <f t="shared" ref="CN61:CO61" si="1299">CN62+CN67</f>
        <v>0</v>
      </c>
      <c r="CO61" s="6">
        <f t="shared" si="1299"/>
        <v>0</v>
      </c>
      <c r="CP61" s="82"/>
      <c r="CQ61" s="6">
        <f t="shared" ref="CQ61:CR61" si="1300">CQ62+CQ67</f>
        <v>0</v>
      </c>
      <c r="CR61" s="6">
        <f t="shared" si="1300"/>
        <v>0</v>
      </c>
      <c r="CS61" s="82"/>
      <c r="CT61" s="6">
        <f t="shared" ref="CT61:CU61" si="1301">CT62+CT67</f>
        <v>0</v>
      </c>
      <c r="CU61" s="6">
        <f t="shared" si="1301"/>
        <v>0</v>
      </c>
      <c r="CV61" s="82"/>
      <c r="CW61" s="6">
        <f t="shared" ref="CW61:CX61" si="1302">CW62+CW67</f>
        <v>0</v>
      </c>
      <c r="CX61" s="6">
        <f t="shared" si="1302"/>
        <v>0</v>
      </c>
      <c r="CY61" s="82"/>
      <c r="CZ61" s="6">
        <f t="shared" ref="CZ61:DA61" si="1303">CZ62+CZ67</f>
        <v>0</v>
      </c>
      <c r="DA61" s="6">
        <f t="shared" si="1303"/>
        <v>0</v>
      </c>
      <c r="DB61" s="82"/>
      <c r="DC61" s="6">
        <f t="shared" ref="DC61:DD61" si="1304">DC62+DC67</f>
        <v>0</v>
      </c>
      <c r="DD61" s="6">
        <f t="shared" si="1304"/>
        <v>0</v>
      </c>
      <c r="DE61" s="82"/>
      <c r="DF61" s="6">
        <f t="shared" ref="DF61:DG61" si="1305">DF62+DF67</f>
        <v>0</v>
      </c>
      <c r="DG61" s="6">
        <f t="shared" si="1305"/>
        <v>0</v>
      </c>
      <c r="DH61" s="82"/>
      <c r="DI61" s="6">
        <f t="shared" ref="DI61:DJ61" si="1306">DI62+DI67</f>
        <v>0</v>
      </c>
      <c r="DJ61" s="6">
        <f t="shared" si="1306"/>
        <v>0</v>
      </c>
      <c r="DK61" s="82"/>
      <c r="DL61" s="6">
        <f t="shared" ref="DL61:DM61" si="1307">DL62+DL67</f>
        <v>0</v>
      </c>
      <c r="DM61" s="6">
        <f t="shared" si="1307"/>
        <v>0</v>
      </c>
      <c r="DN61" s="82"/>
      <c r="DO61" s="6">
        <f t="shared" ref="DO61:DP61" si="1308">DO62+DO67</f>
        <v>0</v>
      </c>
      <c r="DP61" s="6">
        <f t="shared" si="1308"/>
        <v>0</v>
      </c>
      <c r="DQ61" s="82"/>
      <c r="DR61" s="38">
        <f t="shared" si="169"/>
        <v>4397594</v>
      </c>
      <c r="DS61" s="38">
        <f t="shared" si="169"/>
        <v>5187758</v>
      </c>
      <c r="DT61" s="82">
        <f t="shared" si="170"/>
        <v>117.96809800995727</v>
      </c>
      <c r="DU61" s="6">
        <f>DU62+DU67</f>
        <v>16608</v>
      </c>
      <c r="DV61" s="6">
        <f>DV62+DV67</f>
        <v>11303</v>
      </c>
      <c r="DW61" s="84">
        <f t="shared" ref="DW61:DW63" si="1309">DV61/DU61*100</f>
        <v>68.057562620423894</v>
      </c>
      <c r="DX61" s="6">
        <f t="shared" ref="DX61:DY61" si="1310">DX62+DX67</f>
        <v>5211</v>
      </c>
      <c r="DY61" s="6">
        <f t="shared" si="1310"/>
        <v>4489</v>
      </c>
      <c r="DZ61" s="84">
        <f t="shared" ref="DZ61:DZ63" si="1311">DY61/DX61*100</f>
        <v>86.144693916714644</v>
      </c>
      <c r="EA61" s="6">
        <f t="shared" ref="EA61:EB61" si="1312">EA62+EA67</f>
        <v>4232</v>
      </c>
      <c r="EB61" s="6">
        <f t="shared" si="1312"/>
        <v>3840</v>
      </c>
      <c r="EC61" s="84">
        <f t="shared" ref="EC61:EC63" si="1313">EB61/EA61*100</f>
        <v>90.737240075614366</v>
      </c>
      <c r="ED61" s="6">
        <f t="shared" ref="ED61:EE61" si="1314">ED62+ED67</f>
        <v>326502</v>
      </c>
      <c r="EE61" s="6">
        <f t="shared" si="1314"/>
        <v>256493</v>
      </c>
      <c r="EF61" s="84">
        <f t="shared" ref="EF61:EF63" si="1315">EE61/ED61*100</f>
        <v>78.557864882910366</v>
      </c>
      <c r="EG61" s="6">
        <f t="shared" ref="EG61:EH61" si="1316">EG62+EG67</f>
        <v>116046</v>
      </c>
      <c r="EH61" s="6">
        <f t="shared" si="1316"/>
        <v>76526</v>
      </c>
      <c r="EI61" s="84">
        <f t="shared" ref="EI61:EI63" si="1317">EH61/EG61*100</f>
        <v>65.944539234441507</v>
      </c>
      <c r="EJ61" s="6">
        <f t="shared" ref="EJ61:EK61" si="1318">EJ62+EJ67</f>
        <v>79759</v>
      </c>
      <c r="EK61" s="6">
        <f t="shared" si="1318"/>
        <v>37118</v>
      </c>
      <c r="EL61" s="84">
        <f t="shared" ref="EL61:EL63" si="1319">EK61/EJ61*100</f>
        <v>46.537694805601873</v>
      </c>
      <c r="EM61" s="6">
        <f t="shared" ref="EM61:EN61" si="1320">EM62+EM67</f>
        <v>14410</v>
      </c>
      <c r="EN61" s="6">
        <f t="shared" si="1320"/>
        <v>14264</v>
      </c>
      <c r="EO61" s="84">
        <f t="shared" ref="EO61:EO63" si="1321">EN61/EM61*100</f>
        <v>98.986814712005554</v>
      </c>
      <c r="EP61" s="6">
        <f t="shared" ref="EP61:EQ61" si="1322">EP62+EP67</f>
        <v>1445232</v>
      </c>
      <c r="EQ61" s="6">
        <f t="shared" si="1322"/>
        <v>1471892</v>
      </c>
      <c r="ER61" s="84">
        <f t="shared" ref="ER61:ER63" si="1323">EQ61/EP61*100</f>
        <v>101.84468652783774</v>
      </c>
      <c r="ES61" s="6">
        <f t="shared" ref="ES61:ET61" si="1324">ES62+ES67</f>
        <v>499968</v>
      </c>
      <c r="ET61" s="6">
        <f t="shared" si="1324"/>
        <v>503750</v>
      </c>
      <c r="EU61" s="84">
        <f t="shared" ref="EU61:EU63" si="1325">ET61/ES61*100</f>
        <v>100.75644841269842</v>
      </c>
      <c r="EV61" s="38">
        <f t="shared" si="179"/>
        <v>2507968</v>
      </c>
      <c r="EW61" s="38">
        <f t="shared" si="179"/>
        <v>2379675</v>
      </c>
      <c r="EX61" s="84">
        <f t="shared" ref="EX61:EX68" si="1326">EW61/EV61*100</f>
        <v>94.884583854339439</v>
      </c>
      <c r="EY61" s="6">
        <f t="shared" ref="EY61:EZ61" si="1327">EY62+EY67</f>
        <v>66860</v>
      </c>
      <c r="EZ61" s="6">
        <f t="shared" si="1327"/>
        <v>67134</v>
      </c>
      <c r="FA61" s="84">
        <f t="shared" ref="FA61:FA63" si="1328">EZ61/EY61*100</f>
        <v>100.40981154651512</v>
      </c>
      <c r="FB61" s="6">
        <f t="shared" ref="FB61:FC61" si="1329">FB62+FB67</f>
        <v>115006</v>
      </c>
      <c r="FC61" s="6">
        <f t="shared" si="1329"/>
        <v>119215</v>
      </c>
      <c r="FD61" s="84">
        <f t="shared" ref="FD61:FD63" si="1330">FC61/FB61*100</f>
        <v>103.6598090534407</v>
      </c>
      <c r="FE61" s="6">
        <f t="shared" ref="FE61:FF61" si="1331">FE62+FE67</f>
        <v>63801</v>
      </c>
      <c r="FF61" s="6">
        <f t="shared" si="1331"/>
        <v>69408</v>
      </c>
      <c r="FG61" s="84">
        <f t="shared" ref="FG61:FG63" si="1332">FF61/FE61*100</f>
        <v>108.78826350684159</v>
      </c>
      <c r="FH61" s="6">
        <f t="shared" ref="FH61:FI61" si="1333">FH62+FH67</f>
        <v>316939</v>
      </c>
      <c r="FI61" s="6">
        <f t="shared" si="1333"/>
        <v>492181</v>
      </c>
      <c r="FJ61" s="84">
        <f t="shared" ref="FJ61:FJ63" si="1334">FI61/FH61*100</f>
        <v>155.29202780345744</v>
      </c>
      <c r="FK61" s="84"/>
      <c r="FL61" s="6">
        <f t="shared" ref="FL61" si="1335">FL62+FL67</f>
        <v>46367</v>
      </c>
      <c r="FM61" s="84"/>
      <c r="FN61" s="6">
        <f t="shared" ref="FN61:FO61" si="1336">FN62+FN67</f>
        <v>124662</v>
      </c>
      <c r="FO61" s="6">
        <f t="shared" si="1336"/>
        <v>136018</v>
      </c>
      <c r="FP61" s="84">
        <f t="shared" ref="FP61:FP63" si="1337">FO61/FN61*100</f>
        <v>109.10943190386806</v>
      </c>
      <c r="FQ61" s="6">
        <f t="shared" ref="FQ61:FR61" si="1338">FQ62+FQ67</f>
        <v>196224</v>
      </c>
      <c r="FR61" s="6">
        <f t="shared" si="1338"/>
        <v>194074</v>
      </c>
      <c r="FS61" s="84">
        <f t="shared" ref="FS61:FS63" si="1339">FR61/FQ61*100</f>
        <v>98.904313437703848</v>
      </c>
      <c r="FT61" s="6">
        <f t="shared" ref="FT61:FU61" si="1340">FT62+FT67</f>
        <v>107768</v>
      </c>
      <c r="FU61" s="6">
        <f t="shared" si="1340"/>
        <v>116665</v>
      </c>
      <c r="FV61" s="84">
        <f t="shared" ref="FV61:FV63" si="1341">FU61/FT61*100</f>
        <v>108.2556974240962</v>
      </c>
      <c r="FW61" s="6">
        <f t="shared" ref="FW61:FX61" si="1342">FW62+FW67</f>
        <v>162742</v>
      </c>
      <c r="FX61" s="6">
        <f t="shared" si="1342"/>
        <v>170781</v>
      </c>
      <c r="FY61" s="84">
        <f t="shared" ref="FY61:FY63" si="1343">FX61/FW61*100</f>
        <v>104.93972053925846</v>
      </c>
      <c r="FZ61" s="6">
        <f t="shared" ref="FZ61:GA61" si="1344">FZ62+FZ67</f>
        <v>83221</v>
      </c>
      <c r="GA61" s="6">
        <f t="shared" si="1344"/>
        <v>95176</v>
      </c>
      <c r="GB61" s="84">
        <f t="shared" ref="GB61:GB63" si="1345">GA61/FZ61*100</f>
        <v>114.36536451136132</v>
      </c>
      <c r="GC61" s="6">
        <f t="shared" ref="GC61:GD61" si="1346">GC62+GC67</f>
        <v>16644</v>
      </c>
      <c r="GD61" s="6">
        <f t="shared" si="1346"/>
        <v>20276</v>
      </c>
      <c r="GE61" s="84">
        <f t="shared" ref="GE61:GE63" si="1347">GD61/GC61*100</f>
        <v>121.82167748137466</v>
      </c>
      <c r="GF61" s="6">
        <f t="shared" ref="GF61:GG61" si="1348">GF62+GF67</f>
        <v>59358</v>
      </c>
      <c r="GG61" s="6">
        <f t="shared" si="1348"/>
        <v>57090</v>
      </c>
      <c r="GH61" s="84">
        <f t="shared" ref="GH61:GH63" si="1349">GG61/GF61*100</f>
        <v>96.179116547053468</v>
      </c>
      <c r="GI61" s="6">
        <f t="shared" ref="GI61:GJ61" si="1350">GI62+GI67</f>
        <v>71644</v>
      </c>
      <c r="GJ61" s="6">
        <f t="shared" si="1350"/>
        <v>70550</v>
      </c>
      <c r="GK61" s="84">
        <f t="shared" ref="GK61:GK63" si="1351">GJ61/GI61*100</f>
        <v>98.47300541566635</v>
      </c>
      <c r="GL61" s="6">
        <f t="shared" ref="GL61:GM61" si="1352">GL62+GL67</f>
        <v>689938</v>
      </c>
      <c r="GM61" s="6">
        <f t="shared" si="1352"/>
        <v>735462</v>
      </c>
      <c r="GN61" s="84">
        <f t="shared" ref="GN61:GN63" si="1353">GM61/GL61*100</f>
        <v>106.59827404781299</v>
      </c>
      <c r="GO61" s="38">
        <f t="shared" si="790"/>
        <v>2074807</v>
      </c>
      <c r="GP61" s="6">
        <f t="shared" ref="GP61" si="1354">GP62+GP67</f>
        <v>2390397</v>
      </c>
      <c r="GQ61" s="84">
        <f t="shared" ref="GQ61:GQ63" si="1355">GP61/GO61*100</f>
        <v>115.21057139290546</v>
      </c>
      <c r="GR61" s="6">
        <f t="shared" ref="GR61:GS61" si="1356">GR62+GR67</f>
        <v>940509</v>
      </c>
      <c r="GS61" s="6">
        <f t="shared" si="1356"/>
        <v>967422</v>
      </c>
      <c r="GT61" s="84">
        <f t="shared" ref="GT61:GT63" si="1357">GS61/GR61*100</f>
        <v>102.86153561528917</v>
      </c>
      <c r="GU61" s="6">
        <f t="shared" ref="GU61:GV61" si="1358">GU62+GU67</f>
        <v>142205</v>
      </c>
      <c r="GV61" s="6">
        <f t="shared" si="1358"/>
        <v>201560</v>
      </c>
      <c r="GW61" s="84">
        <f t="shared" ref="GW61:GW63" si="1359">GV61/GU61*100</f>
        <v>141.73903871171899</v>
      </c>
      <c r="GX61" s="6">
        <f t="shared" ref="GX61:GY61" si="1360">GX62+GX67</f>
        <v>1526944</v>
      </c>
      <c r="GY61" s="6">
        <f t="shared" si="1360"/>
        <v>1340388</v>
      </c>
      <c r="GZ61" s="84">
        <f t="shared" ref="GZ61:GZ63" si="1361">GY61/GX61*100</f>
        <v>87.782394115304811</v>
      </c>
      <c r="HA61" s="38">
        <f t="shared" si="198"/>
        <v>4684465</v>
      </c>
      <c r="HB61" s="38">
        <f t="shared" si="198"/>
        <v>4899767</v>
      </c>
      <c r="HC61" s="84">
        <f t="shared" ref="HC61:HC63" si="1362">HB61/HA61*100</f>
        <v>104.59608514526207</v>
      </c>
      <c r="HD61" s="38">
        <f t="shared" si="792"/>
        <v>11590027</v>
      </c>
      <c r="HE61" s="38">
        <f t="shared" si="793"/>
        <v>12467200</v>
      </c>
      <c r="HF61" s="238">
        <f t="shared" si="129"/>
        <v>107.5683430245676</v>
      </c>
      <c r="HH61" s="242"/>
      <c r="HI61" s="242"/>
    </row>
    <row r="62" spans="1:217" s="13" customFormat="1" ht="15" customHeight="1" x14ac:dyDescent="0.25">
      <c r="A62" s="219" t="s">
        <v>388</v>
      </c>
      <c r="B62" s="6">
        <f>B63+B64+B65+B66</f>
        <v>0</v>
      </c>
      <c r="C62" s="6">
        <f>C63+C64+C65+C66</f>
        <v>0</v>
      </c>
      <c r="D62" s="82"/>
      <c r="E62" s="6">
        <f t="shared" ref="E62:F62" si="1363">E63+E64+E65+E66</f>
        <v>0</v>
      </c>
      <c r="F62" s="6">
        <f t="shared" si="1363"/>
        <v>0</v>
      </c>
      <c r="G62" s="82"/>
      <c r="H62" s="6">
        <f t="shared" ref="H62:I62" si="1364">H63+H64+H65+H66</f>
        <v>0</v>
      </c>
      <c r="I62" s="6">
        <f t="shared" si="1364"/>
        <v>0</v>
      </c>
      <c r="J62" s="82"/>
      <c r="K62" s="6">
        <f t="shared" ref="K62:L62" si="1365">K63+K64+K65+K66</f>
        <v>0</v>
      </c>
      <c r="L62" s="6">
        <f t="shared" si="1365"/>
        <v>0</v>
      </c>
      <c r="M62" s="82"/>
      <c r="N62" s="6">
        <f t="shared" ref="N62:O62" si="1366">N63+N64+N65+N66</f>
        <v>0</v>
      </c>
      <c r="O62" s="6">
        <f t="shared" si="1366"/>
        <v>0</v>
      </c>
      <c r="P62" s="82"/>
      <c r="Q62" s="6">
        <f t="shared" ref="Q62:R62" si="1367">Q63+Q64+Q65+Q66</f>
        <v>0</v>
      </c>
      <c r="R62" s="6">
        <f t="shared" si="1367"/>
        <v>0</v>
      </c>
      <c r="S62" s="82"/>
      <c r="T62" s="6">
        <f t="shared" ref="T62:U62" si="1368">T63+T64+T65+T66</f>
        <v>0</v>
      </c>
      <c r="U62" s="6">
        <f t="shared" si="1368"/>
        <v>0</v>
      </c>
      <c r="V62" s="82"/>
      <c r="W62" s="6">
        <f t="shared" ref="W62:X62" si="1369">W63+W64+W65+W66</f>
        <v>0</v>
      </c>
      <c r="X62" s="6">
        <f t="shared" si="1369"/>
        <v>0</v>
      </c>
      <c r="Y62" s="82"/>
      <c r="Z62" s="6">
        <f t="shared" ref="Z62:AA62" si="1370">Z63+Z64+Z65+Z66</f>
        <v>0</v>
      </c>
      <c r="AA62" s="6">
        <f t="shared" si="1370"/>
        <v>0</v>
      </c>
      <c r="AB62" s="82"/>
      <c r="AC62" s="6">
        <f t="shared" ref="AC62:AD62" si="1371">AC63+AC64+AC65+AC66</f>
        <v>1024857</v>
      </c>
      <c r="AD62" s="6">
        <f t="shared" si="1371"/>
        <v>788965</v>
      </c>
      <c r="AE62" s="82"/>
      <c r="AF62" s="6">
        <f t="shared" ref="AF62:AG62" si="1372">AF63+AF64+AF65+AF66</f>
        <v>0</v>
      </c>
      <c r="AG62" s="6">
        <f t="shared" si="1372"/>
        <v>0</v>
      </c>
      <c r="AH62" s="82"/>
      <c r="AI62" s="6">
        <f t="shared" ref="AI62:AJ62" si="1373">AI63+AI64+AI65+AI66</f>
        <v>0</v>
      </c>
      <c r="AJ62" s="6">
        <f t="shared" si="1373"/>
        <v>0</v>
      </c>
      <c r="AK62" s="82"/>
      <c r="AL62" s="6">
        <f t="shared" ref="AL62:AM62" si="1374">AL63+AL64+AL65+AL66</f>
        <v>0</v>
      </c>
      <c r="AM62" s="6">
        <f t="shared" si="1374"/>
        <v>0</v>
      </c>
      <c r="AN62" s="82"/>
      <c r="AO62" s="6">
        <f t="shared" ref="AO62:AP62" si="1375">AO63+AO64+AO65+AO66</f>
        <v>0</v>
      </c>
      <c r="AP62" s="6">
        <f t="shared" si="1375"/>
        <v>0</v>
      </c>
      <c r="AQ62" s="82"/>
      <c r="AR62" s="6">
        <f t="shared" ref="AR62:AS62" si="1376">AR63+AR64+AR65+AR66</f>
        <v>0</v>
      </c>
      <c r="AS62" s="6">
        <f t="shared" si="1376"/>
        <v>0</v>
      </c>
      <c r="AT62" s="82"/>
      <c r="AU62" s="6">
        <f t="shared" ref="AU62:AV62" si="1377">AU63+AU64+AU65+AU66</f>
        <v>0</v>
      </c>
      <c r="AV62" s="6">
        <f t="shared" si="1377"/>
        <v>0</v>
      </c>
      <c r="AW62" s="82"/>
      <c r="AX62" s="6">
        <f t="shared" ref="AX62:AY62" si="1378">AX63+AX64+AX65+AX66</f>
        <v>0</v>
      </c>
      <c r="AY62" s="6">
        <f t="shared" si="1378"/>
        <v>0</v>
      </c>
      <c r="AZ62" s="82"/>
      <c r="BA62" s="6">
        <f t="shared" ref="BA62:BB62" si="1379">BA63+BA64+BA65+BA66</f>
        <v>0</v>
      </c>
      <c r="BB62" s="6">
        <f t="shared" si="1379"/>
        <v>0</v>
      </c>
      <c r="BC62" s="82"/>
      <c r="BD62" s="6">
        <f t="shared" ref="BD62:BE62" si="1380">BD63+BD64+BD65+BD66</f>
        <v>0</v>
      </c>
      <c r="BE62" s="6">
        <f t="shared" si="1380"/>
        <v>0</v>
      </c>
      <c r="BF62" s="82"/>
      <c r="BG62" s="6">
        <f t="shared" ref="BG62:BH62" si="1381">BG63+BG64+BG65+BG66</f>
        <v>0</v>
      </c>
      <c r="BH62" s="6">
        <f t="shared" si="1381"/>
        <v>0</v>
      </c>
      <c r="BI62" s="82"/>
      <c r="BJ62" s="6">
        <f t="shared" ref="BJ62:BK62" si="1382">BJ63+BJ64+BJ65+BJ66</f>
        <v>0</v>
      </c>
      <c r="BK62" s="6">
        <f t="shared" si="1382"/>
        <v>0</v>
      </c>
      <c r="BL62" s="82"/>
      <c r="BM62" s="6">
        <f t="shared" ref="BM62:BN62" si="1383">BM63+BM64+BM65+BM66</f>
        <v>0</v>
      </c>
      <c r="BN62" s="6">
        <f t="shared" si="1383"/>
        <v>0</v>
      </c>
      <c r="BO62" s="82"/>
      <c r="BP62" s="6">
        <f t="shared" ref="BP62:BQ62" si="1384">BP63+BP64+BP65+BP66</f>
        <v>0</v>
      </c>
      <c r="BQ62" s="6">
        <f t="shared" si="1384"/>
        <v>0</v>
      </c>
      <c r="BR62" s="82"/>
      <c r="BS62" s="6">
        <f t="shared" ref="BS62:BT62" si="1385">BS63+BS64+BS65+BS66</f>
        <v>0</v>
      </c>
      <c r="BT62" s="6">
        <f t="shared" si="1385"/>
        <v>0</v>
      </c>
      <c r="BU62" s="82"/>
      <c r="BV62" s="6">
        <f t="shared" ref="BV62:BW62" si="1386">BV63+BV64+BV65+BV66</f>
        <v>0</v>
      </c>
      <c r="BW62" s="6">
        <f t="shared" si="1386"/>
        <v>0</v>
      </c>
      <c r="BX62" s="82"/>
      <c r="BY62" s="6">
        <f t="shared" ref="BY62:BZ62" si="1387">BY63+BY64+BY65+BY66</f>
        <v>0</v>
      </c>
      <c r="BZ62" s="6">
        <f t="shared" si="1387"/>
        <v>0</v>
      </c>
      <c r="CA62" s="82"/>
      <c r="CB62" s="6">
        <f t="shared" ref="CB62:CC62" si="1388">CB63+CB64+CB65+CB66</f>
        <v>0</v>
      </c>
      <c r="CC62" s="6">
        <f t="shared" si="1388"/>
        <v>0</v>
      </c>
      <c r="CD62" s="82"/>
      <c r="CE62" s="6">
        <f t="shared" ref="CE62:CF62" si="1389">CE63+CE64+CE65+CE66</f>
        <v>0</v>
      </c>
      <c r="CF62" s="6">
        <f t="shared" si="1389"/>
        <v>0</v>
      </c>
      <c r="CG62" s="82"/>
      <c r="CH62" s="6">
        <f t="shared" ref="CH62:CI62" si="1390">CH63+CH64+CH65+CH66</f>
        <v>0</v>
      </c>
      <c r="CI62" s="6">
        <f t="shared" si="1390"/>
        <v>0</v>
      </c>
      <c r="CJ62" s="82"/>
      <c r="CK62" s="6">
        <f t="shared" ref="CK62:CL62" si="1391">CK63+CK64+CK65+CK66</f>
        <v>0</v>
      </c>
      <c r="CL62" s="6">
        <f t="shared" si="1391"/>
        <v>0</v>
      </c>
      <c r="CM62" s="82"/>
      <c r="CN62" s="6">
        <f t="shared" ref="CN62:CO62" si="1392">CN63+CN64+CN65+CN66</f>
        <v>0</v>
      </c>
      <c r="CO62" s="6">
        <f t="shared" si="1392"/>
        <v>0</v>
      </c>
      <c r="CP62" s="82"/>
      <c r="CQ62" s="6">
        <f t="shared" ref="CQ62:CR62" si="1393">CQ63+CQ64+CQ65+CQ66</f>
        <v>0</v>
      </c>
      <c r="CR62" s="6">
        <f t="shared" si="1393"/>
        <v>0</v>
      </c>
      <c r="CS62" s="82"/>
      <c r="CT62" s="6">
        <f t="shared" ref="CT62:CU62" si="1394">CT63+CT64+CT65+CT66</f>
        <v>0</v>
      </c>
      <c r="CU62" s="6">
        <f t="shared" si="1394"/>
        <v>0</v>
      </c>
      <c r="CV62" s="82"/>
      <c r="CW62" s="6">
        <f t="shared" ref="CW62:CX62" si="1395">CW63+CW64+CW65+CW66</f>
        <v>0</v>
      </c>
      <c r="CX62" s="6">
        <f t="shared" si="1395"/>
        <v>0</v>
      </c>
      <c r="CY62" s="82"/>
      <c r="CZ62" s="6">
        <f t="shared" ref="CZ62:DA62" si="1396">CZ63+CZ64+CZ65+CZ66</f>
        <v>0</v>
      </c>
      <c r="DA62" s="6">
        <f t="shared" si="1396"/>
        <v>0</v>
      </c>
      <c r="DB62" s="82"/>
      <c r="DC62" s="6">
        <f t="shared" ref="DC62:DD62" si="1397">DC63+DC64+DC65+DC66</f>
        <v>0</v>
      </c>
      <c r="DD62" s="6">
        <f t="shared" si="1397"/>
        <v>0</v>
      </c>
      <c r="DE62" s="82"/>
      <c r="DF62" s="6">
        <f t="shared" ref="DF62:DG62" si="1398">DF63+DF64+DF65+DF66</f>
        <v>0</v>
      </c>
      <c r="DG62" s="6">
        <f t="shared" si="1398"/>
        <v>0</v>
      </c>
      <c r="DH62" s="82"/>
      <c r="DI62" s="6">
        <f t="shared" ref="DI62:DJ62" si="1399">DI63+DI64+DI65+DI66</f>
        <v>0</v>
      </c>
      <c r="DJ62" s="6">
        <f t="shared" si="1399"/>
        <v>0</v>
      </c>
      <c r="DK62" s="82"/>
      <c r="DL62" s="6">
        <f t="shared" ref="DL62:DM62" si="1400">DL63+DL64+DL65+DL66</f>
        <v>0</v>
      </c>
      <c r="DM62" s="6">
        <f t="shared" si="1400"/>
        <v>0</v>
      </c>
      <c r="DN62" s="82"/>
      <c r="DO62" s="6">
        <f t="shared" ref="DO62:DP62" si="1401">DO63+DO64+DO65+DO66</f>
        <v>0</v>
      </c>
      <c r="DP62" s="6">
        <f t="shared" si="1401"/>
        <v>0</v>
      </c>
      <c r="DQ62" s="82"/>
      <c r="DR62" s="38">
        <f t="shared" si="169"/>
        <v>1024857</v>
      </c>
      <c r="DS62" s="38">
        <f t="shared" si="169"/>
        <v>788965</v>
      </c>
      <c r="DT62" s="82">
        <f t="shared" si="170"/>
        <v>76.982935180225141</v>
      </c>
      <c r="DU62" s="6">
        <f>DU63+DU64+DU65+DU66</f>
        <v>16608</v>
      </c>
      <c r="DV62" s="6">
        <f>DV63+DV64+DV65+DV66</f>
        <v>11303</v>
      </c>
      <c r="DW62" s="84">
        <f t="shared" si="1309"/>
        <v>68.057562620423894</v>
      </c>
      <c r="DX62" s="6">
        <f t="shared" ref="DX62:DY62" si="1402">DX63+DX64+DX65+DX66</f>
        <v>5211</v>
      </c>
      <c r="DY62" s="6">
        <f t="shared" si="1402"/>
        <v>4489</v>
      </c>
      <c r="DZ62" s="84">
        <f t="shared" si="1311"/>
        <v>86.144693916714644</v>
      </c>
      <c r="EA62" s="6">
        <f t="shared" ref="EA62:EB62" si="1403">EA63+EA64+EA65+EA66</f>
        <v>4232</v>
      </c>
      <c r="EB62" s="6">
        <f t="shared" si="1403"/>
        <v>3840</v>
      </c>
      <c r="EC62" s="84">
        <f t="shared" si="1313"/>
        <v>90.737240075614366</v>
      </c>
      <c r="ED62" s="6">
        <f t="shared" ref="ED62:EE62" si="1404">ED63+ED64+ED65+ED66</f>
        <v>280002</v>
      </c>
      <c r="EE62" s="6">
        <f t="shared" si="1404"/>
        <v>240112</v>
      </c>
      <c r="EF62" s="84">
        <f t="shared" si="1315"/>
        <v>85.753673188048651</v>
      </c>
      <c r="EG62" s="6">
        <f t="shared" ref="EG62:EH62" si="1405">EG63+EG64+EG65+EG66</f>
        <v>47596</v>
      </c>
      <c r="EH62" s="6">
        <f t="shared" si="1405"/>
        <v>41526</v>
      </c>
      <c r="EI62" s="84">
        <f t="shared" si="1317"/>
        <v>87.24682746449281</v>
      </c>
      <c r="EJ62" s="6">
        <f t="shared" ref="EJ62:EK62" si="1406">EJ63+EJ64+EJ65+EJ66</f>
        <v>79759</v>
      </c>
      <c r="EK62" s="6">
        <f t="shared" si="1406"/>
        <v>37118</v>
      </c>
      <c r="EL62" s="84">
        <f t="shared" si="1319"/>
        <v>46.537694805601873</v>
      </c>
      <c r="EM62" s="6">
        <f t="shared" ref="EM62:EN62" si="1407">EM63+EM64+EM65+EM66</f>
        <v>14410</v>
      </c>
      <c r="EN62" s="6">
        <f t="shared" si="1407"/>
        <v>14264</v>
      </c>
      <c r="EO62" s="84">
        <f t="shared" si="1321"/>
        <v>98.986814712005554</v>
      </c>
      <c r="EP62" s="6">
        <f t="shared" ref="EP62:EQ62" si="1408">EP63+EP64+EP65+EP66</f>
        <v>1445232</v>
      </c>
      <c r="EQ62" s="6">
        <f t="shared" si="1408"/>
        <v>1471892</v>
      </c>
      <c r="ER62" s="84">
        <f t="shared" si="1323"/>
        <v>101.84468652783774</v>
      </c>
      <c r="ES62" s="6">
        <f t="shared" ref="ES62:ET62" si="1409">ES63+ES64+ES65+ES66</f>
        <v>497968</v>
      </c>
      <c r="ET62" s="6">
        <f t="shared" si="1409"/>
        <v>501210</v>
      </c>
      <c r="EU62" s="84">
        <f t="shared" si="1325"/>
        <v>100.65104585033578</v>
      </c>
      <c r="EV62" s="38">
        <f t="shared" si="179"/>
        <v>2391018</v>
      </c>
      <c r="EW62" s="38">
        <f t="shared" si="179"/>
        <v>2325754</v>
      </c>
      <c r="EX62" s="84">
        <f t="shared" si="1326"/>
        <v>97.270451330772076</v>
      </c>
      <c r="EY62" s="6">
        <f t="shared" ref="EY62:EZ62" si="1410">EY63+EY64+EY65+EY66</f>
        <v>66860</v>
      </c>
      <c r="EZ62" s="6">
        <f t="shared" si="1410"/>
        <v>66834</v>
      </c>
      <c r="FA62" s="84">
        <f t="shared" si="1328"/>
        <v>99.961112772958415</v>
      </c>
      <c r="FB62" s="6">
        <f t="shared" ref="FB62:FC62" si="1411">FB63+FB64+FB65+FB66</f>
        <v>115006</v>
      </c>
      <c r="FC62" s="6">
        <f t="shared" si="1411"/>
        <v>118765</v>
      </c>
      <c r="FD62" s="84">
        <f t="shared" si="1330"/>
        <v>103.26852512042851</v>
      </c>
      <c r="FE62" s="6">
        <f t="shared" ref="FE62:FF62" si="1412">FE63+FE64+FE65+FE66</f>
        <v>63801</v>
      </c>
      <c r="FF62" s="6">
        <f t="shared" si="1412"/>
        <v>68958</v>
      </c>
      <c r="FG62" s="84">
        <f t="shared" si="1332"/>
        <v>108.08294540837917</v>
      </c>
      <c r="FH62" s="6">
        <f t="shared" ref="FH62:FI62" si="1413">FH63+FH64+FH65+FH66</f>
        <v>314999</v>
      </c>
      <c r="FI62" s="6">
        <f t="shared" si="1413"/>
        <v>441781</v>
      </c>
      <c r="FJ62" s="84">
        <f t="shared" si="1334"/>
        <v>140.24838174089442</v>
      </c>
      <c r="FK62" s="84"/>
      <c r="FL62" s="6">
        <f t="shared" ref="FL62" si="1414">FL63+FL64+FL65+FL66</f>
        <v>46367</v>
      </c>
      <c r="FM62" s="84"/>
      <c r="FN62" s="6">
        <f t="shared" ref="FN62:FO62" si="1415">FN63+FN64+FN65+FN66</f>
        <v>124662</v>
      </c>
      <c r="FO62" s="6">
        <f t="shared" si="1415"/>
        <v>135518</v>
      </c>
      <c r="FP62" s="84">
        <f t="shared" si="1337"/>
        <v>108.70834737129198</v>
      </c>
      <c r="FQ62" s="6">
        <f t="shared" ref="FQ62:FR62" si="1416">FQ63+FQ64+FQ65+FQ66</f>
        <v>196224</v>
      </c>
      <c r="FR62" s="6">
        <f t="shared" si="1416"/>
        <v>193874</v>
      </c>
      <c r="FS62" s="84">
        <f t="shared" si="1339"/>
        <v>98.802389106327453</v>
      </c>
      <c r="FT62" s="6">
        <f t="shared" ref="FT62:FU62" si="1417">FT63+FT64+FT65+FT66</f>
        <v>107019</v>
      </c>
      <c r="FU62" s="6">
        <f t="shared" si="1417"/>
        <v>116265</v>
      </c>
      <c r="FV62" s="84">
        <f t="shared" si="1341"/>
        <v>108.63958736299162</v>
      </c>
      <c r="FW62" s="6">
        <f t="shared" ref="FW62:FX62" si="1418">FW63+FW64+FW65+FW66</f>
        <v>150077</v>
      </c>
      <c r="FX62" s="6">
        <f t="shared" si="1418"/>
        <v>161231</v>
      </c>
      <c r="FY62" s="84">
        <f t="shared" si="1343"/>
        <v>107.43218481179662</v>
      </c>
      <c r="FZ62" s="6">
        <f t="shared" ref="FZ62:GA62" si="1419">FZ63+FZ64+FZ65+FZ66</f>
        <v>79824</v>
      </c>
      <c r="GA62" s="6">
        <f t="shared" si="1419"/>
        <v>92076</v>
      </c>
      <c r="GB62" s="84">
        <f t="shared" si="1345"/>
        <v>115.34876728803367</v>
      </c>
      <c r="GC62" s="6">
        <f t="shared" ref="GC62:GD62" si="1420">GC63+GC64+GC65+GC66</f>
        <v>16644</v>
      </c>
      <c r="GD62" s="6">
        <f t="shared" si="1420"/>
        <v>20176</v>
      </c>
      <c r="GE62" s="84">
        <f t="shared" si="1347"/>
        <v>121.22086037010334</v>
      </c>
      <c r="GF62" s="6">
        <f t="shared" ref="GF62:GG62" si="1421">GF63+GF64+GF65+GF66</f>
        <v>57669</v>
      </c>
      <c r="GG62" s="6">
        <f t="shared" si="1421"/>
        <v>56640</v>
      </c>
      <c r="GH62" s="84">
        <f t="shared" si="1349"/>
        <v>98.215679134370276</v>
      </c>
      <c r="GI62" s="6">
        <f t="shared" ref="GI62:GJ62" si="1422">GI63+GI64+GI65+GI66</f>
        <v>71644</v>
      </c>
      <c r="GJ62" s="6">
        <f t="shared" si="1422"/>
        <v>70250</v>
      </c>
      <c r="GK62" s="84">
        <f t="shared" si="1351"/>
        <v>98.054268326726586</v>
      </c>
      <c r="GL62" s="6">
        <f t="shared" ref="GL62:GM62" si="1423">GL63+GL64+GL65+GL66</f>
        <v>689938</v>
      </c>
      <c r="GM62" s="6">
        <f t="shared" si="1423"/>
        <v>735062</v>
      </c>
      <c r="GN62" s="84">
        <f t="shared" si="1353"/>
        <v>106.54029782386243</v>
      </c>
      <c r="GO62" s="38">
        <f t="shared" si="790"/>
        <v>2054367</v>
      </c>
      <c r="GP62" s="6">
        <f t="shared" ref="GP62" si="1424">GP63+GP64+GP65+GP66</f>
        <v>2323797</v>
      </c>
      <c r="GQ62" s="84">
        <f t="shared" si="1355"/>
        <v>113.11498870454987</v>
      </c>
      <c r="GR62" s="6">
        <f t="shared" ref="GR62:GS62" si="1425">GR63+GR64+GR65+GR66</f>
        <v>906716</v>
      </c>
      <c r="GS62" s="6">
        <f t="shared" si="1425"/>
        <v>962422</v>
      </c>
      <c r="GT62" s="84">
        <f t="shared" si="1357"/>
        <v>106.14370982755349</v>
      </c>
      <c r="GU62" s="6">
        <f t="shared" ref="GU62:GV62" si="1426">GU63+GU64+GU65+GU66</f>
        <v>142205</v>
      </c>
      <c r="GV62" s="6">
        <f t="shared" si="1426"/>
        <v>201560</v>
      </c>
      <c r="GW62" s="84">
        <f t="shared" si="1359"/>
        <v>141.73903871171899</v>
      </c>
      <c r="GX62" s="6">
        <f t="shared" ref="GX62:GY62" si="1427">GX63+GX64+GX65+GX66</f>
        <v>1362198</v>
      </c>
      <c r="GY62" s="6">
        <f t="shared" si="1427"/>
        <v>1335388</v>
      </c>
      <c r="GZ62" s="84">
        <f t="shared" si="1361"/>
        <v>98.031857336451822</v>
      </c>
      <c r="HA62" s="38">
        <f t="shared" si="198"/>
        <v>4465486</v>
      </c>
      <c r="HB62" s="38">
        <f t="shared" si="198"/>
        <v>4823167</v>
      </c>
      <c r="HC62" s="84">
        <f t="shared" si="1362"/>
        <v>108.00990082602431</v>
      </c>
      <c r="HD62" s="38">
        <f t="shared" si="792"/>
        <v>7881361</v>
      </c>
      <c r="HE62" s="38">
        <f t="shared" si="793"/>
        <v>7937886</v>
      </c>
      <c r="HF62" s="238">
        <f t="shared" si="129"/>
        <v>100.71719846356486</v>
      </c>
      <c r="HH62" s="242"/>
      <c r="HI62" s="242"/>
    </row>
    <row r="63" spans="1:217" ht="15" customHeight="1" x14ac:dyDescent="0.25">
      <c r="A63" s="220" t="s">
        <v>389</v>
      </c>
      <c r="B63" s="7"/>
      <c r="C63" s="7">
        <f>SUM('címrend kötelező'!B63+'címrend önként'!B63+'címrend államig'!B63)</f>
        <v>0</v>
      </c>
      <c r="D63" s="82"/>
      <c r="E63" s="7"/>
      <c r="F63" s="7">
        <f>SUM('címrend kötelező'!C63+'címrend önként'!C63+'címrend államig'!C63)</f>
        <v>0</v>
      </c>
      <c r="G63" s="82"/>
      <c r="H63" s="7"/>
      <c r="I63" s="7">
        <f>SUM('címrend kötelező'!D63+'címrend önként'!D63+'címrend államig'!D63)</f>
        <v>0</v>
      </c>
      <c r="J63" s="82"/>
      <c r="K63" s="7"/>
      <c r="L63" s="7">
        <f>SUM('címrend kötelező'!E63+'címrend önként'!E63+'címrend államig'!E63)</f>
        <v>0</v>
      </c>
      <c r="M63" s="82"/>
      <c r="N63" s="7"/>
      <c r="O63" s="7">
        <f>SUM('címrend kötelező'!F63+'címrend önként'!F63+'címrend államig'!F63)</f>
        <v>0</v>
      </c>
      <c r="P63" s="82"/>
      <c r="Q63" s="7"/>
      <c r="R63" s="7">
        <f>SUM('címrend kötelező'!G63+'címrend önként'!G63+'címrend államig'!G63)</f>
        <v>0</v>
      </c>
      <c r="S63" s="82"/>
      <c r="T63" s="7"/>
      <c r="U63" s="7">
        <f>SUM('címrend kötelező'!H63+'címrend önként'!H63+'címrend államig'!H63)</f>
        <v>0</v>
      </c>
      <c r="V63" s="82"/>
      <c r="W63" s="7"/>
      <c r="X63" s="7">
        <f>SUM('címrend kötelező'!I63+'címrend önként'!I63+'címrend államig'!I63)</f>
        <v>0</v>
      </c>
      <c r="Y63" s="82"/>
      <c r="Z63" s="7"/>
      <c r="AA63" s="7">
        <f>SUM('címrend kötelező'!J63+'címrend önként'!J63+'címrend államig'!J63)</f>
        <v>0</v>
      </c>
      <c r="AB63" s="82"/>
      <c r="AC63" s="7"/>
      <c r="AD63" s="7">
        <f>SUM('címrend kötelező'!K63+'címrend önként'!K63+'címrend államig'!K63)</f>
        <v>0</v>
      </c>
      <c r="AE63" s="82"/>
      <c r="AF63" s="7"/>
      <c r="AG63" s="7">
        <f>SUM('címrend kötelező'!L63+'címrend önként'!L63+'címrend államig'!L63)</f>
        <v>0</v>
      </c>
      <c r="AH63" s="82"/>
      <c r="AI63" s="7"/>
      <c r="AJ63" s="7">
        <f>SUM('címrend kötelező'!M63+'címrend önként'!M63+'címrend államig'!M63)</f>
        <v>0</v>
      </c>
      <c r="AK63" s="82"/>
      <c r="AL63" s="7"/>
      <c r="AM63" s="7">
        <f>SUM('címrend kötelező'!N63+'címrend önként'!N63+'címrend államig'!N63)</f>
        <v>0</v>
      </c>
      <c r="AN63" s="82"/>
      <c r="AO63" s="7"/>
      <c r="AP63" s="7">
        <f>SUM('címrend kötelező'!O63+'címrend önként'!O63+'címrend államig'!O63)</f>
        <v>0</v>
      </c>
      <c r="AQ63" s="82"/>
      <c r="AR63" s="7"/>
      <c r="AS63" s="7">
        <f>SUM('címrend kötelező'!P63+'címrend önként'!P63+'címrend államig'!P63)</f>
        <v>0</v>
      </c>
      <c r="AT63" s="82"/>
      <c r="AU63" s="7"/>
      <c r="AV63" s="7">
        <f>SUM('címrend kötelező'!Q63+'címrend önként'!Q63+'címrend államig'!Q63)</f>
        <v>0</v>
      </c>
      <c r="AW63" s="82"/>
      <c r="AX63" s="7"/>
      <c r="AY63" s="7">
        <f>SUM('címrend kötelező'!R63+'címrend önként'!R63+'címrend államig'!R63)</f>
        <v>0</v>
      </c>
      <c r="AZ63" s="82"/>
      <c r="BA63" s="7"/>
      <c r="BB63" s="7">
        <f>SUM('címrend kötelező'!S63+'címrend önként'!S63+'címrend államig'!S63)</f>
        <v>0</v>
      </c>
      <c r="BC63" s="82"/>
      <c r="BD63" s="7"/>
      <c r="BE63" s="7">
        <f>SUM('címrend kötelező'!T63+'címrend önként'!T63+'címrend államig'!T63)</f>
        <v>0</v>
      </c>
      <c r="BF63" s="82"/>
      <c r="BG63" s="7"/>
      <c r="BH63" s="7">
        <f>SUM('címrend kötelező'!U63+'címrend önként'!U63+'címrend államig'!U63)</f>
        <v>0</v>
      </c>
      <c r="BI63" s="82"/>
      <c r="BJ63" s="7"/>
      <c r="BK63" s="7">
        <f>SUM('címrend kötelező'!V63+'címrend önként'!V63+'címrend államig'!V63)</f>
        <v>0</v>
      </c>
      <c r="BL63" s="82"/>
      <c r="BM63" s="7"/>
      <c r="BN63" s="7">
        <f>SUM('címrend kötelező'!W63+'címrend önként'!W63+'címrend államig'!W63)</f>
        <v>0</v>
      </c>
      <c r="BO63" s="82"/>
      <c r="BP63" s="7"/>
      <c r="BQ63" s="7">
        <f>SUM('címrend kötelező'!X63+'címrend önként'!X63+'címrend államig'!X63)</f>
        <v>0</v>
      </c>
      <c r="BR63" s="82"/>
      <c r="BS63" s="7"/>
      <c r="BT63" s="7">
        <f>SUM('címrend kötelező'!Y63+'címrend önként'!Y63+'címrend államig'!Y63)</f>
        <v>0</v>
      </c>
      <c r="BU63" s="82"/>
      <c r="BV63" s="7"/>
      <c r="BW63" s="7">
        <f>SUM('címrend kötelező'!Z63+'címrend önként'!Z63+'címrend államig'!Z63)</f>
        <v>0</v>
      </c>
      <c r="BX63" s="82"/>
      <c r="BY63" s="7"/>
      <c r="BZ63" s="7">
        <f>SUM('címrend kötelező'!AA63+'címrend önként'!AA63+'címrend államig'!AA63)</f>
        <v>0</v>
      </c>
      <c r="CA63" s="82"/>
      <c r="CB63" s="7"/>
      <c r="CC63" s="7">
        <f>SUM('címrend kötelező'!AB63+'címrend önként'!AB63+'címrend államig'!AB63)</f>
        <v>0</v>
      </c>
      <c r="CD63" s="82"/>
      <c r="CE63" s="7"/>
      <c r="CF63" s="7">
        <f>SUM('címrend kötelező'!AC63+'címrend önként'!AC63+'címrend államig'!AC63)</f>
        <v>0</v>
      </c>
      <c r="CG63" s="82"/>
      <c r="CH63" s="7"/>
      <c r="CI63" s="7">
        <f>SUM('címrend kötelező'!AD63+'címrend önként'!AD63+'címrend államig'!AD63)</f>
        <v>0</v>
      </c>
      <c r="CJ63" s="82"/>
      <c r="CK63" s="7"/>
      <c r="CL63" s="7">
        <f>SUM('címrend kötelező'!AE63+'címrend önként'!AE63+'címrend államig'!AE63)</f>
        <v>0</v>
      </c>
      <c r="CM63" s="82"/>
      <c r="CN63" s="7"/>
      <c r="CO63" s="7">
        <f>SUM('címrend kötelező'!AF63+'címrend önként'!AF63+'címrend államig'!AF63)</f>
        <v>0</v>
      </c>
      <c r="CP63" s="82"/>
      <c r="CQ63" s="7"/>
      <c r="CR63" s="7">
        <f>SUM('címrend kötelező'!AG63+'címrend önként'!AG63+'címrend államig'!AG63)</f>
        <v>0</v>
      </c>
      <c r="CS63" s="82"/>
      <c r="CT63" s="7"/>
      <c r="CU63" s="7">
        <f>SUM('címrend kötelező'!AH63+'címrend önként'!AH63+'címrend államig'!AH63)</f>
        <v>0</v>
      </c>
      <c r="CV63" s="82"/>
      <c r="CW63" s="7"/>
      <c r="CX63" s="7">
        <f>SUM('címrend kötelező'!AI63+'címrend önként'!AI63+'címrend államig'!AI63)</f>
        <v>0</v>
      </c>
      <c r="CY63" s="82"/>
      <c r="CZ63" s="7"/>
      <c r="DA63" s="7">
        <f>SUM('címrend kötelező'!AJ63+'címrend önként'!AJ63+'címrend államig'!AJ63)</f>
        <v>0</v>
      </c>
      <c r="DB63" s="82"/>
      <c r="DC63" s="7"/>
      <c r="DD63" s="7">
        <f>SUM('címrend kötelező'!AK63+'címrend önként'!AK63+'címrend államig'!AK63)</f>
        <v>0</v>
      </c>
      <c r="DE63" s="82"/>
      <c r="DF63" s="7"/>
      <c r="DG63" s="7">
        <f>SUM('címrend kötelező'!AL63+'címrend önként'!AL63+'címrend államig'!AL63)</f>
        <v>0</v>
      </c>
      <c r="DH63" s="82"/>
      <c r="DI63" s="7"/>
      <c r="DJ63" s="7">
        <f>SUM('címrend kötelező'!AM63+'címrend önként'!AM63+'címrend államig'!AM63)</f>
        <v>0</v>
      </c>
      <c r="DK63" s="82"/>
      <c r="DL63" s="7"/>
      <c r="DM63" s="7">
        <f>SUM('címrend kötelező'!AN63+'címrend önként'!AN63+'címrend államig'!AN63)</f>
        <v>0</v>
      </c>
      <c r="DN63" s="82"/>
      <c r="DO63" s="7"/>
      <c r="DP63" s="7">
        <f>SUM('címrend kötelező'!AO63+'címrend önként'!AO63+'címrend államig'!AO63)</f>
        <v>0</v>
      </c>
      <c r="DQ63" s="82"/>
      <c r="DR63" s="387">
        <f t="shared" si="169"/>
        <v>0</v>
      </c>
      <c r="DS63" s="387">
        <f t="shared" si="169"/>
        <v>0</v>
      </c>
      <c r="DT63" s="387"/>
      <c r="DU63" s="7">
        <v>16608</v>
      </c>
      <c r="DV63" s="7">
        <f>SUM('címrend kötelező'!AQ63+'címrend önként'!AQ63+'címrend államig'!AQ63)</f>
        <v>11303</v>
      </c>
      <c r="DW63" s="88">
        <f t="shared" si="1309"/>
        <v>68.057562620423894</v>
      </c>
      <c r="DX63" s="7">
        <v>5211</v>
      </c>
      <c r="DY63" s="7">
        <f>SUM('címrend kötelező'!AR63+'címrend önként'!AR63+'címrend államig'!AR63)</f>
        <v>4489</v>
      </c>
      <c r="DZ63" s="88">
        <f t="shared" si="1311"/>
        <v>86.144693916714644</v>
      </c>
      <c r="EA63" s="7">
        <v>4232</v>
      </c>
      <c r="EB63" s="7">
        <f>SUM('címrend kötelező'!AS63+'címrend önként'!AS63+'címrend államig'!AS63)</f>
        <v>3840</v>
      </c>
      <c r="EC63" s="88">
        <f t="shared" si="1313"/>
        <v>90.737240075614366</v>
      </c>
      <c r="ED63" s="7">
        <v>280002</v>
      </c>
      <c r="EE63" s="7">
        <f>SUM('címrend kötelező'!AT63+'címrend önként'!AT63+'címrend államig'!AT63)</f>
        <v>240112</v>
      </c>
      <c r="EF63" s="88">
        <f t="shared" si="1315"/>
        <v>85.753673188048651</v>
      </c>
      <c r="EG63" s="7">
        <v>47596</v>
      </c>
      <c r="EH63" s="7">
        <f>SUM('címrend kötelező'!AU63+'címrend önként'!AU63+'címrend államig'!AU63)</f>
        <v>41526</v>
      </c>
      <c r="EI63" s="88">
        <f t="shared" si="1317"/>
        <v>87.24682746449281</v>
      </c>
      <c r="EJ63" s="7">
        <v>79759</v>
      </c>
      <c r="EK63" s="7">
        <f>SUM('címrend kötelező'!AV63+'címrend önként'!AV63+'címrend államig'!AV63)</f>
        <v>37118</v>
      </c>
      <c r="EL63" s="88">
        <f t="shared" si="1319"/>
        <v>46.537694805601873</v>
      </c>
      <c r="EM63" s="7">
        <v>14410</v>
      </c>
      <c r="EN63" s="7">
        <f>SUM('címrend kötelező'!AW63+'címrend önként'!AW63+'címrend államig'!AW63)</f>
        <v>14264</v>
      </c>
      <c r="EO63" s="88">
        <f t="shared" si="1321"/>
        <v>98.986814712005554</v>
      </c>
      <c r="EP63" s="7">
        <v>1445232</v>
      </c>
      <c r="EQ63" s="7">
        <f>SUM('címrend kötelező'!AX63+'címrend önként'!AX63+'címrend államig'!AX63)</f>
        <v>1471892</v>
      </c>
      <c r="ER63" s="88">
        <f t="shared" si="1323"/>
        <v>101.84468652783774</v>
      </c>
      <c r="ES63" s="7">
        <v>497968</v>
      </c>
      <c r="ET63" s="7">
        <f>SUM('címrend kötelező'!AY63+'címrend önként'!AY63+'címrend államig'!AY63)</f>
        <v>501210</v>
      </c>
      <c r="EU63" s="88">
        <f t="shared" si="1325"/>
        <v>100.65104585033578</v>
      </c>
      <c r="EV63" s="387">
        <f t="shared" si="179"/>
        <v>2391018</v>
      </c>
      <c r="EW63" s="904">
        <f t="shared" si="179"/>
        <v>2325754</v>
      </c>
      <c r="EX63" s="88">
        <f t="shared" si="1326"/>
        <v>97.270451330772076</v>
      </c>
      <c r="EY63" s="7">
        <v>66860</v>
      </c>
      <c r="EZ63" s="7">
        <f>'címrend kötelező'!BA63+'címrend önként'!BA63+'címrend államig'!BA63</f>
        <v>66834</v>
      </c>
      <c r="FA63" s="88">
        <f t="shared" si="1328"/>
        <v>99.961112772958415</v>
      </c>
      <c r="FB63" s="7">
        <v>113306</v>
      </c>
      <c r="FC63" s="7">
        <f>'címrend kötelező'!BB63+'címrend önként'!BB63+'címrend államig'!BB63</f>
        <v>118765</v>
      </c>
      <c r="FD63" s="88">
        <f t="shared" si="1330"/>
        <v>104.81792667643373</v>
      </c>
      <c r="FE63" s="7">
        <v>63801</v>
      </c>
      <c r="FF63" s="7">
        <f>'címrend kötelező'!BC63+'címrend önként'!BC63+'címrend államig'!BC63</f>
        <v>68958</v>
      </c>
      <c r="FG63" s="88">
        <f t="shared" si="1332"/>
        <v>108.08294540837917</v>
      </c>
      <c r="FH63" s="7">
        <v>177657</v>
      </c>
      <c r="FI63" s="7">
        <f>'címrend kötelező'!BD63+'címrend önként'!BD63+'címrend államig'!BD63</f>
        <v>142514</v>
      </c>
      <c r="FJ63" s="88">
        <f t="shared" si="1334"/>
        <v>80.218623527358901</v>
      </c>
      <c r="FK63" s="88"/>
      <c r="FL63" s="7">
        <f>'címrend kötelező'!BE63+'címrend önként'!BE63+'címrend államig'!BE63</f>
        <v>46367</v>
      </c>
      <c r="FM63" s="88"/>
      <c r="FN63" s="7">
        <v>124662</v>
      </c>
      <c r="FO63" s="7">
        <f>SUM('címrend kötelező'!BF63+'címrend önként'!BF63+'címrend államig'!BF63)</f>
        <v>135518</v>
      </c>
      <c r="FP63" s="88">
        <f t="shared" si="1337"/>
        <v>108.70834737129198</v>
      </c>
      <c r="FQ63" s="7">
        <v>196224</v>
      </c>
      <c r="FR63" s="7">
        <f>SUM('címrend kötelező'!BG63+'címrend önként'!BG63+'címrend államig'!BG63)</f>
        <v>193874</v>
      </c>
      <c r="FS63" s="88">
        <f t="shared" si="1339"/>
        <v>98.802389106327453</v>
      </c>
      <c r="FT63" s="7">
        <v>107019</v>
      </c>
      <c r="FU63" s="7">
        <f>SUM('címrend kötelező'!BH63+'címrend önként'!BH63+'címrend államig'!BH63)</f>
        <v>116265</v>
      </c>
      <c r="FV63" s="88">
        <f t="shared" si="1341"/>
        <v>108.63958736299162</v>
      </c>
      <c r="FW63" s="7">
        <v>149787</v>
      </c>
      <c r="FX63" s="7">
        <f>SUM('címrend kötelező'!BI63+'címrend önként'!BI63+'címrend államig'!BI63)</f>
        <v>161231</v>
      </c>
      <c r="FY63" s="88">
        <f t="shared" si="1343"/>
        <v>107.64018239233044</v>
      </c>
      <c r="FZ63" s="7">
        <v>79824</v>
      </c>
      <c r="GA63" s="7">
        <f>SUM('címrend kötelező'!BJ63+'címrend önként'!BJ63+'címrend államig'!BJ63)</f>
        <v>92076</v>
      </c>
      <c r="GB63" s="88">
        <f t="shared" si="1345"/>
        <v>115.34876728803367</v>
      </c>
      <c r="GC63" s="7">
        <v>16644</v>
      </c>
      <c r="GD63" s="7">
        <f>SUM('címrend kötelező'!BK63+'címrend önként'!BK63+'címrend államig'!BK63)</f>
        <v>20176</v>
      </c>
      <c r="GE63" s="88">
        <f t="shared" si="1347"/>
        <v>121.22086037010334</v>
      </c>
      <c r="GF63" s="7">
        <v>57669</v>
      </c>
      <c r="GG63" s="7">
        <f>SUM('címrend kötelező'!BL63+'címrend önként'!BL63+'címrend államig'!BL63)</f>
        <v>56640</v>
      </c>
      <c r="GH63" s="88">
        <f t="shared" si="1349"/>
        <v>98.215679134370276</v>
      </c>
      <c r="GI63" s="7">
        <v>71644</v>
      </c>
      <c r="GJ63" s="7">
        <f>SUM('címrend kötelező'!BM63+'címrend önként'!BM63+'címrend államig'!BM63)</f>
        <v>70250</v>
      </c>
      <c r="GK63" s="88">
        <f t="shared" si="1351"/>
        <v>98.054268326726586</v>
      </c>
      <c r="GL63" s="7">
        <v>689938</v>
      </c>
      <c r="GM63" s="7">
        <f>SUM('címrend kötelező'!BN63+'címrend önként'!BN63+'címrend államig'!BN63)</f>
        <v>735062</v>
      </c>
      <c r="GN63" s="88">
        <f t="shared" si="1353"/>
        <v>106.54029782386243</v>
      </c>
      <c r="GO63" s="387">
        <f t="shared" si="790"/>
        <v>1915035</v>
      </c>
      <c r="GP63" s="387">
        <f t="shared" ref="GP63:GP66" si="1428">EZ63+FC63+FF63+FI63+FL63+FO63+FR63+FU63+FX63+GA63+GD63+GG63+GJ63+GM63</f>
        <v>2024530</v>
      </c>
      <c r="GQ63" s="88">
        <f t="shared" si="1355"/>
        <v>105.71765006905881</v>
      </c>
      <c r="GR63" s="7">
        <v>863202</v>
      </c>
      <c r="GS63" s="7">
        <f>SUM('címrend kötelező'!BP63+'címrend önként'!BP63+'címrend államig'!BP63)</f>
        <v>962422</v>
      </c>
      <c r="GT63" s="88">
        <f t="shared" si="1357"/>
        <v>111.49441266354805</v>
      </c>
      <c r="GU63" s="7">
        <v>142205</v>
      </c>
      <c r="GV63" s="7">
        <f>SUM('címrend kötelező'!BQ63+'címrend önként'!BQ63+'címrend államig'!BQ63)</f>
        <v>201560</v>
      </c>
      <c r="GW63" s="88">
        <f t="shared" si="1359"/>
        <v>141.73903871171899</v>
      </c>
      <c r="GX63" s="7">
        <v>1356658</v>
      </c>
      <c r="GY63" s="7">
        <f>SUM('címrend kötelező'!BR63+'címrend önként'!BR63+'címrend államig'!BR63)</f>
        <v>1335388</v>
      </c>
      <c r="GZ63" s="88">
        <f t="shared" si="1361"/>
        <v>98.432176716608026</v>
      </c>
      <c r="HA63" s="387">
        <f t="shared" si="198"/>
        <v>4277100</v>
      </c>
      <c r="HB63" s="387">
        <f t="shared" si="198"/>
        <v>4523900</v>
      </c>
      <c r="HC63" s="88">
        <f t="shared" si="1362"/>
        <v>105.77026489911387</v>
      </c>
      <c r="HD63" s="38">
        <f t="shared" si="792"/>
        <v>6668118</v>
      </c>
      <c r="HE63" s="38">
        <f t="shared" si="793"/>
        <v>6849654</v>
      </c>
      <c r="HF63" s="238">
        <f t="shared" si="129"/>
        <v>102.72244732321774</v>
      </c>
      <c r="HH63" s="242"/>
      <c r="HI63" s="242"/>
    </row>
    <row r="64" spans="1:217" ht="15" customHeight="1" x14ac:dyDescent="0.25">
      <c r="A64" s="218" t="s">
        <v>390</v>
      </c>
      <c r="B64" s="7"/>
      <c r="C64" s="7">
        <f>SUM('címrend kötelező'!B64+'címrend önként'!B64+'címrend államig'!B64)</f>
        <v>0</v>
      </c>
      <c r="D64" s="82"/>
      <c r="E64" s="7"/>
      <c r="F64" s="7">
        <f>SUM('címrend kötelező'!C64+'címrend önként'!C64+'címrend államig'!C64)</f>
        <v>0</v>
      </c>
      <c r="G64" s="82"/>
      <c r="H64" s="7"/>
      <c r="I64" s="7">
        <f>SUM('címrend kötelező'!D64+'címrend önként'!D64+'címrend államig'!D64)</f>
        <v>0</v>
      </c>
      <c r="J64" s="82"/>
      <c r="K64" s="7"/>
      <c r="L64" s="7">
        <f>SUM('címrend kötelező'!E64+'címrend önként'!E64+'címrend államig'!E64)</f>
        <v>0</v>
      </c>
      <c r="M64" s="82"/>
      <c r="N64" s="7"/>
      <c r="O64" s="7">
        <f>SUM('címrend kötelező'!F64+'címrend önként'!F64+'címrend államig'!F64)</f>
        <v>0</v>
      </c>
      <c r="P64" s="82"/>
      <c r="Q64" s="7"/>
      <c r="R64" s="7">
        <f>SUM('címrend kötelező'!G64+'címrend önként'!G64+'címrend államig'!G64)</f>
        <v>0</v>
      </c>
      <c r="S64" s="82"/>
      <c r="T64" s="7"/>
      <c r="U64" s="7">
        <f>SUM('címrend kötelező'!H64+'címrend önként'!H64+'címrend államig'!H64)</f>
        <v>0</v>
      </c>
      <c r="V64" s="82"/>
      <c r="W64" s="7"/>
      <c r="X64" s="7">
        <f>SUM('címrend kötelező'!I64+'címrend önként'!I64+'címrend államig'!I64)</f>
        <v>0</v>
      </c>
      <c r="Y64" s="82"/>
      <c r="Z64" s="7"/>
      <c r="AA64" s="7">
        <f>SUM('címrend kötelező'!J64+'címrend önként'!J64+'címrend államig'!J64)</f>
        <v>0</v>
      </c>
      <c r="AB64" s="82"/>
      <c r="AC64" s="7"/>
      <c r="AD64" s="7">
        <f>SUM('címrend kötelező'!K64+'címrend önként'!K64+'címrend államig'!K64)</f>
        <v>0</v>
      </c>
      <c r="AE64" s="82"/>
      <c r="AF64" s="7"/>
      <c r="AG64" s="7">
        <f>SUM('címrend kötelező'!L64+'címrend önként'!L64+'címrend államig'!L64)</f>
        <v>0</v>
      </c>
      <c r="AH64" s="82"/>
      <c r="AI64" s="7"/>
      <c r="AJ64" s="7">
        <f>SUM('címrend kötelező'!M64+'címrend önként'!M64+'címrend államig'!M64)</f>
        <v>0</v>
      </c>
      <c r="AK64" s="82"/>
      <c r="AL64" s="7"/>
      <c r="AM64" s="7">
        <f>SUM('címrend kötelező'!N64+'címrend önként'!N64+'címrend államig'!N64)</f>
        <v>0</v>
      </c>
      <c r="AN64" s="82"/>
      <c r="AO64" s="7"/>
      <c r="AP64" s="7">
        <f>SUM('címrend kötelező'!O64+'címrend önként'!O64+'címrend államig'!O64)</f>
        <v>0</v>
      </c>
      <c r="AQ64" s="82"/>
      <c r="AR64" s="7"/>
      <c r="AS64" s="7">
        <f>SUM('címrend kötelező'!P64+'címrend önként'!P64+'címrend államig'!P64)</f>
        <v>0</v>
      </c>
      <c r="AT64" s="82"/>
      <c r="AU64" s="7"/>
      <c r="AV64" s="7">
        <f>SUM('címrend kötelező'!Q64+'címrend önként'!Q64+'címrend államig'!Q64)</f>
        <v>0</v>
      </c>
      <c r="AW64" s="82"/>
      <c r="AX64" s="7"/>
      <c r="AY64" s="7">
        <f>SUM('címrend kötelező'!R64+'címrend önként'!R64+'címrend államig'!R64)</f>
        <v>0</v>
      </c>
      <c r="AZ64" s="82"/>
      <c r="BA64" s="7"/>
      <c r="BB64" s="7">
        <f>SUM('címrend kötelező'!S64+'címrend önként'!S64+'címrend államig'!S64)</f>
        <v>0</v>
      </c>
      <c r="BC64" s="82"/>
      <c r="BD64" s="7"/>
      <c r="BE64" s="7">
        <f>SUM('címrend kötelező'!T64+'címrend önként'!T64+'címrend államig'!T64)</f>
        <v>0</v>
      </c>
      <c r="BF64" s="82"/>
      <c r="BG64" s="7"/>
      <c r="BH64" s="7">
        <f>SUM('címrend kötelező'!U64+'címrend önként'!U64+'címrend államig'!U64)</f>
        <v>0</v>
      </c>
      <c r="BI64" s="82"/>
      <c r="BJ64" s="7"/>
      <c r="BK64" s="7">
        <f>SUM('címrend kötelező'!V64+'címrend önként'!V64+'címrend államig'!V64)</f>
        <v>0</v>
      </c>
      <c r="BL64" s="82"/>
      <c r="BM64" s="7"/>
      <c r="BN64" s="7">
        <f>SUM('címrend kötelező'!W64+'címrend önként'!W64+'címrend államig'!W64)</f>
        <v>0</v>
      </c>
      <c r="BO64" s="82"/>
      <c r="BP64" s="7"/>
      <c r="BQ64" s="7">
        <f>SUM('címrend kötelező'!X64+'címrend önként'!X64+'címrend államig'!X64)</f>
        <v>0</v>
      </c>
      <c r="BR64" s="82"/>
      <c r="BS64" s="7"/>
      <c r="BT64" s="7">
        <f>SUM('címrend kötelező'!Y64+'címrend önként'!Y64+'címrend államig'!Y64)</f>
        <v>0</v>
      </c>
      <c r="BU64" s="82"/>
      <c r="BV64" s="7"/>
      <c r="BW64" s="7">
        <f>SUM('címrend kötelező'!Z64+'címrend önként'!Z64+'címrend államig'!Z64)</f>
        <v>0</v>
      </c>
      <c r="BX64" s="82"/>
      <c r="BY64" s="7"/>
      <c r="BZ64" s="7">
        <f>SUM('címrend kötelező'!AA64+'címrend önként'!AA64+'címrend államig'!AA64)</f>
        <v>0</v>
      </c>
      <c r="CA64" s="82"/>
      <c r="CB64" s="7"/>
      <c r="CC64" s="7">
        <f>SUM('címrend kötelező'!AB64+'címrend önként'!AB64+'címrend államig'!AB64)</f>
        <v>0</v>
      </c>
      <c r="CD64" s="82"/>
      <c r="CE64" s="7"/>
      <c r="CF64" s="7">
        <f>SUM('címrend kötelező'!AC64+'címrend önként'!AC64+'címrend államig'!AC64)</f>
        <v>0</v>
      </c>
      <c r="CG64" s="82"/>
      <c r="CH64" s="7"/>
      <c r="CI64" s="7">
        <f>SUM('címrend kötelező'!AD64+'címrend önként'!AD64+'címrend államig'!AD64)</f>
        <v>0</v>
      </c>
      <c r="CJ64" s="82"/>
      <c r="CK64" s="7"/>
      <c r="CL64" s="7">
        <f>SUM('címrend kötelező'!AE64+'címrend önként'!AE64+'címrend államig'!AE64)</f>
        <v>0</v>
      </c>
      <c r="CM64" s="82"/>
      <c r="CN64" s="7"/>
      <c r="CO64" s="7">
        <f>SUM('címrend kötelező'!AF64+'címrend önként'!AF64+'címrend államig'!AF64)</f>
        <v>0</v>
      </c>
      <c r="CP64" s="82"/>
      <c r="CQ64" s="7"/>
      <c r="CR64" s="7">
        <f>SUM('címrend kötelező'!AG64+'címrend önként'!AG64+'címrend államig'!AG64)</f>
        <v>0</v>
      </c>
      <c r="CS64" s="82"/>
      <c r="CT64" s="7"/>
      <c r="CU64" s="7">
        <f>SUM('címrend kötelező'!AH64+'címrend önként'!AH64+'címrend államig'!AH64)</f>
        <v>0</v>
      </c>
      <c r="CV64" s="82"/>
      <c r="CW64" s="7"/>
      <c r="CX64" s="7">
        <f>SUM('címrend kötelező'!AI64+'címrend önként'!AI64+'címrend államig'!AI64)</f>
        <v>0</v>
      </c>
      <c r="CY64" s="82"/>
      <c r="CZ64" s="7"/>
      <c r="DA64" s="7">
        <f>SUM('címrend kötelező'!AJ64+'címrend önként'!AJ64+'címrend államig'!AJ64)</f>
        <v>0</v>
      </c>
      <c r="DB64" s="82"/>
      <c r="DC64" s="7"/>
      <c r="DD64" s="7">
        <f>SUM('címrend kötelező'!AK64+'címrend önként'!AK64+'címrend államig'!AK64)</f>
        <v>0</v>
      </c>
      <c r="DE64" s="82"/>
      <c r="DF64" s="7"/>
      <c r="DG64" s="7">
        <f>SUM('címrend kötelező'!AL64+'címrend önként'!AL64+'címrend államig'!AL64)</f>
        <v>0</v>
      </c>
      <c r="DH64" s="82"/>
      <c r="DI64" s="7"/>
      <c r="DJ64" s="7">
        <f>SUM('címrend kötelező'!AM64+'címrend önként'!AM64+'címrend államig'!AM64)</f>
        <v>0</v>
      </c>
      <c r="DK64" s="82"/>
      <c r="DL64" s="7"/>
      <c r="DM64" s="7">
        <f>SUM('címrend kötelező'!AN64+'címrend önként'!AN64+'címrend államig'!AN64)</f>
        <v>0</v>
      </c>
      <c r="DN64" s="82"/>
      <c r="DO64" s="7"/>
      <c r="DP64" s="7">
        <f>SUM('címrend kötelező'!AO64+'címrend önként'!AO64+'címrend államig'!AO64)</f>
        <v>0</v>
      </c>
      <c r="DQ64" s="82"/>
      <c r="DR64" s="387">
        <f t="shared" si="169"/>
        <v>0</v>
      </c>
      <c r="DS64" s="387">
        <f t="shared" si="169"/>
        <v>0</v>
      </c>
      <c r="DT64" s="387"/>
      <c r="DU64" s="7"/>
      <c r="DV64" s="7">
        <f>SUM('címrend kötelező'!AQ64+'címrend önként'!AQ64+'címrend államig'!AQ64)</f>
        <v>0</v>
      </c>
      <c r="DW64" s="38"/>
      <c r="DX64" s="7"/>
      <c r="DY64" s="7">
        <f>SUM('címrend kötelező'!AR64+'címrend önként'!AR64+'címrend államig'!AR64)</f>
        <v>0</v>
      </c>
      <c r="DZ64" s="38"/>
      <c r="EA64" s="7"/>
      <c r="EB64" s="7">
        <f>SUM('címrend kötelező'!AS64+'címrend önként'!AS64+'címrend államig'!AS64)</f>
        <v>0</v>
      </c>
      <c r="EC64" s="38"/>
      <c r="ED64" s="7"/>
      <c r="EE64" s="7">
        <f>SUM('címrend kötelező'!AT64+'címrend önként'!AT64+'címrend államig'!AT64)</f>
        <v>0</v>
      </c>
      <c r="EF64" s="38"/>
      <c r="EG64" s="7"/>
      <c r="EH64" s="7">
        <f>SUM('címrend kötelező'!AU64+'címrend önként'!AU64+'címrend államig'!AU64)</f>
        <v>0</v>
      </c>
      <c r="EI64" s="38"/>
      <c r="EJ64" s="7"/>
      <c r="EK64" s="7">
        <f>SUM('címrend kötelező'!AV64+'címrend önként'!AV64+'címrend államig'!AV64)</f>
        <v>0</v>
      </c>
      <c r="EL64" s="38"/>
      <c r="EM64" s="7"/>
      <c r="EN64" s="7">
        <f>SUM('címrend kötelező'!AW64+'címrend önként'!AW64+'címrend államig'!AW64)</f>
        <v>0</v>
      </c>
      <c r="EO64" s="38"/>
      <c r="EP64" s="7"/>
      <c r="EQ64" s="7">
        <f>SUM('címrend kötelező'!AX64+'címrend önként'!AX64+'címrend államig'!AX64)</f>
        <v>0</v>
      </c>
      <c r="ER64" s="38"/>
      <c r="ES64" s="7"/>
      <c r="ET64" s="7">
        <f>SUM('címrend kötelező'!AY64+'címrend önként'!AY64+'címrend államig'!AY64)</f>
        <v>0</v>
      </c>
      <c r="EU64" s="38"/>
      <c r="EV64" s="387">
        <f t="shared" si="179"/>
        <v>0</v>
      </c>
      <c r="EW64" s="387">
        <f t="shared" si="179"/>
        <v>0</v>
      </c>
      <c r="EX64" s="84"/>
      <c r="EY64" s="7"/>
      <c r="EZ64" s="7">
        <f>'címrend kötelező'!BA64+'címrend önként'!BA64+'címrend államig'!BA64</f>
        <v>0</v>
      </c>
      <c r="FA64" s="38"/>
      <c r="FB64" s="7"/>
      <c r="FC64" s="7">
        <f>'címrend kötelező'!BB64+'címrend önként'!BB64+'címrend államig'!BB64</f>
        <v>0</v>
      </c>
      <c r="FD64" s="38"/>
      <c r="FE64" s="7"/>
      <c r="FF64" s="7">
        <f>'címrend kötelező'!BC64+'címrend önként'!BC64+'címrend államig'!BC64</f>
        <v>0</v>
      </c>
      <c r="FG64" s="38"/>
      <c r="FH64" s="7"/>
      <c r="FI64" s="7">
        <f>'címrend kötelező'!BD64+'címrend önként'!BD64+'címrend államig'!BD64</f>
        <v>0</v>
      </c>
      <c r="FJ64" s="38"/>
      <c r="FK64" s="38"/>
      <c r="FL64" s="7">
        <f>'címrend kötelező'!BE64+'címrend önként'!BE64+'címrend államig'!BE64</f>
        <v>0</v>
      </c>
      <c r="FM64" s="38"/>
      <c r="FN64" s="7"/>
      <c r="FO64" s="7">
        <f>SUM('címrend kötelező'!BF64+'címrend önként'!BF64+'címrend államig'!BF64)</f>
        <v>0</v>
      </c>
      <c r="FP64" s="38"/>
      <c r="FQ64" s="7"/>
      <c r="FR64" s="7">
        <f>SUM('címrend kötelező'!BG64+'címrend önként'!BG64+'címrend államig'!BG64)</f>
        <v>0</v>
      </c>
      <c r="FS64" s="38"/>
      <c r="FT64" s="7"/>
      <c r="FU64" s="7">
        <f>SUM('címrend kötelező'!BH64+'címrend önként'!BH64+'címrend államig'!BH64)</f>
        <v>0</v>
      </c>
      <c r="FV64" s="38"/>
      <c r="FW64" s="7"/>
      <c r="FX64" s="7">
        <f>SUM('címrend kötelező'!BI64+'címrend önként'!BI64+'címrend államig'!BI64)</f>
        <v>0</v>
      </c>
      <c r="FY64" s="38"/>
      <c r="FZ64" s="7"/>
      <c r="GA64" s="7">
        <f>SUM('címrend kötelező'!BJ64+'címrend önként'!BJ64+'címrend államig'!BJ64)</f>
        <v>0</v>
      </c>
      <c r="GB64" s="38"/>
      <c r="GC64" s="7"/>
      <c r="GD64" s="7">
        <f>SUM('címrend kötelező'!BK64+'címrend önként'!BK64+'címrend államig'!BK64)</f>
        <v>0</v>
      </c>
      <c r="GE64" s="38"/>
      <c r="GF64" s="7"/>
      <c r="GG64" s="7">
        <f>SUM('címrend kötelező'!BL64+'címrend önként'!BL64+'címrend államig'!BL64)</f>
        <v>0</v>
      </c>
      <c r="GH64" s="38"/>
      <c r="GI64" s="7"/>
      <c r="GJ64" s="7">
        <f>SUM('címrend kötelező'!BM64+'címrend önként'!BM64+'címrend államig'!BM64)</f>
        <v>0</v>
      </c>
      <c r="GK64" s="38"/>
      <c r="GL64" s="7"/>
      <c r="GM64" s="7">
        <f>SUM('címrend kötelező'!BN64+'címrend önként'!BN64+'címrend államig'!BN64)</f>
        <v>0</v>
      </c>
      <c r="GN64" s="38"/>
      <c r="GO64" s="387">
        <f t="shared" si="790"/>
        <v>0</v>
      </c>
      <c r="GP64" s="387">
        <f t="shared" si="1428"/>
        <v>0</v>
      </c>
      <c r="GQ64" s="38"/>
      <c r="GR64" s="7"/>
      <c r="GS64" s="7">
        <f>SUM('címrend kötelező'!BP64+'címrend önként'!BP64+'címrend államig'!BP64)</f>
        <v>0</v>
      </c>
      <c r="GT64" s="38"/>
      <c r="GU64" s="7"/>
      <c r="GV64" s="7">
        <f>SUM('címrend kötelező'!BQ64+'címrend önként'!BQ64+'címrend államig'!BQ64)</f>
        <v>0</v>
      </c>
      <c r="GW64" s="38"/>
      <c r="GX64" s="7"/>
      <c r="GY64" s="7">
        <f>SUM('címrend kötelező'!BR64+'címrend önként'!BR64+'címrend államig'!BR64)</f>
        <v>0</v>
      </c>
      <c r="GZ64" s="38"/>
      <c r="HA64" s="387">
        <f t="shared" si="198"/>
        <v>0</v>
      </c>
      <c r="HB64" s="387">
        <f t="shared" si="198"/>
        <v>0</v>
      </c>
      <c r="HC64" s="387"/>
      <c r="HD64" s="38">
        <f t="shared" si="792"/>
        <v>0</v>
      </c>
      <c r="HE64" s="38">
        <f t="shared" si="793"/>
        <v>0</v>
      </c>
      <c r="HF64" s="238"/>
      <c r="HH64" s="242"/>
      <c r="HI64" s="242"/>
    </row>
    <row r="65" spans="1:217" ht="15" customHeight="1" x14ac:dyDescent="0.25">
      <c r="A65" s="218" t="s">
        <v>391</v>
      </c>
      <c r="B65" s="7"/>
      <c r="C65" s="7">
        <f>SUM('címrend kötelező'!B65+'címrend önként'!B65+'címrend államig'!B65)</f>
        <v>0</v>
      </c>
      <c r="D65" s="82"/>
      <c r="E65" s="7"/>
      <c r="F65" s="7">
        <f>SUM('címrend kötelező'!C65+'címrend önként'!C65+'címrend államig'!C65)</f>
        <v>0</v>
      </c>
      <c r="G65" s="82"/>
      <c r="H65" s="7"/>
      <c r="I65" s="7">
        <f>SUM('címrend kötelező'!D65+'címrend önként'!D65+'címrend államig'!D65)</f>
        <v>0</v>
      </c>
      <c r="J65" s="82"/>
      <c r="K65" s="7"/>
      <c r="L65" s="7">
        <f>SUM('címrend kötelező'!E65+'címrend önként'!E65+'címrend államig'!E65)</f>
        <v>0</v>
      </c>
      <c r="M65" s="82"/>
      <c r="N65" s="7"/>
      <c r="O65" s="7">
        <f>SUM('címrend kötelező'!F65+'címrend önként'!F65+'címrend államig'!F65)</f>
        <v>0</v>
      </c>
      <c r="P65" s="82"/>
      <c r="Q65" s="7"/>
      <c r="R65" s="7">
        <f>SUM('címrend kötelező'!G65+'címrend önként'!G65+'címrend államig'!G65)</f>
        <v>0</v>
      </c>
      <c r="S65" s="82"/>
      <c r="T65" s="7"/>
      <c r="U65" s="7">
        <f>SUM('címrend kötelező'!H65+'címrend önként'!H65+'címrend államig'!H65)</f>
        <v>0</v>
      </c>
      <c r="V65" s="82"/>
      <c r="W65" s="7"/>
      <c r="X65" s="7">
        <f>SUM('címrend kötelező'!I65+'címrend önként'!I65+'címrend államig'!I65)</f>
        <v>0</v>
      </c>
      <c r="Y65" s="82"/>
      <c r="Z65" s="7"/>
      <c r="AA65" s="7">
        <f>SUM('címrend kötelező'!J65+'címrend önként'!J65+'címrend államig'!J65)</f>
        <v>0</v>
      </c>
      <c r="AB65" s="82"/>
      <c r="AC65" s="7">
        <v>1024857</v>
      </c>
      <c r="AD65" s="7">
        <f>SUM('címrend kötelező'!K65+'címrend önként'!K65+'címrend államig'!K65)</f>
        <v>0</v>
      </c>
      <c r="AE65" s="82"/>
      <c r="AF65" s="7"/>
      <c r="AG65" s="7">
        <f>SUM('címrend kötelező'!L65+'címrend önként'!L65+'címrend államig'!L65)</f>
        <v>0</v>
      </c>
      <c r="AH65" s="82"/>
      <c r="AI65" s="7"/>
      <c r="AJ65" s="7">
        <f>SUM('címrend kötelező'!M65+'címrend önként'!M65+'címrend államig'!M65)</f>
        <v>0</v>
      </c>
      <c r="AK65" s="82"/>
      <c r="AL65" s="7"/>
      <c r="AM65" s="7">
        <f>SUM('címrend kötelező'!N65+'címrend önként'!N65+'címrend államig'!N65)</f>
        <v>0</v>
      </c>
      <c r="AN65" s="82"/>
      <c r="AO65" s="7"/>
      <c r="AP65" s="7">
        <f>SUM('címrend kötelező'!O65+'címrend önként'!O65+'címrend államig'!O65)</f>
        <v>0</v>
      </c>
      <c r="AQ65" s="82"/>
      <c r="AR65" s="7"/>
      <c r="AS65" s="7">
        <f>SUM('címrend kötelező'!P65+'címrend önként'!P65+'címrend államig'!P65)</f>
        <v>0</v>
      </c>
      <c r="AT65" s="82"/>
      <c r="AU65" s="7"/>
      <c r="AV65" s="7">
        <f>SUM('címrend kötelező'!Q65+'címrend önként'!Q65+'címrend államig'!Q65)</f>
        <v>0</v>
      </c>
      <c r="AW65" s="82"/>
      <c r="AX65" s="7"/>
      <c r="AY65" s="7">
        <f>SUM('címrend kötelező'!R65+'címrend önként'!R65+'címrend államig'!R65)</f>
        <v>0</v>
      </c>
      <c r="AZ65" s="82"/>
      <c r="BA65" s="7"/>
      <c r="BB65" s="7">
        <f>SUM('címrend kötelező'!S65+'címrend önként'!S65+'címrend államig'!S65)</f>
        <v>0</v>
      </c>
      <c r="BC65" s="82"/>
      <c r="BD65" s="7"/>
      <c r="BE65" s="7">
        <f>SUM('címrend kötelező'!T65+'címrend önként'!T65+'címrend államig'!T65)</f>
        <v>0</v>
      </c>
      <c r="BF65" s="82"/>
      <c r="BG65" s="7"/>
      <c r="BH65" s="7">
        <f>SUM('címrend kötelező'!U65+'címrend önként'!U65+'címrend államig'!U65)</f>
        <v>0</v>
      </c>
      <c r="BI65" s="82"/>
      <c r="BJ65" s="7"/>
      <c r="BK65" s="7">
        <f>SUM('címrend kötelező'!V65+'címrend önként'!V65+'címrend államig'!V65)</f>
        <v>0</v>
      </c>
      <c r="BL65" s="82"/>
      <c r="BM65" s="7"/>
      <c r="BN65" s="7">
        <f>SUM('címrend kötelező'!W65+'címrend önként'!W65+'címrend államig'!W65)</f>
        <v>0</v>
      </c>
      <c r="BO65" s="82"/>
      <c r="BP65" s="7"/>
      <c r="BQ65" s="7">
        <f>SUM('címrend kötelező'!X65+'címrend önként'!X65+'címrend államig'!X65)</f>
        <v>0</v>
      </c>
      <c r="BR65" s="82"/>
      <c r="BS65" s="7"/>
      <c r="BT65" s="7">
        <f>SUM('címrend kötelező'!Y65+'címrend önként'!Y65+'címrend államig'!Y65)</f>
        <v>0</v>
      </c>
      <c r="BU65" s="82"/>
      <c r="BV65" s="7"/>
      <c r="BW65" s="7">
        <f>SUM('címrend kötelező'!Z65+'címrend önként'!Z65+'címrend államig'!Z65)</f>
        <v>0</v>
      </c>
      <c r="BX65" s="82"/>
      <c r="BY65" s="7"/>
      <c r="BZ65" s="7">
        <f>SUM('címrend kötelező'!AA65+'címrend önként'!AA65+'címrend államig'!AA65)</f>
        <v>0</v>
      </c>
      <c r="CA65" s="82"/>
      <c r="CB65" s="7"/>
      <c r="CC65" s="7">
        <f>SUM('címrend kötelező'!AB65+'címrend önként'!AB65+'címrend államig'!AB65)</f>
        <v>0</v>
      </c>
      <c r="CD65" s="82"/>
      <c r="CE65" s="7"/>
      <c r="CF65" s="7">
        <f>SUM('címrend kötelező'!AC65+'címrend önként'!AC65+'címrend államig'!AC65)</f>
        <v>0</v>
      </c>
      <c r="CG65" s="82"/>
      <c r="CH65" s="7"/>
      <c r="CI65" s="7">
        <f>SUM('címrend kötelező'!AD65+'címrend önként'!AD65+'címrend államig'!AD65)</f>
        <v>0</v>
      </c>
      <c r="CJ65" s="82"/>
      <c r="CK65" s="7"/>
      <c r="CL65" s="7">
        <f>SUM('címrend kötelező'!AE65+'címrend önként'!AE65+'címrend államig'!AE65)</f>
        <v>0</v>
      </c>
      <c r="CM65" s="82"/>
      <c r="CN65" s="7"/>
      <c r="CO65" s="7">
        <f>SUM('címrend kötelező'!AF65+'címrend önként'!AF65+'címrend államig'!AF65)</f>
        <v>0</v>
      </c>
      <c r="CP65" s="82"/>
      <c r="CQ65" s="7"/>
      <c r="CR65" s="7">
        <f>SUM('címrend kötelező'!AG65+'címrend önként'!AG65+'címrend államig'!AG65)</f>
        <v>0</v>
      </c>
      <c r="CS65" s="82"/>
      <c r="CT65" s="7"/>
      <c r="CU65" s="7">
        <f>SUM('címrend kötelező'!AH65+'címrend önként'!AH65+'címrend államig'!AH65)</f>
        <v>0</v>
      </c>
      <c r="CV65" s="82"/>
      <c r="CW65" s="7"/>
      <c r="CX65" s="7">
        <f>SUM('címrend kötelező'!AI65+'címrend önként'!AI65+'címrend államig'!AI65)</f>
        <v>0</v>
      </c>
      <c r="CY65" s="82"/>
      <c r="CZ65" s="7"/>
      <c r="DA65" s="7">
        <f>SUM('címrend kötelező'!AJ65+'címrend önként'!AJ65+'címrend államig'!AJ65)</f>
        <v>0</v>
      </c>
      <c r="DB65" s="82"/>
      <c r="DC65" s="7"/>
      <c r="DD65" s="7">
        <f>SUM('címrend kötelező'!AK65+'címrend önként'!AK65+'címrend államig'!AK65)</f>
        <v>0</v>
      </c>
      <c r="DE65" s="82"/>
      <c r="DF65" s="7"/>
      <c r="DG65" s="7">
        <f>SUM('címrend kötelező'!AL65+'címrend önként'!AL65+'címrend államig'!AL65)</f>
        <v>0</v>
      </c>
      <c r="DH65" s="82"/>
      <c r="DI65" s="7"/>
      <c r="DJ65" s="7">
        <f>SUM('címrend kötelező'!AM65+'címrend önként'!AM65+'címrend államig'!AM65)</f>
        <v>0</v>
      </c>
      <c r="DK65" s="82"/>
      <c r="DL65" s="7"/>
      <c r="DM65" s="7">
        <f>SUM('címrend kötelező'!AN65+'címrend önként'!AN65+'címrend államig'!AN65)</f>
        <v>0</v>
      </c>
      <c r="DN65" s="82"/>
      <c r="DO65" s="7"/>
      <c r="DP65" s="7">
        <f>SUM('címrend kötelező'!AO65+'címrend önként'!AO65+'címrend államig'!AO65)</f>
        <v>0</v>
      </c>
      <c r="DQ65" s="82"/>
      <c r="DR65" s="387">
        <f t="shared" si="169"/>
        <v>1024857</v>
      </c>
      <c r="DS65" s="387">
        <f t="shared" si="169"/>
        <v>0</v>
      </c>
      <c r="DT65" s="387"/>
      <c r="DU65" s="7"/>
      <c r="DV65" s="7">
        <f>SUM('címrend kötelező'!AQ65+'címrend önként'!AQ65+'címrend államig'!AQ65)</f>
        <v>0</v>
      </c>
      <c r="DW65" s="38"/>
      <c r="DX65" s="7"/>
      <c r="DY65" s="7">
        <f>SUM('címrend kötelező'!AR65+'címrend önként'!AR65+'címrend államig'!AR65)</f>
        <v>0</v>
      </c>
      <c r="DZ65" s="38"/>
      <c r="EA65" s="7"/>
      <c r="EB65" s="7">
        <f>SUM('címrend kötelező'!AS65+'címrend önként'!AS65+'címrend államig'!AS65)</f>
        <v>0</v>
      </c>
      <c r="EC65" s="38"/>
      <c r="ED65" s="7"/>
      <c r="EE65" s="7">
        <f>SUM('címrend kötelező'!AT65+'címrend önként'!AT65+'címrend államig'!AT65)</f>
        <v>0</v>
      </c>
      <c r="EF65" s="38"/>
      <c r="EG65" s="7"/>
      <c r="EH65" s="7">
        <f>SUM('címrend kötelező'!AU65+'címrend önként'!AU65+'címrend államig'!AU65)</f>
        <v>0</v>
      </c>
      <c r="EI65" s="38"/>
      <c r="EJ65" s="7"/>
      <c r="EK65" s="7">
        <f>SUM('címrend kötelező'!AV65+'címrend önként'!AV65+'címrend államig'!AV65)</f>
        <v>0</v>
      </c>
      <c r="EL65" s="38"/>
      <c r="EM65" s="7"/>
      <c r="EN65" s="7">
        <f>SUM('címrend kötelező'!AW65+'címrend önként'!AW65+'címrend államig'!AW65)</f>
        <v>0</v>
      </c>
      <c r="EO65" s="38"/>
      <c r="EP65" s="7"/>
      <c r="EQ65" s="7">
        <f>SUM('címrend kötelező'!AX65+'címrend önként'!AX65+'címrend államig'!AX65)</f>
        <v>0</v>
      </c>
      <c r="ER65" s="38"/>
      <c r="ES65" s="7"/>
      <c r="ET65" s="7">
        <f>SUM('címrend kötelező'!AY65+'címrend önként'!AY65+'címrend államig'!AY65)</f>
        <v>0</v>
      </c>
      <c r="EU65" s="38"/>
      <c r="EV65" s="387">
        <f t="shared" si="179"/>
        <v>0</v>
      </c>
      <c r="EW65" s="387">
        <f t="shared" si="179"/>
        <v>0</v>
      </c>
      <c r="EX65" s="84"/>
      <c r="EY65" s="7"/>
      <c r="EZ65" s="7">
        <f>'címrend kötelező'!BA65+'címrend önként'!BA65+'címrend államig'!BA65</f>
        <v>0</v>
      </c>
      <c r="FA65" s="38"/>
      <c r="FB65" s="7"/>
      <c r="FC65" s="7">
        <f>'címrend kötelező'!BB65+'címrend önként'!BB65+'címrend államig'!BB65</f>
        <v>0</v>
      </c>
      <c r="FD65" s="38"/>
      <c r="FE65" s="7"/>
      <c r="FF65" s="7">
        <f>'címrend kötelező'!BC65+'címrend önként'!BC65+'címrend államig'!BC65</f>
        <v>0</v>
      </c>
      <c r="FG65" s="38"/>
      <c r="FH65" s="7"/>
      <c r="FI65" s="7">
        <f>'címrend kötelező'!BD65+'címrend önként'!BD65+'címrend államig'!BD65</f>
        <v>0</v>
      </c>
      <c r="FJ65" s="38"/>
      <c r="FK65" s="38"/>
      <c r="FL65" s="7">
        <f>'címrend kötelező'!BE65+'címrend önként'!BE65+'címrend államig'!BE65</f>
        <v>0</v>
      </c>
      <c r="FM65" s="38"/>
      <c r="FN65" s="7"/>
      <c r="FO65" s="7">
        <f>SUM('címrend kötelező'!BF65+'címrend önként'!BF65+'címrend államig'!BF65)</f>
        <v>0</v>
      </c>
      <c r="FP65" s="38"/>
      <c r="FQ65" s="7"/>
      <c r="FR65" s="7">
        <f>SUM('címrend kötelező'!BG65+'címrend önként'!BG65+'címrend államig'!BG65)</f>
        <v>0</v>
      </c>
      <c r="FS65" s="38"/>
      <c r="FT65" s="7"/>
      <c r="FU65" s="7">
        <f>SUM('címrend kötelező'!BH65+'címrend önként'!BH65+'címrend államig'!BH65)</f>
        <v>0</v>
      </c>
      <c r="FV65" s="38"/>
      <c r="FW65" s="7"/>
      <c r="FX65" s="7">
        <f>SUM('címrend kötelező'!BI65+'címrend önként'!BI65+'címrend államig'!BI65)</f>
        <v>0</v>
      </c>
      <c r="FY65" s="38"/>
      <c r="FZ65" s="7"/>
      <c r="GA65" s="7">
        <f>SUM('címrend kötelező'!BJ65+'címrend önként'!BJ65+'címrend államig'!BJ65)</f>
        <v>0</v>
      </c>
      <c r="GB65" s="38"/>
      <c r="GC65" s="7"/>
      <c r="GD65" s="7">
        <f>SUM('címrend kötelező'!BK65+'címrend önként'!BK65+'címrend államig'!BK65)</f>
        <v>0</v>
      </c>
      <c r="GE65" s="38"/>
      <c r="GF65" s="7"/>
      <c r="GG65" s="7">
        <f>SUM('címrend kötelező'!BL65+'címrend önként'!BL65+'címrend államig'!BL65)</f>
        <v>0</v>
      </c>
      <c r="GH65" s="38"/>
      <c r="GI65" s="7"/>
      <c r="GJ65" s="7">
        <f>SUM('címrend kötelező'!BM65+'címrend önként'!BM65+'címrend államig'!BM65)</f>
        <v>0</v>
      </c>
      <c r="GK65" s="38"/>
      <c r="GL65" s="7"/>
      <c r="GM65" s="7">
        <f>SUM('címrend kötelező'!BN65+'címrend önként'!BN65+'címrend államig'!BN65)</f>
        <v>0</v>
      </c>
      <c r="GN65" s="38"/>
      <c r="GO65" s="387">
        <f t="shared" si="790"/>
        <v>0</v>
      </c>
      <c r="GP65" s="387">
        <f t="shared" si="1428"/>
        <v>0</v>
      </c>
      <c r="GQ65" s="38"/>
      <c r="GR65" s="7"/>
      <c r="GS65" s="7">
        <f>SUM('címrend kötelező'!BP65+'címrend önként'!BP65+'címrend államig'!BP65)</f>
        <v>0</v>
      </c>
      <c r="GT65" s="38"/>
      <c r="GU65" s="7"/>
      <c r="GV65" s="7">
        <f>SUM('címrend kötelező'!BQ65+'címrend önként'!BQ65+'címrend államig'!BQ65)</f>
        <v>0</v>
      </c>
      <c r="GW65" s="38"/>
      <c r="GX65" s="7"/>
      <c r="GY65" s="7">
        <f>SUM('címrend kötelező'!BR65+'címrend önként'!BR65+'címrend államig'!BR65)</f>
        <v>0</v>
      </c>
      <c r="GZ65" s="38"/>
      <c r="HA65" s="387">
        <f t="shared" si="198"/>
        <v>0</v>
      </c>
      <c r="HB65" s="387">
        <f t="shared" si="198"/>
        <v>0</v>
      </c>
      <c r="HC65" s="387"/>
      <c r="HD65" s="38">
        <f t="shared" si="792"/>
        <v>1024857</v>
      </c>
      <c r="HE65" s="38">
        <f t="shared" si="793"/>
        <v>0</v>
      </c>
      <c r="HF65" s="238"/>
      <c r="HH65" s="242"/>
      <c r="HI65" s="242"/>
    </row>
    <row r="66" spans="1:217" ht="15" customHeight="1" x14ac:dyDescent="0.25">
      <c r="A66" s="218" t="s">
        <v>392</v>
      </c>
      <c r="B66" s="7"/>
      <c r="C66" s="7">
        <f>SUM('címrend kötelező'!B66+'címrend önként'!B66+'címrend államig'!B66)</f>
        <v>0</v>
      </c>
      <c r="D66" s="82"/>
      <c r="E66" s="7"/>
      <c r="F66" s="7">
        <f>SUM('címrend kötelező'!C66+'címrend önként'!C66+'címrend államig'!C66)</f>
        <v>0</v>
      </c>
      <c r="G66" s="82"/>
      <c r="H66" s="7"/>
      <c r="I66" s="7">
        <f>SUM('címrend kötelező'!D66+'címrend önként'!D66+'címrend államig'!D66)</f>
        <v>0</v>
      </c>
      <c r="J66" s="82"/>
      <c r="K66" s="7"/>
      <c r="L66" s="7">
        <f>SUM('címrend kötelező'!E66+'címrend önként'!E66+'címrend államig'!E66)</f>
        <v>0</v>
      </c>
      <c r="M66" s="82"/>
      <c r="N66" s="7"/>
      <c r="O66" s="7">
        <f>SUM('címrend kötelező'!F66+'címrend önként'!F66+'címrend államig'!F66)</f>
        <v>0</v>
      </c>
      <c r="P66" s="82"/>
      <c r="Q66" s="7"/>
      <c r="R66" s="7">
        <f>SUM('címrend kötelező'!G66+'címrend önként'!G66+'címrend államig'!G66)</f>
        <v>0</v>
      </c>
      <c r="S66" s="82"/>
      <c r="T66" s="7"/>
      <c r="U66" s="7">
        <f>SUM('címrend kötelező'!H66+'címrend önként'!H66+'címrend államig'!H66)</f>
        <v>0</v>
      </c>
      <c r="V66" s="82"/>
      <c r="W66" s="7"/>
      <c r="X66" s="7">
        <f>SUM('címrend kötelező'!I66+'címrend önként'!I66+'címrend államig'!I66)</f>
        <v>0</v>
      </c>
      <c r="Y66" s="82"/>
      <c r="Z66" s="7"/>
      <c r="AA66" s="7">
        <f>SUM('címrend kötelező'!J66+'címrend önként'!J66+'címrend államig'!J66)</f>
        <v>0</v>
      </c>
      <c r="AB66" s="82"/>
      <c r="AC66" s="7"/>
      <c r="AD66" s="7">
        <f>SUM('címrend kötelező'!K66+'címrend önként'!K66+'címrend államig'!K66)</f>
        <v>788965</v>
      </c>
      <c r="AE66" s="82"/>
      <c r="AF66" s="7"/>
      <c r="AG66" s="7">
        <f>SUM('címrend kötelező'!L66+'címrend önként'!L66+'címrend államig'!L66)</f>
        <v>0</v>
      </c>
      <c r="AH66" s="82"/>
      <c r="AI66" s="7"/>
      <c r="AJ66" s="7">
        <f>SUM('címrend kötelező'!M66+'címrend önként'!M66+'címrend államig'!M66)</f>
        <v>0</v>
      </c>
      <c r="AK66" s="82"/>
      <c r="AL66" s="7"/>
      <c r="AM66" s="7">
        <f>SUM('címrend kötelező'!N66+'címrend önként'!N66+'címrend államig'!N66)</f>
        <v>0</v>
      </c>
      <c r="AN66" s="82"/>
      <c r="AO66" s="7"/>
      <c r="AP66" s="7">
        <f>SUM('címrend kötelező'!O66+'címrend önként'!O66+'címrend államig'!O66)</f>
        <v>0</v>
      </c>
      <c r="AQ66" s="82"/>
      <c r="AR66" s="7"/>
      <c r="AS66" s="7">
        <f>SUM('címrend kötelező'!P66+'címrend önként'!P66+'címrend államig'!P66)</f>
        <v>0</v>
      </c>
      <c r="AT66" s="82"/>
      <c r="AU66" s="7"/>
      <c r="AV66" s="7">
        <f>SUM('címrend kötelező'!Q66+'címrend önként'!Q66+'címrend államig'!Q66)</f>
        <v>0</v>
      </c>
      <c r="AW66" s="82"/>
      <c r="AX66" s="7"/>
      <c r="AY66" s="7">
        <f>SUM('címrend kötelező'!R66+'címrend önként'!R66+'címrend államig'!R66)</f>
        <v>0</v>
      </c>
      <c r="AZ66" s="82"/>
      <c r="BA66" s="7"/>
      <c r="BB66" s="7">
        <f>SUM('címrend kötelező'!S66+'címrend önként'!S66+'címrend államig'!S66)</f>
        <v>0</v>
      </c>
      <c r="BC66" s="82"/>
      <c r="BD66" s="7"/>
      <c r="BE66" s="7">
        <f>SUM('címrend kötelező'!T66+'címrend önként'!T66+'címrend államig'!T66)</f>
        <v>0</v>
      </c>
      <c r="BF66" s="82"/>
      <c r="BG66" s="7"/>
      <c r="BH66" s="7">
        <f>SUM('címrend kötelező'!U66+'címrend önként'!U66+'címrend államig'!U66)</f>
        <v>0</v>
      </c>
      <c r="BI66" s="82"/>
      <c r="BJ66" s="7"/>
      <c r="BK66" s="7">
        <f>SUM('címrend kötelező'!V66+'címrend önként'!V66+'címrend államig'!V66)</f>
        <v>0</v>
      </c>
      <c r="BL66" s="82"/>
      <c r="BM66" s="7"/>
      <c r="BN66" s="7">
        <f>SUM('címrend kötelező'!W66+'címrend önként'!W66+'címrend államig'!W66)</f>
        <v>0</v>
      </c>
      <c r="BO66" s="82"/>
      <c r="BP66" s="7"/>
      <c r="BQ66" s="7">
        <f>SUM('címrend kötelező'!X66+'címrend önként'!X66+'címrend államig'!X66)</f>
        <v>0</v>
      </c>
      <c r="BR66" s="82"/>
      <c r="BS66" s="7"/>
      <c r="BT66" s="7">
        <f>SUM('címrend kötelező'!Y66+'címrend önként'!Y66+'címrend államig'!Y66)</f>
        <v>0</v>
      </c>
      <c r="BU66" s="82"/>
      <c r="BV66" s="7"/>
      <c r="BW66" s="7">
        <f>SUM('címrend kötelező'!Z66+'címrend önként'!Z66+'címrend államig'!Z66)</f>
        <v>0</v>
      </c>
      <c r="BX66" s="82"/>
      <c r="BY66" s="7"/>
      <c r="BZ66" s="7">
        <f>SUM('címrend kötelező'!AA66+'címrend önként'!AA66+'címrend államig'!AA66)</f>
        <v>0</v>
      </c>
      <c r="CA66" s="82"/>
      <c r="CB66" s="7"/>
      <c r="CC66" s="7">
        <f>SUM('címrend kötelező'!AB66+'címrend önként'!AB66+'címrend államig'!AB66)</f>
        <v>0</v>
      </c>
      <c r="CD66" s="82"/>
      <c r="CE66" s="7"/>
      <c r="CF66" s="7">
        <f>SUM('címrend kötelező'!AC66+'címrend önként'!AC66+'címrend államig'!AC66)</f>
        <v>0</v>
      </c>
      <c r="CG66" s="82"/>
      <c r="CH66" s="7"/>
      <c r="CI66" s="7">
        <f>SUM('címrend kötelező'!AD66+'címrend önként'!AD66+'címrend államig'!AD66)</f>
        <v>0</v>
      </c>
      <c r="CJ66" s="82"/>
      <c r="CK66" s="7"/>
      <c r="CL66" s="7">
        <f>SUM('címrend kötelező'!AE66+'címrend önként'!AE66+'címrend államig'!AE66)</f>
        <v>0</v>
      </c>
      <c r="CM66" s="82"/>
      <c r="CN66" s="7"/>
      <c r="CO66" s="7">
        <f>SUM('címrend kötelező'!AF66+'címrend önként'!AF66+'címrend államig'!AF66)</f>
        <v>0</v>
      </c>
      <c r="CP66" s="82"/>
      <c r="CQ66" s="7"/>
      <c r="CR66" s="7">
        <f>SUM('címrend kötelező'!AG66+'címrend önként'!AG66+'címrend államig'!AG66)</f>
        <v>0</v>
      </c>
      <c r="CS66" s="82"/>
      <c r="CT66" s="7"/>
      <c r="CU66" s="7">
        <f>SUM('címrend kötelező'!AH66+'címrend önként'!AH66+'címrend államig'!AH66)</f>
        <v>0</v>
      </c>
      <c r="CV66" s="82"/>
      <c r="CW66" s="7"/>
      <c r="CX66" s="7">
        <f>SUM('címrend kötelező'!AI66+'címrend önként'!AI66+'címrend államig'!AI66)</f>
        <v>0</v>
      </c>
      <c r="CY66" s="82"/>
      <c r="CZ66" s="7"/>
      <c r="DA66" s="7">
        <f>SUM('címrend kötelező'!AJ66+'címrend önként'!AJ66+'címrend államig'!AJ66)</f>
        <v>0</v>
      </c>
      <c r="DB66" s="82"/>
      <c r="DC66" s="7"/>
      <c r="DD66" s="7">
        <f>SUM('címrend kötelező'!AK66+'címrend önként'!AK66+'címrend államig'!AK66)</f>
        <v>0</v>
      </c>
      <c r="DE66" s="82"/>
      <c r="DF66" s="7"/>
      <c r="DG66" s="7">
        <f>SUM('címrend kötelező'!AL66+'címrend önként'!AL66+'címrend államig'!AL66)</f>
        <v>0</v>
      </c>
      <c r="DH66" s="82"/>
      <c r="DI66" s="7"/>
      <c r="DJ66" s="7">
        <f>SUM('címrend kötelező'!AM66+'címrend önként'!AM66+'címrend államig'!AM66)</f>
        <v>0</v>
      </c>
      <c r="DK66" s="82"/>
      <c r="DL66" s="7"/>
      <c r="DM66" s="7">
        <f>SUM('címrend kötelező'!AN66+'címrend önként'!AN66+'címrend államig'!AN66)</f>
        <v>0</v>
      </c>
      <c r="DN66" s="82"/>
      <c r="DO66" s="7"/>
      <c r="DP66" s="7">
        <f>SUM('címrend kötelező'!AO66+'címrend önként'!AO66+'címrend államig'!AO66)</f>
        <v>0</v>
      </c>
      <c r="DQ66" s="82"/>
      <c r="DR66" s="387">
        <f t="shared" si="169"/>
        <v>0</v>
      </c>
      <c r="DS66" s="387">
        <f t="shared" si="169"/>
        <v>788965</v>
      </c>
      <c r="DT66" s="87"/>
      <c r="DU66" s="7"/>
      <c r="DV66" s="7">
        <f>SUM('címrend kötelező'!AQ66+'címrend önként'!AQ66+'címrend államig'!AQ66)</f>
        <v>0</v>
      </c>
      <c r="DW66" s="38"/>
      <c r="DX66" s="7"/>
      <c r="DY66" s="7">
        <f>SUM('címrend kötelező'!AR66+'címrend önként'!AR66+'címrend államig'!AR66)</f>
        <v>0</v>
      </c>
      <c r="DZ66" s="38"/>
      <c r="EA66" s="7"/>
      <c r="EB66" s="7">
        <f>SUM('címrend kötelező'!AS66+'címrend önként'!AS66+'címrend államig'!AS66)</f>
        <v>0</v>
      </c>
      <c r="EC66" s="38"/>
      <c r="ED66" s="7"/>
      <c r="EE66" s="7">
        <f>SUM('címrend kötelező'!AT66+'címrend önként'!AT66+'címrend államig'!AT66)</f>
        <v>0</v>
      </c>
      <c r="EF66" s="38"/>
      <c r="EG66" s="7"/>
      <c r="EH66" s="7">
        <f>SUM('címrend kötelező'!AU66+'címrend önként'!AU66+'címrend államig'!AU66)</f>
        <v>0</v>
      </c>
      <c r="EI66" s="38"/>
      <c r="EJ66" s="7"/>
      <c r="EK66" s="7">
        <f>SUM('címrend kötelező'!AV66+'címrend önként'!AV66+'címrend államig'!AV66)</f>
        <v>0</v>
      </c>
      <c r="EL66" s="38"/>
      <c r="EM66" s="7"/>
      <c r="EN66" s="7">
        <f>SUM('címrend kötelező'!AW66+'címrend önként'!AW66+'címrend államig'!AW66)</f>
        <v>0</v>
      </c>
      <c r="EO66" s="38"/>
      <c r="EP66" s="7"/>
      <c r="EQ66" s="7">
        <f>SUM('címrend kötelező'!AX66+'címrend önként'!AX66+'címrend államig'!AX66)</f>
        <v>0</v>
      </c>
      <c r="ER66" s="38"/>
      <c r="ES66" s="7"/>
      <c r="ET66" s="7">
        <f>SUM('címrend kötelező'!AY66+'címrend önként'!AY66+'címrend államig'!AY66)</f>
        <v>0</v>
      </c>
      <c r="EU66" s="38"/>
      <c r="EV66" s="387">
        <f t="shared" si="179"/>
        <v>0</v>
      </c>
      <c r="EW66" s="387">
        <f t="shared" si="179"/>
        <v>0</v>
      </c>
      <c r="EX66" s="84"/>
      <c r="EY66" s="7"/>
      <c r="EZ66" s="7">
        <f>'címrend kötelező'!BA66+'címrend önként'!BA66+'címrend államig'!BA66</f>
        <v>0</v>
      </c>
      <c r="FA66" s="38"/>
      <c r="FB66" s="7">
        <v>1700</v>
      </c>
      <c r="FC66" s="7">
        <f>'címrend kötelező'!BB66+'címrend önként'!BB66+'címrend államig'!BB66</f>
        <v>0</v>
      </c>
      <c r="FD66" s="38"/>
      <c r="FE66" s="7"/>
      <c r="FF66" s="7">
        <f>'címrend kötelező'!BC66+'címrend önként'!BC66+'címrend államig'!BC66</f>
        <v>0</v>
      </c>
      <c r="FG66" s="38"/>
      <c r="FH66" s="7">
        <v>137342</v>
      </c>
      <c r="FI66" s="7">
        <f>'címrend kötelező'!BD66+'címrend önként'!BD66+'címrend államig'!BD66</f>
        <v>299267</v>
      </c>
      <c r="FJ66" s="38"/>
      <c r="FK66" s="38"/>
      <c r="FL66" s="7">
        <f>'címrend kötelező'!BE66+'címrend önként'!BE66+'címrend államig'!BE66</f>
        <v>0</v>
      </c>
      <c r="FM66" s="38"/>
      <c r="FN66" s="7"/>
      <c r="FO66" s="7">
        <f>SUM('címrend kötelező'!BF66+'címrend önként'!BF66+'címrend államig'!BF66)</f>
        <v>0</v>
      </c>
      <c r="FP66" s="38"/>
      <c r="FQ66" s="7"/>
      <c r="FR66" s="7">
        <f>SUM('címrend kötelező'!BG66+'címrend önként'!BG66+'címrend államig'!BG66)</f>
        <v>0</v>
      </c>
      <c r="FS66" s="38"/>
      <c r="FT66" s="7"/>
      <c r="FU66" s="7">
        <f>SUM('címrend kötelező'!BH66+'címrend önként'!BH66+'címrend államig'!BH66)</f>
        <v>0</v>
      </c>
      <c r="FV66" s="38"/>
      <c r="FW66" s="7">
        <v>290</v>
      </c>
      <c r="FX66" s="7">
        <f>SUM('címrend kötelező'!BI66+'címrend önként'!BI66+'címrend államig'!BI66)</f>
        <v>0</v>
      </c>
      <c r="FY66" s="38"/>
      <c r="FZ66" s="7"/>
      <c r="GA66" s="7">
        <f>SUM('címrend kötelező'!BJ66+'címrend önként'!BJ66+'címrend államig'!BJ66)</f>
        <v>0</v>
      </c>
      <c r="GB66" s="38"/>
      <c r="GC66" s="7"/>
      <c r="GD66" s="7">
        <f>SUM('címrend kötelező'!BK66+'címrend önként'!BK66+'címrend államig'!BK66)</f>
        <v>0</v>
      </c>
      <c r="GE66" s="38"/>
      <c r="GF66" s="7"/>
      <c r="GG66" s="7">
        <f>SUM('címrend kötelező'!BL66+'címrend önként'!BL66+'címrend államig'!BL66)</f>
        <v>0</v>
      </c>
      <c r="GH66" s="38"/>
      <c r="GI66" s="7"/>
      <c r="GJ66" s="7">
        <f>SUM('címrend kötelező'!BM66+'címrend önként'!BM66+'címrend államig'!BM66)</f>
        <v>0</v>
      </c>
      <c r="GK66" s="38"/>
      <c r="GL66" s="7"/>
      <c r="GM66" s="7">
        <f>SUM('címrend kötelező'!BN66+'címrend önként'!BN66+'címrend államig'!BN66)</f>
        <v>0</v>
      </c>
      <c r="GN66" s="38"/>
      <c r="GO66" s="387">
        <f t="shared" si="790"/>
        <v>139332</v>
      </c>
      <c r="GP66" s="387">
        <f t="shared" si="1428"/>
        <v>299267</v>
      </c>
      <c r="GQ66" s="38"/>
      <c r="GR66" s="7">
        <v>43514</v>
      </c>
      <c r="GS66" s="7">
        <f>SUM('címrend kötelező'!BP66+'címrend önként'!BP66+'címrend államig'!BP66)</f>
        <v>0</v>
      </c>
      <c r="GT66" s="38"/>
      <c r="GU66" s="7"/>
      <c r="GV66" s="7">
        <f>SUM('címrend kötelező'!BQ66+'címrend önként'!BQ66+'címrend államig'!BQ66)</f>
        <v>0</v>
      </c>
      <c r="GW66" s="38"/>
      <c r="GX66" s="7">
        <v>5540</v>
      </c>
      <c r="GY66" s="7">
        <f>SUM('címrend kötelező'!BR66+'címrend önként'!BR66+'címrend államig'!BR66)</f>
        <v>0</v>
      </c>
      <c r="GZ66" s="38"/>
      <c r="HA66" s="387">
        <f t="shared" si="198"/>
        <v>188386</v>
      </c>
      <c r="HB66" s="387">
        <f t="shared" si="198"/>
        <v>299267</v>
      </c>
      <c r="HC66" s="387"/>
      <c r="HD66" s="38">
        <f t="shared" si="792"/>
        <v>188386</v>
      </c>
      <c r="HE66" s="38">
        <f t="shared" si="793"/>
        <v>1088232</v>
      </c>
      <c r="HF66" s="238">
        <f t="shared" si="129"/>
        <v>577.66076035374181</v>
      </c>
      <c r="HH66" s="242"/>
      <c r="HI66" s="242"/>
    </row>
    <row r="67" spans="1:217" s="13" customFormat="1" ht="15" customHeight="1" x14ac:dyDescent="0.25">
      <c r="A67" s="219" t="s">
        <v>1128</v>
      </c>
      <c r="B67" s="6">
        <f>B68+B69+B70</f>
        <v>0</v>
      </c>
      <c r="C67" s="6">
        <f t="shared" ref="C67" si="1429">C68+C69+C70</f>
        <v>0</v>
      </c>
      <c r="D67" s="87"/>
      <c r="E67" s="6">
        <f t="shared" ref="E67" si="1430">E68+E69+E70</f>
        <v>0</v>
      </c>
      <c r="F67" s="6">
        <f t="shared" ref="F67" si="1431">F68+F69+F70</f>
        <v>0</v>
      </c>
      <c r="G67" s="87"/>
      <c r="H67" s="6">
        <f t="shared" ref="H67" si="1432">H68+H69+H70</f>
        <v>0</v>
      </c>
      <c r="I67" s="6">
        <f t="shared" ref="I67" si="1433">I68+I69+I70</f>
        <v>0</v>
      </c>
      <c r="J67" s="87"/>
      <c r="K67" s="6">
        <f t="shared" ref="K67" si="1434">K68+K69+K70</f>
        <v>0</v>
      </c>
      <c r="L67" s="6">
        <f t="shared" ref="L67" si="1435">L68+L69+L70</f>
        <v>0</v>
      </c>
      <c r="M67" s="87"/>
      <c r="N67" s="6">
        <f t="shared" ref="N67" si="1436">N68+N69+N70</f>
        <v>0</v>
      </c>
      <c r="O67" s="6">
        <f t="shared" ref="O67" si="1437">O68+O69+O70</f>
        <v>0</v>
      </c>
      <c r="P67" s="87"/>
      <c r="Q67" s="6">
        <f t="shared" ref="Q67" si="1438">Q68+Q69+Q70</f>
        <v>0</v>
      </c>
      <c r="R67" s="6">
        <f t="shared" ref="R67" si="1439">R68+R69+R70</f>
        <v>0</v>
      </c>
      <c r="S67" s="87"/>
      <c r="T67" s="6">
        <f t="shared" ref="T67" si="1440">T68+T69+T70</f>
        <v>0</v>
      </c>
      <c r="U67" s="6">
        <f t="shared" ref="U67" si="1441">U68+U69+U70</f>
        <v>0</v>
      </c>
      <c r="V67" s="87"/>
      <c r="W67" s="6">
        <f t="shared" ref="W67" si="1442">W68+W69+W70</f>
        <v>0</v>
      </c>
      <c r="X67" s="6">
        <f t="shared" ref="X67" si="1443">X68+X69+X70</f>
        <v>0</v>
      </c>
      <c r="Y67" s="87"/>
      <c r="Z67" s="6">
        <f t="shared" ref="Z67" si="1444">Z68+Z69+Z70</f>
        <v>0</v>
      </c>
      <c r="AA67" s="6">
        <f t="shared" ref="AA67" si="1445">AA68+AA69+AA70</f>
        <v>0</v>
      </c>
      <c r="AB67" s="87"/>
      <c r="AC67" s="6">
        <f t="shared" ref="AC67" si="1446">AC68+AC69+AC70</f>
        <v>3372737</v>
      </c>
      <c r="AD67" s="6">
        <f t="shared" ref="AD67" si="1447">AD68+AD69+AD70</f>
        <v>4398793</v>
      </c>
      <c r="AE67" s="87">
        <f t="shared" ref="AE67" si="1448">AD67/AC67*100</f>
        <v>130.42205781239392</v>
      </c>
      <c r="AF67" s="6">
        <f t="shared" ref="AF67" si="1449">AF68+AF69+AF70</f>
        <v>0</v>
      </c>
      <c r="AG67" s="6">
        <f t="shared" ref="AG67" si="1450">AG68+AG69+AG70</f>
        <v>0</v>
      </c>
      <c r="AH67" s="87"/>
      <c r="AI67" s="6">
        <f t="shared" ref="AI67" si="1451">AI68+AI69+AI70</f>
        <v>0</v>
      </c>
      <c r="AJ67" s="6">
        <f t="shared" ref="AJ67" si="1452">AJ68+AJ69+AJ70</f>
        <v>0</v>
      </c>
      <c r="AK67" s="87"/>
      <c r="AL67" s="6">
        <f t="shared" ref="AL67" si="1453">AL68+AL69+AL70</f>
        <v>0</v>
      </c>
      <c r="AM67" s="6">
        <f t="shared" ref="AM67" si="1454">AM68+AM69+AM70</f>
        <v>0</v>
      </c>
      <c r="AN67" s="87"/>
      <c r="AO67" s="6">
        <f t="shared" ref="AO67" si="1455">AO68+AO69+AO70</f>
        <v>0</v>
      </c>
      <c r="AP67" s="6">
        <f t="shared" ref="AP67" si="1456">AP68+AP69+AP70</f>
        <v>0</v>
      </c>
      <c r="AQ67" s="87"/>
      <c r="AR67" s="6">
        <f t="shared" ref="AR67" si="1457">AR68+AR69+AR70</f>
        <v>0</v>
      </c>
      <c r="AS67" s="6">
        <f t="shared" ref="AS67" si="1458">AS68+AS69+AS70</f>
        <v>0</v>
      </c>
      <c r="AT67" s="87"/>
      <c r="AU67" s="6">
        <f t="shared" ref="AU67" si="1459">AU68+AU69+AU70</f>
        <v>0</v>
      </c>
      <c r="AV67" s="6">
        <f t="shared" ref="AV67" si="1460">AV68+AV69+AV70</f>
        <v>0</v>
      </c>
      <c r="AW67" s="87"/>
      <c r="AX67" s="6">
        <f t="shared" ref="AX67" si="1461">AX68+AX69+AX70</f>
        <v>0</v>
      </c>
      <c r="AY67" s="6">
        <f t="shared" ref="AY67" si="1462">AY68+AY69+AY70</f>
        <v>0</v>
      </c>
      <c r="AZ67" s="87"/>
      <c r="BA67" s="6">
        <f t="shared" ref="BA67" si="1463">BA68+BA69+BA70</f>
        <v>0</v>
      </c>
      <c r="BB67" s="6">
        <f t="shared" ref="BB67" si="1464">BB68+BB69+BB70</f>
        <v>0</v>
      </c>
      <c r="BC67" s="87"/>
      <c r="BD67" s="6">
        <f t="shared" ref="BD67" si="1465">BD68+BD69+BD70</f>
        <v>0</v>
      </c>
      <c r="BE67" s="6">
        <f t="shared" ref="BE67" si="1466">BE68+BE69+BE70</f>
        <v>0</v>
      </c>
      <c r="BF67" s="87"/>
      <c r="BG67" s="6">
        <f t="shared" ref="BG67" si="1467">BG68+BG69+BG70</f>
        <v>0</v>
      </c>
      <c r="BH67" s="6">
        <f t="shared" ref="BH67" si="1468">BH68+BH69+BH70</f>
        <v>0</v>
      </c>
      <c r="BI67" s="87"/>
      <c r="BJ67" s="6">
        <f t="shared" ref="BJ67" si="1469">BJ68+BJ69+BJ70</f>
        <v>0</v>
      </c>
      <c r="BK67" s="6">
        <f t="shared" ref="BK67" si="1470">BK68+BK69+BK70</f>
        <v>0</v>
      </c>
      <c r="BL67" s="87"/>
      <c r="BM67" s="6">
        <f t="shared" ref="BM67" si="1471">BM68+BM69+BM70</f>
        <v>0</v>
      </c>
      <c r="BN67" s="6">
        <f t="shared" ref="BN67" si="1472">BN68+BN69+BN70</f>
        <v>0</v>
      </c>
      <c r="BO67" s="87"/>
      <c r="BP67" s="6">
        <f t="shared" ref="BP67" si="1473">BP68+BP69+BP70</f>
        <v>0</v>
      </c>
      <c r="BQ67" s="6">
        <f t="shared" ref="BQ67" si="1474">BQ68+BQ69+BQ70</f>
        <v>0</v>
      </c>
      <c r="BR67" s="87"/>
      <c r="BS67" s="6">
        <f t="shared" ref="BS67" si="1475">BS68+BS69+BS70</f>
        <v>0</v>
      </c>
      <c r="BT67" s="6">
        <f t="shared" ref="BT67" si="1476">BT68+BT69+BT70</f>
        <v>0</v>
      </c>
      <c r="BU67" s="87"/>
      <c r="BV67" s="6">
        <f t="shared" ref="BV67" si="1477">BV68+BV69+BV70</f>
        <v>0</v>
      </c>
      <c r="BW67" s="6">
        <f t="shared" ref="BW67" si="1478">BW68+BW69+BW70</f>
        <v>0</v>
      </c>
      <c r="BX67" s="87"/>
      <c r="BY67" s="6">
        <f t="shared" ref="BY67" si="1479">BY68+BY69+BY70</f>
        <v>0</v>
      </c>
      <c r="BZ67" s="6">
        <f t="shared" ref="BZ67" si="1480">BZ68+BZ69+BZ70</f>
        <v>0</v>
      </c>
      <c r="CA67" s="87"/>
      <c r="CB67" s="6">
        <f t="shared" ref="CB67" si="1481">CB68+CB69+CB70</f>
        <v>0</v>
      </c>
      <c r="CC67" s="6">
        <f t="shared" ref="CC67" si="1482">CC68+CC69+CC70</f>
        <v>0</v>
      </c>
      <c r="CD67" s="87"/>
      <c r="CE67" s="6">
        <f t="shared" ref="CE67" si="1483">CE68+CE69+CE70</f>
        <v>0</v>
      </c>
      <c r="CF67" s="6">
        <f t="shared" ref="CF67" si="1484">CF68+CF69+CF70</f>
        <v>0</v>
      </c>
      <c r="CG67" s="87"/>
      <c r="CH67" s="6">
        <f t="shared" ref="CH67" si="1485">CH68+CH69+CH70</f>
        <v>0</v>
      </c>
      <c r="CI67" s="6">
        <f t="shared" ref="CI67" si="1486">CI68+CI69+CI70</f>
        <v>0</v>
      </c>
      <c r="CJ67" s="87"/>
      <c r="CK67" s="6">
        <f t="shared" ref="CK67" si="1487">CK68+CK69+CK70</f>
        <v>0</v>
      </c>
      <c r="CL67" s="6">
        <f t="shared" ref="CL67" si="1488">CL68+CL69+CL70</f>
        <v>0</v>
      </c>
      <c r="CM67" s="87"/>
      <c r="CN67" s="6">
        <f t="shared" ref="CN67" si="1489">CN68+CN69+CN70</f>
        <v>0</v>
      </c>
      <c r="CO67" s="6">
        <f t="shared" ref="CO67" si="1490">CO68+CO69+CO70</f>
        <v>0</v>
      </c>
      <c r="CP67" s="87"/>
      <c r="CQ67" s="6">
        <f t="shared" ref="CQ67" si="1491">CQ68+CQ69+CQ70</f>
        <v>0</v>
      </c>
      <c r="CR67" s="6">
        <f t="shared" ref="CR67" si="1492">CR68+CR69+CR70</f>
        <v>0</v>
      </c>
      <c r="CS67" s="87"/>
      <c r="CT67" s="6">
        <f t="shared" ref="CT67" si="1493">CT68+CT69+CT70</f>
        <v>0</v>
      </c>
      <c r="CU67" s="6">
        <f t="shared" ref="CU67" si="1494">CU68+CU69+CU70</f>
        <v>0</v>
      </c>
      <c r="CV67" s="87"/>
      <c r="CW67" s="6">
        <f t="shared" ref="CW67" si="1495">CW68+CW69+CW70</f>
        <v>0</v>
      </c>
      <c r="CX67" s="6">
        <f t="shared" ref="CX67" si="1496">CX68+CX69+CX70</f>
        <v>0</v>
      </c>
      <c r="CY67" s="87"/>
      <c r="CZ67" s="6">
        <f t="shared" ref="CZ67" si="1497">CZ68+CZ69+CZ70</f>
        <v>0</v>
      </c>
      <c r="DA67" s="6">
        <f t="shared" ref="DA67" si="1498">DA68+DA69+DA70</f>
        <v>0</v>
      </c>
      <c r="DB67" s="87"/>
      <c r="DC67" s="6">
        <f t="shared" ref="DC67" si="1499">DC68+DC69+DC70</f>
        <v>0</v>
      </c>
      <c r="DD67" s="6">
        <f t="shared" ref="DD67" si="1500">DD68+DD69+DD70</f>
        <v>0</v>
      </c>
      <c r="DE67" s="87"/>
      <c r="DF67" s="6">
        <f t="shared" ref="DF67" si="1501">DF68+DF69+DF70</f>
        <v>0</v>
      </c>
      <c r="DG67" s="6">
        <f t="shared" ref="DG67" si="1502">DG68+DG69+DG70</f>
        <v>0</v>
      </c>
      <c r="DH67" s="87"/>
      <c r="DI67" s="6">
        <f t="shared" ref="DI67" si="1503">DI68+DI69+DI70</f>
        <v>0</v>
      </c>
      <c r="DJ67" s="6">
        <f t="shared" ref="DJ67" si="1504">DJ68+DJ69+DJ70</f>
        <v>0</v>
      </c>
      <c r="DK67" s="87"/>
      <c r="DL67" s="6">
        <f t="shared" ref="DL67" si="1505">DL68+DL69+DL70</f>
        <v>0</v>
      </c>
      <c r="DM67" s="6">
        <f t="shared" ref="DM67" si="1506">DM68+DM69+DM70</f>
        <v>0</v>
      </c>
      <c r="DN67" s="87"/>
      <c r="DO67" s="6">
        <f t="shared" ref="DO67" si="1507">DO68+DO69+DO70</f>
        <v>0</v>
      </c>
      <c r="DP67" s="6">
        <f t="shared" ref="DP67" si="1508">DP68+DP69+DP70</f>
        <v>0</v>
      </c>
      <c r="DQ67" s="87"/>
      <c r="DR67" s="6">
        <f t="shared" ref="DR67" si="1509">DR68+DR69+DR70</f>
        <v>3372737</v>
      </c>
      <c r="DS67" s="6">
        <f t="shared" ref="DS67" si="1510">DS68+DS69+DS70</f>
        <v>4398793</v>
      </c>
      <c r="DT67" s="87">
        <f t="shared" si="170"/>
        <v>130.42205781239392</v>
      </c>
      <c r="DU67" s="6">
        <f t="shared" ref="DU67" si="1511">DU68+DU69+DU70</f>
        <v>0</v>
      </c>
      <c r="DV67" s="6">
        <f t="shared" ref="DV67" si="1512">DV68+DV69+DV70</f>
        <v>0</v>
      </c>
      <c r="DW67" s="87"/>
      <c r="DX67" s="6">
        <f t="shared" ref="DX67" si="1513">DX68+DX69+DX70</f>
        <v>0</v>
      </c>
      <c r="DY67" s="6">
        <f t="shared" ref="DY67" si="1514">DY68+DY69+DY70</f>
        <v>0</v>
      </c>
      <c r="DZ67" s="87"/>
      <c r="EA67" s="6">
        <f t="shared" ref="EA67" si="1515">EA68+EA69+EA70</f>
        <v>0</v>
      </c>
      <c r="EB67" s="6">
        <f t="shared" ref="EB67" si="1516">EB68+EB69+EB70</f>
        <v>0</v>
      </c>
      <c r="EC67" s="87"/>
      <c r="ED67" s="6">
        <f t="shared" ref="ED67" si="1517">ED68+ED69+ED70</f>
        <v>46500</v>
      </c>
      <c r="EE67" s="6">
        <f t="shared" ref="EE67" si="1518">EE68+EE69+EE70</f>
        <v>16381</v>
      </c>
      <c r="EF67" s="87">
        <f t="shared" ref="EF67" si="1519">EE67/ED67*100</f>
        <v>35.227956989247311</v>
      </c>
      <c r="EG67" s="6">
        <f t="shared" ref="EG67" si="1520">EG68+EG69+EG70</f>
        <v>68450</v>
      </c>
      <c r="EH67" s="6">
        <f t="shared" ref="EH67" si="1521">EH68+EH69+EH70</f>
        <v>35000</v>
      </c>
      <c r="EI67" s="87">
        <f t="shared" ref="EI67" si="1522">EH67/EG67*100</f>
        <v>51.132213294375461</v>
      </c>
      <c r="EJ67" s="6">
        <f t="shared" ref="EJ67" si="1523">EJ68+EJ69+EJ70</f>
        <v>0</v>
      </c>
      <c r="EK67" s="6">
        <f t="shared" ref="EK67" si="1524">EK68+EK69+EK70</f>
        <v>0</v>
      </c>
      <c r="EL67" s="87"/>
      <c r="EM67" s="6">
        <f t="shared" ref="EM67" si="1525">EM68+EM69+EM70</f>
        <v>0</v>
      </c>
      <c r="EN67" s="6">
        <f t="shared" ref="EN67" si="1526">EN68+EN69+EN70</f>
        <v>0</v>
      </c>
      <c r="EO67" s="87"/>
      <c r="EP67" s="6">
        <f t="shared" ref="EP67" si="1527">EP68+EP69+EP70</f>
        <v>0</v>
      </c>
      <c r="EQ67" s="6">
        <f t="shared" ref="EQ67" si="1528">EQ68+EQ69+EQ70</f>
        <v>0</v>
      </c>
      <c r="ER67" s="87"/>
      <c r="ES67" s="6">
        <f t="shared" ref="ES67" si="1529">ES68+ES69+ES70</f>
        <v>2000</v>
      </c>
      <c r="ET67" s="6">
        <f t="shared" ref="ET67" si="1530">ET68+ET69+ET70</f>
        <v>2540</v>
      </c>
      <c r="EU67" s="87">
        <f t="shared" ref="EU67" si="1531">ET67/ES67*100</f>
        <v>127</v>
      </c>
      <c r="EV67" s="6">
        <f t="shared" ref="EV67" si="1532">EV68+EV69+EV70</f>
        <v>116950</v>
      </c>
      <c r="EW67" s="6">
        <f t="shared" ref="EW67" si="1533">EW68+EW69+EW70</f>
        <v>53921</v>
      </c>
      <c r="EX67" s="87">
        <f t="shared" ref="EX67" si="1534">EW67/EV67*100</f>
        <v>46.106028217186832</v>
      </c>
      <c r="EY67" s="6">
        <f t="shared" ref="EY67" si="1535">EY68+EY69+EY70</f>
        <v>0</v>
      </c>
      <c r="EZ67" s="6">
        <f t="shared" ref="EZ67" si="1536">EZ68+EZ69+EZ70</f>
        <v>300</v>
      </c>
      <c r="FA67" s="87"/>
      <c r="FB67" s="6">
        <f t="shared" ref="FB67" si="1537">FB68+FB69+FB70</f>
        <v>0</v>
      </c>
      <c r="FC67" s="6">
        <f t="shared" ref="FC67" si="1538">FC68+FC69+FC70</f>
        <v>450</v>
      </c>
      <c r="FD67" s="87"/>
      <c r="FE67" s="6">
        <f t="shared" ref="FE67" si="1539">FE68+FE69+FE70</f>
        <v>0</v>
      </c>
      <c r="FF67" s="6">
        <f t="shared" ref="FF67" si="1540">FF68+FF69+FF70</f>
        <v>450</v>
      </c>
      <c r="FG67" s="87"/>
      <c r="FH67" s="6">
        <f t="shared" ref="FH67" si="1541">FH68+FH69+FH70</f>
        <v>1940</v>
      </c>
      <c r="FI67" s="6">
        <f t="shared" ref="FI67" si="1542">FI68+FI69+FI70</f>
        <v>50400</v>
      </c>
      <c r="FJ67" s="87">
        <f t="shared" ref="FJ67" si="1543">FI67/FH67*100</f>
        <v>2597.9381443298971</v>
      </c>
      <c r="FK67" s="87"/>
      <c r="FL67" s="6">
        <f t="shared" ref="FL67" si="1544">FL68+FL69+FL70</f>
        <v>0</v>
      </c>
      <c r="FM67" s="87"/>
      <c r="FN67" s="6">
        <f t="shared" ref="FN67" si="1545">FN68+FN69+FN70</f>
        <v>0</v>
      </c>
      <c r="FO67" s="6">
        <f t="shared" ref="FO67" si="1546">FO68+FO69+FO70</f>
        <v>500</v>
      </c>
      <c r="FP67" s="87"/>
      <c r="FQ67" s="6">
        <f t="shared" ref="FQ67" si="1547">FQ68+FQ69+FQ70</f>
        <v>0</v>
      </c>
      <c r="FR67" s="6">
        <f t="shared" ref="FR67" si="1548">FR68+FR69+FR70</f>
        <v>200</v>
      </c>
      <c r="FS67" s="87"/>
      <c r="FT67" s="6">
        <f t="shared" ref="FT67" si="1549">FT68+FT69+FT70</f>
        <v>749</v>
      </c>
      <c r="FU67" s="6">
        <f t="shared" ref="FU67" si="1550">FU68+FU69+FU70</f>
        <v>400</v>
      </c>
      <c r="FV67" s="87">
        <f t="shared" ref="FV67" si="1551">FU67/FT67*100</f>
        <v>53.404539385847791</v>
      </c>
      <c r="FW67" s="6">
        <f t="shared" ref="FW67" si="1552">FW68+FW69+FW70</f>
        <v>12665</v>
      </c>
      <c r="FX67" s="6">
        <f t="shared" ref="FX67" si="1553">FX68+FX69+FX70</f>
        <v>9550</v>
      </c>
      <c r="FY67" s="87">
        <f t="shared" ref="FY67" si="1554">FX67/FW67*100</f>
        <v>75.404658507698386</v>
      </c>
      <c r="FZ67" s="6">
        <f t="shared" ref="FZ67" si="1555">FZ68+FZ69+FZ70</f>
        <v>3397</v>
      </c>
      <c r="GA67" s="6">
        <f t="shared" ref="GA67" si="1556">GA68+GA69+GA70</f>
        <v>3100</v>
      </c>
      <c r="GB67" s="87">
        <f t="shared" ref="GB67" si="1557">GA67/FZ67*100</f>
        <v>91.256991463055641</v>
      </c>
      <c r="GC67" s="6">
        <f t="shared" ref="GC67" si="1558">GC68+GC69+GC70</f>
        <v>0</v>
      </c>
      <c r="GD67" s="6">
        <f t="shared" ref="GD67" si="1559">GD68+GD69+GD70</f>
        <v>100</v>
      </c>
      <c r="GE67" s="87"/>
      <c r="GF67" s="6">
        <f t="shared" ref="GF67" si="1560">GF68+GF69+GF70</f>
        <v>1689</v>
      </c>
      <c r="GG67" s="6">
        <f t="shared" ref="GG67" si="1561">GG68+GG69+GG70</f>
        <v>450</v>
      </c>
      <c r="GH67" s="87">
        <f t="shared" ref="GH67" si="1562">GG67/GF67*100</f>
        <v>26.642984014209592</v>
      </c>
      <c r="GI67" s="6">
        <f t="shared" ref="GI67" si="1563">GI68+GI69+GI70</f>
        <v>0</v>
      </c>
      <c r="GJ67" s="6">
        <f t="shared" ref="GJ67" si="1564">GJ68+GJ69+GJ70</f>
        <v>300</v>
      </c>
      <c r="GK67" s="87"/>
      <c r="GL67" s="6">
        <f t="shared" ref="GL67" si="1565">GL68+GL69+GL70</f>
        <v>0</v>
      </c>
      <c r="GM67" s="6">
        <f t="shared" ref="GM67" si="1566">GM68+GM69+GM70</f>
        <v>400</v>
      </c>
      <c r="GN67" s="87"/>
      <c r="GO67" s="6">
        <f t="shared" ref="GO67:GP67" si="1567">GO68+GO69+GO70</f>
        <v>20440</v>
      </c>
      <c r="GP67" s="6">
        <f t="shared" si="1567"/>
        <v>66600</v>
      </c>
      <c r="GQ67" s="87">
        <f t="shared" ref="GQ67" si="1568">GP67/GO67*100</f>
        <v>325.83170254403132</v>
      </c>
      <c r="GR67" s="6">
        <f t="shared" ref="GR67" si="1569">GR68+GR69+GR70</f>
        <v>33793</v>
      </c>
      <c r="GS67" s="6">
        <f t="shared" ref="GS67" si="1570">GS68+GS69+GS70</f>
        <v>5000</v>
      </c>
      <c r="GT67" s="87">
        <f t="shared" ref="GT67" si="1571">GS67/GR67*100</f>
        <v>14.795963661113248</v>
      </c>
      <c r="GU67" s="6">
        <f t="shared" ref="GU67" si="1572">GU68+GU69+GU70</f>
        <v>0</v>
      </c>
      <c r="GV67" s="6">
        <f t="shared" ref="GV67" si="1573">GV68+GV69+GV70</f>
        <v>0</v>
      </c>
      <c r="GW67" s="87"/>
      <c r="GX67" s="6">
        <f t="shared" ref="GX67" si="1574">GX68+GX69+GX70</f>
        <v>164746</v>
      </c>
      <c r="GY67" s="6">
        <f t="shared" ref="GY67" si="1575">GY68+GY69+GY70</f>
        <v>5000</v>
      </c>
      <c r="GZ67" s="87">
        <f t="shared" ref="GZ67" si="1576">GY67/GX67*100</f>
        <v>3.0349750525050685</v>
      </c>
      <c r="HA67" s="6">
        <f t="shared" ref="HA67" si="1577">HA68+HA69+HA70</f>
        <v>218979</v>
      </c>
      <c r="HB67" s="6">
        <f t="shared" ref="HB67" si="1578">HB68+HB69+HB70</f>
        <v>76600</v>
      </c>
      <c r="HC67" s="87">
        <f t="shared" ref="HC67" si="1579">HB67/HA67*100</f>
        <v>34.980523246521358</v>
      </c>
      <c r="HD67" s="6">
        <f t="shared" ref="HD67" si="1580">HD68+HD69+HD70</f>
        <v>3708666</v>
      </c>
      <c r="HE67" s="6">
        <f t="shared" ref="HE67" si="1581">HE68+HE69+HE70</f>
        <v>4529314</v>
      </c>
      <c r="HF67" s="593">
        <f t="shared" si="129"/>
        <v>122.1278486658006</v>
      </c>
      <c r="HH67" s="242"/>
      <c r="HI67" s="242"/>
    </row>
    <row r="68" spans="1:217" ht="15" customHeight="1" x14ac:dyDescent="0.25">
      <c r="A68" s="220" t="s">
        <v>394</v>
      </c>
      <c r="B68" s="7"/>
      <c r="C68" s="7">
        <f>SUM('címrend kötelező'!B68+'címrend önként'!B68+'címrend államig'!B68)</f>
        <v>0</v>
      </c>
      <c r="D68" s="82"/>
      <c r="E68" s="7"/>
      <c r="F68" s="7">
        <f>SUM('címrend kötelező'!C68+'címrend önként'!C68+'címrend államig'!C68)</f>
        <v>0</v>
      </c>
      <c r="G68" s="82"/>
      <c r="H68" s="7"/>
      <c r="I68" s="7">
        <f>SUM('címrend kötelező'!D68+'címrend önként'!D68+'címrend államig'!D68)</f>
        <v>0</v>
      </c>
      <c r="J68" s="82"/>
      <c r="K68" s="7"/>
      <c r="L68" s="7">
        <f>SUM('címrend kötelező'!E68+'címrend önként'!E68+'címrend államig'!E68)</f>
        <v>0</v>
      </c>
      <c r="M68" s="82"/>
      <c r="N68" s="7"/>
      <c r="O68" s="7">
        <f>SUM('címrend kötelező'!F68+'címrend önként'!F68+'címrend államig'!F68)</f>
        <v>0</v>
      </c>
      <c r="P68" s="82"/>
      <c r="Q68" s="7"/>
      <c r="R68" s="7">
        <f>SUM('címrend kötelező'!G68+'címrend önként'!G68+'címrend államig'!G68)</f>
        <v>0</v>
      </c>
      <c r="S68" s="82"/>
      <c r="T68" s="7"/>
      <c r="U68" s="7">
        <f>SUM('címrend kötelező'!H68+'címrend önként'!H68+'címrend államig'!H68)</f>
        <v>0</v>
      </c>
      <c r="V68" s="82"/>
      <c r="W68" s="7"/>
      <c r="X68" s="7">
        <f>SUM('címrend kötelező'!I68+'címrend önként'!I68+'címrend államig'!I68)</f>
        <v>0</v>
      </c>
      <c r="Y68" s="82"/>
      <c r="Z68" s="7"/>
      <c r="AA68" s="7">
        <f>SUM('címrend kötelező'!J68+'címrend önként'!J68+'címrend államig'!J68)</f>
        <v>0</v>
      </c>
      <c r="AB68" s="82"/>
      <c r="AC68" s="7"/>
      <c r="AD68" s="7">
        <f>SUM('címrend kötelező'!K68+'címrend önként'!K68+'címrend államig'!K68)</f>
        <v>0</v>
      </c>
      <c r="AE68" s="82"/>
      <c r="AF68" s="7"/>
      <c r="AG68" s="7">
        <f>SUM('címrend kötelező'!L68+'címrend önként'!L68+'címrend államig'!L68)</f>
        <v>0</v>
      </c>
      <c r="AH68" s="82"/>
      <c r="AI68" s="7"/>
      <c r="AJ68" s="7">
        <f>SUM('címrend kötelező'!M68+'címrend önként'!M68+'címrend államig'!M68)</f>
        <v>0</v>
      </c>
      <c r="AK68" s="82"/>
      <c r="AL68" s="7"/>
      <c r="AM68" s="7">
        <f>SUM('címrend kötelező'!N68+'címrend önként'!N68+'címrend államig'!N68)</f>
        <v>0</v>
      </c>
      <c r="AN68" s="82"/>
      <c r="AO68" s="7"/>
      <c r="AP68" s="7">
        <f>SUM('címrend kötelező'!O68+'címrend önként'!O68+'címrend államig'!O68)</f>
        <v>0</v>
      </c>
      <c r="AQ68" s="82"/>
      <c r="AR68" s="7"/>
      <c r="AS68" s="7">
        <f>SUM('címrend kötelező'!P68+'címrend önként'!P68+'címrend államig'!P68)</f>
        <v>0</v>
      </c>
      <c r="AT68" s="82"/>
      <c r="AU68" s="7"/>
      <c r="AV68" s="7">
        <f>SUM('címrend kötelező'!Q68+'címrend önként'!Q68+'címrend államig'!Q68)</f>
        <v>0</v>
      </c>
      <c r="AW68" s="82"/>
      <c r="AX68" s="7"/>
      <c r="AY68" s="7">
        <f>SUM('címrend kötelező'!R68+'címrend önként'!R68+'címrend államig'!R68)</f>
        <v>0</v>
      </c>
      <c r="AZ68" s="82"/>
      <c r="BA68" s="7"/>
      <c r="BB68" s="7">
        <f>SUM('címrend kötelező'!S68+'címrend önként'!S68+'címrend államig'!S68)</f>
        <v>0</v>
      </c>
      <c r="BC68" s="82"/>
      <c r="BD68" s="7"/>
      <c r="BE68" s="7">
        <f>SUM('címrend kötelező'!T68+'címrend önként'!T68+'címrend államig'!T68)</f>
        <v>0</v>
      </c>
      <c r="BF68" s="82"/>
      <c r="BG68" s="7"/>
      <c r="BH68" s="7">
        <f>SUM('címrend kötelező'!U68+'címrend önként'!U68+'címrend államig'!U68)</f>
        <v>0</v>
      </c>
      <c r="BI68" s="82"/>
      <c r="BJ68" s="7"/>
      <c r="BK68" s="7">
        <f>SUM('címrend kötelező'!V68+'címrend önként'!V68+'címrend államig'!V68)</f>
        <v>0</v>
      </c>
      <c r="BL68" s="82"/>
      <c r="BM68" s="7"/>
      <c r="BN68" s="7">
        <f>SUM('címrend kötelező'!W68+'címrend önként'!W68+'címrend államig'!W68)</f>
        <v>0</v>
      </c>
      <c r="BO68" s="82"/>
      <c r="BP68" s="7"/>
      <c r="BQ68" s="7">
        <f>SUM('címrend kötelező'!X68+'címrend önként'!X68+'címrend államig'!X68)</f>
        <v>0</v>
      </c>
      <c r="BR68" s="82"/>
      <c r="BS68" s="7"/>
      <c r="BT68" s="7">
        <f>SUM('címrend kötelező'!Y68+'címrend önként'!Y68+'címrend államig'!Y68)</f>
        <v>0</v>
      </c>
      <c r="BU68" s="82"/>
      <c r="BV68" s="7"/>
      <c r="BW68" s="7">
        <f>SUM('címrend kötelező'!Z68+'címrend önként'!Z68+'címrend államig'!Z68)</f>
        <v>0</v>
      </c>
      <c r="BX68" s="82"/>
      <c r="BY68" s="7"/>
      <c r="BZ68" s="7">
        <f>SUM('címrend kötelező'!AA68+'címrend önként'!AA68+'címrend államig'!AA68)</f>
        <v>0</v>
      </c>
      <c r="CA68" s="82"/>
      <c r="CB68" s="7"/>
      <c r="CC68" s="7">
        <f>SUM('címrend kötelező'!AB68+'címrend önként'!AB68+'címrend államig'!AB68)</f>
        <v>0</v>
      </c>
      <c r="CD68" s="82"/>
      <c r="CE68" s="7"/>
      <c r="CF68" s="7">
        <f>SUM('címrend kötelező'!AC68+'címrend önként'!AC68+'címrend államig'!AC68)</f>
        <v>0</v>
      </c>
      <c r="CG68" s="82"/>
      <c r="CH68" s="7"/>
      <c r="CI68" s="7">
        <f>SUM('címrend kötelező'!AD68+'címrend önként'!AD68+'címrend államig'!AD68)</f>
        <v>0</v>
      </c>
      <c r="CJ68" s="82"/>
      <c r="CK68" s="7"/>
      <c r="CL68" s="7">
        <f>SUM('címrend kötelező'!AE68+'címrend önként'!AE68+'címrend államig'!AE68)</f>
        <v>0</v>
      </c>
      <c r="CM68" s="82"/>
      <c r="CN68" s="7"/>
      <c r="CO68" s="7">
        <f>SUM('címrend kötelező'!AF68+'címrend önként'!AF68+'címrend államig'!AF68)</f>
        <v>0</v>
      </c>
      <c r="CP68" s="82"/>
      <c r="CQ68" s="7"/>
      <c r="CR68" s="7">
        <f>SUM('címrend kötelező'!AG68+'címrend önként'!AG68+'címrend államig'!AG68)</f>
        <v>0</v>
      </c>
      <c r="CS68" s="82"/>
      <c r="CT68" s="7"/>
      <c r="CU68" s="7">
        <f>SUM('címrend kötelező'!AH68+'címrend önként'!AH68+'címrend államig'!AH68)</f>
        <v>0</v>
      </c>
      <c r="CV68" s="82"/>
      <c r="CW68" s="7"/>
      <c r="CX68" s="7">
        <f>SUM('címrend kötelező'!AI68+'címrend önként'!AI68+'címrend államig'!AI68)</f>
        <v>0</v>
      </c>
      <c r="CY68" s="82"/>
      <c r="CZ68" s="7"/>
      <c r="DA68" s="7">
        <f>SUM('címrend kötelező'!AJ68+'címrend önként'!AJ68+'címrend államig'!AJ68)</f>
        <v>0</v>
      </c>
      <c r="DB68" s="82"/>
      <c r="DC68" s="7"/>
      <c r="DD68" s="7">
        <f>SUM('címrend kötelező'!AK68+'címrend önként'!AK68+'címrend államig'!AK68)</f>
        <v>0</v>
      </c>
      <c r="DE68" s="82"/>
      <c r="DF68" s="7"/>
      <c r="DG68" s="7">
        <f>SUM('címrend kötelező'!AL68+'címrend önként'!AL68+'címrend államig'!AL68)</f>
        <v>0</v>
      </c>
      <c r="DH68" s="82"/>
      <c r="DI68" s="7"/>
      <c r="DJ68" s="7">
        <f>SUM('címrend kötelező'!AM68+'címrend önként'!AM68+'címrend államig'!AM68)</f>
        <v>0</v>
      </c>
      <c r="DK68" s="82"/>
      <c r="DL68" s="7"/>
      <c r="DM68" s="7">
        <f>SUM('címrend kötelező'!AN68+'címrend önként'!AN68+'címrend államig'!AN68)</f>
        <v>0</v>
      </c>
      <c r="DN68" s="82"/>
      <c r="DO68" s="7"/>
      <c r="DP68" s="7">
        <f>SUM('címrend kötelező'!AO68+'címrend önként'!AO68+'címrend államig'!AO68)</f>
        <v>0</v>
      </c>
      <c r="DQ68" s="82"/>
      <c r="DR68" s="387">
        <f t="shared" si="169"/>
        <v>0</v>
      </c>
      <c r="DS68" s="387">
        <f t="shared" si="169"/>
        <v>0</v>
      </c>
      <c r="DT68" s="387"/>
      <c r="DU68" s="7"/>
      <c r="DV68" s="7">
        <f>SUM('címrend kötelező'!AQ68+'címrend önként'!AQ68+'címrend államig'!AQ68)</f>
        <v>0</v>
      </c>
      <c r="DW68" s="38"/>
      <c r="DX68" s="7"/>
      <c r="DY68" s="7">
        <f>SUM('címrend kötelező'!AR68+'címrend önként'!AR68+'címrend államig'!AR68)</f>
        <v>0</v>
      </c>
      <c r="DZ68" s="38"/>
      <c r="EA68" s="7"/>
      <c r="EB68" s="7">
        <f>SUM('címrend kötelező'!AS68+'címrend önként'!AS68+'címrend államig'!AS68)</f>
        <v>0</v>
      </c>
      <c r="EC68" s="38"/>
      <c r="ED68" s="7">
        <v>46500</v>
      </c>
      <c r="EE68" s="7">
        <f>SUM('címrend kötelező'!AT68+'címrend önként'!AT68+'címrend államig'!AT68)</f>
        <v>16381</v>
      </c>
      <c r="EF68" s="38"/>
      <c r="EG68" s="7">
        <v>68450</v>
      </c>
      <c r="EH68" s="7">
        <f>SUM('címrend kötelező'!AU68+'címrend önként'!AU68+'címrend államig'!AU68)</f>
        <v>35000</v>
      </c>
      <c r="EI68" s="38"/>
      <c r="EJ68" s="7"/>
      <c r="EK68" s="7">
        <f>SUM('címrend kötelező'!AV68+'címrend önként'!AV68+'címrend államig'!AV68)</f>
        <v>0</v>
      </c>
      <c r="EL68" s="38"/>
      <c r="EM68" s="7"/>
      <c r="EN68" s="7">
        <f>SUM('címrend kötelező'!AW68+'címrend önként'!AW68+'címrend államig'!AW68)</f>
        <v>0</v>
      </c>
      <c r="EO68" s="38"/>
      <c r="EP68" s="7"/>
      <c r="EQ68" s="7">
        <f>SUM('címrend kötelező'!AX68+'címrend önként'!AX68+'címrend államig'!AX68)</f>
        <v>0</v>
      </c>
      <c r="ER68" s="38"/>
      <c r="ES68" s="7">
        <v>2000</v>
      </c>
      <c r="ET68" s="7">
        <f>SUM('címrend kötelező'!AY68+'címrend önként'!AY68+'címrend államig'!AY68)</f>
        <v>2540</v>
      </c>
      <c r="EU68" s="38"/>
      <c r="EV68" s="387">
        <f t="shared" si="179"/>
        <v>116950</v>
      </c>
      <c r="EW68" s="904">
        <f t="shared" si="179"/>
        <v>53921</v>
      </c>
      <c r="EX68" s="88">
        <f t="shared" si="1326"/>
        <v>46.106028217186832</v>
      </c>
      <c r="EY68" s="7"/>
      <c r="EZ68" s="7">
        <f>'címrend kötelező'!BA68+'címrend önként'!BA68+'címrend államig'!BA68</f>
        <v>300</v>
      </c>
      <c r="FA68" s="38"/>
      <c r="FB68" s="7"/>
      <c r="FC68" s="7">
        <f>'címrend kötelező'!BB68+'címrend önként'!BB68+'címrend államig'!BB68</f>
        <v>450</v>
      </c>
      <c r="FD68" s="38"/>
      <c r="FE68" s="7"/>
      <c r="FF68" s="7">
        <f>'címrend kötelező'!BC68+'címrend önként'!BC68+'címrend államig'!BC68</f>
        <v>450</v>
      </c>
      <c r="FG68" s="38"/>
      <c r="FH68" s="7">
        <v>940</v>
      </c>
      <c r="FI68" s="7">
        <f>'címrend kötelező'!BD68+'címrend önként'!BD68+'címrend államig'!BD68</f>
        <v>400</v>
      </c>
      <c r="FJ68" s="38"/>
      <c r="FK68" s="38"/>
      <c r="FL68" s="7">
        <f>'címrend kötelező'!BE68+'címrend önként'!BE68+'címrend államig'!BE68</f>
        <v>0</v>
      </c>
      <c r="FM68" s="38"/>
      <c r="FN68" s="7"/>
      <c r="FO68" s="7">
        <f>SUM('címrend kötelező'!BF68+'címrend önként'!BF68+'címrend államig'!BF68)</f>
        <v>500</v>
      </c>
      <c r="FP68" s="38"/>
      <c r="FQ68" s="7"/>
      <c r="FR68" s="7">
        <f>SUM('címrend kötelező'!BG68+'címrend önként'!BG68+'címrend államig'!BG68)</f>
        <v>200</v>
      </c>
      <c r="FS68" s="38"/>
      <c r="FT68" s="7">
        <v>749</v>
      </c>
      <c r="FU68" s="7">
        <f>SUM('címrend kötelező'!BH68+'címrend önként'!BH68+'címrend államig'!BH68)</f>
        <v>400</v>
      </c>
      <c r="FV68" s="38"/>
      <c r="FW68" s="7">
        <v>1165</v>
      </c>
      <c r="FX68" s="7">
        <f>SUM('címrend kötelező'!BI68+'címrend önként'!BI68+'címrend államig'!BI68)</f>
        <v>550</v>
      </c>
      <c r="FY68" s="38"/>
      <c r="FZ68" s="7">
        <v>797</v>
      </c>
      <c r="GA68" s="7">
        <f>SUM('címrend kötelező'!BJ68+'címrend önként'!BJ68+'címrend államig'!BJ68)</f>
        <v>500</v>
      </c>
      <c r="GB68" s="38"/>
      <c r="GC68" s="7"/>
      <c r="GD68" s="7">
        <f>SUM('címrend kötelező'!BK68+'címrend önként'!BK68+'címrend államig'!BK68)</f>
        <v>100</v>
      </c>
      <c r="GE68" s="38"/>
      <c r="GF68" s="7">
        <v>1689</v>
      </c>
      <c r="GG68" s="7">
        <f>SUM('címrend kötelező'!BL68+'címrend önként'!BL68+'címrend államig'!BL68)</f>
        <v>450</v>
      </c>
      <c r="GH68" s="38"/>
      <c r="GI68" s="7"/>
      <c r="GJ68" s="7">
        <f>SUM('címrend kötelező'!BM68+'címrend önként'!BM68+'címrend államig'!BM68)</f>
        <v>300</v>
      </c>
      <c r="GK68" s="38"/>
      <c r="GL68" s="7"/>
      <c r="GM68" s="7">
        <f>SUM('címrend kötelező'!BN68+'címrend önként'!BN68+'címrend államig'!BN68)</f>
        <v>400</v>
      </c>
      <c r="GN68" s="38"/>
      <c r="GO68" s="387">
        <f>EY68+FB68+FE68+FH68+FN68+FQ68+FT68+FW68+FZ68+GC68+GF68+GI68+GL68</f>
        <v>5340</v>
      </c>
      <c r="GP68" s="387">
        <f t="shared" ref="GP68:GP70" si="1582">EZ68+FC68+FF68+FI68+FL68+FO68+FR68+FU68+FX68+GA68+GD68+GG68+GJ68+GM68</f>
        <v>5000</v>
      </c>
      <c r="GQ68" s="88">
        <f t="shared" ref="GQ68" si="1583">GP68/GO68*100</f>
        <v>93.63295880149812</v>
      </c>
      <c r="GR68" s="7">
        <v>11625</v>
      </c>
      <c r="GS68" s="7">
        <f>SUM('címrend kötelező'!BP68+'címrend önként'!BP68+'címrend államig'!BP68)</f>
        <v>5000</v>
      </c>
      <c r="GT68" s="38"/>
      <c r="GU68" s="7"/>
      <c r="GV68" s="7">
        <f>SUM('címrend kötelező'!BQ68+'címrend önként'!BQ68+'címrend államig'!BQ68)</f>
        <v>0</v>
      </c>
      <c r="GW68" s="38"/>
      <c r="GX68" s="7">
        <v>131336</v>
      </c>
      <c r="GY68" s="7">
        <f>SUM('címrend kötelező'!BR68+'címrend önként'!BR68+'címrend államig'!BR68)</f>
        <v>5000</v>
      </c>
      <c r="GZ68" s="88">
        <f t="shared" ref="GZ68" si="1584">GY68/GX68*100</f>
        <v>3.8070292988974845</v>
      </c>
      <c r="HA68" s="387">
        <f t="shared" si="198"/>
        <v>148301</v>
      </c>
      <c r="HB68" s="387">
        <f t="shared" si="198"/>
        <v>15000</v>
      </c>
      <c r="HC68" s="88">
        <f t="shared" ref="HC68" si="1585">HB68/HA68*100</f>
        <v>10.114564298285245</v>
      </c>
      <c r="HD68" s="38">
        <f t="shared" ref="HD68:HE70" si="1586">DR68+EV68+HA68</f>
        <v>265251</v>
      </c>
      <c r="HE68" s="38">
        <f t="shared" si="1586"/>
        <v>68921</v>
      </c>
      <c r="HF68" s="238">
        <f t="shared" si="129"/>
        <v>25.983313917760913</v>
      </c>
      <c r="HH68" s="242"/>
      <c r="HI68" s="242"/>
    </row>
    <row r="69" spans="1:217" ht="15" customHeight="1" x14ac:dyDescent="0.25">
      <c r="A69" s="877" t="s">
        <v>1124</v>
      </c>
      <c r="B69" s="878"/>
      <c r="C69" s="878"/>
      <c r="D69" s="83"/>
      <c r="E69" s="878"/>
      <c r="F69" s="878"/>
      <c r="G69" s="83"/>
      <c r="H69" s="878"/>
      <c r="I69" s="878"/>
      <c r="J69" s="83"/>
      <c r="K69" s="878"/>
      <c r="L69" s="878"/>
      <c r="M69" s="83"/>
      <c r="N69" s="878"/>
      <c r="O69" s="878"/>
      <c r="P69" s="83"/>
      <c r="Q69" s="878"/>
      <c r="R69" s="878"/>
      <c r="S69" s="83"/>
      <c r="T69" s="878"/>
      <c r="U69" s="878"/>
      <c r="V69" s="83"/>
      <c r="W69" s="878"/>
      <c r="X69" s="878"/>
      <c r="Y69" s="83"/>
      <c r="Z69" s="878"/>
      <c r="AA69" s="878"/>
      <c r="AB69" s="83"/>
      <c r="AC69" s="878">
        <v>2030799</v>
      </c>
      <c r="AD69" s="878"/>
      <c r="AE69" s="83"/>
      <c r="AF69" s="878"/>
      <c r="AG69" s="878"/>
      <c r="AH69" s="83"/>
      <c r="AI69" s="878"/>
      <c r="AJ69" s="878"/>
      <c r="AK69" s="83"/>
      <c r="AL69" s="878"/>
      <c r="AM69" s="878"/>
      <c r="AN69" s="83"/>
      <c r="AO69" s="878"/>
      <c r="AP69" s="878"/>
      <c r="AQ69" s="83"/>
      <c r="AR69" s="878"/>
      <c r="AS69" s="878"/>
      <c r="AT69" s="83"/>
      <c r="AU69" s="878"/>
      <c r="AV69" s="878"/>
      <c r="AW69" s="83"/>
      <c r="AX69" s="878"/>
      <c r="AY69" s="878"/>
      <c r="AZ69" s="83"/>
      <c r="BA69" s="878"/>
      <c r="BB69" s="878"/>
      <c r="BC69" s="83"/>
      <c r="BD69" s="878"/>
      <c r="BE69" s="878"/>
      <c r="BF69" s="83"/>
      <c r="BG69" s="878"/>
      <c r="BH69" s="878"/>
      <c r="BI69" s="83"/>
      <c r="BJ69" s="878"/>
      <c r="BK69" s="878"/>
      <c r="BL69" s="83"/>
      <c r="BM69" s="878"/>
      <c r="BN69" s="878"/>
      <c r="BO69" s="83"/>
      <c r="BP69" s="878"/>
      <c r="BQ69" s="878"/>
      <c r="BR69" s="83"/>
      <c r="BS69" s="878"/>
      <c r="BT69" s="878"/>
      <c r="BU69" s="83"/>
      <c r="BV69" s="878"/>
      <c r="BW69" s="878"/>
      <c r="BX69" s="83"/>
      <c r="BY69" s="878"/>
      <c r="BZ69" s="878"/>
      <c r="CA69" s="83"/>
      <c r="CB69" s="878"/>
      <c r="CC69" s="878"/>
      <c r="CD69" s="83"/>
      <c r="CE69" s="878"/>
      <c r="CF69" s="878"/>
      <c r="CG69" s="83"/>
      <c r="CH69" s="878"/>
      <c r="CI69" s="878"/>
      <c r="CJ69" s="83"/>
      <c r="CK69" s="878"/>
      <c r="CL69" s="878"/>
      <c r="CM69" s="83"/>
      <c r="CN69" s="878"/>
      <c r="CO69" s="878"/>
      <c r="CP69" s="83"/>
      <c r="CQ69" s="878"/>
      <c r="CR69" s="878"/>
      <c r="CS69" s="83"/>
      <c r="CT69" s="878"/>
      <c r="CU69" s="878"/>
      <c r="CV69" s="83"/>
      <c r="CW69" s="878"/>
      <c r="CX69" s="878"/>
      <c r="CY69" s="83"/>
      <c r="CZ69" s="878"/>
      <c r="DA69" s="878"/>
      <c r="DB69" s="83"/>
      <c r="DC69" s="878"/>
      <c r="DD69" s="878"/>
      <c r="DE69" s="83"/>
      <c r="DF69" s="878"/>
      <c r="DG69" s="878"/>
      <c r="DH69" s="83"/>
      <c r="DI69" s="878"/>
      <c r="DJ69" s="878"/>
      <c r="DK69" s="83"/>
      <c r="DL69" s="878"/>
      <c r="DM69" s="878"/>
      <c r="DN69" s="83"/>
      <c r="DO69" s="878"/>
      <c r="DP69" s="878"/>
      <c r="DQ69" s="83"/>
      <c r="DR69" s="387">
        <f t="shared" si="169"/>
        <v>2030799</v>
      </c>
      <c r="DS69" s="387">
        <f t="shared" si="169"/>
        <v>0</v>
      </c>
      <c r="DT69" s="435"/>
      <c r="DU69" s="878"/>
      <c r="DV69" s="878"/>
      <c r="DW69" s="81"/>
      <c r="DX69" s="878"/>
      <c r="DY69" s="878"/>
      <c r="DZ69" s="81"/>
      <c r="EA69" s="878"/>
      <c r="EB69" s="878"/>
      <c r="EC69" s="81"/>
      <c r="ED69" s="878"/>
      <c r="EE69" s="878"/>
      <c r="EF69" s="81"/>
      <c r="EG69" s="878"/>
      <c r="EH69" s="878"/>
      <c r="EI69" s="81"/>
      <c r="EJ69" s="878"/>
      <c r="EK69" s="878"/>
      <c r="EL69" s="81"/>
      <c r="EM69" s="878"/>
      <c r="EN69" s="878"/>
      <c r="EO69" s="81"/>
      <c r="EP69" s="878"/>
      <c r="EQ69" s="878"/>
      <c r="ER69" s="81"/>
      <c r="ES69" s="878"/>
      <c r="ET69" s="878"/>
      <c r="EU69" s="81"/>
      <c r="EV69" s="435"/>
      <c r="EW69" s="435"/>
      <c r="EX69" s="87"/>
      <c r="EY69" s="878"/>
      <c r="EZ69" s="7">
        <f>'címrend kötelező'!BA69+'címrend önként'!BA69+'címrend államig'!BA69</f>
        <v>0</v>
      </c>
      <c r="FA69" s="81"/>
      <c r="FB69" s="878"/>
      <c r="FC69" s="7">
        <f>'címrend kötelező'!BB69+'címrend önként'!BB69+'címrend államig'!BB69</f>
        <v>0</v>
      </c>
      <c r="FD69" s="81"/>
      <c r="FE69" s="878"/>
      <c r="FF69" s="7">
        <f>'címrend kötelező'!BC69+'címrend önként'!BC69+'címrend államig'!BC69</f>
        <v>0</v>
      </c>
      <c r="FG69" s="81"/>
      <c r="FH69" s="878"/>
      <c r="FI69" s="7">
        <f>'címrend kötelező'!BD69+'címrend önként'!BD69+'címrend államig'!BD69</f>
        <v>0</v>
      </c>
      <c r="FJ69" s="81"/>
      <c r="FK69" s="81"/>
      <c r="FL69" s="7">
        <f>'címrend kötelező'!BE69+'címrend önként'!BE69+'címrend államig'!BE69</f>
        <v>0</v>
      </c>
      <c r="FM69" s="81"/>
      <c r="FN69" s="878"/>
      <c r="FO69" s="7">
        <f>SUM('címrend kötelező'!BF69+'címrend önként'!BF69+'címrend államig'!BF69)</f>
        <v>0</v>
      </c>
      <c r="FP69" s="81"/>
      <c r="FQ69" s="878"/>
      <c r="FR69" s="7">
        <f>SUM('címrend kötelező'!BG69+'címrend önként'!BG69+'címrend államig'!BG69)</f>
        <v>0</v>
      </c>
      <c r="FS69" s="81"/>
      <c r="FT69" s="878"/>
      <c r="FU69" s="7">
        <f>SUM('címrend kötelező'!BH69+'címrend önként'!BH69+'címrend államig'!BH69)</f>
        <v>0</v>
      </c>
      <c r="FV69" s="81"/>
      <c r="FW69" s="878"/>
      <c r="FX69" s="7">
        <f>SUM('címrend kötelező'!BI69+'címrend önként'!BI69+'címrend államig'!BI69)</f>
        <v>0</v>
      </c>
      <c r="FY69" s="81"/>
      <c r="FZ69" s="878"/>
      <c r="GA69" s="7">
        <f>SUM('címrend kötelező'!BJ69+'címrend önként'!BJ69+'címrend államig'!BJ69)</f>
        <v>0</v>
      </c>
      <c r="GB69" s="81"/>
      <c r="GC69" s="878"/>
      <c r="GD69" s="7">
        <f>SUM('címrend kötelező'!BK69+'címrend önként'!BK69+'címrend államig'!BK69)</f>
        <v>0</v>
      </c>
      <c r="GE69" s="81"/>
      <c r="GF69" s="878"/>
      <c r="GG69" s="7">
        <f>SUM('címrend kötelező'!BL69+'címrend önként'!BL69+'címrend államig'!BL69)</f>
        <v>0</v>
      </c>
      <c r="GH69" s="81"/>
      <c r="GI69" s="878"/>
      <c r="GJ69" s="7">
        <f>SUM('címrend kötelező'!BM69+'címrend önként'!BM69+'címrend államig'!BM69)</f>
        <v>0</v>
      </c>
      <c r="GK69" s="81"/>
      <c r="GL69" s="878"/>
      <c r="GM69" s="7">
        <f>SUM('címrend kötelező'!BN69+'címrend önként'!BN69+'címrend államig'!BN69)</f>
        <v>0</v>
      </c>
      <c r="GN69" s="81"/>
      <c r="GO69" s="435"/>
      <c r="GP69" s="387">
        <f t="shared" si="1582"/>
        <v>0</v>
      </c>
      <c r="GQ69" s="879"/>
      <c r="GR69" s="878"/>
      <c r="GS69" s="7">
        <f>SUM('címrend kötelező'!BP69+'címrend önként'!BP69+'címrend államig'!BP69)</f>
        <v>0</v>
      </c>
      <c r="GT69" s="81"/>
      <c r="GU69" s="878"/>
      <c r="GV69" s="7">
        <f>SUM('címrend kötelező'!BQ69+'címrend önként'!BQ69+'címrend államig'!BQ69)</f>
        <v>0</v>
      </c>
      <c r="GW69" s="81"/>
      <c r="GX69" s="878"/>
      <c r="GY69" s="7">
        <f>SUM('címrend kötelező'!BR69+'címrend önként'!BR69+'címrend államig'!BR69)</f>
        <v>0</v>
      </c>
      <c r="GZ69" s="81"/>
      <c r="HA69" s="387">
        <f t="shared" si="198"/>
        <v>0</v>
      </c>
      <c r="HB69" s="387">
        <f t="shared" si="198"/>
        <v>0</v>
      </c>
      <c r="HC69" s="879"/>
      <c r="HD69" s="38">
        <f t="shared" si="1586"/>
        <v>2030799</v>
      </c>
      <c r="HE69" s="38">
        <f t="shared" si="1586"/>
        <v>0</v>
      </c>
      <c r="HF69" s="238">
        <f t="shared" si="129"/>
        <v>0</v>
      </c>
      <c r="HH69" s="242"/>
      <c r="HI69" s="242"/>
    </row>
    <row r="70" spans="1:217" ht="15" customHeight="1" thickBot="1" x14ac:dyDescent="0.3">
      <c r="A70" s="222" t="s">
        <v>1125</v>
      </c>
      <c r="B70" s="223"/>
      <c r="C70" s="223">
        <f>SUM('címrend kötelező'!B70+'címrend önként'!B70+'címrend államig'!B70)</f>
        <v>0</v>
      </c>
      <c r="D70" s="240"/>
      <c r="E70" s="223"/>
      <c r="F70" s="223">
        <f>SUM('címrend kötelező'!C70+'címrend önként'!C70+'címrend államig'!C70)</f>
        <v>0</v>
      </c>
      <c r="G70" s="240"/>
      <c r="H70" s="223"/>
      <c r="I70" s="223">
        <f>SUM('címrend kötelező'!D70+'címrend önként'!D70+'címrend államig'!D70)</f>
        <v>0</v>
      </c>
      <c r="J70" s="240"/>
      <c r="K70" s="223"/>
      <c r="L70" s="223">
        <f>SUM('címrend kötelező'!E70+'címrend önként'!E70+'címrend államig'!E70)</f>
        <v>0</v>
      </c>
      <c r="M70" s="240"/>
      <c r="N70" s="223"/>
      <c r="O70" s="223">
        <f>SUM('címrend kötelező'!F70+'címrend önként'!F70+'címrend államig'!F70)</f>
        <v>0</v>
      </c>
      <c r="P70" s="240"/>
      <c r="Q70" s="223"/>
      <c r="R70" s="223">
        <f>SUM('címrend kötelező'!G70+'címrend önként'!G70+'címrend államig'!G70)</f>
        <v>0</v>
      </c>
      <c r="S70" s="240"/>
      <c r="T70" s="223"/>
      <c r="U70" s="223">
        <f>SUM('címrend kötelező'!H70+'címrend önként'!H70+'címrend államig'!H70)</f>
        <v>0</v>
      </c>
      <c r="V70" s="240"/>
      <c r="W70" s="223"/>
      <c r="X70" s="223">
        <f>SUM('címrend kötelező'!I70+'címrend önként'!I70+'címrend államig'!I70)</f>
        <v>0</v>
      </c>
      <c r="Y70" s="240"/>
      <c r="Z70" s="223"/>
      <c r="AA70" s="223">
        <f>SUM('címrend kötelező'!J70+'címrend önként'!J70+'címrend államig'!J70)</f>
        <v>0</v>
      </c>
      <c r="AB70" s="240"/>
      <c r="AC70" s="223">
        <v>1341938</v>
      </c>
      <c r="AD70" s="223">
        <f>SUM('címrend kötelező'!K70+'címrend önként'!K70+'címrend államig'!K70)</f>
        <v>4398793</v>
      </c>
      <c r="AE70" s="240"/>
      <c r="AF70" s="223"/>
      <c r="AG70" s="223">
        <f>SUM('címrend kötelező'!L70+'címrend önként'!L70+'címrend államig'!L70)</f>
        <v>0</v>
      </c>
      <c r="AH70" s="240"/>
      <c r="AI70" s="223"/>
      <c r="AJ70" s="223">
        <f>SUM('címrend kötelező'!M70+'címrend önként'!M70+'címrend államig'!M70)</f>
        <v>0</v>
      </c>
      <c r="AK70" s="240"/>
      <c r="AL70" s="223"/>
      <c r="AM70" s="223">
        <f>SUM('címrend kötelező'!N70+'címrend önként'!N70+'címrend államig'!N70)</f>
        <v>0</v>
      </c>
      <c r="AN70" s="240"/>
      <c r="AO70" s="223"/>
      <c r="AP70" s="223">
        <f>SUM('címrend kötelező'!O70+'címrend önként'!O70+'címrend államig'!O70)</f>
        <v>0</v>
      </c>
      <c r="AQ70" s="240"/>
      <c r="AR70" s="223"/>
      <c r="AS70" s="223">
        <f>SUM('címrend kötelező'!P70+'címrend önként'!P70+'címrend államig'!P70)</f>
        <v>0</v>
      </c>
      <c r="AT70" s="240"/>
      <c r="AU70" s="223"/>
      <c r="AV70" s="223">
        <f>SUM('címrend kötelező'!Q70+'címrend önként'!Q70+'címrend államig'!Q70)</f>
        <v>0</v>
      </c>
      <c r="AW70" s="240"/>
      <c r="AX70" s="223"/>
      <c r="AY70" s="223">
        <f>SUM('címrend kötelező'!R70+'címrend önként'!R70+'címrend államig'!R70)</f>
        <v>0</v>
      </c>
      <c r="AZ70" s="240"/>
      <c r="BA70" s="223"/>
      <c r="BB70" s="223">
        <f>SUM('címrend kötelező'!S70+'címrend önként'!S70+'címrend államig'!S70)</f>
        <v>0</v>
      </c>
      <c r="BC70" s="240"/>
      <c r="BD70" s="223"/>
      <c r="BE70" s="223">
        <f>SUM('címrend kötelező'!T70+'címrend önként'!T70+'címrend államig'!T70)</f>
        <v>0</v>
      </c>
      <c r="BF70" s="240"/>
      <c r="BG70" s="223"/>
      <c r="BH70" s="223">
        <f>SUM('címrend kötelező'!U70+'címrend önként'!U70+'címrend államig'!U70)</f>
        <v>0</v>
      </c>
      <c r="BI70" s="240"/>
      <c r="BJ70" s="223"/>
      <c r="BK70" s="223">
        <f>SUM('címrend kötelező'!V70+'címrend önként'!V70+'címrend államig'!V70)</f>
        <v>0</v>
      </c>
      <c r="BL70" s="240"/>
      <c r="BM70" s="223"/>
      <c r="BN70" s="223">
        <f>SUM('címrend kötelező'!W70+'címrend önként'!W70+'címrend államig'!W70)</f>
        <v>0</v>
      </c>
      <c r="BO70" s="240"/>
      <c r="BP70" s="223"/>
      <c r="BQ70" s="223">
        <f>SUM('címrend kötelező'!X70+'címrend önként'!X70+'címrend államig'!X70)</f>
        <v>0</v>
      </c>
      <c r="BR70" s="240"/>
      <c r="BS70" s="223"/>
      <c r="BT70" s="223">
        <f>SUM('címrend kötelező'!Y70+'címrend önként'!Y70+'címrend államig'!Y70)</f>
        <v>0</v>
      </c>
      <c r="BU70" s="240"/>
      <c r="BV70" s="223"/>
      <c r="BW70" s="223">
        <f>SUM('címrend kötelező'!Z70+'címrend önként'!Z70+'címrend államig'!Z70)</f>
        <v>0</v>
      </c>
      <c r="BX70" s="240"/>
      <c r="BY70" s="223"/>
      <c r="BZ70" s="223">
        <f>SUM('címrend kötelező'!AA70+'címrend önként'!AA70+'címrend államig'!AA70)</f>
        <v>0</v>
      </c>
      <c r="CA70" s="240"/>
      <c r="CB70" s="223"/>
      <c r="CC70" s="223">
        <f>SUM('címrend kötelező'!AB70+'címrend önként'!AB70+'címrend államig'!AB70)</f>
        <v>0</v>
      </c>
      <c r="CD70" s="240"/>
      <c r="CE70" s="223"/>
      <c r="CF70" s="223">
        <f>SUM('címrend kötelező'!AC70+'címrend önként'!AC70+'címrend államig'!AC70)</f>
        <v>0</v>
      </c>
      <c r="CG70" s="240"/>
      <c r="CH70" s="223"/>
      <c r="CI70" s="223">
        <f>SUM('címrend kötelező'!AD70+'címrend önként'!AD70+'címrend államig'!AD70)</f>
        <v>0</v>
      </c>
      <c r="CJ70" s="240"/>
      <c r="CK70" s="223"/>
      <c r="CL70" s="223">
        <f>SUM('címrend kötelező'!AE70+'címrend önként'!AE70+'címrend államig'!AE70)</f>
        <v>0</v>
      </c>
      <c r="CM70" s="240"/>
      <c r="CN70" s="223"/>
      <c r="CO70" s="223">
        <f>SUM('címrend kötelező'!AF70+'címrend önként'!AF70+'címrend államig'!AF70)</f>
        <v>0</v>
      </c>
      <c r="CP70" s="240"/>
      <c r="CQ70" s="223"/>
      <c r="CR70" s="223">
        <f>SUM('címrend kötelező'!AG70+'címrend önként'!AG70+'címrend államig'!AG70)</f>
        <v>0</v>
      </c>
      <c r="CS70" s="240"/>
      <c r="CT70" s="223"/>
      <c r="CU70" s="223">
        <f>SUM('címrend kötelező'!AH70+'címrend önként'!AH70+'címrend államig'!AH70)</f>
        <v>0</v>
      </c>
      <c r="CV70" s="240"/>
      <c r="CW70" s="223"/>
      <c r="CX70" s="223">
        <f>SUM('címrend kötelező'!AI70+'címrend önként'!AI70+'címrend államig'!AI70)</f>
        <v>0</v>
      </c>
      <c r="CY70" s="240"/>
      <c r="CZ70" s="223"/>
      <c r="DA70" s="223">
        <f>SUM('címrend kötelező'!AJ70+'címrend önként'!AJ70+'címrend államig'!AJ70)</f>
        <v>0</v>
      </c>
      <c r="DB70" s="240"/>
      <c r="DC70" s="223"/>
      <c r="DD70" s="223">
        <f>SUM('címrend kötelező'!AK70+'címrend önként'!AK70+'címrend államig'!AK70)</f>
        <v>0</v>
      </c>
      <c r="DE70" s="240"/>
      <c r="DF70" s="223"/>
      <c r="DG70" s="223">
        <f>SUM('címrend kötelező'!AL70+'címrend önként'!AL70+'címrend államig'!AL70)</f>
        <v>0</v>
      </c>
      <c r="DH70" s="240"/>
      <c r="DI70" s="223"/>
      <c r="DJ70" s="223">
        <f>SUM('címrend kötelező'!AM70+'címrend önként'!AM70+'címrend államig'!AM70)</f>
        <v>0</v>
      </c>
      <c r="DK70" s="240"/>
      <c r="DL70" s="223"/>
      <c r="DM70" s="223">
        <f>SUM('címrend kötelező'!AN70+'címrend önként'!AN70+'címrend államig'!AN70)</f>
        <v>0</v>
      </c>
      <c r="DN70" s="240"/>
      <c r="DO70" s="223"/>
      <c r="DP70" s="223">
        <f>SUM('címrend kötelező'!AO70+'címrend önként'!AO70+'címrend államig'!AO70)</f>
        <v>0</v>
      </c>
      <c r="DQ70" s="240"/>
      <c r="DR70" s="389">
        <f t="shared" si="169"/>
        <v>1341938</v>
      </c>
      <c r="DS70" s="389">
        <f t="shared" si="169"/>
        <v>4398793</v>
      </c>
      <c r="DT70" s="389">
        <f t="shared" si="170"/>
        <v>327.79405605922182</v>
      </c>
      <c r="DU70" s="223"/>
      <c r="DV70" s="223">
        <f>SUM('címrend kötelező'!AQ70+'címrend önként'!AQ70+'címrend államig'!AQ70)</f>
        <v>0</v>
      </c>
      <c r="DW70" s="241"/>
      <c r="DX70" s="223"/>
      <c r="DY70" s="223">
        <f>SUM('címrend kötelező'!AR70+'címrend önként'!AR70+'címrend államig'!AR70)</f>
        <v>0</v>
      </c>
      <c r="DZ70" s="241"/>
      <c r="EA70" s="223"/>
      <c r="EB70" s="223">
        <f>SUM('címrend kötelező'!AS70+'címrend önként'!AS70+'címrend államig'!AS70)</f>
        <v>0</v>
      </c>
      <c r="EC70" s="241"/>
      <c r="ED70" s="223"/>
      <c r="EE70" s="223">
        <f>SUM('címrend kötelező'!AT70+'címrend önként'!AT70+'címrend államig'!AT70)</f>
        <v>0</v>
      </c>
      <c r="EF70" s="241"/>
      <c r="EG70" s="223"/>
      <c r="EH70" s="223">
        <f>SUM('címrend kötelező'!AU70+'címrend önként'!AU70+'címrend államig'!AU70)</f>
        <v>0</v>
      </c>
      <c r="EI70" s="241"/>
      <c r="EJ70" s="223"/>
      <c r="EK70" s="223">
        <f>SUM('címrend kötelező'!AV70+'címrend önként'!AV70+'címrend államig'!AV70)</f>
        <v>0</v>
      </c>
      <c r="EL70" s="241"/>
      <c r="EM70" s="223"/>
      <c r="EN70" s="223">
        <f>SUM('címrend kötelező'!AW70+'címrend önként'!AW70+'címrend államig'!AW70)</f>
        <v>0</v>
      </c>
      <c r="EO70" s="241"/>
      <c r="EP70" s="223"/>
      <c r="EQ70" s="223">
        <f>SUM('címrend kötelező'!AX70+'címrend önként'!AX70+'címrend államig'!AX70)</f>
        <v>0</v>
      </c>
      <c r="ER70" s="241"/>
      <c r="ES70" s="223"/>
      <c r="ET70" s="223">
        <f>SUM('címrend kötelező'!AY70+'címrend önként'!AY70+'címrend államig'!AY70)</f>
        <v>0</v>
      </c>
      <c r="EU70" s="241"/>
      <c r="EV70" s="389">
        <f t="shared" si="179"/>
        <v>0</v>
      </c>
      <c r="EW70" s="389">
        <f t="shared" si="179"/>
        <v>0</v>
      </c>
      <c r="EX70" s="730"/>
      <c r="EY70" s="223"/>
      <c r="EZ70" s="223">
        <f>'címrend kötelező'!BA70+'címrend önként'!BA70+'címrend államig'!BA70</f>
        <v>0</v>
      </c>
      <c r="FA70" s="241"/>
      <c r="FB70" s="223"/>
      <c r="FC70" s="223">
        <f>'címrend kötelező'!BB70+'címrend önként'!BB70+'címrend államig'!BB70</f>
        <v>0</v>
      </c>
      <c r="FD70" s="241"/>
      <c r="FE70" s="223"/>
      <c r="FF70" s="223">
        <f>'címrend kötelező'!BC70+'címrend önként'!BC70+'címrend államig'!BC70</f>
        <v>0</v>
      </c>
      <c r="FG70" s="241"/>
      <c r="FH70" s="223">
        <v>1000</v>
      </c>
      <c r="FI70" s="223">
        <f>'címrend kötelező'!BD70+'címrend önként'!BD70+'címrend államig'!BD70</f>
        <v>50000</v>
      </c>
      <c r="FJ70" s="241"/>
      <c r="FK70" s="241"/>
      <c r="FL70" s="223">
        <f>'címrend kötelező'!BE70+'címrend önként'!BE70+'címrend államig'!BE70</f>
        <v>0</v>
      </c>
      <c r="FM70" s="241"/>
      <c r="FN70" s="223"/>
      <c r="FO70" s="223">
        <f>SUM('címrend kötelező'!BF70+'címrend önként'!BF70+'címrend államig'!BF70)</f>
        <v>0</v>
      </c>
      <c r="FP70" s="241"/>
      <c r="FQ70" s="223"/>
      <c r="FR70" s="223">
        <f>SUM('címrend kötelező'!BG70+'címrend önként'!BG70+'címrend államig'!BG70)</f>
        <v>0</v>
      </c>
      <c r="FS70" s="241"/>
      <c r="FT70" s="223"/>
      <c r="FU70" s="223">
        <f>SUM('címrend kötelező'!BH70+'címrend önként'!BH70+'címrend államig'!BH70)</f>
        <v>0</v>
      </c>
      <c r="FV70" s="241"/>
      <c r="FW70" s="223">
        <v>11500</v>
      </c>
      <c r="FX70" s="223">
        <f>SUM('címrend kötelező'!BI70+'címrend önként'!BI70+'címrend államig'!BI70)</f>
        <v>9000</v>
      </c>
      <c r="FY70" s="241"/>
      <c r="FZ70" s="223">
        <v>2600</v>
      </c>
      <c r="GA70" s="223">
        <f>SUM('címrend kötelező'!BJ70+'címrend önként'!BJ70+'címrend államig'!BJ70)</f>
        <v>2600</v>
      </c>
      <c r="GB70" s="241"/>
      <c r="GC70" s="223"/>
      <c r="GD70" s="223">
        <f>SUM('címrend kötelező'!BK70+'címrend önként'!BK70+'címrend államig'!BK70)</f>
        <v>0</v>
      </c>
      <c r="GE70" s="241"/>
      <c r="GF70" s="223"/>
      <c r="GG70" s="223">
        <f>SUM('címrend kötelező'!BL70+'címrend önként'!BL70+'címrend államig'!BL70)</f>
        <v>0</v>
      </c>
      <c r="GH70" s="241"/>
      <c r="GI70" s="223"/>
      <c r="GJ70" s="223">
        <f>SUM('címrend kötelező'!BM70+'címrend önként'!BM70+'címrend államig'!BM70)</f>
        <v>0</v>
      </c>
      <c r="GK70" s="241"/>
      <c r="GL70" s="223"/>
      <c r="GM70" s="223">
        <f>SUM('címrend kötelező'!BN70+'címrend önként'!BN70+'címrend államig'!BN70)</f>
        <v>0</v>
      </c>
      <c r="GN70" s="241"/>
      <c r="GO70" s="389">
        <f>EY70+FB70+FE70+FH70+FN70+FQ70+FT70+FW70+FZ70+GC70+GF70+GI70+GL70</f>
        <v>15100</v>
      </c>
      <c r="GP70" s="389">
        <f t="shared" si="1582"/>
        <v>61600</v>
      </c>
      <c r="GQ70" s="389"/>
      <c r="GR70" s="223">
        <v>22168</v>
      </c>
      <c r="GS70" s="223">
        <f>SUM('címrend kötelező'!BP70+'címrend önként'!BP70+'címrend államig'!BP70)</f>
        <v>0</v>
      </c>
      <c r="GT70" s="241"/>
      <c r="GU70" s="223"/>
      <c r="GV70" s="223">
        <f>SUM('címrend kötelező'!BQ70+'címrend önként'!BQ70+'címrend államig'!BQ70)</f>
        <v>0</v>
      </c>
      <c r="GW70" s="241"/>
      <c r="GX70" s="223">
        <v>33410</v>
      </c>
      <c r="GY70" s="223">
        <f>SUM('címrend kötelező'!BR70+'címrend önként'!BR70+'címrend államig'!BR70)</f>
        <v>0</v>
      </c>
      <c r="GZ70" s="241"/>
      <c r="HA70" s="389">
        <f t="shared" si="198"/>
        <v>70678</v>
      </c>
      <c r="HB70" s="389">
        <f t="shared" si="198"/>
        <v>61600</v>
      </c>
      <c r="HC70" s="389"/>
      <c r="HD70" s="241">
        <f t="shared" si="1586"/>
        <v>1412616</v>
      </c>
      <c r="HE70" s="241">
        <f>DS70+EW70+HB70</f>
        <v>4460393</v>
      </c>
      <c r="HF70" s="2498">
        <f t="shared" ref="HF70" si="1587">HE70/HD70*100</f>
        <v>315.7541044416883</v>
      </c>
      <c r="HH70" s="242"/>
      <c r="HI70" s="242"/>
    </row>
    <row r="71" spans="1:217" x14ac:dyDescent="0.25">
      <c r="C71" s="21"/>
      <c r="D71" s="21"/>
      <c r="E71" s="21"/>
    </row>
    <row r="72" spans="1:217" x14ac:dyDescent="0.25">
      <c r="B72" s="21">
        <f>SUM(B6)</f>
        <v>167015</v>
      </c>
      <c r="C72" s="21">
        <f t="shared" ref="C72:AP72" si="1588">SUM(C6)</f>
        <v>206863</v>
      </c>
      <c r="D72" s="21">
        <f t="shared" si="1588"/>
        <v>123.85893482621321</v>
      </c>
      <c r="E72" s="21">
        <f t="shared" si="1588"/>
        <v>0</v>
      </c>
      <c r="F72" s="21">
        <f t="shared" si="1588"/>
        <v>0</v>
      </c>
      <c r="G72" s="21">
        <f t="shared" si="1588"/>
        <v>0</v>
      </c>
      <c r="H72" s="21">
        <f t="shared" si="1588"/>
        <v>3353</v>
      </c>
      <c r="I72" s="21">
        <f t="shared" si="1588"/>
        <v>3353</v>
      </c>
      <c r="J72" s="21">
        <f t="shared" si="1588"/>
        <v>100</v>
      </c>
      <c r="K72" s="21">
        <f t="shared" si="1588"/>
        <v>6832</v>
      </c>
      <c r="L72" s="21">
        <f t="shared" si="1588"/>
        <v>22185.599999999999</v>
      </c>
      <c r="M72" s="21">
        <f t="shared" si="1588"/>
        <v>324.73067915690865</v>
      </c>
      <c r="N72" s="21">
        <f t="shared" si="1588"/>
        <v>160628</v>
      </c>
      <c r="O72" s="21">
        <f t="shared" si="1588"/>
        <v>29715</v>
      </c>
      <c r="P72" s="21">
        <f t="shared" si="1588"/>
        <v>18.499265383370272</v>
      </c>
      <c r="Q72" s="21">
        <f t="shared" si="1588"/>
        <v>513406</v>
      </c>
      <c r="R72" s="21">
        <f t="shared" si="1588"/>
        <v>284466</v>
      </c>
      <c r="S72" s="21">
        <f t="shared" si="1588"/>
        <v>55.407611130372459</v>
      </c>
      <c r="T72" s="21">
        <f t="shared" si="1588"/>
        <v>1232768</v>
      </c>
      <c r="U72" s="21">
        <f t="shared" si="1588"/>
        <v>761036</v>
      </c>
      <c r="V72" s="21">
        <f t="shared" si="1588"/>
        <v>61.733919115356663</v>
      </c>
      <c r="W72" s="21">
        <f t="shared" si="1588"/>
        <v>7000</v>
      </c>
      <c r="X72" s="21">
        <f t="shared" si="1588"/>
        <v>5504</v>
      </c>
      <c r="Y72" s="21">
        <f t="shared" si="1588"/>
        <v>78.628571428571419</v>
      </c>
      <c r="Z72" s="21">
        <f t="shared" si="1588"/>
        <v>6933369</v>
      </c>
      <c r="AA72" s="21">
        <f t="shared" si="1588"/>
        <v>6947297</v>
      </c>
      <c r="AB72" s="21">
        <f t="shared" si="1588"/>
        <v>100.20088358199311</v>
      </c>
      <c r="AC72" s="21">
        <f t="shared" si="1588"/>
        <v>0</v>
      </c>
      <c r="AD72" s="21">
        <f t="shared" si="1588"/>
        <v>0</v>
      </c>
      <c r="AE72" s="21">
        <f t="shared" si="1588"/>
        <v>0</v>
      </c>
      <c r="AF72" s="21">
        <f t="shared" si="1588"/>
        <v>5050</v>
      </c>
      <c r="AG72" s="21">
        <f t="shared" si="1588"/>
        <v>14850</v>
      </c>
      <c r="AH72" s="21">
        <f t="shared" si="1588"/>
        <v>294.05940594059405</v>
      </c>
      <c r="AI72" s="21">
        <f t="shared" si="1588"/>
        <v>13210</v>
      </c>
      <c r="AJ72" s="21">
        <f t="shared" si="1588"/>
        <v>30190</v>
      </c>
      <c r="AK72" s="21">
        <f t="shared" si="1588"/>
        <v>228.53898561695684</v>
      </c>
      <c r="AL72" s="21">
        <f t="shared" si="1588"/>
        <v>143901</v>
      </c>
      <c r="AM72" s="21">
        <f t="shared" si="1588"/>
        <v>124200</v>
      </c>
      <c r="AN72" s="21">
        <f t="shared" si="1588"/>
        <v>86.309337669647874</v>
      </c>
      <c r="AO72" s="21">
        <f t="shared" si="1588"/>
        <v>1121188</v>
      </c>
      <c r="AP72" s="21">
        <f t="shared" si="1588"/>
        <v>1108100</v>
      </c>
      <c r="AQ72" s="21">
        <f t="shared" ref="AQ72:DB72" si="1589">SUM(AQ6)</f>
        <v>98.832666778452861</v>
      </c>
      <c r="AR72" s="21">
        <f t="shared" si="1589"/>
        <v>15000</v>
      </c>
      <c r="AS72" s="21">
        <f t="shared" si="1589"/>
        <v>10000</v>
      </c>
      <c r="AT72" s="21">
        <f t="shared" si="1589"/>
        <v>66.666666666666657</v>
      </c>
      <c r="AU72" s="21">
        <f t="shared" si="1589"/>
        <v>172107</v>
      </c>
      <c r="AV72" s="21">
        <f t="shared" si="1589"/>
        <v>186850</v>
      </c>
      <c r="AW72" s="21">
        <f t="shared" si="1589"/>
        <v>108.56618266543488</v>
      </c>
      <c r="AX72" s="21">
        <f t="shared" si="1589"/>
        <v>59689</v>
      </c>
      <c r="AY72" s="21">
        <f t="shared" si="1589"/>
        <v>117280</v>
      </c>
      <c r="AZ72" s="21">
        <f t="shared" si="1589"/>
        <v>196.48511451021128</v>
      </c>
      <c r="BA72" s="21">
        <f t="shared" si="1589"/>
        <v>0</v>
      </c>
      <c r="BB72" s="21">
        <f t="shared" si="1589"/>
        <v>20000</v>
      </c>
      <c r="BC72" s="21">
        <f t="shared" si="1589"/>
        <v>0</v>
      </c>
      <c r="BD72" s="21">
        <f t="shared" si="1589"/>
        <v>300</v>
      </c>
      <c r="BE72" s="21">
        <f t="shared" si="1589"/>
        <v>300</v>
      </c>
      <c r="BF72" s="21">
        <f t="shared" si="1589"/>
        <v>100</v>
      </c>
      <c r="BG72" s="21">
        <f t="shared" si="1589"/>
        <v>146888</v>
      </c>
      <c r="BH72" s="21">
        <f t="shared" si="1589"/>
        <v>170376</v>
      </c>
      <c r="BI72" s="21">
        <f t="shared" si="1589"/>
        <v>115.99041446544305</v>
      </c>
      <c r="BJ72" s="21">
        <f t="shared" si="1589"/>
        <v>0</v>
      </c>
      <c r="BK72" s="21">
        <f t="shared" si="1589"/>
        <v>0</v>
      </c>
      <c r="BL72" s="21">
        <f t="shared" si="1589"/>
        <v>0</v>
      </c>
      <c r="BM72" s="21">
        <f t="shared" si="1589"/>
        <v>19500</v>
      </c>
      <c r="BN72" s="21">
        <f t="shared" si="1589"/>
        <v>3800</v>
      </c>
      <c r="BO72" s="21">
        <f t="shared" si="1589"/>
        <v>19.487179487179489</v>
      </c>
      <c r="BP72" s="21">
        <f t="shared" si="1589"/>
        <v>909621</v>
      </c>
      <c r="BQ72" s="21">
        <f t="shared" si="1589"/>
        <v>2524497</v>
      </c>
      <c r="BR72" s="21">
        <f t="shared" si="1589"/>
        <v>277.53284060064578</v>
      </c>
      <c r="BS72" s="21">
        <f t="shared" si="1589"/>
        <v>137489</v>
      </c>
      <c r="BT72" s="21">
        <f t="shared" si="1589"/>
        <v>128204</v>
      </c>
      <c r="BU72" s="21">
        <f t="shared" si="1589"/>
        <v>93.246732465869997</v>
      </c>
      <c r="BV72" s="21">
        <f t="shared" si="1589"/>
        <v>0</v>
      </c>
      <c r="BW72" s="21">
        <f t="shared" si="1589"/>
        <v>0</v>
      </c>
      <c r="BX72" s="21">
        <f t="shared" si="1589"/>
        <v>0</v>
      </c>
      <c r="BY72" s="21">
        <f t="shared" si="1589"/>
        <v>943567</v>
      </c>
      <c r="BZ72" s="21">
        <f t="shared" si="1589"/>
        <v>1181735</v>
      </c>
      <c r="CA72" s="21">
        <f t="shared" si="1589"/>
        <v>125.24123883094683</v>
      </c>
      <c r="CB72" s="21">
        <f t="shared" si="1589"/>
        <v>0</v>
      </c>
      <c r="CC72" s="21">
        <f t="shared" si="1589"/>
        <v>0</v>
      </c>
      <c r="CD72" s="21">
        <f t="shared" si="1589"/>
        <v>0</v>
      </c>
      <c r="CE72" s="21">
        <f t="shared" si="1589"/>
        <v>4237203</v>
      </c>
      <c r="CF72" s="21">
        <f t="shared" si="1589"/>
        <v>4033745</v>
      </c>
      <c r="CG72" s="21">
        <f t="shared" si="1589"/>
        <v>95.198294724137597</v>
      </c>
      <c r="CH72" s="21">
        <f t="shared" si="1589"/>
        <v>548054</v>
      </c>
      <c r="CI72" s="21">
        <f t="shared" si="1589"/>
        <v>1298195</v>
      </c>
      <c r="CJ72" s="21">
        <f t="shared" si="1589"/>
        <v>236.8735562554055</v>
      </c>
      <c r="CK72" s="21">
        <f t="shared" si="1589"/>
        <v>1568760</v>
      </c>
      <c r="CL72" s="21">
        <f t="shared" si="1589"/>
        <v>193677</v>
      </c>
      <c r="CM72" s="21">
        <f t="shared" si="1589"/>
        <v>12.345865524363191</v>
      </c>
      <c r="CN72" s="21">
        <f t="shared" si="1589"/>
        <v>218687</v>
      </c>
      <c r="CO72" s="21">
        <f t="shared" si="1589"/>
        <v>530493</v>
      </c>
      <c r="CP72" s="21">
        <f t="shared" si="1589"/>
        <v>242.58094902760567</v>
      </c>
      <c r="CQ72" s="21">
        <f t="shared" si="1589"/>
        <v>0</v>
      </c>
      <c r="CR72" s="21">
        <f t="shared" si="1589"/>
        <v>0</v>
      </c>
      <c r="CS72" s="21">
        <f t="shared" si="1589"/>
        <v>0</v>
      </c>
      <c r="CT72" s="21">
        <f t="shared" si="1589"/>
        <v>1000</v>
      </c>
      <c r="CU72" s="21">
        <f t="shared" si="1589"/>
        <v>1000</v>
      </c>
      <c r="CV72" s="21">
        <f t="shared" si="1589"/>
        <v>100</v>
      </c>
      <c r="CW72" s="21">
        <f t="shared" si="1589"/>
        <v>8500</v>
      </c>
      <c r="CX72" s="21">
        <f t="shared" si="1589"/>
        <v>12200</v>
      </c>
      <c r="CY72" s="21">
        <f t="shared" si="1589"/>
        <v>143.52941176470588</v>
      </c>
      <c r="CZ72" s="21">
        <f t="shared" si="1589"/>
        <v>75742</v>
      </c>
      <c r="DA72" s="21">
        <f t="shared" si="1589"/>
        <v>86096</v>
      </c>
      <c r="DB72" s="21">
        <f t="shared" si="1589"/>
        <v>113.67009057062131</v>
      </c>
      <c r="DC72" s="21">
        <f t="shared" ref="DC72:DT72" si="1590">SUM(DC6)</f>
        <v>1000000</v>
      </c>
      <c r="DD72" s="21">
        <f t="shared" si="1590"/>
        <v>300000</v>
      </c>
      <c r="DE72" s="21">
        <f t="shared" si="1590"/>
        <v>30</v>
      </c>
      <c r="DF72" s="21">
        <f t="shared" si="1590"/>
        <v>263782</v>
      </c>
      <c r="DG72" s="21">
        <f t="shared" si="1590"/>
        <v>260465</v>
      </c>
      <c r="DH72" s="21">
        <f t="shared" si="1590"/>
        <v>98.742522234269202</v>
      </c>
      <c r="DI72" s="21">
        <f t="shared" si="1590"/>
        <v>102568</v>
      </c>
      <c r="DJ72" s="21">
        <f t="shared" si="1590"/>
        <v>124130</v>
      </c>
      <c r="DK72" s="21">
        <f t="shared" si="1590"/>
        <v>121.02215115825598</v>
      </c>
      <c r="DL72" s="21">
        <f t="shared" si="1590"/>
        <v>143716</v>
      </c>
      <c r="DM72" s="21">
        <f t="shared" si="1590"/>
        <v>132644</v>
      </c>
      <c r="DN72" s="21">
        <f t="shared" si="1590"/>
        <v>92.295916947312747</v>
      </c>
      <c r="DO72" s="21">
        <f t="shared" si="1590"/>
        <v>968958</v>
      </c>
      <c r="DP72" s="21">
        <f t="shared" si="1590"/>
        <v>838769</v>
      </c>
      <c r="DQ72" s="21">
        <f t="shared" si="1590"/>
        <v>86.564020318734151</v>
      </c>
      <c r="DR72" s="21">
        <f t="shared" si="1590"/>
        <v>21848851</v>
      </c>
      <c r="DS72" s="21">
        <f t="shared" si="1590"/>
        <v>21692215.600000001</v>
      </c>
      <c r="DT72" s="21">
        <f t="shared" si="1590"/>
        <v>99.283095481771568</v>
      </c>
      <c r="DU72" s="21">
        <f t="shared" ref="DU72:EZ72" si="1591">SUM(DU6)</f>
        <v>17608</v>
      </c>
      <c r="DV72" s="21">
        <f t="shared" si="1591"/>
        <v>12303</v>
      </c>
      <c r="DW72" s="21">
        <f t="shared" si="1591"/>
        <v>69.871649250340752</v>
      </c>
      <c r="DX72" s="21">
        <f t="shared" si="1591"/>
        <v>5811</v>
      </c>
      <c r="DY72" s="21">
        <f t="shared" si="1591"/>
        <v>5789</v>
      </c>
      <c r="DZ72" s="21">
        <f t="shared" si="1591"/>
        <v>99.621407675098951</v>
      </c>
      <c r="EA72" s="21">
        <f t="shared" si="1591"/>
        <v>5832</v>
      </c>
      <c r="EB72" s="21">
        <f t="shared" si="1591"/>
        <v>5440</v>
      </c>
      <c r="EC72" s="21">
        <f t="shared" si="1591"/>
        <v>93.27846364883402</v>
      </c>
      <c r="ED72" s="21">
        <f t="shared" si="1591"/>
        <v>330502</v>
      </c>
      <c r="EE72" s="21">
        <f t="shared" si="1591"/>
        <v>260493</v>
      </c>
      <c r="EF72" s="21">
        <f t="shared" si="1591"/>
        <v>78.817374781393156</v>
      </c>
      <c r="EG72" s="21">
        <f t="shared" si="1591"/>
        <v>116046</v>
      </c>
      <c r="EH72" s="21">
        <f t="shared" si="1591"/>
        <v>76526</v>
      </c>
      <c r="EI72" s="21">
        <f t="shared" si="1591"/>
        <v>65.944539234441507</v>
      </c>
      <c r="EJ72" s="21">
        <f t="shared" si="1591"/>
        <v>79759</v>
      </c>
      <c r="EK72" s="21">
        <f t="shared" si="1591"/>
        <v>37118</v>
      </c>
      <c r="EL72" s="21">
        <f t="shared" si="1591"/>
        <v>46.537694805601873</v>
      </c>
      <c r="EM72" s="21">
        <f t="shared" si="1591"/>
        <v>14410</v>
      </c>
      <c r="EN72" s="21">
        <f t="shared" si="1591"/>
        <v>14264</v>
      </c>
      <c r="EO72" s="21">
        <f t="shared" si="1591"/>
        <v>98.986814712005554</v>
      </c>
      <c r="EP72" s="21">
        <f t="shared" si="1591"/>
        <v>1445232</v>
      </c>
      <c r="EQ72" s="21">
        <f t="shared" si="1591"/>
        <v>1471892</v>
      </c>
      <c r="ER72" s="21">
        <f t="shared" si="1591"/>
        <v>101.84468652783774</v>
      </c>
      <c r="ES72" s="21">
        <f t="shared" si="1591"/>
        <v>534968</v>
      </c>
      <c r="ET72" s="21">
        <f t="shared" si="1591"/>
        <v>538750</v>
      </c>
      <c r="EU72" s="21">
        <f t="shared" si="1591"/>
        <v>100.70695817319914</v>
      </c>
      <c r="EV72" s="27">
        <f t="shared" si="1591"/>
        <v>2550168</v>
      </c>
      <c r="EW72" s="27">
        <f t="shared" si="1591"/>
        <v>2422575</v>
      </c>
      <c r="EX72" s="27">
        <f t="shared" si="1591"/>
        <v>94.996682571501168</v>
      </c>
      <c r="EY72" s="21">
        <f t="shared" si="1591"/>
        <v>69860</v>
      </c>
      <c r="EZ72" s="21">
        <f t="shared" si="1591"/>
        <v>70134</v>
      </c>
      <c r="FA72" s="21">
        <f t="shared" ref="FA72:HF72" si="1592">SUM(FA6)</f>
        <v>100.39221299742343</v>
      </c>
      <c r="FB72" s="21">
        <f t="shared" si="1592"/>
        <v>155006</v>
      </c>
      <c r="FC72" s="21">
        <f t="shared" si="1592"/>
        <v>159215</v>
      </c>
      <c r="FD72" s="21">
        <f t="shared" si="1592"/>
        <v>102.71537875953189</v>
      </c>
      <c r="FE72" s="21">
        <f t="shared" si="1592"/>
        <v>63801</v>
      </c>
      <c r="FF72" s="21">
        <f t="shared" si="1592"/>
        <v>69408</v>
      </c>
      <c r="FG72" s="21">
        <f t="shared" si="1592"/>
        <v>108.78826350684159</v>
      </c>
      <c r="FH72" s="21">
        <f t="shared" si="1592"/>
        <v>318036</v>
      </c>
      <c r="FI72" s="21">
        <f t="shared" si="1592"/>
        <v>493265</v>
      </c>
      <c r="FJ72" s="21">
        <f t="shared" si="1592"/>
        <v>155.09722169817252</v>
      </c>
      <c r="FK72" s="21"/>
      <c r="FL72" s="21"/>
      <c r="FM72" s="21"/>
      <c r="FN72" s="21">
        <f t="shared" si="1592"/>
        <v>124662</v>
      </c>
      <c r="FO72" s="21">
        <f t="shared" si="1592"/>
        <v>136018</v>
      </c>
      <c r="FP72" s="21">
        <f t="shared" si="1592"/>
        <v>109.10943190386806</v>
      </c>
      <c r="FQ72" s="21">
        <f t="shared" si="1592"/>
        <v>235020</v>
      </c>
      <c r="FR72" s="21">
        <f t="shared" si="1592"/>
        <v>227009</v>
      </c>
      <c r="FS72" s="21">
        <f t="shared" si="1592"/>
        <v>96.591353927325329</v>
      </c>
      <c r="FT72" s="21">
        <f t="shared" si="1592"/>
        <v>114364</v>
      </c>
      <c r="FU72" s="21">
        <f t="shared" si="1592"/>
        <v>123230</v>
      </c>
      <c r="FV72" s="21">
        <f t="shared" si="1592"/>
        <v>107.75243957888847</v>
      </c>
      <c r="FW72" s="21">
        <f t="shared" si="1592"/>
        <v>166255</v>
      </c>
      <c r="FX72" s="21">
        <f t="shared" si="1592"/>
        <v>173676</v>
      </c>
      <c r="FY72" s="21">
        <f t="shared" si="1592"/>
        <v>104.4636251541307</v>
      </c>
      <c r="FZ72" s="21">
        <f t="shared" si="1592"/>
        <v>96824</v>
      </c>
      <c r="GA72" s="21">
        <f t="shared" si="1592"/>
        <v>108816</v>
      </c>
      <c r="GB72" s="21">
        <f t="shared" si="1592"/>
        <v>112.38535900190037</v>
      </c>
      <c r="GC72" s="21">
        <f t="shared" si="1592"/>
        <v>16644</v>
      </c>
      <c r="GD72" s="21">
        <f t="shared" si="1592"/>
        <v>20276</v>
      </c>
      <c r="GE72" s="21">
        <f t="shared" si="1592"/>
        <v>121.82167748137466</v>
      </c>
      <c r="GF72" s="21">
        <f t="shared" si="1592"/>
        <v>59358</v>
      </c>
      <c r="GG72" s="21">
        <f t="shared" si="1592"/>
        <v>57090</v>
      </c>
      <c r="GH72" s="21">
        <f t="shared" si="1592"/>
        <v>96.179116547053468</v>
      </c>
      <c r="GI72" s="21">
        <f t="shared" si="1592"/>
        <v>71644</v>
      </c>
      <c r="GJ72" s="21">
        <f t="shared" si="1592"/>
        <v>70550</v>
      </c>
      <c r="GK72" s="21">
        <f t="shared" si="1592"/>
        <v>98.47300541566635</v>
      </c>
      <c r="GL72" s="21">
        <f t="shared" si="1592"/>
        <v>792126</v>
      </c>
      <c r="GM72" s="21">
        <f t="shared" si="1592"/>
        <v>808636</v>
      </c>
      <c r="GN72" s="21">
        <f>SUM(GN6)</f>
        <v>102.08426437208222</v>
      </c>
      <c r="GO72" s="21">
        <f t="shared" si="1592"/>
        <v>2283600</v>
      </c>
      <c r="GP72" s="21">
        <f t="shared" si="1592"/>
        <v>2563690</v>
      </c>
      <c r="GQ72" s="21">
        <f t="shared" si="1592"/>
        <v>112.26528288667016</v>
      </c>
      <c r="GR72" s="21">
        <f t="shared" si="1592"/>
        <v>1021191</v>
      </c>
      <c r="GS72" s="21">
        <f t="shared" si="1592"/>
        <v>1042919</v>
      </c>
      <c r="GT72" s="21">
        <f t="shared" si="1592"/>
        <v>102.127711662167</v>
      </c>
      <c r="GU72" s="21">
        <f t="shared" si="1592"/>
        <v>1713302</v>
      </c>
      <c r="GV72" s="21">
        <f t="shared" si="1592"/>
        <v>1820317</v>
      </c>
      <c r="GW72" s="21">
        <f t="shared" si="1592"/>
        <v>106.24612590191337</v>
      </c>
      <c r="GX72" s="21">
        <f t="shared" si="1592"/>
        <v>1526944</v>
      </c>
      <c r="GY72" s="21">
        <f t="shared" si="1592"/>
        <v>1340388</v>
      </c>
      <c r="GZ72" s="21">
        <f t="shared" si="1592"/>
        <v>87.782394115304811</v>
      </c>
      <c r="HA72" s="21">
        <f t="shared" si="1592"/>
        <v>6545037</v>
      </c>
      <c r="HB72" s="21">
        <f t="shared" si="1592"/>
        <v>6767314</v>
      </c>
      <c r="HC72" s="21">
        <f t="shared" si="1592"/>
        <v>103.39611525496342</v>
      </c>
      <c r="HD72" s="21">
        <f t="shared" si="1592"/>
        <v>30944056</v>
      </c>
      <c r="HE72" s="21">
        <f t="shared" si="1592"/>
        <v>30882104.600000001</v>
      </c>
      <c r="HF72" s="21">
        <f t="shared" si="1592"/>
        <v>99.799795476068169</v>
      </c>
    </row>
    <row r="73" spans="1:217" x14ac:dyDescent="0.25">
      <c r="B73" s="21">
        <f>SUM(B27)</f>
        <v>0</v>
      </c>
      <c r="C73" s="21">
        <f t="shared" ref="C73:AP73" si="1593">SUM(C27)</f>
        <v>0</v>
      </c>
      <c r="D73" s="21">
        <f t="shared" si="1593"/>
        <v>0</v>
      </c>
      <c r="E73" s="21">
        <f t="shared" si="1593"/>
        <v>0</v>
      </c>
      <c r="F73" s="21">
        <f t="shared" si="1593"/>
        <v>0</v>
      </c>
      <c r="G73" s="21">
        <f t="shared" si="1593"/>
        <v>0</v>
      </c>
      <c r="H73" s="21">
        <f t="shared" si="1593"/>
        <v>0</v>
      </c>
      <c r="I73" s="21">
        <f t="shared" si="1593"/>
        <v>0</v>
      </c>
      <c r="J73" s="21">
        <f t="shared" si="1593"/>
        <v>0</v>
      </c>
      <c r="K73" s="21">
        <f t="shared" si="1593"/>
        <v>500</v>
      </c>
      <c r="L73" s="21">
        <f t="shared" si="1593"/>
        <v>300</v>
      </c>
      <c r="M73" s="21">
        <f>SUM(M27)</f>
        <v>0</v>
      </c>
      <c r="N73" s="21">
        <f t="shared" si="1593"/>
        <v>0</v>
      </c>
      <c r="O73" s="21">
        <f t="shared" si="1593"/>
        <v>0</v>
      </c>
      <c r="P73" s="21">
        <f t="shared" si="1593"/>
        <v>0</v>
      </c>
      <c r="Q73" s="21">
        <f t="shared" si="1593"/>
        <v>0</v>
      </c>
      <c r="R73" s="21">
        <f t="shared" si="1593"/>
        <v>0</v>
      </c>
      <c r="S73" s="21">
        <f t="shared" si="1593"/>
        <v>0</v>
      </c>
      <c r="T73" s="21">
        <f t="shared" si="1593"/>
        <v>0</v>
      </c>
      <c r="U73" s="21">
        <f t="shared" si="1593"/>
        <v>0</v>
      </c>
      <c r="V73" s="21">
        <f t="shared" si="1593"/>
        <v>0</v>
      </c>
      <c r="W73" s="21">
        <f t="shared" si="1593"/>
        <v>7807000</v>
      </c>
      <c r="X73" s="21">
        <f t="shared" si="1593"/>
        <v>8835936</v>
      </c>
      <c r="Y73" s="21">
        <f t="shared" si="1593"/>
        <v>0</v>
      </c>
      <c r="Z73" s="21">
        <f t="shared" si="1593"/>
        <v>1989538</v>
      </c>
      <c r="AA73" s="21">
        <f t="shared" si="1593"/>
        <v>2030251.764</v>
      </c>
      <c r="AB73" s="21">
        <f t="shared" si="1593"/>
        <v>0</v>
      </c>
      <c r="AC73" s="21">
        <f t="shared" si="1593"/>
        <v>4397594</v>
      </c>
      <c r="AD73" s="21">
        <f t="shared" si="1593"/>
        <v>5187758</v>
      </c>
      <c r="AE73" s="21">
        <f t="shared" si="1593"/>
        <v>0</v>
      </c>
      <c r="AF73" s="21">
        <f t="shared" si="1593"/>
        <v>0</v>
      </c>
      <c r="AG73" s="21">
        <f t="shared" si="1593"/>
        <v>0</v>
      </c>
      <c r="AH73" s="21">
        <f t="shared" si="1593"/>
        <v>0</v>
      </c>
      <c r="AI73" s="21">
        <f t="shared" si="1593"/>
        <v>5603</v>
      </c>
      <c r="AJ73" s="21">
        <f t="shared" si="1593"/>
        <v>5698</v>
      </c>
      <c r="AK73" s="21">
        <f t="shared" si="1593"/>
        <v>0</v>
      </c>
      <c r="AL73" s="21">
        <f t="shared" si="1593"/>
        <v>4000</v>
      </c>
      <c r="AM73" s="21">
        <f t="shared" si="1593"/>
        <v>4000</v>
      </c>
      <c r="AN73" s="21">
        <f t="shared" si="1593"/>
        <v>0</v>
      </c>
      <c r="AO73" s="21">
        <f t="shared" si="1593"/>
        <v>1529011</v>
      </c>
      <c r="AP73" s="21">
        <f t="shared" si="1593"/>
        <v>1649610</v>
      </c>
      <c r="AQ73" s="21">
        <f t="shared" ref="AQ73:DB73" si="1594">SUM(AQ27)</f>
        <v>0</v>
      </c>
      <c r="AR73" s="21">
        <f t="shared" si="1594"/>
        <v>0</v>
      </c>
      <c r="AS73" s="21">
        <f t="shared" si="1594"/>
        <v>0</v>
      </c>
      <c r="AT73" s="21">
        <f t="shared" si="1594"/>
        <v>0</v>
      </c>
      <c r="AU73" s="21">
        <f t="shared" si="1594"/>
        <v>1300</v>
      </c>
      <c r="AV73" s="21">
        <f t="shared" si="1594"/>
        <v>0</v>
      </c>
      <c r="AW73" s="21">
        <f t="shared" si="1594"/>
        <v>0</v>
      </c>
      <c r="AX73" s="21">
        <f t="shared" si="1594"/>
        <v>269000</v>
      </c>
      <c r="AY73" s="21">
        <f t="shared" si="1594"/>
        <v>300000</v>
      </c>
      <c r="AZ73" s="21">
        <f t="shared" si="1594"/>
        <v>0</v>
      </c>
      <c r="BA73" s="21">
        <f t="shared" si="1594"/>
        <v>0</v>
      </c>
      <c r="BB73" s="21">
        <f t="shared" si="1594"/>
        <v>0</v>
      </c>
      <c r="BC73" s="21">
        <f t="shared" si="1594"/>
        <v>0</v>
      </c>
      <c r="BD73" s="21">
        <f t="shared" si="1594"/>
        <v>0</v>
      </c>
      <c r="BE73" s="21">
        <f t="shared" si="1594"/>
        <v>0</v>
      </c>
      <c r="BF73" s="21">
        <f t="shared" si="1594"/>
        <v>0</v>
      </c>
      <c r="BG73" s="21">
        <f t="shared" si="1594"/>
        <v>58944</v>
      </c>
      <c r="BH73" s="21">
        <f t="shared" si="1594"/>
        <v>71954</v>
      </c>
      <c r="BI73" s="21">
        <f t="shared" si="1594"/>
        <v>0</v>
      </c>
      <c r="BJ73" s="21">
        <f t="shared" si="1594"/>
        <v>0</v>
      </c>
      <c r="BK73" s="21">
        <f t="shared" si="1594"/>
        <v>0</v>
      </c>
      <c r="BL73" s="21">
        <f t="shared" si="1594"/>
        <v>0</v>
      </c>
      <c r="BM73" s="21">
        <f t="shared" si="1594"/>
        <v>0</v>
      </c>
      <c r="BN73" s="21">
        <f t="shared" si="1594"/>
        <v>0</v>
      </c>
      <c r="BO73" s="21">
        <f t="shared" si="1594"/>
        <v>0</v>
      </c>
      <c r="BP73" s="21">
        <f t="shared" si="1594"/>
        <v>170049</v>
      </c>
      <c r="BQ73" s="21">
        <f t="shared" si="1594"/>
        <v>145962</v>
      </c>
      <c r="BR73" s="21">
        <f t="shared" si="1594"/>
        <v>0</v>
      </c>
      <c r="BS73" s="21">
        <f t="shared" si="1594"/>
        <v>20000</v>
      </c>
      <c r="BT73" s="21">
        <f t="shared" si="1594"/>
        <v>25000</v>
      </c>
      <c r="BU73" s="21">
        <f t="shared" si="1594"/>
        <v>0</v>
      </c>
      <c r="BV73" s="21">
        <f t="shared" si="1594"/>
        <v>0</v>
      </c>
      <c r="BW73" s="21">
        <f t="shared" si="1594"/>
        <v>0</v>
      </c>
      <c r="BX73" s="21">
        <f t="shared" si="1594"/>
        <v>0</v>
      </c>
      <c r="BY73" s="21">
        <f t="shared" si="1594"/>
        <v>100000</v>
      </c>
      <c r="BZ73" s="21">
        <f t="shared" si="1594"/>
        <v>110000</v>
      </c>
      <c r="CA73" s="21">
        <f t="shared" si="1594"/>
        <v>0</v>
      </c>
      <c r="CB73" s="21">
        <f t="shared" si="1594"/>
        <v>0</v>
      </c>
      <c r="CC73" s="21">
        <f t="shared" si="1594"/>
        <v>0</v>
      </c>
      <c r="CD73" s="21">
        <f t="shared" si="1594"/>
        <v>0</v>
      </c>
      <c r="CE73" s="21">
        <f t="shared" si="1594"/>
        <v>4896312</v>
      </c>
      <c r="CF73" s="21">
        <f t="shared" si="1594"/>
        <v>2799300</v>
      </c>
      <c r="CG73" s="21">
        <f t="shared" si="1594"/>
        <v>0</v>
      </c>
      <c r="CH73" s="21">
        <f t="shared" si="1594"/>
        <v>0</v>
      </c>
      <c r="CI73" s="21">
        <f t="shared" si="1594"/>
        <v>0</v>
      </c>
      <c r="CJ73" s="21">
        <f t="shared" si="1594"/>
        <v>0</v>
      </c>
      <c r="CK73" s="21">
        <f t="shared" si="1594"/>
        <v>0</v>
      </c>
      <c r="CL73" s="21">
        <f t="shared" si="1594"/>
        <v>0</v>
      </c>
      <c r="CM73" s="21">
        <f t="shared" si="1594"/>
        <v>0</v>
      </c>
      <c r="CN73" s="21">
        <f t="shared" si="1594"/>
        <v>310000</v>
      </c>
      <c r="CO73" s="21">
        <f t="shared" si="1594"/>
        <v>0</v>
      </c>
      <c r="CP73" s="21">
        <f t="shared" si="1594"/>
        <v>0</v>
      </c>
      <c r="CQ73" s="21">
        <f t="shared" si="1594"/>
        <v>0</v>
      </c>
      <c r="CR73" s="21">
        <f t="shared" si="1594"/>
        <v>0</v>
      </c>
      <c r="CS73" s="21">
        <f t="shared" si="1594"/>
        <v>0</v>
      </c>
      <c r="CT73" s="21">
        <f t="shared" si="1594"/>
        <v>0</v>
      </c>
      <c r="CU73" s="21">
        <f t="shared" si="1594"/>
        <v>0</v>
      </c>
      <c r="CV73" s="21">
        <f t="shared" si="1594"/>
        <v>0</v>
      </c>
      <c r="CW73" s="21">
        <f t="shared" si="1594"/>
        <v>0</v>
      </c>
      <c r="CX73" s="21">
        <f t="shared" si="1594"/>
        <v>0</v>
      </c>
      <c r="CY73" s="21">
        <f t="shared" si="1594"/>
        <v>0</v>
      </c>
      <c r="CZ73" s="21">
        <f t="shared" si="1594"/>
        <v>0</v>
      </c>
      <c r="DA73" s="21">
        <f t="shared" si="1594"/>
        <v>0</v>
      </c>
      <c r="DB73" s="21">
        <f t="shared" si="1594"/>
        <v>0</v>
      </c>
      <c r="DC73" s="21">
        <f t="shared" ref="DC73:DT73" si="1595">SUM(DC27)</f>
        <v>240000</v>
      </c>
      <c r="DD73" s="21">
        <f t="shared" si="1595"/>
        <v>350000</v>
      </c>
      <c r="DE73" s="21">
        <f t="shared" si="1595"/>
        <v>0</v>
      </c>
      <c r="DF73" s="21">
        <f t="shared" si="1595"/>
        <v>0</v>
      </c>
      <c r="DG73" s="21">
        <f t="shared" si="1595"/>
        <v>0</v>
      </c>
      <c r="DH73" s="21">
        <f t="shared" si="1595"/>
        <v>0</v>
      </c>
      <c r="DI73" s="21">
        <f t="shared" si="1595"/>
        <v>15000</v>
      </c>
      <c r="DJ73" s="21">
        <f t="shared" si="1595"/>
        <v>76446</v>
      </c>
      <c r="DK73" s="21">
        <f t="shared" si="1595"/>
        <v>0</v>
      </c>
      <c r="DL73" s="21">
        <f t="shared" si="1595"/>
        <v>0</v>
      </c>
      <c r="DM73" s="21">
        <f t="shared" si="1595"/>
        <v>0</v>
      </c>
      <c r="DN73" s="21">
        <f t="shared" si="1595"/>
        <v>0</v>
      </c>
      <c r="DO73" s="21">
        <f t="shared" si="1595"/>
        <v>35000</v>
      </c>
      <c r="DP73" s="21">
        <f t="shared" si="1595"/>
        <v>100000</v>
      </c>
      <c r="DQ73" s="21">
        <f t="shared" si="1595"/>
        <v>0</v>
      </c>
      <c r="DR73" s="21">
        <f t="shared" si="1595"/>
        <v>21848851</v>
      </c>
      <c r="DS73" s="21">
        <f t="shared" si="1595"/>
        <v>21692215.763999999</v>
      </c>
      <c r="DT73" s="21">
        <f t="shared" si="1595"/>
        <v>99.283096232383102</v>
      </c>
      <c r="DU73" s="21">
        <f t="shared" ref="DU73:EZ73" si="1596">SUM(DU27)</f>
        <v>17608</v>
      </c>
      <c r="DV73" s="21">
        <f t="shared" si="1596"/>
        <v>12303</v>
      </c>
      <c r="DW73" s="21">
        <f t="shared" si="1596"/>
        <v>69.871649250340752</v>
      </c>
      <c r="DX73" s="21">
        <f t="shared" si="1596"/>
        <v>5811</v>
      </c>
      <c r="DY73" s="21">
        <f t="shared" si="1596"/>
        <v>5789</v>
      </c>
      <c r="DZ73" s="21">
        <f t="shared" si="1596"/>
        <v>99.621407675098951</v>
      </c>
      <c r="EA73" s="21">
        <f t="shared" si="1596"/>
        <v>5832</v>
      </c>
      <c r="EB73" s="21">
        <f t="shared" si="1596"/>
        <v>5440</v>
      </c>
      <c r="EC73" s="21">
        <f t="shared" si="1596"/>
        <v>93.27846364883402</v>
      </c>
      <c r="ED73" s="21">
        <f t="shared" si="1596"/>
        <v>330502</v>
      </c>
      <c r="EE73" s="21">
        <f t="shared" si="1596"/>
        <v>260493</v>
      </c>
      <c r="EF73" s="21">
        <f t="shared" si="1596"/>
        <v>78.817374781393156</v>
      </c>
      <c r="EG73" s="21">
        <f t="shared" si="1596"/>
        <v>116046</v>
      </c>
      <c r="EH73" s="21">
        <f t="shared" si="1596"/>
        <v>76526</v>
      </c>
      <c r="EI73" s="21">
        <f t="shared" si="1596"/>
        <v>65.944539234441507</v>
      </c>
      <c r="EJ73" s="21">
        <f t="shared" si="1596"/>
        <v>79759</v>
      </c>
      <c r="EK73" s="21">
        <f t="shared" si="1596"/>
        <v>37118</v>
      </c>
      <c r="EL73" s="21">
        <f t="shared" si="1596"/>
        <v>46.537694805601873</v>
      </c>
      <c r="EM73" s="21">
        <f t="shared" si="1596"/>
        <v>14410</v>
      </c>
      <c r="EN73" s="21">
        <f t="shared" si="1596"/>
        <v>14264</v>
      </c>
      <c r="EO73" s="21">
        <f t="shared" si="1596"/>
        <v>98.986814712005554</v>
      </c>
      <c r="EP73" s="21">
        <f t="shared" si="1596"/>
        <v>1445232</v>
      </c>
      <c r="EQ73" s="21">
        <f t="shared" si="1596"/>
        <v>1471892</v>
      </c>
      <c r="ER73" s="21">
        <f t="shared" si="1596"/>
        <v>101.84468652783774</v>
      </c>
      <c r="ES73" s="21">
        <f t="shared" si="1596"/>
        <v>534968</v>
      </c>
      <c r="ET73" s="21">
        <f t="shared" si="1596"/>
        <v>538750</v>
      </c>
      <c r="EU73" s="21">
        <f t="shared" si="1596"/>
        <v>100.70695817319914</v>
      </c>
      <c r="EV73" s="27">
        <f t="shared" si="1596"/>
        <v>2550168</v>
      </c>
      <c r="EW73" s="27">
        <f t="shared" si="1596"/>
        <v>2422575</v>
      </c>
      <c r="EX73" s="27">
        <f t="shared" si="1596"/>
        <v>94.996682571501168</v>
      </c>
      <c r="EY73" s="21">
        <f t="shared" si="1596"/>
        <v>69860</v>
      </c>
      <c r="EZ73" s="21">
        <f t="shared" si="1596"/>
        <v>70134</v>
      </c>
      <c r="FA73" s="21">
        <f t="shared" ref="FA73:HF73" si="1597">SUM(FA27)</f>
        <v>100.39221299742343</v>
      </c>
      <c r="FB73" s="21">
        <f t="shared" si="1597"/>
        <v>155006</v>
      </c>
      <c r="FC73" s="21">
        <f t="shared" si="1597"/>
        <v>159215</v>
      </c>
      <c r="FD73" s="21">
        <f t="shared" si="1597"/>
        <v>102.71537875953189</v>
      </c>
      <c r="FE73" s="21">
        <f t="shared" si="1597"/>
        <v>63801</v>
      </c>
      <c r="FF73" s="21">
        <f t="shared" si="1597"/>
        <v>69408</v>
      </c>
      <c r="FG73" s="21">
        <f t="shared" si="1597"/>
        <v>108.78826350684159</v>
      </c>
      <c r="FH73" s="21">
        <f t="shared" si="1597"/>
        <v>318036</v>
      </c>
      <c r="FI73" s="21">
        <f t="shared" si="1597"/>
        <v>493265</v>
      </c>
      <c r="FJ73" s="21">
        <f t="shared" si="1597"/>
        <v>155.09722169817252</v>
      </c>
      <c r="FK73" s="21"/>
      <c r="FL73" s="21"/>
      <c r="FM73" s="21"/>
      <c r="FN73" s="21">
        <f t="shared" si="1597"/>
        <v>124662</v>
      </c>
      <c r="FO73" s="21">
        <f t="shared" si="1597"/>
        <v>136018</v>
      </c>
      <c r="FP73" s="21">
        <f t="shared" si="1597"/>
        <v>109.10943190386806</v>
      </c>
      <c r="FQ73" s="21">
        <f t="shared" si="1597"/>
        <v>235020</v>
      </c>
      <c r="FR73" s="21">
        <f t="shared" si="1597"/>
        <v>227009</v>
      </c>
      <c r="FS73" s="21">
        <f t="shared" si="1597"/>
        <v>96.591353927325329</v>
      </c>
      <c r="FT73" s="21">
        <f t="shared" si="1597"/>
        <v>114364</v>
      </c>
      <c r="FU73" s="21">
        <f t="shared" si="1597"/>
        <v>123230</v>
      </c>
      <c r="FV73" s="21">
        <f t="shared" si="1597"/>
        <v>107.75243957888847</v>
      </c>
      <c r="FW73" s="21">
        <f t="shared" si="1597"/>
        <v>166255</v>
      </c>
      <c r="FX73" s="21">
        <f t="shared" si="1597"/>
        <v>173676</v>
      </c>
      <c r="FY73" s="21">
        <f t="shared" si="1597"/>
        <v>104.4636251541307</v>
      </c>
      <c r="FZ73" s="21">
        <f t="shared" si="1597"/>
        <v>96824</v>
      </c>
      <c r="GA73" s="21">
        <f t="shared" si="1597"/>
        <v>108816</v>
      </c>
      <c r="GB73" s="21">
        <f t="shared" si="1597"/>
        <v>112.38535900190037</v>
      </c>
      <c r="GC73" s="21">
        <f t="shared" si="1597"/>
        <v>16644</v>
      </c>
      <c r="GD73" s="21">
        <f t="shared" si="1597"/>
        <v>20276</v>
      </c>
      <c r="GE73" s="21">
        <f t="shared" si="1597"/>
        <v>121.82167748137466</v>
      </c>
      <c r="GF73" s="21">
        <f t="shared" si="1597"/>
        <v>59358</v>
      </c>
      <c r="GG73" s="21">
        <f t="shared" si="1597"/>
        <v>57090</v>
      </c>
      <c r="GH73" s="21">
        <f t="shared" si="1597"/>
        <v>96.179116547053468</v>
      </c>
      <c r="GI73" s="21">
        <f t="shared" si="1597"/>
        <v>71644</v>
      </c>
      <c r="GJ73" s="21">
        <f t="shared" si="1597"/>
        <v>70550</v>
      </c>
      <c r="GK73" s="21">
        <f t="shared" si="1597"/>
        <v>98.47300541566635</v>
      </c>
      <c r="GL73" s="21">
        <f t="shared" si="1597"/>
        <v>792126</v>
      </c>
      <c r="GM73" s="21">
        <f t="shared" si="1597"/>
        <v>808636</v>
      </c>
      <c r="GN73" s="21">
        <f t="shared" si="1597"/>
        <v>102.08426437208222</v>
      </c>
      <c r="GO73" s="21">
        <f t="shared" si="1597"/>
        <v>2283600</v>
      </c>
      <c r="GP73" s="21">
        <f t="shared" si="1597"/>
        <v>2563690</v>
      </c>
      <c r="GQ73" s="21">
        <f t="shared" si="1597"/>
        <v>112.26528288667016</v>
      </c>
      <c r="GR73" s="21">
        <f t="shared" si="1597"/>
        <v>1021191</v>
      </c>
      <c r="GS73" s="21">
        <f t="shared" si="1597"/>
        <v>1042919</v>
      </c>
      <c r="GT73" s="21">
        <f t="shared" si="1597"/>
        <v>102.127711662167</v>
      </c>
      <c r="GU73" s="21">
        <f t="shared" si="1597"/>
        <v>1713302</v>
      </c>
      <c r="GV73" s="21">
        <f t="shared" si="1597"/>
        <v>1820317</v>
      </c>
      <c r="GW73" s="21">
        <f t="shared" si="1597"/>
        <v>106.24612590191337</v>
      </c>
      <c r="GX73" s="21">
        <f t="shared" si="1597"/>
        <v>1526944</v>
      </c>
      <c r="GY73" s="21">
        <f t="shared" si="1597"/>
        <v>1340388</v>
      </c>
      <c r="GZ73" s="21">
        <f t="shared" si="1597"/>
        <v>87.782394115304811</v>
      </c>
      <c r="HA73" s="21">
        <f t="shared" si="1597"/>
        <v>6545037</v>
      </c>
      <c r="HB73" s="21">
        <f t="shared" si="1597"/>
        <v>6767314</v>
      </c>
      <c r="HC73" s="21">
        <f t="shared" si="1597"/>
        <v>103.39611525496342</v>
      </c>
      <c r="HD73" s="21">
        <f t="shared" si="1597"/>
        <v>30944056</v>
      </c>
      <c r="HE73" s="21">
        <f t="shared" si="1597"/>
        <v>30882104.763999999</v>
      </c>
      <c r="HF73" s="21">
        <f t="shared" si="1597"/>
        <v>99.799796006056866</v>
      </c>
    </row>
    <row r="74" spans="1:217" x14ac:dyDescent="0.25">
      <c r="B74" s="21">
        <f>SUM(B72-B73)</f>
        <v>167015</v>
      </c>
      <c r="C74" s="21">
        <f t="shared" ref="C74:AP74" si="1598">SUM(C72-C73)</f>
        <v>206863</v>
      </c>
      <c r="D74" s="21">
        <f t="shared" si="1598"/>
        <v>123.85893482621321</v>
      </c>
      <c r="E74" s="21">
        <f t="shared" si="1598"/>
        <v>0</v>
      </c>
      <c r="F74" s="21">
        <f t="shared" si="1598"/>
        <v>0</v>
      </c>
      <c r="G74" s="21">
        <f t="shared" si="1598"/>
        <v>0</v>
      </c>
      <c r="H74" s="21">
        <f t="shared" si="1598"/>
        <v>3353</v>
      </c>
      <c r="I74" s="21">
        <f t="shared" si="1598"/>
        <v>3353</v>
      </c>
      <c r="J74" s="21">
        <f t="shared" si="1598"/>
        <v>100</v>
      </c>
      <c r="K74" s="21">
        <f t="shared" si="1598"/>
        <v>6332</v>
      </c>
      <c r="L74" s="21">
        <f t="shared" si="1598"/>
        <v>21885.599999999999</v>
      </c>
      <c r="M74" s="21">
        <f t="shared" si="1598"/>
        <v>324.73067915690865</v>
      </c>
      <c r="N74" s="21">
        <f t="shared" si="1598"/>
        <v>160628</v>
      </c>
      <c r="O74" s="21">
        <f t="shared" si="1598"/>
        <v>29715</v>
      </c>
      <c r="P74" s="21">
        <f t="shared" si="1598"/>
        <v>18.499265383370272</v>
      </c>
      <c r="Q74" s="21">
        <f t="shared" si="1598"/>
        <v>513406</v>
      </c>
      <c r="R74" s="21">
        <f t="shared" si="1598"/>
        <v>284466</v>
      </c>
      <c r="S74" s="21">
        <f t="shared" si="1598"/>
        <v>55.407611130372459</v>
      </c>
      <c r="T74" s="21">
        <f t="shared" si="1598"/>
        <v>1232768</v>
      </c>
      <c r="U74" s="21">
        <f t="shared" si="1598"/>
        <v>761036</v>
      </c>
      <c r="V74" s="21">
        <f t="shared" si="1598"/>
        <v>61.733919115356663</v>
      </c>
      <c r="W74" s="21">
        <f t="shared" si="1598"/>
        <v>-7800000</v>
      </c>
      <c r="X74" s="21">
        <f t="shared" si="1598"/>
        <v>-8830432</v>
      </c>
      <c r="Y74" s="21">
        <f t="shared" si="1598"/>
        <v>78.628571428571419</v>
      </c>
      <c r="Z74" s="21">
        <f t="shared" si="1598"/>
        <v>4943831</v>
      </c>
      <c r="AA74" s="21">
        <f t="shared" si="1598"/>
        <v>4917045.2359999996</v>
      </c>
      <c r="AB74" s="21">
        <f t="shared" si="1598"/>
        <v>100.20088358199311</v>
      </c>
      <c r="AC74" s="21">
        <f t="shared" si="1598"/>
        <v>-4397594</v>
      </c>
      <c r="AD74" s="21">
        <f t="shared" si="1598"/>
        <v>-5187758</v>
      </c>
      <c r="AE74" s="21">
        <f t="shared" si="1598"/>
        <v>0</v>
      </c>
      <c r="AF74" s="21">
        <f t="shared" si="1598"/>
        <v>5050</v>
      </c>
      <c r="AG74" s="21">
        <f t="shared" si="1598"/>
        <v>14850</v>
      </c>
      <c r="AH74" s="21">
        <f t="shared" si="1598"/>
        <v>294.05940594059405</v>
      </c>
      <c r="AI74" s="21">
        <f t="shared" si="1598"/>
        <v>7607</v>
      </c>
      <c r="AJ74" s="21">
        <f t="shared" si="1598"/>
        <v>24492</v>
      </c>
      <c r="AK74" s="21">
        <f t="shared" si="1598"/>
        <v>228.53898561695684</v>
      </c>
      <c r="AL74" s="21">
        <f t="shared" si="1598"/>
        <v>139901</v>
      </c>
      <c r="AM74" s="21">
        <f t="shared" si="1598"/>
        <v>120200</v>
      </c>
      <c r="AN74" s="21">
        <f t="shared" si="1598"/>
        <v>86.309337669647874</v>
      </c>
      <c r="AO74" s="21">
        <f t="shared" si="1598"/>
        <v>-407823</v>
      </c>
      <c r="AP74" s="21">
        <f t="shared" si="1598"/>
        <v>-541510</v>
      </c>
      <c r="AQ74" s="21">
        <f t="shared" ref="AQ74:DB74" si="1599">SUM(AQ72-AQ73)</f>
        <v>98.832666778452861</v>
      </c>
      <c r="AR74" s="21">
        <f t="shared" si="1599"/>
        <v>15000</v>
      </c>
      <c r="AS74" s="21">
        <f t="shared" si="1599"/>
        <v>10000</v>
      </c>
      <c r="AT74" s="21">
        <f t="shared" si="1599"/>
        <v>66.666666666666657</v>
      </c>
      <c r="AU74" s="21">
        <f t="shared" si="1599"/>
        <v>170807</v>
      </c>
      <c r="AV74" s="21">
        <f t="shared" si="1599"/>
        <v>186850</v>
      </c>
      <c r="AW74" s="21">
        <f t="shared" si="1599"/>
        <v>108.56618266543488</v>
      </c>
      <c r="AX74" s="21">
        <f t="shared" si="1599"/>
        <v>-209311</v>
      </c>
      <c r="AY74" s="21">
        <f t="shared" si="1599"/>
        <v>-182720</v>
      </c>
      <c r="AZ74" s="21">
        <f t="shared" si="1599"/>
        <v>196.48511451021128</v>
      </c>
      <c r="BA74" s="21">
        <f t="shared" si="1599"/>
        <v>0</v>
      </c>
      <c r="BB74" s="21">
        <f t="shared" si="1599"/>
        <v>20000</v>
      </c>
      <c r="BC74" s="21">
        <f t="shared" si="1599"/>
        <v>0</v>
      </c>
      <c r="BD74" s="21">
        <f t="shared" si="1599"/>
        <v>300</v>
      </c>
      <c r="BE74" s="21">
        <f t="shared" si="1599"/>
        <v>300</v>
      </c>
      <c r="BF74" s="21">
        <f t="shared" si="1599"/>
        <v>100</v>
      </c>
      <c r="BG74" s="21">
        <f t="shared" si="1599"/>
        <v>87944</v>
      </c>
      <c r="BH74" s="21">
        <f t="shared" si="1599"/>
        <v>98422</v>
      </c>
      <c r="BI74" s="21">
        <f t="shared" si="1599"/>
        <v>115.99041446544305</v>
      </c>
      <c r="BJ74" s="21">
        <f t="shared" si="1599"/>
        <v>0</v>
      </c>
      <c r="BK74" s="21">
        <f t="shared" si="1599"/>
        <v>0</v>
      </c>
      <c r="BL74" s="21">
        <f t="shared" si="1599"/>
        <v>0</v>
      </c>
      <c r="BM74" s="21">
        <f t="shared" si="1599"/>
        <v>19500</v>
      </c>
      <c r="BN74" s="21">
        <f t="shared" si="1599"/>
        <v>3800</v>
      </c>
      <c r="BO74" s="21">
        <f t="shared" si="1599"/>
        <v>19.487179487179489</v>
      </c>
      <c r="BP74" s="21">
        <f t="shared" si="1599"/>
        <v>739572</v>
      </c>
      <c r="BQ74" s="21">
        <f t="shared" si="1599"/>
        <v>2378535</v>
      </c>
      <c r="BR74" s="21">
        <f t="shared" si="1599"/>
        <v>277.53284060064578</v>
      </c>
      <c r="BS74" s="21">
        <f t="shared" si="1599"/>
        <v>117489</v>
      </c>
      <c r="BT74" s="21">
        <f t="shared" si="1599"/>
        <v>103204</v>
      </c>
      <c r="BU74" s="21">
        <f t="shared" si="1599"/>
        <v>93.246732465869997</v>
      </c>
      <c r="BV74" s="21">
        <f t="shared" si="1599"/>
        <v>0</v>
      </c>
      <c r="BW74" s="21">
        <f t="shared" si="1599"/>
        <v>0</v>
      </c>
      <c r="BX74" s="21">
        <f t="shared" si="1599"/>
        <v>0</v>
      </c>
      <c r="BY74" s="21">
        <f t="shared" si="1599"/>
        <v>843567</v>
      </c>
      <c r="BZ74" s="21">
        <f t="shared" si="1599"/>
        <v>1071735</v>
      </c>
      <c r="CA74" s="21">
        <f t="shared" si="1599"/>
        <v>125.24123883094683</v>
      </c>
      <c r="CB74" s="21">
        <f t="shared" si="1599"/>
        <v>0</v>
      </c>
      <c r="CC74" s="21">
        <f t="shared" si="1599"/>
        <v>0</v>
      </c>
      <c r="CD74" s="21">
        <f t="shared" si="1599"/>
        <v>0</v>
      </c>
      <c r="CE74" s="21">
        <f t="shared" si="1599"/>
        <v>-659109</v>
      </c>
      <c r="CF74" s="21">
        <f t="shared" si="1599"/>
        <v>1234445</v>
      </c>
      <c r="CG74" s="21">
        <f t="shared" si="1599"/>
        <v>95.198294724137597</v>
      </c>
      <c r="CH74" s="21">
        <f t="shared" si="1599"/>
        <v>548054</v>
      </c>
      <c r="CI74" s="21">
        <f t="shared" si="1599"/>
        <v>1298195</v>
      </c>
      <c r="CJ74" s="21">
        <f t="shared" si="1599"/>
        <v>236.8735562554055</v>
      </c>
      <c r="CK74" s="21">
        <f t="shared" si="1599"/>
        <v>1568760</v>
      </c>
      <c r="CL74" s="21">
        <f t="shared" si="1599"/>
        <v>193677</v>
      </c>
      <c r="CM74" s="21">
        <f t="shared" si="1599"/>
        <v>12.345865524363191</v>
      </c>
      <c r="CN74" s="21">
        <f t="shared" si="1599"/>
        <v>-91313</v>
      </c>
      <c r="CO74" s="21">
        <f t="shared" si="1599"/>
        <v>530493</v>
      </c>
      <c r="CP74" s="21">
        <f t="shared" si="1599"/>
        <v>242.58094902760567</v>
      </c>
      <c r="CQ74" s="21">
        <f t="shared" si="1599"/>
        <v>0</v>
      </c>
      <c r="CR74" s="21">
        <f t="shared" si="1599"/>
        <v>0</v>
      </c>
      <c r="CS74" s="21">
        <f t="shared" si="1599"/>
        <v>0</v>
      </c>
      <c r="CT74" s="21">
        <f t="shared" si="1599"/>
        <v>1000</v>
      </c>
      <c r="CU74" s="21">
        <f t="shared" si="1599"/>
        <v>1000</v>
      </c>
      <c r="CV74" s="21">
        <f t="shared" si="1599"/>
        <v>100</v>
      </c>
      <c r="CW74" s="21">
        <f t="shared" si="1599"/>
        <v>8500</v>
      </c>
      <c r="CX74" s="21">
        <f t="shared" si="1599"/>
        <v>12200</v>
      </c>
      <c r="CY74" s="21">
        <f t="shared" si="1599"/>
        <v>143.52941176470588</v>
      </c>
      <c r="CZ74" s="21">
        <f t="shared" si="1599"/>
        <v>75742</v>
      </c>
      <c r="DA74" s="21">
        <f t="shared" si="1599"/>
        <v>86096</v>
      </c>
      <c r="DB74" s="21">
        <f t="shared" si="1599"/>
        <v>113.67009057062131</v>
      </c>
      <c r="DC74" s="21">
        <f t="shared" ref="DC74:DT74" si="1600">SUM(DC72-DC73)</f>
        <v>760000</v>
      </c>
      <c r="DD74" s="21">
        <f t="shared" si="1600"/>
        <v>-50000</v>
      </c>
      <c r="DE74" s="21">
        <f t="shared" si="1600"/>
        <v>30</v>
      </c>
      <c r="DF74" s="21">
        <f t="shared" si="1600"/>
        <v>263782</v>
      </c>
      <c r="DG74" s="21">
        <f t="shared" si="1600"/>
        <v>260465</v>
      </c>
      <c r="DH74" s="21">
        <f t="shared" si="1600"/>
        <v>98.742522234269202</v>
      </c>
      <c r="DI74" s="21">
        <f t="shared" si="1600"/>
        <v>87568</v>
      </c>
      <c r="DJ74" s="21">
        <f t="shared" si="1600"/>
        <v>47684</v>
      </c>
      <c r="DK74" s="21">
        <f t="shared" si="1600"/>
        <v>121.02215115825598</v>
      </c>
      <c r="DL74" s="21">
        <f t="shared" si="1600"/>
        <v>143716</v>
      </c>
      <c r="DM74" s="21">
        <f t="shared" si="1600"/>
        <v>132644</v>
      </c>
      <c r="DN74" s="21">
        <f t="shared" si="1600"/>
        <v>92.295916947312747</v>
      </c>
      <c r="DO74" s="21">
        <f t="shared" si="1600"/>
        <v>933958</v>
      </c>
      <c r="DP74" s="21">
        <f t="shared" si="1600"/>
        <v>738769</v>
      </c>
      <c r="DQ74" s="21">
        <f t="shared" si="1600"/>
        <v>86.564020318734151</v>
      </c>
      <c r="DR74" s="21">
        <f t="shared" si="1600"/>
        <v>0</v>
      </c>
      <c r="DS74" s="21">
        <f t="shared" si="1600"/>
        <v>-0.16399999707937241</v>
      </c>
      <c r="DT74" s="21">
        <f t="shared" si="1600"/>
        <v>-7.5061153381739132E-7</v>
      </c>
      <c r="DU74" s="21">
        <f t="shared" ref="DU74:EZ74" si="1601">SUM(DU72-DU73)</f>
        <v>0</v>
      </c>
      <c r="DV74" s="21">
        <f t="shared" si="1601"/>
        <v>0</v>
      </c>
      <c r="DW74" s="21">
        <f t="shared" si="1601"/>
        <v>0</v>
      </c>
      <c r="DX74" s="21">
        <f t="shared" si="1601"/>
        <v>0</v>
      </c>
      <c r="DY74" s="21">
        <f t="shared" si="1601"/>
        <v>0</v>
      </c>
      <c r="DZ74" s="21">
        <f t="shared" si="1601"/>
        <v>0</v>
      </c>
      <c r="EA74" s="21">
        <f t="shared" si="1601"/>
        <v>0</v>
      </c>
      <c r="EB74" s="21">
        <f t="shared" si="1601"/>
        <v>0</v>
      </c>
      <c r="EC74" s="21">
        <f t="shared" si="1601"/>
        <v>0</v>
      </c>
      <c r="ED74" s="21">
        <f t="shared" si="1601"/>
        <v>0</v>
      </c>
      <c r="EE74" s="21">
        <f t="shared" si="1601"/>
        <v>0</v>
      </c>
      <c r="EF74" s="21">
        <f t="shared" si="1601"/>
        <v>0</v>
      </c>
      <c r="EG74" s="21">
        <f t="shared" si="1601"/>
        <v>0</v>
      </c>
      <c r="EH74" s="21">
        <f t="shared" si="1601"/>
        <v>0</v>
      </c>
      <c r="EI74" s="21">
        <f t="shared" si="1601"/>
        <v>0</v>
      </c>
      <c r="EJ74" s="21">
        <f t="shared" si="1601"/>
        <v>0</v>
      </c>
      <c r="EK74" s="21">
        <f t="shared" si="1601"/>
        <v>0</v>
      </c>
      <c r="EL74" s="21">
        <f t="shared" si="1601"/>
        <v>0</v>
      </c>
      <c r="EM74" s="21">
        <f t="shared" si="1601"/>
        <v>0</v>
      </c>
      <c r="EN74" s="21">
        <f t="shared" si="1601"/>
        <v>0</v>
      </c>
      <c r="EO74" s="21">
        <f t="shared" si="1601"/>
        <v>0</v>
      </c>
      <c r="EP74" s="21">
        <f t="shared" si="1601"/>
        <v>0</v>
      </c>
      <c r="EQ74" s="21">
        <f t="shared" si="1601"/>
        <v>0</v>
      </c>
      <c r="ER74" s="21">
        <f t="shared" si="1601"/>
        <v>0</v>
      </c>
      <c r="ES74" s="21">
        <f t="shared" si="1601"/>
        <v>0</v>
      </c>
      <c r="ET74" s="21">
        <f t="shared" si="1601"/>
        <v>0</v>
      </c>
      <c r="EU74" s="21">
        <f t="shared" si="1601"/>
        <v>0</v>
      </c>
      <c r="EV74" s="21">
        <f t="shared" si="1601"/>
        <v>0</v>
      </c>
      <c r="EW74" s="21">
        <f t="shared" si="1601"/>
        <v>0</v>
      </c>
      <c r="EX74" s="21">
        <f t="shared" si="1601"/>
        <v>0</v>
      </c>
      <c r="EY74" s="21">
        <f t="shared" si="1601"/>
        <v>0</v>
      </c>
      <c r="EZ74" s="21">
        <f t="shared" si="1601"/>
        <v>0</v>
      </c>
      <c r="FA74" s="21">
        <f t="shared" ref="FA74:HF74" si="1602">SUM(FA72-FA73)</f>
        <v>0</v>
      </c>
      <c r="FB74" s="21">
        <f t="shared" si="1602"/>
        <v>0</v>
      </c>
      <c r="FC74" s="21">
        <f t="shared" si="1602"/>
        <v>0</v>
      </c>
      <c r="FD74" s="21">
        <f t="shared" si="1602"/>
        <v>0</v>
      </c>
      <c r="FE74" s="21">
        <f t="shared" si="1602"/>
        <v>0</v>
      </c>
      <c r="FF74" s="21">
        <f t="shared" si="1602"/>
        <v>0</v>
      </c>
      <c r="FG74" s="21">
        <f t="shared" si="1602"/>
        <v>0</v>
      </c>
      <c r="FH74" s="21">
        <f t="shared" si="1602"/>
        <v>0</v>
      </c>
      <c r="FI74" s="21">
        <f t="shared" si="1602"/>
        <v>0</v>
      </c>
      <c r="FJ74" s="21">
        <f t="shared" si="1602"/>
        <v>0</v>
      </c>
      <c r="FK74" s="21"/>
      <c r="FL74" s="21"/>
      <c r="FM74" s="21"/>
      <c r="FN74" s="21">
        <f t="shared" si="1602"/>
        <v>0</v>
      </c>
      <c r="FO74" s="21">
        <f t="shared" si="1602"/>
        <v>0</v>
      </c>
      <c r="FP74" s="21">
        <f t="shared" si="1602"/>
        <v>0</v>
      </c>
      <c r="FQ74" s="21">
        <f t="shared" si="1602"/>
        <v>0</v>
      </c>
      <c r="FR74" s="21">
        <f t="shared" si="1602"/>
        <v>0</v>
      </c>
      <c r="FS74" s="21">
        <f t="shared" si="1602"/>
        <v>0</v>
      </c>
      <c r="FT74" s="21">
        <f t="shared" si="1602"/>
        <v>0</v>
      </c>
      <c r="FU74" s="21">
        <f t="shared" si="1602"/>
        <v>0</v>
      </c>
      <c r="FV74" s="21">
        <f t="shared" si="1602"/>
        <v>0</v>
      </c>
      <c r="FW74" s="21">
        <f t="shared" si="1602"/>
        <v>0</v>
      </c>
      <c r="FX74" s="21">
        <f t="shared" si="1602"/>
        <v>0</v>
      </c>
      <c r="FY74" s="21">
        <f t="shared" si="1602"/>
        <v>0</v>
      </c>
      <c r="FZ74" s="21">
        <f t="shared" si="1602"/>
        <v>0</v>
      </c>
      <c r="GA74" s="21">
        <f t="shared" si="1602"/>
        <v>0</v>
      </c>
      <c r="GB74" s="21">
        <f t="shared" si="1602"/>
        <v>0</v>
      </c>
      <c r="GC74" s="21">
        <f t="shared" si="1602"/>
        <v>0</v>
      </c>
      <c r="GD74" s="21">
        <f t="shared" si="1602"/>
        <v>0</v>
      </c>
      <c r="GE74" s="21">
        <f t="shared" si="1602"/>
        <v>0</v>
      </c>
      <c r="GF74" s="21">
        <f t="shared" si="1602"/>
        <v>0</v>
      </c>
      <c r="GG74" s="21">
        <f t="shared" si="1602"/>
        <v>0</v>
      </c>
      <c r="GH74" s="21">
        <f t="shared" si="1602"/>
        <v>0</v>
      </c>
      <c r="GI74" s="21">
        <f t="shared" si="1602"/>
        <v>0</v>
      </c>
      <c r="GJ74" s="21">
        <f t="shared" si="1602"/>
        <v>0</v>
      </c>
      <c r="GK74" s="21">
        <f t="shared" si="1602"/>
        <v>0</v>
      </c>
      <c r="GL74" s="21">
        <f t="shared" si="1602"/>
        <v>0</v>
      </c>
      <c r="GM74" s="21">
        <f t="shared" si="1602"/>
        <v>0</v>
      </c>
      <c r="GN74" s="21">
        <f t="shared" si="1602"/>
        <v>0</v>
      </c>
      <c r="GO74" s="21">
        <f t="shared" si="1602"/>
        <v>0</v>
      </c>
      <c r="GP74" s="21">
        <f t="shared" si="1602"/>
        <v>0</v>
      </c>
      <c r="GQ74" s="21">
        <f t="shared" si="1602"/>
        <v>0</v>
      </c>
      <c r="GR74" s="21">
        <f t="shared" si="1602"/>
        <v>0</v>
      </c>
      <c r="GS74" s="21">
        <f t="shared" si="1602"/>
        <v>0</v>
      </c>
      <c r="GT74" s="21">
        <f t="shared" si="1602"/>
        <v>0</v>
      </c>
      <c r="GU74" s="21">
        <f t="shared" si="1602"/>
        <v>0</v>
      </c>
      <c r="GV74" s="21">
        <f t="shared" si="1602"/>
        <v>0</v>
      </c>
      <c r="GW74" s="21">
        <f t="shared" si="1602"/>
        <v>0</v>
      </c>
      <c r="GX74" s="21">
        <f t="shared" si="1602"/>
        <v>0</v>
      </c>
      <c r="GY74" s="21">
        <f t="shared" si="1602"/>
        <v>0</v>
      </c>
      <c r="GZ74" s="21">
        <f t="shared" si="1602"/>
        <v>0</v>
      </c>
      <c r="HA74" s="21">
        <f t="shared" si="1602"/>
        <v>0</v>
      </c>
      <c r="HB74" s="21">
        <f t="shared" si="1602"/>
        <v>0</v>
      </c>
      <c r="HC74" s="21">
        <f t="shared" si="1602"/>
        <v>0</v>
      </c>
      <c r="HD74" s="21">
        <f>SUM(HD72-HD73)</f>
        <v>0</v>
      </c>
      <c r="HE74" s="21">
        <f t="shared" si="1602"/>
        <v>-0.16399999707937241</v>
      </c>
      <c r="HF74" s="21">
        <f t="shared" si="1602"/>
        <v>-5.2998869648490654E-7</v>
      </c>
    </row>
    <row r="75" spans="1:217" x14ac:dyDescent="0.25">
      <c r="C75" s="21"/>
      <c r="D75" s="21"/>
      <c r="E75" s="21"/>
    </row>
    <row r="76" spans="1:217" x14ac:dyDescent="0.25">
      <c r="C76" s="21"/>
      <c r="D76" s="21"/>
      <c r="E76" s="21"/>
      <c r="HE76" s="17">
        <f>SUM(HE7-HE28+HE54-HE62)</f>
        <v>-716261.16399999708</v>
      </c>
    </row>
    <row r="77" spans="1:217" x14ac:dyDescent="0.25">
      <c r="C77" s="21"/>
      <c r="D77" s="21"/>
      <c r="E77" s="21"/>
      <c r="HE77" s="17">
        <f>SUM(HE18-HE40+HE58-HE67)</f>
        <v>716261</v>
      </c>
    </row>
    <row r="78" spans="1:217" x14ac:dyDescent="0.25">
      <c r="C78" s="21"/>
      <c r="D78" s="21"/>
      <c r="E78" s="21"/>
    </row>
    <row r="79" spans="1:217" x14ac:dyDescent="0.25">
      <c r="C79" s="21"/>
      <c r="D79" s="21"/>
      <c r="E79" s="21"/>
    </row>
    <row r="80" spans="1:217" x14ac:dyDescent="0.25">
      <c r="C80" s="21"/>
      <c r="D80" s="21"/>
      <c r="E80" s="21"/>
    </row>
    <row r="81" spans="1:214" x14ac:dyDescent="0.25">
      <c r="C81" s="21"/>
      <c r="D81" s="21"/>
      <c r="E81" s="21"/>
    </row>
    <row r="82" spans="1:214" s="23" customFormat="1" x14ac:dyDescent="0.25">
      <c r="A82" s="24"/>
      <c r="B82" s="20"/>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2"/>
      <c r="DT82" s="22"/>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row>
    <row r="83" spans="1:214" x14ac:dyDescent="0.25">
      <c r="C83" s="21"/>
      <c r="D83" s="21"/>
      <c r="E83" s="21"/>
    </row>
    <row r="84" spans="1:214" x14ac:dyDescent="0.25">
      <c r="C84" s="21"/>
      <c r="D84" s="21"/>
      <c r="E84" s="21"/>
    </row>
    <row r="85" spans="1:214" x14ac:dyDescent="0.25">
      <c r="C85" s="21"/>
      <c r="D85" s="21"/>
      <c r="E85" s="21"/>
    </row>
    <row r="86" spans="1:214" x14ac:dyDescent="0.25">
      <c r="C86" s="21"/>
      <c r="D86" s="21"/>
      <c r="E86" s="21"/>
    </row>
    <row r="87" spans="1:214" s="23" customFormat="1" x14ac:dyDescent="0.25">
      <c r="A87" s="24"/>
      <c r="B87" s="20"/>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2"/>
      <c r="DT87" s="22"/>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row>
    <row r="88" spans="1:214" s="23" customFormat="1" x14ac:dyDescent="0.25">
      <c r="A88" s="24"/>
      <c r="B88" s="20"/>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2"/>
      <c r="DT88" s="22"/>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row>
    <row r="89" spans="1:214" x14ac:dyDescent="0.25">
      <c r="C89" s="21"/>
      <c r="D89" s="21"/>
      <c r="E89" s="21"/>
    </row>
    <row r="90" spans="1:214" x14ac:dyDescent="0.25">
      <c r="C90" s="21"/>
      <c r="D90" s="21"/>
      <c r="E90" s="21"/>
    </row>
    <row r="91" spans="1:214" x14ac:dyDescent="0.25">
      <c r="C91" s="21"/>
      <c r="D91" s="21"/>
      <c r="E91" s="21"/>
    </row>
    <row r="92" spans="1:214" x14ac:dyDescent="0.25">
      <c r="C92" s="21"/>
      <c r="D92" s="21"/>
      <c r="E92" s="21"/>
    </row>
    <row r="93" spans="1:214" x14ac:dyDescent="0.25">
      <c r="C93" s="21"/>
      <c r="D93" s="21"/>
      <c r="E93" s="21"/>
    </row>
    <row r="94" spans="1:214" x14ac:dyDescent="0.25">
      <c r="C94" s="21"/>
      <c r="D94" s="21"/>
      <c r="E94" s="21"/>
    </row>
    <row r="95" spans="1:214" x14ac:dyDescent="0.25">
      <c r="C95" s="21"/>
      <c r="D95" s="21"/>
      <c r="E95" s="21"/>
    </row>
    <row r="96" spans="1:214" x14ac:dyDescent="0.25">
      <c r="C96" s="21"/>
      <c r="D96" s="21"/>
      <c r="E96" s="21"/>
    </row>
    <row r="97" spans="1:124" x14ac:dyDescent="0.25">
      <c r="C97" s="21"/>
      <c r="D97" s="21"/>
      <c r="E97" s="21"/>
    </row>
    <row r="98" spans="1:124" s="23" customFormat="1" x14ac:dyDescent="0.25">
      <c r="A98" s="24"/>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6"/>
      <c r="DT98" s="26"/>
    </row>
    <row r="99" spans="1:124" x14ac:dyDescent="0.25">
      <c r="C99" s="21"/>
      <c r="D99" s="21"/>
      <c r="E99" s="21"/>
    </row>
    <row r="100" spans="1:124" x14ac:dyDescent="0.25">
      <c r="C100" s="21"/>
      <c r="D100" s="21"/>
      <c r="E100" s="21"/>
    </row>
    <row r="101" spans="1:124" s="21" customFormat="1" x14ac:dyDescent="0.25">
      <c r="A101" s="20"/>
      <c r="B101" s="20"/>
      <c r="DS101" s="22"/>
      <c r="DT101" s="22"/>
    </row>
    <row r="102" spans="1:124" s="21" customFormat="1" x14ac:dyDescent="0.25">
      <c r="A102" s="20"/>
      <c r="B102" s="20"/>
      <c r="DS102" s="22"/>
      <c r="DT102" s="22"/>
    </row>
    <row r="103" spans="1:124" s="21" customFormat="1" x14ac:dyDescent="0.25">
      <c r="A103" s="20"/>
      <c r="B103" s="20"/>
      <c r="DS103" s="22"/>
      <c r="DT103" s="22"/>
    </row>
    <row r="104" spans="1:124" s="21" customFormat="1" x14ac:dyDescent="0.25">
      <c r="A104" s="20"/>
      <c r="B104" s="20"/>
      <c r="DS104" s="22"/>
      <c r="DT104" s="22"/>
    </row>
    <row r="105" spans="1:124" s="21" customFormat="1" x14ac:dyDescent="0.25">
      <c r="A105" s="20"/>
      <c r="B105" s="20"/>
      <c r="DS105" s="22"/>
      <c r="DT105" s="22"/>
    </row>
    <row r="106" spans="1:124" s="21" customFormat="1" x14ac:dyDescent="0.25">
      <c r="A106" s="20"/>
      <c r="B106" s="20"/>
      <c r="DS106" s="22"/>
      <c r="DT106" s="22"/>
    </row>
    <row r="107" spans="1:124" s="21" customFormat="1" x14ac:dyDescent="0.25">
      <c r="A107" s="20"/>
      <c r="B107" s="20"/>
      <c r="DS107" s="22"/>
      <c r="DT107" s="22"/>
    </row>
    <row r="108" spans="1:124" s="21" customFormat="1" x14ac:dyDescent="0.25">
      <c r="A108" s="20"/>
      <c r="B108" s="20"/>
      <c r="DS108" s="22"/>
      <c r="DT108" s="22"/>
    </row>
    <row r="109" spans="1:124" s="21" customFormat="1" x14ac:dyDescent="0.25">
      <c r="A109" s="20"/>
      <c r="B109" s="20"/>
      <c r="DS109" s="22"/>
      <c r="DT109" s="22"/>
    </row>
    <row r="110" spans="1:124" s="21" customFormat="1" x14ac:dyDescent="0.25">
      <c r="A110" s="20"/>
      <c r="B110" s="20"/>
      <c r="DS110" s="22"/>
      <c r="DT110" s="22"/>
    </row>
    <row r="111" spans="1:124" s="21" customFormat="1" x14ac:dyDescent="0.25">
      <c r="A111" s="20"/>
      <c r="B111" s="20"/>
      <c r="DS111" s="22"/>
      <c r="DT111" s="22"/>
    </row>
    <row r="112" spans="1:124" s="21" customFormat="1" x14ac:dyDescent="0.25">
      <c r="A112" s="20"/>
      <c r="B112" s="20"/>
      <c r="DS112" s="22"/>
      <c r="DT112" s="22"/>
    </row>
    <row r="113" spans="1:124" s="21" customFormat="1" x14ac:dyDescent="0.25">
      <c r="A113" s="20"/>
      <c r="B113" s="20"/>
      <c r="DS113" s="22"/>
      <c r="DT113" s="22"/>
    </row>
    <row r="114" spans="1:124" s="21" customFormat="1" x14ac:dyDescent="0.25">
      <c r="A114" s="20"/>
      <c r="B114" s="20"/>
      <c r="DS114" s="22"/>
      <c r="DT114" s="22"/>
    </row>
    <row r="115" spans="1:124" s="21" customFormat="1" x14ac:dyDescent="0.25">
      <c r="A115" s="20"/>
      <c r="B115" s="20"/>
      <c r="DS115" s="22"/>
      <c r="DT115" s="22"/>
    </row>
    <row r="116" spans="1:124" s="21" customFormat="1" x14ac:dyDescent="0.25">
      <c r="A116" s="20"/>
      <c r="B116" s="20"/>
      <c r="DS116" s="22"/>
      <c r="DT116" s="22"/>
    </row>
    <row r="117" spans="1:124" s="21" customFormat="1" x14ac:dyDescent="0.25">
      <c r="A117" s="20"/>
      <c r="B117" s="20"/>
      <c r="DS117" s="22"/>
      <c r="DT117" s="22"/>
    </row>
    <row r="118" spans="1:124" s="21" customFormat="1" x14ac:dyDescent="0.25">
      <c r="A118" s="20"/>
      <c r="B118" s="20"/>
      <c r="DS118" s="22"/>
      <c r="DT118" s="22"/>
    </row>
    <row r="119" spans="1:124" s="21" customFormat="1" x14ac:dyDescent="0.25">
      <c r="A119" s="20"/>
      <c r="B119" s="20"/>
      <c r="DS119" s="22"/>
      <c r="DT119" s="22"/>
    </row>
    <row r="120" spans="1:124" s="21" customFormat="1" x14ac:dyDescent="0.25">
      <c r="A120" s="20"/>
      <c r="B120" s="20"/>
      <c r="DS120" s="22"/>
      <c r="DT120" s="22"/>
    </row>
    <row r="121" spans="1:124" s="21" customFormat="1" x14ac:dyDescent="0.25">
      <c r="A121" s="20"/>
      <c r="B121" s="20"/>
      <c r="DS121" s="22"/>
      <c r="DT121" s="22"/>
    </row>
    <row r="122" spans="1:124" s="21" customFormat="1" x14ac:dyDescent="0.25">
      <c r="A122" s="20"/>
      <c r="B122" s="20"/>
      <c r="DS122" s="22"/>
      <c r="DT122" s="22"/>
    </row>
    <row r="123" spans="1:124" s="21" customFormat="1" x14ac:dyDescent="0.25">
      <c r="A123" s="20"/>
      <c r="B123" s="20"/>
      <c r="DS123" s="22"/>
      <c r="DT123" s="22"/>
    </row>
    <row r="124" spans="1:124" s="21" customFormat="1" x14ac:dyDescent="0.25">
      <c r="A124" s="20"/>
      <c r="B124" s="20"/>
      <c r="DS124" s="22"/>
      <c r="DT124" s="22"/>
    </row>
    <row r="125" spans="1:124" s="21" customFormat="1" x14ac:dyDescent="0.25">
      <c r="A125" s="20"/>
      <c r="B125" s="20"/>
      <c r="DS125" s="22"/>
      <c r="DT125" s="22"/>
    </row>
    <row r="126" spans="1:124" s="21" customFormat="1" x14ac:dyDescent="0.25">
      <c r="A126" s="20"/>
      <c r="B126" s="20"/>
      <c r="DS126" s="22"/>
      <c r="DT126" s="22"/>
    </row>
    <row r="127" spans="1:124" s="21" customFormat="1" x14ac:dyDescent="0.25">
      <c r="A127" s="20"/>
      <c r="B127" s="20"/>
      <c r="DS127" s="22"/>
      <c r="DT127" s="22"/>
    </row>
    <row r="128" spans="1:124" s="21" customFormat="1" x14ac:dyDescent="0.25">
      <c r="A128" s="20"/>
      <c r="B128" s="20"/>
      <c r="DS128" s="22"/>
      <c r="DT128" s="22"/>
    </row>
    <row r="129" spans="1:124" s="21" customFormat="1" x14ac:dyDescent="0.25">
      <c r="A129" s="20"/>
      <c r="B129" s="20"/>
      <c r="DS129" s="22"/>
      <c r="DT129" s="22"/>
    </row>
    <row r="130" spans="1:124" s="21" customFormat="1" x14ac:dyDescent="0.25">
      <c r="A130" s="20"/>
      <c r="B130" s="20"/>
      <c r="DS130" s="22"/>
      <c r="DT130" s="22"/>
    </row>
    <row r="131" spans="1:124" s="21" customFormat="1" x14ac:dyDescent="0.25">
      <c r="A131" s="20"/>
      <c r="B131" s="20"/>
      <c r="DS131" s="22"/>
      <c r="DT131" s="22"/>
    </row>
    <row r="132" spans="1:124" s="21" customFormat="1" x14ac:dyDescent="0.25">
      <c r="A132" s="20"/>
      <c r="B132" s="20"/>
      <c r="DS132" s="22"/>
      <c r="DT132" s="22"/>
    </row>
    <row r="133" spans="1:124" s="21" customFormat="1" x14ac:dyDescent="0.25">
      <c r="A133" s="20"/>
      <c r="B133" s="20"/>
      <c r="DS133" s="22"/>
      <c r="DT133" s="22"/>
    </row>
    <row r="134" spans="1:124" s="21" customFormat="1" x14ac:dyDescent="0.25">
      <c r="A134" s="20"/>
      <c r="B134" s="20"/>
      <c r="DS134" s="22"/>
      <c r="DT134" s="22"/>
    </row>
    <row r="135" spans="1:124" s="21" customFormat="1" x14ac:dyDescent="0.25">
      <c r="A135" s="20"/>
      <c r="B135" s="20"/>
      <c r="DS135" s="22"/>
      <c r="DT135" s="22"/>
    </row>
    <row r="136" spans="1:124" s="21" customFormat="1" x14ac:dyDescent="0.25">
      <c r="A136" s="20"/>
      <c r="B136" s="20"/>
      <c r="DS136" s="22"/>
      <c r="DT136" s="22"/>
    </row>
    <row r="137" spans="1:124" s="21" customFormat="1" x14ac:dyDescent="0.25">
      <c r="A137" s="20"/>
      <c r="B137" s="20"/>
      <c r="DS137" s="22"/>
      <c r="DT137" s="22"/>
    </row>
    <row r="138" spans="1:124" s="21" customFormat="1" x14ac:dyDescent="0.25">
      <c r="A138" s="20"/>
      <c r="B138" s="20"/>
      <c r="DS138" s="22"/>
      <c r="DT138" s="22"/>
    </row>
    <row r="139" spans="1:124" s="21" customFormat="1" x14ac:dyDescent="0.25">
      <c r="A139" s="20"/>
      <c r="B139" s="20"/>
      <c r="DS139" s="22"/>
      <c r="DT139" s="22"/>
    </row>
    <row r="140" spans="1:124" s="21" customFormat="1" x14ac:dyDescent="0.25">
      <c r="A140" s="20"/>
      <c r="B140" s="20"/>
      <c r="DS140" s="22"/>
      <c r="DT140" s="22"/>
    </row>
    <row r="141" spans="1:124" s="21" customFormat="1" x14ac:dyDescent="0.25">
      <c r="A141" s="20"/>
      <c r="B141" s="20"/>
      <c r="DS141" s="22"/>
      <c r="DT141" s="22"/>
    </row>
    <row r="142" spans="1:124" s="21" customFormat="1" x14ac:dyDescent="0.25">
      <c r="A142" s="20"/>
      <c r="B142" s="20"/>
      <c r="DS142" s="22"/>
      <c r="DT142" s="22"/>
    </row>
    <row r="143" spans="1:124" s="21" customFormat="1" x14ac:dyDescent="0.25">
      <c r="A143" s="20"/>
      <c r="B143" s="20"/>
      <c r="DS143" s="22"/>
      <c r="DT143" s="22"/>
    </row>
    <row r="144" spans="1:124" s="21" customFormat="1" x14ac:dyDescent="0.25">
      <c r="A144" s="20"/>
      <c r="B144" s="20"/>
      <c r="DS144" s="22"/>
      <c r="DT144" s="22"/>
    </row>
    <row r="145" spans="1:124" s="21" customFormat="1" x14ac:dyDescent="0.25">
      <c r="A145" s="20"/>
      <c r="B145" s="20"/>
      <c r="DS145" s="22"/>
      <c r="DT145" s="22"/>
    </row>
    <row r="146" spans="1:124" s="21" customFormat="1" x14ac:dyDescent="0.25">
      <c r="A146" s="20"/>
      <c r="B146" s="20"/>
      <c r="DS146" s="22"/>
      <c r="DT146" s="22"/>
    </row>
    <row r="147" spans="1:124" s="21" customFormat="1" x14ac:dyDescent="0.25">
      <c r="A147" s="20"/>
      <c r="B147" s="20"/>
      <c r="DS147" s="22"/>
      <c r="DT147" s="22"/>
    </row>
    <row r="148" spans="1:124" s="21" customFormat="1" x14ac:dyDescent="0.25">
      <c r="A148" s="20"/>
      <c r="B148" s="20"/>
      <c r="DS148" s="22"/>
      <c r="DT148" s="22"/>
    </row>
    <row r="149" spans="1:124" s="21" customFormat="1" x14ac:dyDescent="0.25">
      <c r="A149" s="20"/>
      <c r="B149" s="20"/>
      <c r="DS149" s="22"/>
      <c r="DT149" s="22"/>
    </row>
    <row r="150" spans="1:124" s="21" customFormat="1" x14ac:dyDescent="0.25">
      <c r="A150" s="20"/>
      <c r="B150" s="20"/>
      <c r="DS150" s="22"/>
      <c r="DT150" s="22"/>
    </row>
    <row r="151" spans="1:124" s="21" customFormat="1" x14ac:dyDescent="0.25">
      <c r="A151" s="20"/>
      <c r="B151" s="20"/>
      <c r="DS151" s="22"/>
      <c r="DT151" s="22"/>
    </row>
    <row r="152" spans="1:124" s="21" customFormat="1" x14ac:dyDescent="0.25">
      <c r="A152" s="20"/>
      <c r="B152" s="20"/>
      <c r="DS152" s="22"/>
      <c r="DT152" s="22"/>
    </row>
    <row r="153" spans="1:124" s="21" customFormat="1" x14ac:dyDescent="0.25">
      <c r="A153" s="20"/>
      <c r="B153" s="20"/>
      <c r="DS153" s="22"/>
      <c r="DT153" s="22"/>
    </row>
    <row r="154" spans="1:124" s="21" customFormat="1" x14ac:dyDescent="0.25">
      <c r="A154" s="20"/>
      <c r="B154" s="20"/>
      <c r="DS154" s="22"/>
      <c r="DT154" s="22"/>
    </row>
    <row r="155" spans="1:124" s="21" customFormat="1" x14ac:dyDescent="0.25">
      <c r="A155" s="20"/>
      <c r="B155" s="20"/>
      <c r="DS155" s="22"/>
      <c r="DT155" s="22"/>
    </row>
    <row r="156" spans="1:124" s="21" customFormat="1" x14ac:dyDescent="0.25">
      <c r="A156" s="20"/>
      <c r="B156" s="20"/>
      <c r="DS156" s="22"/>
      <c r="DT156" s="22"/>
    </row>
    <row r="157" spans="1:124" s="21" customFormat="1" x14ac:dyDescent="0.25">
      <c r="A157" s="20"/>
      <c r="B157" s="20"/>
      <c r="DS157" s="22"/>
      <c r="DT157" s="22"/>
    </row>
    <row r="158" spans="1:124" s="21" customFormat="1" x14ac:dyDescent="0.25">
      <c r="A158" s="20"/>
      <c r="B158" s="20"/>
      <c r="DS158" s="22"/>
      <c r="DT158" s="22"/>
    </row>
    <row r="159" spans="1:124" s="21" customFormat="1" x14ac:dyDescent="0.25">
      <c r="A159" s="20"/>
      <c r="B159" s="20"/>
      <c r="DS159" s="22"/>
      <c r="DT159" s="22"/>
    </row>
    <row r="160" spans="1:124" s="21" customFormat="1" x14ac:dyDescent="0.25">
      <c r="A160" s="20"/>
      <c r="B160" s="20"/>
      <c r="DS160" s="22"/>
      <c r="DT160" s="22"/>
    </row>
    <row r="161" spans="1:124" s="21" customFormat="1" x14ac:dyDescent="0.25">
      <c r="A161" s="20"/>
      <c r="B161" s="20"/>
      <c r="DS161" s="22"/>
      <c r="DT161" s="22"/>
    </row>
    <row r="162" spans="1:124" s="21" customFormat="1" x14ac:dyDescent="0.25">
      <c r="A162" s="20"/>
      <c r="B162" s="20"/>
      <c r="DS162" s="22"/>
      <c r="DT162" s="22"/>
    </row>
    <row r="163" spans="1:124" s="21" customFormat="1" x14ac:dyDescent="0.25">
      <c r="A163" s="20"/>
      <c r="B163" s="20"/>
      <c r="DS163" s="22"/>
      <c r="DT163" s="22"/>
    </row>
    <row r="164" spans="1:124" s="21" customFormat="1" x14ac:dyDescent="0.25">
      <c r="A164" s="20"/>
      <c r="B164" s="20"/>
      <c r="DS164" s="22"/>
      <c r="DT164" s="22"/>
    </row>
    <row r="165" spans="1:124" s="21" customFormat="1" x14ac:dyDescent="0.25">
      <c r="A165" s="20"/>
      <c r="B165" s="20"/>
      <c r="DS165" s="22"/>
      <c r="DT165" s="22"/>
    </row>
    <row r="166" spans="1:124" s="21" customFormat="1" x14ac:dyDescent="0.25">
      <c r="A166" s="20"/>
      <c r="B166" s="20"/>
      <c r="DS166" s="22"/>
      <c r="DT166" s="22"/>
    </row>
    <row r="167" spans="1:124" s="21" customFormat="1" x14ac:dyDescent="0.25">
      <c r="A167" s="20"/>
      <c r="B167" s="20"/>
      <c r="DS167" s="22"/>
      <c r="DT167" s="22"/>
    </row>
    <row r="168" spans="1:124" s="21" customFormat="1" x14ac:dyDescent="0.25">
      <c r="A168" s="20"/>
      <c r="B168" s="20"/>
      <c r="DS168" s="22"/>
      <c r="DT168" s="22"/>
    </row>
    <row r="169" spans="1:124" s="21" customFormat="1" x14ac:dyDescent="0.25">
      <c r="A169" s="20"/>
      <c r="B169" s="20"/>
      <c r="DS169" s="22"/>
      <c r="DT169" s="22"/>
    </row>
    <row r="170" spans="1:124" s="21" customFormat="1" x14ac:dyDescent="0.25">
      <c r="A170" s="20"/>
      <c r="B170" s="20"/>
      <c r="DS170" s="22"/>
      <c r="DT170" s="22"/>
    </row>
    <row r="171" spans="1:124" s="21" customFormat="1" x14ac:dyDescent="0.25">
      <c r="A171" s="20"/>
      <c r="B171" s="20"/>
      <c r="DS171" s="22"/>
      <c r="DT171" s="22"/>
    </row>
    <row r="172" spans="1:124" s="21" customFormat="1" x14ac:dyDescent="0.25">
      <c r="A172" s="20"/>
      <c r="B172" s="20"/>
      <c r="DS172" s="22"/>
      <c r="DT172" s="22"/>
    </row>
    <row r="173" spans="1:124" s="21" customFormat="1" x14ac:dyDescent="0.25">
      <c r="A173" s="20"/>
      <c r="B173" s="20"/>
      <c r="DS173" s="22"/>
      <c r="DT173" s="22"/>
    </row>
    <row r="174" spans="1:124" s="21" customFormat="1" x14ac:dyDescent="0.25">
      <c r="A174" s="20"/>
      <c r="B174" s="20"/>
      <c r="DS174" s="22"/>
      <c r="DT174" s="22"/>
    </row>
    <row r="175" spans="1:124" s="21" customFormat="1" x14ac:dyDescent="0.25">
      <c r="A175" s="20"/>
      <c r="B175" s="20"/>
      <c r="DS175" s="22"/>
      <c r="DT175" s="22"/>
    </row>
    <row r="176" spans="1:124" s="21" customFormat="1" x14ac:dyDescent="0.25">
      <c r="A176" s="20"/>
      <c r="B176" s="20"/>
      <c r="DS176" s="22"/>
      <c r="DT176" s="22"/>
    </row>
    <row r="177" spans="1:124" s="21" customFormat="1" x14ac:dyDescent="0.25">
      <c r="A177" s="20"/>
      <c r="B177" s="20"/>
      <c r="DS177" s="22"/>
      <c r="DT177" s="22"/>
    </row>
    <row r="178" spans="1:124" s="21" customFormat="1" x14ac:dyDescent="0.25">
      <c r="A178" s="20"/>
      <c r="B178" s="20"/>
      <c r="DS178" s="22"/>
      <c r="DT178" s="22"/>
    </row>
    <row r="179" spans="1:124" s="21" customFormat="1" x14ac:dyDescent="0.25">
      <c r="A179" s="20"/>
      <c r="B179" s="20"/>
      <c r="DS179" s="22"/>
      <c r="DT179" s="22"/>
    </row>
    <row r="180" spans="1:124" s="21" customFormat="1" x14ac:dyDescent="0.25">
      <c r="A180" s="20"/>
      <c r="B180" s="20"/>
      <c r="DS180" s="22"/>
      <c r="DT180" s="22"/>
    </row>
    <row r="181" spans="1:124" s="21" customFormat="1" x14ac:dyDescent="0.25">
      <c r="A181" s="20"/>
      <c r="B181" s="20"/>
      <c r="DS181" s="22"/>
      <c r="DT181" s="22"/>
    </row>
    <row r="182" spans="1:124" s="21" customFormat="1" x14ac:dyDescent="0.25">
      <c r="A182" s="20"/>
      <c r="B182" s="20"/>
      <c r="DS182" s="22"/>
      <c r="DT182" s="22"/>
    </row>
    <row r="183" spans="1:124" s="21" customFormat="1" x14ac:dyDescent="0.25">
      <c r="A183" s="20"/>
      <c r="B183" s="20"/>
      <c r="DS183" s="22"/>
      <c r="DT183" s="22"/>
    </row>
    <row r="184" spans="1:124" s="21" customFormat="1" x14ac:dyDescent="0.25">
      <c r="A184" s="20"/>
      <c r="B184" s="20"/>
      <c r="DS184" s="22"/>
      <c r="DT184" s="22"/>
    </row>
    <row r="185" spans="1:124" s="21" customFormat="1" x14ac:dyDescent="0.25">
      <c r="A185" s="20"/>
      <c r="B185" s="20"/>
      <c r="DS185" s="22"/>
      <c r="DT185" s="22"/>
    </row>
    <row r="186" spans="1:124" s="21" customFormat="1" x14ac:dyDescent="0.25">
      <c r="A186" s="20"/>
      <c r="B186" s="20"/>
      <c r="DS186" s="22"/>
      <c r="DT186" s="22"/>
    </row>
    <row r="187" spans="1:124" s="21" customFormat="1" x14ac:dyDescent="0.25">
      <c r="A187" s="20"/>
      <c r="B187" s="20"/>
      <c r="DS187" s="22"/>
      <c r="DT187" s="22"/>
    </row>
    <row r="188" spans="1:124" s="21" customFormat="1" x14ac:dyDescent="0.25">
      <c r="A188" s="20"/>
      <c r="B188" s="20"/>
      <c r="DS188" s="22"/>
      <c r="DT188" s="22"/>
    </row>
    <row r="189" spans="1:124" s="21" customFormat="1" x14ac:dyDescent="0.25">
      <c r="A189" s="20"/>
      <c r="B189" s="20"/>
      <c r="DS189" s="22"/>
      <c r="DT189" s="22"/>
    </row>
    <row r="190" spans="1:124" s="21" customFormat="1" x14ac:dyDescent="0.25">
      <c r="A190" s="20"/>
      <c r="B190" s="20"/>
      <c r="DS190" s="22"/>
      <c r="DT190" s="22"/>
    </row>
    <row r="191" spans="1:124" s="21" customFormat="1" x14ac:dyDescent="0.25">
      <c r="A191" s="20"/>
      <c r="B191" s="20"/>
      <c r="DS191" s="22"/>
      <c r="DT191" s="22"/>
    </row>
    <row r="192" spans="1:124" s="21" customFormat="1" x14ac:dyDescent="0.25">
      <c r="A192" s="20"/>
      <c r="B192" s="20"/>
      <c r="DS192" s="22"/>
      <c r="DT192" s="22"/>
    </row>
    <row r="193" spans="1:124" s="21" customFormat="1" x14ac:dyDescent="0.25">
      <c r="A193" s="20"/>
      <c r="B193" s="20"/>
      <c r="DS193" s="22"/>
      <c r="DT193" s="22"/>
    </row>
    <row r="194" spans="1:124" s="21" customFormat="1" x14ac:dyDescent="0.25">
      <c r="A194" s="20"/>
      <c r="B194" s="20"/>
      <c r="DS194" s="22"/>
      <c r="DT194" s="22"/>
    </row>
    <row r="195" spans="1:124" s="21" customFormat="1" x14ac:dyDescent="0.25">
      <c r="A195" s="20"/>
      <c r="B195" s="20"/>
      <c r="DS195" s="22"/>
      <c r="DT195" s="22"/>
    </row>
    <row r="196" spans="1:124" s="21" customFormat="1" x14ac:dyDescent="0.25">
      <c r="A196" s="20"/>
      <c r="B196" s="20"/>
      <c r="DS196" s="22"/>
      <c r="DT196" s="22"/>
    </row>
    <row r="197" spans="1:124" s="21" customFormat="1" x14ac:dyDescent="0.25">
      <c r="A197" s="20"/>
      <c r="B197" s="20"/>
      <c r="DS197" s="22"/>
      <c r="DT197" s="22"/>
    </row>
    <row r="198" spans="1:124" s="21" customFormat="1" x14ac:dyDescent="0.25">
      <c r="A198" s="20"/>
      <c r="B198" s="20"/>
      <c r="DS198" s="22"/>
      <c r="DT198" s="22"/>
    </row>
    <row r="199" spans="1:124" s="21" customFormat="1" x14ac:dyDescent="0.25">
      <c r="A199" s="20"/>
      <c r="B199" s="20"/>
      <c r="DS199" s="22"/>
      <c r="DT199" s="22"/>
    </row>
    <row r="200" spans="1:124" s="21" customFormat="1" x14ac:dyDescent="0.25">
      <c r="A200" s="20"/>
      <c r="B200" s="20"/>
      <c r="DS200" s="22"/>
      <c r="DT200" s="22"/>
    </row>
    <row r="201" spans="1:124" s="21" customFormat="1" x14ac:dyDescent="0.25">
      <c r="A201" s="20"/>
      <c r="B201" s="20"/>
      <c r="DS201" s="22"/>
      <c r="DT201" s="22"/>
    </row>
    <row r="202" spans="1:124" s="21" customFormat="1" x14ac:dyDescent="0.25">
      <c r="A202" s="20"/>
      <c r="B202" s="20"/>
      <c r="DS202" s="22"/>
      <c r="DT202" s="22"/>
    </row>
    <row r="203" spans="1:124" s="21" customFormat="1" x14ac:dyDescent="0.25">
      <c r="A203" s="20"/>
      <c r="B203" s="20"/>
      <c r="DS203" s="22"/>
      <c r="DT203" s="22"/>
    </row>
    <row r="204" spans="1:124" s="21" customFormat="1" x14ac:dyDescent="0.25">
      <c r="A204" s="20"/>
      <c r="B204" s="20"/>
      <c r="DS204" s="22"/>
      <c r="DT204" s="22"/>
    </row>
    <row r="205" spans="1:124" s="21" customFormat="1" x14ac:dyDescent="0.25">
      <c r="A205" s="20"/>
      <c r="B205" s="20"/>
      <c r="DS205" s="22"/>
      <c r="DT205" s="22"/>
    </row>
    <row r="206" spans="1:124" s="21" customFormat="1" x14ac:dyDescent="0.25">
      <c r="A206" s="20"/>
      <c r="B206" s="20"/>
      <c r="DS206" s="22"/>
      <c r="DT206" s="22"/>
    </row>
    <row r="207" spans="1:124" s="21" customFormat="1" x14ac:dyDescent="0.25">
      <c r="A207" s="20"/>
      <c r="B207" s="20"/>
      <c r="DS207" s="22"/>
      <c r="DT207" s="22"/>
    </row>
    <row r="208" spans="1:124" s="21" customFormat="1" x14ac:dyDescent="0.25">
      <c r="A208" s="20"/>
      <c r="B208" s="20"/>
      <c r="DS208" s="22"/>
      <c r="DT208" s="22"/>
    </row>
    <row r="209" spans="1:124" s="21" customFormat="1" x14ac:dyDescent="0.25">
      <c r="A209" s="20"/>
      <c r="B209" s="20"/>
      <c r="DS209" s="22"/>
      <c r="DT209" s="22"/>
    </row>
    <row r="210" spans="1:124" s="21" customFormat="1" x14ac:dyDescent="0.25">
      <c r="A210" s="20"/>
      <c r="B210" s="20"/>
      <c r="DS210" s="22"/>
      <c r="DT210" s="22"/>
    </row>
    <row r="211" spans="1:124" s="21" customFormat="1" x14ac:dyDescent="0.25">
      <c r="A211" s="20"/>
      <c r="B211" s="20"/>
      <c r="DS211" s="22"/>
      <c r="DT211" s="22"/>
    </row>
    <row r="212" spans="1:124" s="21" customFormat="1" x14ac:dyDescent="0.25">
      <c r="A212" s="20"/>
      <c r="B212" s="20"/>
      <c r="DS212" s="22"/>
      <c r="DT212" s="22"/>
    </row>
    <row r="213" spans="1:124" s="21" customFormat="1" x14ac:dyDescent="0.25">
      <c r="A213" s="20"/>
      <c r="B213" s="20"/>
      <c r="DS213" s="22"/>
      <c r="DT213" s="22"/>
    </row>
    <row r="214" spans="1:124" s="21" customFormat="1" x14ac:dyDescent="0.25">
      <c r="A214" s="20"/>
      <c r="B214" s="20"/>
      <c r="DS214" s="22"/>
      <c r="DT214" s="22"/>
    </row>
    <row r="215" spans="1:124" s="21" customFormat="1" x14ac:dyDescent="0.25">
      <c r="A215" s="20"/>
      <c r="B215" s="20"/>
      <c r="DS215" s="22"/>
      <c r="DT215" s="22"/>
    </row>
    <row r="216" spans="1:124" s="21" customFormat="1" x14ac:dyDescent="0.25">
      <c r="A216" s="20"/>
      <c r="B216" s="20"/>
      <c r="DS216" s="22"/>
      <c r="DT216" s="22"/>
    </row>
    <row r="217" spans="1:124" s="21" customFormat="1" x14ac:dyDescent="0.25">
      <c r="A217" s="20"/>
      <c r="B217" s="20"/>
      <c r="DS217" s="22"/>
      <c r="DT217" s="22"/>
    </row>
    <row r="218" spans="1:124" s="21" customFormat="1" x14ac:dyDescent="0.25">
      <c r="A218" s="20"/>
      <c r="B218" s="20"/>
      <c r="DS218" s="22"/>
      <c r="DT218" s="22"/>
    </row>
    <row r="219" spans="1:124" s="21" customFormat="1" x14ac:dyDescent="0.25">
      <c r="A219" s="20"/>
      <c r="B219" s="20"/>
      <c r="DS219" s="22"/>
      <c r="DT219" s="22"/>
    </row>
    <row r="220" spans="1:124" s="21" customFormat="1" x14ac:dyDescent="0.25">
      <c r="A220" s="20"/>
      <c r="B220" s="20"/>
      <c r="DS220" s="22"/>
      <c r="DT220" s="22"/>
    </row>
    <row r="221" spans="1:124" s="21" customFormat="1" x14ac:dyDescent="0.25">
      <c r="A221" s="20"/>
      <c r="B221" s="20"/>
      <c r="DS221" s="22"/>
      <c r="DT221" s="22"/>
    </row>
    <row r="222" spans="1:124" s="21" customFormat="1" x14ac:dyDescent="0.25">
      <c r="A222" s="20"/>
      <c r="B222" s="20"/>
      <c r="DS222" s="22"/>
      <c r="DT222" s="22"/>
    </row>
    <row r="223" spans="1:124" s="21" customFormat="1" x14ac:dyDescent="0.25">
      <c r="A223" s="20"/>
      <c r="B223" s="20"/>
      <c r="DS223" s="22"/>
      <c r="DT223" s="22"/>
    </row>
    <row r="224" spans="1:124" s="21" customFormat="1" x14ac:dyDescent="0.25">
      <c r="A224" s="20"/>
      <c r="B224" s="20"/>
      <c r="DS224" s="22"/>
      <c r="DT224" s="22"/>
    </row>
    <row r="225" spans="1:124" s="21" customFormat="1" x14ac:dyDescent="0.25">
      <c r="A225" s="20"/>
      <c r="B225" s="20"/>
      <c r="DS225" s="22"/>
      <c r="DT225" s="22"/>
    </row>
    <row r="226" spans="1:124" s="21" customFormat="1" x14ac:dyDescent="0.25">
      <c r="A226" s="20"/>
      <c r="B226" s="20"/>
      <c r="DS226" s="22"/>
      <c r="DT226" s="22"/>
    </row>
    <row r="227" spans="1:124" s="21" customFormat="1" x14ac:dyDescent="0.25">
      <c r="A227" s="20"/>
      <c r="B227" s="20"/>
      <c r="DS227" s="22"/>
      <c r="DT227" s="22"/>
    </row>
    <row r="228" spans="1:124" s="21" customFormat="1" x14ac:dyDescent="0.25">
      <c r="A228" s="20"/>
      <c r="B228" s="20"/>
      <c r="DS228" s="22"/>
      <c r="DT228" s="22"/>
    </row>
    <row r="229" spans="1:124" s="21" customFormat="1" x14ac:dyDescent="0.25">
      <c r="A229" s="20"/>
      <c r="B229" s="20"/>
      <c r="DS229" s="22"/>
      <c r="DT229" s="22"/>
    </row>
    <row r="230" spans="1:124" s="21" customFormat="1" x14ac:dyDescent="0.25">
      <c r="A230" s="20"/>
      <c r="B230" s="20"/>
      <c r="DS230" s="22"/>
      <c r="DT230" s="22"/>
    </row>
    <row r="231" spans="1:124" s="21" customFormat="1" x14ac:dyDescent="0.25">
      <c r="A231" s="20"/>
      <c r="B231" s="20"/>
      <c r="DS231" s="22"/>
      <c r="DT231" s="22"/>
    </row>
    <row r="232" spans="1:124" s="21" customFormat="1" x14ac:dyDescent="0.25">
      <c r="A232" s="20"/>
      <c r="B232" s="20"/>
      <c r="DS232" s="22"/>
      <c r="DT232" s="22"/>
    </row>
    <row r="233" spans="1:124" s="21" customFormat="1" x14ac:dyDescent="0.25">
      <c r="A233" s="20"/>
      <c r="B233" s="20"/>
      <c r="DS233" s="22"/>
      <c r="DT233" s="22"/>
    </row>
    <row r="234" spans="1:124" s="21" customFormat="1" x14ac:dyDescent="0.25">
      <c r="A234" s="20"/>
      <c r="B234" s="20"/>
      <c r="DS234" s="22"/>
      <c r="DT234" s="22"/>
    </row>
    <row r="235" spans="1:124" s="21" customFormat="1" x14ac:dyDescent="0.25">
      <c r="A235" s="20"/>
      <c r="B235" s="20"/>
      <c r="DS235" s="22"/>
      <c r="DT235" s="22"/>
    </row>
    <row r="236" spans="1:124" s="21" customFormat="1" x14ac:dyDescent="0.25">
      <c r="A236" s="20"/>
      <c r="B236" s="20"/>
      <c r="DS236" s="22"/>
      <c r="DT236" s="22"/>
    </row>
    <row r="237" spans="1:124" s="21" customFormat="1" x14ac:dyDescent="0.25">
      <c r="A237" s="20"/>
      <c r="B237" s="20"/>
      <c r="DS237" s="22"/>
      <c r="DT237" s="22"/>
    </row>
    <row r="238" spans="1:124" s="21" customFormat="1" x14ac:dyDescent="0.25">
      <c r="A238" s="20"/>
      <c r="B238" s="20"/>
      <c r="DS238" s="22"/>
      <c r="DT238" s="22"/>
    </row>
    <row r="239" spans="1:124" s="21" customFormat="1" x14ac:dyDescent="0.25">
      <c r="A239" s="20"/>
      <c r="B239" s="20"/>
      <c r="DS239" s="22"/>
      <c r="DT239" s="22"/>
    </row>
    <row r="240" spans="1:124" s="21" customFormat="1" x14ac:dyDescent="0.25">
      <c r="A240" s="20"/>
      <c r="B240" s="20"/>
      <c r="DS240" s="22"/>
      <c r="DT240" s="22"/>
    </row>
    <row r="241" spans="1:124" s="21" customFormat="1" x14ac:dyDescent="0.25">
      <c r="A241" s="20"/>
      <c r="B241" s="20"/>
      <c r="DS241" s="22"/>
      <c r="DT241" s="22"/>
    </row>
    <row r="242" spans="1:124" s="21" customFormat="1" x14ac:dyDescent="0.25">
      <c r="A242" s="20"/>
      <c r="B242" s="20"/>
      <c r="DS242" s="22"/>
      <c r="DT242" s="22"/>
    </row>
    <row r="243" spans="1:124" s="21" customFormat="1" x14ac:dyDescent="0.25">
      <c r="A243" s="20"/>
      <c r="B243" s="20"/>
      <c r="DS243" s="22"/>
      <c r="DT243" s="22"/>
    </row>
    <row r="244" spans="1:124" s="21" customFormat="1" x14ac:dyDescent="0.25">
      <c r="A244" s="20"/>
      <c r="B244" s="20"/>
      <c r="DS244" s="22"/>
      <c r="DT244" s="22"/>
    </row>
    <row r="245" spans="1:124" s="21" customFormat="1" x14ac:dyDescent="0.25">
      <c r="A245" s="20"/>
      <c r="B245" s="20"/>
      <c r="DS245" s="22"/>
      <c r="DT245" s="22"/>
    </row>
    <row r="246" spans="1:124" s="21" customFormat="1" x14ac:dyDescent="0.25">
      <c r="A246" s="20"/>
      <c r="B246" s="20"/>
      <c r="DS246" s="22"/>
      <c r="DT246" s="22"/>
    </row>
    <row r="247" spans="1:124" s="21" customFormat="1" x14ac:dyDescent="0.25">
      <c r="A247" s="20"/>
      <c r="B247" s="20"/>
      <c r="DS247" s="22"/>
      <c r="DT247" s="22"/>
    </row>
    <row r="248" spans="1:124" s="21" customFormat="1" x14ac:dyDescent="0.25">
      <c r="A248" s="20"/>
      <c r="B248" s="20"/>
      <c r="DS248" s="22"/>
      <c r="DT248" s="22"/>
    </row>
    <row r="249" spans="1:124" s="21" customFormat="1" x14ac:dyDescent="0.25">
      <c r="A249" s="20"/>
      <c r="B249" s="20"/>
      <c r="DS249" s="22"/>
      <c r="DT249" s="22"/>
    </row>
    <row r="250" spans="1:124" s="21" customFormat="1" x14ac:dyDescent="0.25">
      <c r="A250" s="20"/>
      <c r="B250" s="20"/>
      <c r="DS250" s="22"/>
      <c r="DT250" s="22"/>
    </row>
    <row r="251" spans="1:124" s="21" customFormat="1" x14ac:dyDescent="0.25">
      <c r="A251" s="20"/>
      <c r="B251" s="20"/>
      <c r="DS251" s="22"/>
      <c r="DT251" s="22"/>
    </row>
    <row r="252" spans="1:124" s="21" customFormat="1" x14ac:dyDescent="0.25">
      <c r="A252" s="20"/>
      <c r="B252" s="20"/>
      <c r="DS252" s="22"/>
      <c r="DT252" s="22"/>
    </row>
    <row r="253" spans="1:124" s="21" customFormat="1" x14ac:dyDescent="0.25">
      <c r="A253" s="20"/>
      <c r="B253" s="20"/>
      <c r="DS253" s="22"/>
      <c r="DT253" s="22"/>
    </row>
    <row r="254" spans="1:124" s="21" customFormat="1" x14ac:dyDescent="0.25">
      <c r="A254" s="20"/>
      <c r="B254" s="20"/>
      <c r="DS254" s="22"/>
      <c r="DT254" s="22"/>
    </row>
    <row r="255" spans="1:124" s="21" customFormat="1" x14ac:dyDescent="0.25">
      <c r="A255" s="20"/>
      <c r="B255" s="20"/>
      <c r="DS255" s="22"/>
      <c r="DT255" s="22"/>
    </row>
    <row r="256" spans="1:124" s="21" customFormat="1" x14ac:dyDescent="0.25">
      <c r="A256" s="20"/>
      <c r="B256" s="20"/>
      <c r="DS256" s="22"/>
      <c r="DT256" s="22"/>
    </row>
    <row r="257" spans="1:124" s="21" customFormat="1" x14ac:dyDescent="0.25">
      <c r="A257" s="20"/>
      <c r="B257" s="20"/>
      <c r="DS257" s="22"/>
      <c r="DT257" s="22"/>
    </row>
    <row r="258" spans="1:124" s="21" customFormat="1" x14ac:dyDescent="0.25">
      <c r="A258" s="20"/>
      <c r="B258" s="20"/>
      <c r="DS258" s="22"/>
      <c r="DT258" s="22"/>
    </row>
    <row r="259" spans="1:124" s="21" customFormat="1" x14ac:dyDescent="0.25">
      <c r="A259" s="20"/>
      <c r="B259" s="20"/>
      <c r="DS259" s="22"/>
      <c r="DT259" s="22"/>
    </row>
    <row r="260" spans="1:124" s="21" customFormat="1" x14ac:dyDescent="0.25">
      <c r="A260" s="20"/>
      <c r="B260" s="20"/>
      <c r="DS260" s="22"/>
      <c r="DT260" s="22"/>
    </row>
    <row r="261" spans="1:124" s="21" customFormat="1" x14ac:dyDescent="0.25">
      <c r="A261" s="20"/>
      <c r="B261" s="20"/>
      <c r="DS261" s="22"/>
      <c r="DT261" s="22"/>
    </row>
    <row r="262" spans="1:124" s="21" customFormat="1" x14ac:dyDescent="0.25">
      <c r="A262" s="20"/>
      <c r="B262" s="20"/>
      <c r="DS262" s="22"/>
      <c r="DT262" s="22"/>
    </row>
    <row r="263" spans="1:124" s="21" customFormat="1" x14ac:dyDescent="0.25">
      <c r="A263" s="20"/>
      <c r="B263" s="20"/>
      <c r="DS263" s="22"/>
      <c r="DT263" s="22"/>
    </row>
    <row r="264" spans="1:124" s="21" customFormat="1" x14ac:dyDescent="0.25">
      <c r="A264" s="20"/>
      <c r="B264" s="20"/>
      <c r="DS264" s="22"/>
      <c r="DT264" s="22"/>
    </row>
    <row r="265" spans="1:124" s="21" customFormat="1" x14ac:dyDescent="0.25">
      <c r="A265" s="20"/>
      <c r="B265" s="20"/>
      <c r="DS265" s="22"/>
      <c r="DT265" s="22"/>
    </row>
    <row r="266" spans="1:124" s="21" customFormat="1" x14ac:dyDescent="0.25">
      <c r="A266" s="20"/>
      <c r="B266" s="20"/>
      <c r="DS266" s="22"/>
      <c r="DT266" s="22"/>
    </row>
    <row r="267" spans="1:124" s="21" customFormat="1" x14ac:dyDescent="0.25">
      <c r="A267" s="20"/>
      <c r="B267" s="20"/>
      <c r="DS267" s="22"/>
      <c r="DT267" s="22"/>
    </row>
    <row r="268" spans="1:124" s="21" customFormat="1" x14ac:dyDescent="0.25">
      <c r="A268" s="20"/>
      <c r="B268" s="20"/>
      <c r="DS268" s="22"/>
      <c r="DT268" s="22"/>
    </row>
    <row r="269" spans="1:124" s="21" customFormat="1" x14ac:dyDescent="0.25">
      <c r="A269" s="20"/>
      <c r="B269" s="20"/>
      <c r="DS269" s="22"/>
      <c r="DT269" s="22"/>
    </row>
    <row r="270" spans="1:124" s="21" customFormat="1" x14ac:dyDescent="0.25">
      <c r="A270" s="20"/>
      <c r="B270" s="20"/>
      <c r="DS270" s="22"/>
      <c r="DT270" s="22"/>
    </row>
    <row r="271" spans="1:124" s="21" customFormat="1" x14ac:dyDescent="0.25">
      <c r="A271" s="20"/>
      <c r="B271" s="20"/>
      <c r="DS271" s="22"/>
      <c r="DT271" s="22"/>
    </row>
    <row r="272" spans="1:124" s="21" customFormat="1" x14ac:dyDescent="0.25">
      <c r="A272" s="20"/>
      <c r="B272" s="20"/>
      <c r="DS272" s="22"/>
      <c r="DT272" s="22"/>
    </row>
    <row r="273" spans="1:124" s="21" customFormat="1" x14ac:dyDescent="0.25">
      <c r="A273" s="20"/>
      <c r="B273" s="20"/>
      <c r="DS273" s="22"/>
      <c r="DT273" s="22"/>
    </row>
    <row r="274" spans="1:124" s="21" customFormat="1" x14ac:dyDescent="0.25">
      <c r="A274" s="20"/>
      <c r="B274" s="20"/>
      <c r="DS274" s="22"/>
      <c r="DT274" s="22"/>
    </row>
    <row r="275" spans="1:124" s="21" customFormat="1" x14ac:dyDescent="0.25">
      <c r="A275" s="20"/>
      <c r="B275" s="20"/>
      <c r="DS275" s="22"/>
      <c r="DT275" s="22"/>
    </row>
    <row r="276" spans="1:124" s="21" customFormat="1" x14ac:dyDescent="0.25">
      <c r="A276" s="20"/>
      <c r="B276" s="20"/>
      <c r="DS276" s="22"/>
      <c r="DT276" s="22"/>
    </row>
    <row r="277" spans="1:124" s="21" customFormat="1" x14ac:dyDescent="0.25">
      <c r="A277" s="20"/>
      <c r="B277" s="20"/>
      <c r="DS277" s="22"/>
      <c r="DT277" s="22"/>
    </row>
    <row r="278" spans="1:124" s="21" customFormat="1" x14ac:dyDescent="0.25">
      <c r="A278" s="20"/>
      <c r="B278" s="20"/>
      <c r="DS278" s="22"/>
      <c r="DT278" s="22"/>
    </row>
    <row r="279" spans="1:124" s="21" customFormat="1" x14ac:dyDescent="0.25">
      <c r="A279" s="20"/>
      <c r="B279" s="20"/>
      <c r="DS279" s="22"/>
      <c r="DT279" s="22"/>
    </row>
    <row r="280" spans="1:124" s="21" customFormat="1" x14ac:dyDescent="0.25">
      <c r="A280" s="20"/>
      <c r="B280" s="20"/>
      <c r="DS280" s="22"/>
      <c r="DT280" s="22"/>
    </row>
    <row r="281" spans="1:124" s="21" customFormat="1" x14ac:dyDescent="0.25">
      <c r="A281" s="20"/>
      <c r="B281" s="20"/>
      <c r="DS281" s="22"/>
      <c r="DT281" s="22"/>
    </row>
    <row r="282" spans="1:124" s="21" customFormat="1" x14ac:dyDescent="0.25">
      <c r="A282" s="20"/>
      <c r="B282" s="20"/>
      <c r="DS282" s="22"/>
      <c r="DT282" s="22"/>
    </row>
    <row r="283" spans="1:124" s="21" customFormat="1" x14ac:dyDescent="0.25">
      <c r="A283" s="20"/>
      <c r="B283" s="20"/>
      <c r="DS283" s="22"/>
      <c r="DT283" s="22"/>
    </row>
    <row r="284" spans="1:124" s="21" customFormat="1" x14ac:dyDescent="0.25">
      <c r="A284" s="20"/>
      <c r="B284" s="20"/>
      <c r="DS284" s="22"/>
      <c r="DT284" s="22"/>
    </row>
    <row r="285" spans="1:124" s="21" customFormat="1" x14ac:dyDescent="0.25">
      <c r="A285" s="20"/>
      <c r="B285" s="20"/>
      <c r="DS285" s="22"/>
      <c r="DT285" s="22"/>
    </row>
    <row r="286" spans="1:124" s="21" customFormat="1" x14ac:dyDescent="0.25">
      <c r="A286" s="20"/>
      <c r="B286" s="20"/>
      <c r="DS286" s="22"/>
      <c r="DT286" s="22"/>
    </row>
    <row r="287" spans="1:124" s="21" customFormat="1" x14ac:dyDescent="0.25">
      <c r="A287" s="20"/>
      <c r="B287" s="20"/>
      <c r="DS287" s="22"/>
      <c r="DT287" s="22"/>
    </row>
    <row r="288" spans="1:124" s="21" customFormat="1" x14ac:dyDescent="0.25">
      <c r="A288" s="20"/>
      <c r="B288" s="20"/>
      <c r="DS288" s="22"/>
      <c r="DT288" s="22"/>
    </row>
    <row r="289" spans="1:124" s="21" customFormat="1" x14ac:dyDescent="0.25">
      <c r="A289" s="20"/>
      <c r="B289" s="20"/>
      <c r="DS289" s="22"/>
      <c r="DT289" s="22"/>
    </row>
    <row r="290" spans="1:124" s="21" customFormat="1" x14ac:dyDescent="0.25">
      <c r="A290" s="20"/>
      <c r="B290" s="20"/>
      <c r="DS290" s="22"/>
      <c r="DT290" s="22"/>
    </row>
    <row r="291" spans="1:124" s="21" customFormat="1" x14ac:dyDescent="0.25">
      <c r="A291" s="20"/>
      <c r="B291" s="20"/>
      <c r="DS291" s="22"/>
      <c r="DT291" s="22"/>
    </row>
    <row r="292" spans="1:124" s="21" customFormat="1" x14ac:dyDescent="0.25">
      <c r="A292" s="20"/>
      <c r="B292" s="20"/>
      <c r="DS292" s="22"/>
      <c r="DT292" s="22"/>
    </row>
    <row r="293" spans="1:124" s="21" customFormat="1" x14ac:dyDescent="0.25">
      <c r="A293" s="20"/>
      <c r="B293" s="20"/>
      <c r="DS293" s="22"/>
      <c r="DT293" s="22"/>
    </row>
    <row r="294" spans="1:124" s="21" customFormat="1" x14ac:dyDescent="0.25">
      <c r="A294" s="20"/>
      <c r="B294" s="20"/>
      <c r="DS294" s="22"/>
      <c r="DT294" s="22"/>
    </row>
    <row r="295" spans="1:124" s="21" customFormat="1" x14ac:dyDescent="0.25">
      <c r="A295" s="20"/>
      <c r="B295" s="20"/>
      <c r="DS295" s="22"/>
      <c r="DT295" s="22"/>
    </row>
    <row r="296" spans="1:124" s="21" customFormat="1" x14ac:dyDescent="0.25">
      <c r="A296" s="20"/>
      <c r="B296" s="20"/>
      <c r="DS296" s="22"/>
      <c r="DT296" s="22"/>
    </row>
    <row r="297" spans="1:124" s="21" customFormat="1" x14ac:dyDescent="0.25">
      <c r="A297" s="20"/>
      <c r="B297" s="20"/>
      <c r="DS297" s="22"/>
      <c r="DT297" s="22"/>
    </row>
    <row r="298" spans="1:124" s="21" customFormat="1" x14ac:dyDescent="0.25">
      <c r="A298" s="20"/>
      <c r="B298" s="20"/>
      <c r="DS298" s="22"/>
      <c r="DT298" s="22"/>
    </row>
    <row r="299" spans="1:124" s="21" customFormat="1" x14ac:dyDescent="0.25">
      <c r="A299" s="20"/>
      <c r="B299" s="20"/>
      <c r="DS299" s="22"/>
      <c r="DT299" s="22"/>
    </row>
    <row r="300" spans="1:124" s="21" customFormat="1" x14ac:dyDescent="0.25">
      <c r="A300" s="20"/>
      <c r="B300" s="20"/>
      <c r="DS300" s="22"/>
      <c r="DT300" s="22"/>
    </row>
    <row r="301" spans="1:124" s="21" customFormat="1" x14ac:dyDescent="0.25">
      <c r="A301" s="20"/>
      <c r="B301" s="20"/>
      <c r="DS301" s="22"/>
      <c r="DT301" s="22"/>
    </row>
    <row r="302" spans="1:124" s="21" customFormat="1" x14ac:dyDescent="0.25">
      <c r="A302" s="20"/>
      <c r="B302" s="20"/>
      <c r="DS302" s="22"/>
      <c r="DT302" s="22"/>
    </row>
    <row r="303" spans="1:124" s="21" customFormat="1" x14ac:dyDescent="0.25">
      <c r="A303" s="20"/>
      <c r="B303" s="20"/>
      <c r="DS303" s="22"/>
      <c r="DT303" s="22"/>
    </row>
    <row r="304" spans="1:124" s="21" customFormat="1" x14ac:dyDescent="0.25">
      <c r="A304" s="20"/>
      <c r="B304" s="20"/>
      <c r="DS304" s="22"/>
      <c r="DT304" s="22"/>
    </row>
    <row r="305" spans="1:124" s="21" customFormat="1" x14ac:dyDescent="0.25">
      <c r="A305" s="20"/>
      <c r="B305" s="20"/>
      <c r="DS305" s="22"/>
      <c r="DT305" s="22"/>
    </row>
    <row r="306" spans="1:124" s="21" customFormat="1" x14ac:dyDescent="0.25">
      <c r="A306" s="20"/>
      <c r="B306" s="20"/>
      <c r="DS306" s="22"/>
      <c r="DT306" s="22"/>
    </row>
    <row r="307" spans="1:124" s="21" customFormat="1" x14ac:dyDescent="0.25">
      <c r="A307" s="20"/>
      <c r="B307" s="20"/>
      <c r="DS307" s="22"/>
      <c r="DT307" s="22"/>
    </row>
    <row r="308" spans="1:124" s="21" customFormat="1" x14ac:dyDescent="0.25">
      <c r="A308" s="20"/>
      <c r="B308" s="20"/>
      <c r="DS308" s="22"/>
      <c r="DT308" s="22"/>
    </row>
    <row r="309" spans="1:124" s="21" customFormat="1" x14ac:dyDescent="0.25">
      <c r="A309" s="20"/>
      <c r="B309" s="20"/>
      <c r="DS309" s="22"/>
      <c r="DT309" s="22"/>
    </row>
    <row r="310" spans="1:124" s="21" customFormat="1" x14ac:dyDescent="0.25">
      <c r="A310" s="20"/>
      <c r="B310" s="20"/>
      <c r="DS310" s="22"/>
      <c r="DT310" s="22"/>
    </row>
    <row r="311" spans="1:124" s="21" customFormat="1" x14ac:dyDescent="0.25">
      <c r="A311" s="20"/>
      <c r="B311" s="20"/>
      <c r="DS311" s="22"/>
      <c r="DT311" s="22"/>
    </row>
    <row r="312" spans="1:124" s="21" customFormat="1" x14ac:dyDescent="0.25">
      <c r="A312" s="20"/>
      <c r="B312" s="20"/>
      <c r="DS312" s="22"/>
      <c r="DT312" s="22"/>
    </row>
    <row r="313" spans="1:124" s="21" customFormat="1" x14ac:dyDescent="0.25">
      <c r="A313" s="20"/>
      <c r="B313" s="20"/>
      <c r="DS313" s="22"/>
      <c r="DT313" s="22"/>
    </row>
    <row r="314" spans="1:124" s="21" customFormat="1" x14ac:dyDescent="0.25">
      <c r="A314" s="20"/>
      <c r="B314" s="20"/>
      <c r="DS314" s="22"/>
      <c r="DT314" s="22"/>
    </row>
    <row r="315" spans="1:124" s="21" customFormat="1" x14ac:dyDescent="0.25">
      <c r="A315" s="20"/>
      <c r="B315" s="20"/>
      <c r="DS315" s="22"/>
      <c r="DT315" s="22"/>
    </row>
    <row r="316" spans="1:124" s="21" customFormat="1" x14ac:dyDescent="0.25">
      <c r="A316" s="20"/>
      <c r="B316" s="20"/>
      <c r="DS316" s="22"/>
      <c r="DT316" s="22"/>
    </row>
    <row r="317" spans="1:124" s="21" customFormat="1" x14ac:dyDescent="0.25">
      <c r="A317" s="20"/>
      <c r="B317" s="20"/>
      <c r="DS317" s="22"/>
      <c r="DT317" s="22"/>
    </row>
    <row r="318" spans="1:124" s="21" customFormat="1" x14ac:dyDescent="0.25">
      <c r="A318" s="20"/>
      <c r="B318" s="20"/>
      <c r="DS318" s="22"/>
      <c r="DT318" s="22"/>
    </row>
    <row r="319" spans="1:124" s="21" customFormat="1" x14ac:dyDescent="0.25">
      <c r="A319" s="20"/>
      <c r="B319" s="20"/>
      <c r="DS319" s="22"/>
      <c r="DT319" s="22"/>
    </row>
    <row r="320" spans="1:124" s="21" customFormat="1" x14ac:dyDescent="0.25">
      <c r="A320" s="20"/>
      <c r="B320" s="20"/>
      <c r="DS320" s="22"/>
      <c r="DT320" s="22"/>
    </row>
    <row r="321" spans="1:124" s="21" customFormat="1" x14ac:dyDescent="0.25">
      <c r="A321" s="20"/>
      <c r="B321" s="20"/>
      <c r="DS321" s="22"/>
      <c r="DT321" s="22"/>
    </row>
    <row r="322" spans="1:124" s="21" customFormat="1" x14ac:dyDescent="0.25">
      <c r="A322" s="20"/>
      <c r="B322" s="20"/>
      <c r="DS322" s="22"/>
      <c r="DT322" s="22"/>
    </row>
    <row r="323" spans="1:124" s="21" customFormat="1" x14ac:dyDescent="0.25">
      <c r="A323" s="20"/>
      <c r="B323" s="20"/>
      <c r="DS323" s="22"/>
      <c r="DT323" s="22"/>
    </row>
    <row r="324" spans="1:124" s="21" customFormat="1" x14ac:dyDescent="0.25">
      <c r="A324" s="20"/>
      <c r="B324" s="20"/>
      <c r="DS324" s="22"/>
      <c r="DT324" s="22"/>
    </row>
    <row r="325" spans="1:124" s="21" customFormat="1" x14ac:dyDescent="0.25">
      <c r="A325" s="20"/>
      <c r="B325" s="20"/>
      <c r="DS325" s="22"/>
      <c r="DT325" s="22"/>
    </row>
    <row r="326" spans="1:124" s="21" customFormat="1" x14ac:dyDescent="0.25">
      <c r="A326" s="20"/>
      <c r="B326" s="20"/>
      <c r="DS326" s="22"/>
      <c r="DT326" s="22"/>
    </row>
    <row r="327" spans="1:124" s="21" customFormat="1" x14ac:dyDescent="0.25">
      <c r="A327" s="20"/>
      <c r="B327" s="20"/>
      <c r="DS327" s="22"/>
      <c r="DT327" s="22"/>
    </row>
    <row r="328" spans="1:124" s="21" customFormat="1" x14ac:dyDescent="0.25">
      <c r="A328" s="20"/>
      <c r="B328" s="20"/>
      <c r="DS328" s="22"/>
      <c r="DT328" s="22"/>
    </row>
    <row r="329" spans="1:124" s="21" customFormat="1" x14ac:dyDescent="0.25">
      <c r="A329" s="20"/>
      <c r="B329" s="20"/>
      <c r="DS329" s="22"/>
      <c r="DT329" s="22"/>
    </row>
    <row r="330" spans="1:124" s="21" customFormat="1" x14ac:dyDescent="0.25">
      <c r="A330" s="20"/>
      <c r="B330" s="20"/>
      <c r="DS330" s="22"/>
      <c r="DT330" s="22"/>
    </row>
    <row r="331" spans="1:124" s="21" customFormat="1" x14ac:dyDescent="0.25">
      <c r="A331" s="20"/>
      <c r="B331" s="20"/>
      <c r="DS331" s="22"/>
      <c r="DT331" s="22"/>
    </row>
    <row r="332" spans="1:124" s="21" customFormat="1" x14ac:dyDescent="0.25">
      <c r="A332" s="20"/>
      <c r="B332" s="20"/>
      <c r="DS332" s="22"/>
      <c r="DT332" s="22"/>
    </row>
    <row r="333" spans="1:124" s="21" customFormat="1" x14ac:dyDescent="0.25">
      <c r="A333" s="20"/>
      <c r="B333" s="20"/>
      <c r="DS333" s="22"/>
      <c r="DT333" s="22"/>
    </row>
    <row r="334" spans="1:124" s="21" customFormat="1" x14ac:dyDescent="0.25">
      <c r="A334" s="20"/>
      <c r="B334" s="20"/>
      <c r="DS334" s="22"/>
      <c r="DT334" s="22"/>
    </row>
    <row r="335" spans="1:124" s="21" customFormat="1" x14ac:dyDescent="0.25">
      <c r="A335" s="20"/>
      <c r="B335" s="20"/>
      <c r="DS335" s="22"/>
      <c r="DT335" s="22"/>
    </row>
    <row r="336" spans="1:124" s="21" customFormat="1" x14ac:dyDescent="0.25">
      <c r="A336" s="20"/>
      <c r="B336" s="20"/>
      <c r="DS336" s="22"/>
      <c r="DT336" s="22"/>
    </row>
    <row r="337" spans="1:124" s="21" customFormat="1" x14ac:dyDescent="0.25">
      <c r="A337" s="20"/>
      <c r="B337" s="20"/>
      <c r="DS337" s="22"/>
      <c r="DT337" s="22"/>
    </row>
    <row r="338" spans="1:124" s="21" customFormat="1" x14ac:dyDescent="0.25">
      <c r="A338" s="20"/>
      <c r="B338" s="20"/>
      <c r="DS338" s="22"/>
      <c r="DT338" s="22"/>
    </row>
    <row r="339" spans="1:124" s="21" customFormat="1" x14ac:dyDescent="0.25">
      <c r="A339" s="20"/>
      <c r="B339" s="20"/>
      <c r="DS339" s="22"/>
      <c r="DT339" s="22"/>
    </row>
    <row r="340" spans="1:124" s="21" customFormat="1" x14ac:dyDescent="0.25">
      <c r="A340" s="20"/>
      <c r="B340" s="20"/>
      <c r="DS340" s="22"/>
      <c r="DT340" s="22"/>
    </row>
    <row r="341" spans="1:124" s="21" customFormat="1" x14ac:dyDescent="0.25">
      <c r="A341" s="20"/>
      <c r="B341" s="20"/>
      <c r="DS341" s="22"/>
      <c r="DT341" s="22"/>
    </row>
    <row r="342" spans="1:124" s="21" customFormat="1" x14ac:dyDescent="0.25">
      <c r="A342" s="20"/>
      <c r="B342" s="20"/>
      <c r="DS342" s="22"/>
      <c r="DT342" s="22"/>
    </row>
    <row r="343" spans="1:124" s="21" customFormat="1" x14ac:dyDescent="0.25">
      <c r="A343" s="20"/>
      <c r="B343" s="20"/>
      <c r="DS343" s="22"/>
      <c r="DT343" s="22"/>
    </row>
    <row r="344" spans="1:124" s="21" customFormat="1" x14ac:dyDescent="0.25">
      <c r="A344" s="20"/>
      <c r="B344" s="20"/>
      <c r="DS344" s="22"/>
      <c r="DT344" s="22"/>
    </row>
    <row r="345" spans="1:124" s="21" customFormat="1" x14ac:dyDescent="0.25">
      <c r="A345" s="20"/>
      <c r="B345" s="20"/>
      <c r="DS345" s="22"/>
      <c r="DT345" s="22"/>
    </row>
    <row r="346" spans="1:124" s="21" customFormat="1" x14ac:dyDescent="0.25">
      <c r="A346" s="20"/>
      <c r="B346" s="20"/>
      <c r="DS346" s="22"/>
      <c r="DT346" s="22"/>
    </row>
    <row r="347" spans="1:124" s="21" customFormat="1" x14ac:dyDescent="0.25">
      <c r="A347" s="20"/>
      <c r="B347" s="20"/>
      <c r="DS347" s="22"/>
      <c r="DT347" s="22"/>
    </row>
    <row r="348" spans="1:124" s="21" customFormat="1" x14ac:dyDescent="0.25">
      <c r="A348" s="20"/>
      <c r="B348" s="20"/>
      <c r="DS348" s="22"/>
      <c r="DT348" s="22"/>
    </row>
    <row r="349" spans="1:124" s="21" customFormat="1" x14ac:dyDescent="0.25">
      <c r="A349" s="20"/>
      <c r="B349" s="20"/>
      <c r="DS349" s="22"/>
      <c r="DT349" s="22"/>
    </row>
    <row r="350" spans="1:124" s="21" customFormat="1" x14ac:dyDescent="0.25">
      <c r="A350" s="20"/>
      <c r="B350" s="20"/>
      <c r="DS350" s="22"/>
      <c r="DT350" s="22"/>
    </row>
    <row r="351" spans="1:124" s="21" customFormat="1" x14ac:dyDescent="0.25">
      <c r="A351" s="20"/>
      <c r="B351" s="20"/>
      <c r="DS351" s="22"/>
      <c r="DT351" s="22"/>
    </row>
    <row r="352" spans="1:124" s="21" customFormat="1" x14ac:dyDescent="0.25">
      <c r="A352" s="20"/>
      <c r="B352" s="20"/>
      <c r="DS352" s="22"/>
      <c r="DT352" s="22"/>
    </row>
    <row r="353" spans="1:124" s="21" customFormat="1" x14ac:dyDescent="0.25">
      <c r="A353" s="20"/>
      <c r="B353" s="20"/>
      <c r="DS353" s="22"/>
      <c r="DT353" s="22"/>
    </row>
    <row r="354" spans="1:124" s="21" customFormat="1" x14ac:dyDescent="0.25">
      <c r="A354" s="20"/>
      <c r="B354" s="20"/>
      <c r="DS354" s="22"/>
      <c r="DT354" s="22"/>
    </row>
    <row r="355" spans="1:124" s="21" customFormat="1" x14ac:dyDescent="0.25">
      <c r="A355" s="20"/>
      <c r="B355" s="20"/>
      <c r="DS355" s="22"/>
      <c r="DT355" s="22"/>
    </row>
    <row r="356" spans="1:124" s="21" customFormat="1" x14ac:dyDescent="0.25">
      <c r="A356" s="20"/>
      <c r="B356" s="20"/>
      <c r="DS356" s="22"/>
      <c r="DT356" s="22"/>
    </row>
    <row r="357" spans="1:124" s="21" customFormat="1" x14ac:dyDescent="0.25">
      <c r="A357" s="20"/>
      <c r="B357" s="20"/>
      <c r="DS357" s="22"/>
      <c r="DT357" s="22"/>
    </row>
    <row r="358" spans="1:124" s="21" customFormat="1" x14ac:dyDescent="0.25">
      <c r="A358" s="20"/>
      <c r="B358" s="20"/>
      <c r="DS358" s="22"/>
      <c r="DT358" s="22"/>
    </row>
    <row r="359" spans="1:124" s="21" customFormat="1" x14ac:dyDescent="0.25">
      <c r="A359" s="20"/>
      <c r="B359" s="20"/>
      <c r="DS359" s="22"/>
      <c r="DT359" s="22"/>
    </row>
    <row r="360" spans="1:124" s="21" customFormat="1" x14ac:dyDescent="0.25">
      <c r="A360" s="20"/>
      <c r="B360" s="20"/>
      <c r="DS360" s="22"/>
      <c r="DT360" s="22"/>
    </row>
    <row r="361" spans="1:124" s="21" customFormat="1" x14ac:dyDescent="0.25">
      <c r="A361" s="20"/>
      <c r="B361" s="20"/>
      <c r="DS361" s="22"/>
      <c r="DT361" s="22"/>
    </row>
    <row r="362" spans="1:124" s="21" customFormat="1" x14ac:dyDescent="0.25">
      <c r="A362" s="20"/>
      <c r="B362" s="20"/>
      <c r="DS362" s="22"/>
      <c r="DT362" s="22"/>
    </row>
    <row r="363" spans="1:124" s="21" customFormat="1" x14ac:dyDescent="0.25">
      <c r="A363" s="20"/>
      <c r="B363" s="20"/>
      <c r="DS363" s="22"/>
      <c r="DT363" s="22"/>
    </row>
    <row r="364" spans="1:124" s="21" customFormat="1" x14ac:dyDescent="0.25">
      <c r="A364" s="20"/>
      <c r="B364" s="20"/>
      <c r="DS364" s="22"/>
      <c r="DT364" s="22"/>
    </row>
    <row r="365" spans="1:124" s="21" customFormat="1" x14ac:dyDescent="0.25">
      <c r="A365" s="20"/>
      <c r="B365" s="20"/>
      <c r="DS365" s="22"/>
      <c r="DT365" s="22"/>
    </row>
    <row r="366" spans="1:124" s="21" customFormat="1" x14ac:dyDescent="0.25">
      <c r="A366" s="20"/>
      <c r="B366" s="20"/>
      <c r="DS366" s="22"/>
      <c r="DT366" s="22"/>
    </row>
    <row r="367" spans="1:124" s="21" customFormat="1" x14ac:dyDescent="0.25">
      <c r="A367" s="20"/>
      <c r="B367" s="20"/>
      <c r="DS367" s="22"/>
      <c r="DT367" s="22"/>
    </row>
    <row r="368" spans="1:124" s="21" customFormat="1" x14ac:dyDescent="0.25">
      <c r="A368" s="20"/>
      <c r="B368" s="20"/>
      <c r="DS368" s="22"/>
      <c r="DT368" s="22"/>
    </row>
    <row r="369" spans="1:124" s="21" customFormat="1" x14ac:dyDescent="0.25">
      <c r="A369" s="20"/>
      <c r="B369" s="20"/>
      <c r="DS369" s="22"/>
      <c r="DT369" s="22"/>
    </row>
    <row r="370" spans="1:124" s="21" customFormat="1" x14ac:dyDescent="0.25">
      <c r="A370" s="20"/>
      <c r="B370" s="20"/>
      <c r="DS370" s="22"/>
      <c r="DT370" s="22"/>
    </row>
    <row r="371" spans="1:124" s="21" customFormat="1" x14ac:dyDescent="0.25">
      <c r="A371" s="20"/>
      <c r="B371" s="20"/>
      <c r="DS371" s="22"/>
      <c r="DT371" s="22"/>
    </row>
    <row r="372" spans="1:124" s="21" customFormat="1" x14ac:dyDescent="0.25">
      <c r="A372" s="20"/>
      <c r="B372" s="20"/>
      <c r="DS372" s="22"/>
      <c r="DT372" s="22"/>
    </row>
    <row r="373" spans="1:124" s="21" customFormat="1" x14ac:dyDescent="0.25">
      <c r="A373" s="20"/>
      <c r="B373" s="20"/>
      <c r="DS373" s="22"/>
      <c r="DT373" s="22"/>
    </row>
    <row r="374" spans="1:124" s="21" customFormat="1" x14ac:dyDescent="0.25">
      <c r="A374" s="20"/>
      <c r="B374" s="20"/>
      <c r="DS374" s="22"/>
      <c r="DT374" s="22"/>
    </row>
    <row r="375" spans="1:124" s="21" customFormat="1" x14ac:dyDescent="0.25">
      <c r="A375" s="20"/>
      <c r="B375" s="20"/>
      <c r="DS375" s="22"/>
      <c r="DT375" s="22"/>
    </row>
    <row r="376" spans="1:124" s="21" customFormat="1" x14ac:dyDescent="0.25">
      <c r="A376" s="20"/>
      <c r="B376" s="20"/>
      <c r="DS376" s="22"/>
      <c r="DT376" s="22"/>
    </row>
    <row r="377" spans="1:124" s="21" customFormat="1" x14ac:dyDescent="0.25">
      <c r="A377" s="20"/>
      <c r="B377" s="20"/>
      <c r="DS377" s="22"/>
      <c r="DT377" s="22"/>
    </row>
    <row r="378" spans="1:124" s="21" customFormat="1" x14ac:dyDescent="0.25">
      <c r="A378" s="20"/>
      <c r="B378" s="20"/>
      <c r="DS378" s="22"/>
      <c r="DT378" s="22"/>
    </row>
    <row r="379" spans="1:124" s="21" customFormat="1" x14ac:dyDescent="0.25">
      <c r="A379" s="20"/>
      <c r="B379" s="20"/>
      <c r="DS379" s="22"/>
      <c r="DT379" s="22"/>
    </row>
    <row r="380" spans="1:124" s="21" customFormat="1" x14ac:dyDescent="0.25">
      <c r="A380" s="20"/>
      <c r="B380" s="20"/>
      <c r="DS380" s="22"/>
      <c r="DT380" s="22"/>
    </row>
    <row r="381" spans="1:124" s="21" customFormat="1" x14ac:dyDescent="0.25">
      <c r="A381" s="20"/>
      <c r="B381" s="20"/>
      <c r="DS381" s="22"/>
      <c r="DT381" s="22"/>
    </row>
    <row r="382" spans="1:124" s="21" customFormat="1" x14ac:dyDescent="0.25">
      <c r="A382" s="20"/>
      <c r="B382" s="20"/>
      <c r="DS382" s="22"/>
      <c r="DT382" s="22"/>
    </row>
    <row r="383" spans="1:124" s="21" customFormat="1" x14ac:dyDescent="0.25">
      <c r="A383" s="20"/>
      <c r="B383" s="20"/>
      <c r="DS383" s="22"/>
      <c r="DT383" s="22"/>
    </row>
    <row r="384" spans="1:124" s="21" customFormat="1" x14ac:dyDescent="0.25">
      <c r="A384" s="20"/>
      <c r="B384" s="20"/>
      <c r="DS384" s="22"/>
      <c r="DT384" s="22"/>
    </row>
    <row r="385" spans="1:124" s="21" customFormat="1" x14ac:dyDescent="0.25">
      <c r="A385" s="20"/>
      <c r="B385" s="20"/>
      <c r="DS385" s="22"/>
      <c r="DT385" s="22"/>
    </row>
    <row r="386" spans="1:124" s="21" customFormat="1" x14ac:dyDescent="0.25">
      <c r="A386" s="20"/>
      <c r="B386" s="20"/>
      <c r="DS386" s="22"/>
      <c r="DT386" s="22"/>
    </row>
    <row r="387" spans="1:124" s="21" customFormat="1" x14ac:dyDescent="0.25">
      <c r="A387" s="20"/>
      <c r="B387" s="20"/>
      <c r="DS387" s="22"/>
      <c r="DT387" s="22"/>
    </row>
    <row r="388" spans="1:124" s="21" customFormat="1" x14ac:dyDescent="0.25">
      <c r="A388" s="20"/>
      <c r="B388" s="20"/>
      <c r="DS388" s="22"/>
      <c r="DT388" s="22"/>
    </row>
    <row r="389" spans="1:124" s="21" customFormat="1" x14ac:dyDescent="0.25">
      <c r="A389" s="20"/>
      <c r="B389" s="20"/>
      <c r="DS389" s="22"/>
      <c r="DT389" s="22"/>
    </row>
    <row r="390" spans="1:124" s="21" customFormat="1" x14ac:dyDescent="0.25">
      <c r="A390" s="20"/>
      <c r="B390" s="20"/>
      <c r="DS390" s="22"/>
      <c r="DT390" s="22"/>
    </row>
    <row r="391" spans="1:124" s="21" customFormat="1" x14ac:dyDescent="0.25">
      <c r="A391" s="20"/>
      <c r="B391" s="20"/>
      <c r="DS391" s="22"/>
      <c r="DT391" s="22"/>
    </row>
    <row r="392" spans="1:124" s="21" customFormat="1" x14ac:dyDescent="0.25">
      <c r="A392" s="20"/>
      <c r="B392" s="20"/>
      <c r="DS392" s="22"/>
      <c r="DT392" s="22"/>
    </row>
    <row r="393" spans="1:124" s="21" customFormat="1" x14ac:dyDescent="0.25">
      <c r="A393" s="20"/>
      <c r="B393" s="20"/>
      <c r="DS393" s="22"/>
      <c r="DT393" s="22"/>
    </row>
    <row r="394" spans="1:124" s="21" customFormat="1" x14ac:dyDescent="0.25">
      <c r="A394" s="20"/>
      <c r="B394" s="20"/>
      <c r="DS394" s="22"/>
      <c r="DT394" s="22"/>
    </row>
    <row r="395" spans="1:124" s="21" customFormat="1" x14ac:dyDescent="0.25">
      <c r="A395" s="20"/>
      <c r="B395" s="20"/>
      <c r="DS395" s="22"/>
      <c r="DT395" s="22"/>
    </row>
    <row r="396" spans="1:124" s="21" customFormat="1" x14ac:dyDescent="0.25">
      <c r="A396" s="20"/>
      <c r="B396" s="20"/>
      <c r="DS396" s="22"/>
      <c r="DT396" s="22"/>
    </row>
    <row r="397" spans="1:124" s="21" customFormat="1" x14ac:dyDescent="0.25">
      <c r="A397" s="20"/>
      <c r="B397" s="20"/>
      <c r="DS397" s="22"/>
      <c r="DT397" s="22"/>
    </row>
    <row r="398" spans="1:124" s="21" customFormat="1" x14ac:dyDescent="0.25">
      <c r="A398" s="20"/>
      <c r="B398" s="20"/>
      <c r="DS398" s="22"/>
      <c r="DT398" s="22"/>
    </row>
    <row r="399" spans="1:124" s="21" customFormat="1" x14ac:dyDescent="0.25">
      <c r="A399" s="20"/>
      <c r="B399" s="20"/>
      <c r="DS399" s="22"/>
      <c r="DT399" s="22"/>
    </row>
    <row r="400" spans="1:124" s="21" customFormat="1" x14ac:dyDescent="0.25">
      <c r="A400" s="20"/>
      <c r="B400" s="20"/>
      <c r="DS400" s="22"/>
      <c r="DT400" s="22"/>
    </row>
    <row r="401" spans="1:124" s="21" customFormat="1" x14ac:dyDescent="0.25">
      <c r="A401" s="20"/>
      <c r="B401" s="20"/>
      <c r="DS401" s="22"/>
      <c r="DT401" s="22"/>
    </row>
    <row r="402" spans="1:124" s="21" customFormat="1" x14ac:dyDescent="0.25">
      <c r="A402" s="20"/>
      <c r="B402" s="20"/>
      <c r="DS402" s="22"/>
      <c r="DT402" s="22"/>
    </row>
    <row r="403" spans="1:124" s="21" customFormat="1" x14ac:dyDescent="0.25">
      <c r="A403" s="20"/>
      <c r="B403" s="20"/>
      <c r="DS403" s="22"/>
      <c r="DT403" s="22"/>
    </row>
    <row r="404" spans="1:124" s="21" customFormat="1" x14ac:dyDescent="0.25">
      <c r="A404" s="20"/>
      <c r="B404" s="20"/>
      <c r="DS404" s="22"/>
      <c r="DT404" s="22"/>
    </row>
    <row r="405" spans="1:124" s="21" customFormat="1" x14ac:dyDescent="0.25">
      <c r="A405" s="20"/>
      <c r="B405" s="20"/>
      <c r="DS405" s="22"/>
      <c r="DT405" s="22"/>
    </row>
    <row r="406" spans="1:124" s="21" customFormat="1" x14ac:dyDescent="0.25">
      <c r="A406" s="20"/>
      <c r="B406" s="20"/>
      <c r="DS406" s="22"/>
      <c r="DT406" s="22"/>
    </row>
    <row r="407" spans="1:124" s="21" customFormat="1" x14ac:dyDescent="0.25">
      <c r="A407" s="20"/>
      <c r="B407" s="20"/>
      <c r="DS407" s="22"/>
      <c r="DT407" s="22"/>
    </row>
    <row r="408" spans="1:124" s="21" customFormat="1" x14ac:dyDescent="0.25">
      <c r="A408" s="20"/>
      <c r="B408" s="20"/>
      <c r="DS408" s="22"/>
      <c r="DT408" s="22"/>
    </row>
    <row r="409" spans="1:124" s="21" customFormat="1" x14ac:dyDescent="0.25">
      <c r="A409" s="20"/>
      <c r="B409" s="20"/>
      <c r="DS409" s="22"/>
      <c r="DT409" s="22"/>
    </row>
    <row r="410" spans="1:124" s="21" customFormat="1" x14ac:dyDescent="0.25">
      <c r="A410" s="20"/>
      <c r="B410" s="20"/>
      <c r="DS410" s="22"/>
      <c r="DT410" s="22"/>
    </row>
    <row r="411" spans="1:124" s="21" customFormat="1" x14ac:dyDescent="0.25">
      <c r="A411" s="20"/>
      <c r="B411" s="20"/>
      <c r="DS411" s="22"/>
      <c r="DT411" s="22"/>
    </row>
    <row r="412" spans="1:124" s="21" customFormat="1" x14ac:dyDescent="0.25">
      <c r="A412" s="20"/>
      <c r="B412" s="20"/>
      <c r="DS412" s="22"/>
      <c r="DT412" s="22"/>
    </row>
    <row r="413" spans="1:124" s="21" customFormat="1" x14ac:dyDescent="0.25">
      <c r="A413" s="20"/>
      <c r="B413" s="20"/>
      <c r="DS413" s="22"/>
      <c r="DT413" s="22"/>
    </row>
    <row r="414" spans="1:124" s="21" customFormat="1" x14ac:dyDescent="0.25">
      <c r="A414" s="20"/>
      <c r="B414" s="20"/>
      <c r="DS414" s="22"/>
      <c r="DT414" s="22"/>
    </row>
    <row r="415" spans="1:124" s="21" customFormat="1" x14ac:dyDescent="0.25">
      <c r="A415" s="20"/>
      <c r="B415" s="20"/>
      <c r="DS415" s="22"/>
      <c r="DT415" s="22"/>
    </row>
    <row r="416" spans="1:124" s="21" customFormat="1" x14ac:dyDescent="0.25">
      <c r="A416" s="20"/>
      <c r="B416" s="20"/>
      <c r="DS416" s="22"/>
      <c r="DT416" s="22"/>
    </row>
    <row r="417" spans="1:124" s="21" customFormat="1" x14ac:dyDescent="0.25">
      <c r="A417" s="20"/>
      <c r="B417" s="20"/>
      <c r="DS417" s="22"/>
      <c r="DT417" s="22"/>
    </row>
    <row r="418" spans="1:124" s="21" customFormat="1" x14ac:dyDescent="0.25">
      <c r="A418" s="20"/>
      <c r="B418" s="20"/>
      <c r="DS418" s="22"/>
      <c r="DT418" s="22"/>
    </row>
    <row r="419" spans="1:124" s="21" customFormat="1" x14ac:dyDescent="0.25">
      <c r="A419" s="20"/>
      <c r="B419" s="20"/>
      <c r="DS419" s="22"/>
      <c r="DT419" s="22"/>
    </row>
    <row r="420" spans="1:124" s="21" customFormat="1" x14ac:dyDescent="0.25">
      <c r="A420" s="20"/>
      <c r="B420" s="20"/>
      <c r="DS420" s="22"/>
      <c r="DT420" s="22"/>
    </row>
    <row r="421" spans="1:124" s="21" customFormat="1" x14ac:dyDescent="0.25">
      <c r="A421" s="20"/>
      <c r="B421" s="20"/>
      <c r="DS421" s="22"/>
      <c r="DT421" s="22"/>
    </row>
    <row r="422" spans="1:124" s="21" customFormat="1" x14ac:dyDescent="0.25">
      <c r="A422" s="20"/>
      <c r="B422" s="20"/>
      <c r="DS422" s="22"/>
      <c r="DT422" s="22"/>
    </row>
    <row r="423" spans="1:124" s="21" customFormat="1" x14ac:dyDescent="0.25">
      <c r="A423" s="20"/>
      <c r="B423" s="20"/>
      <c r="DS423" s="22"/>
      <c r="DT423" s="22"/>
    </row>
    <row r="424" spans="1:124" s="21" customFormat="1" x14ac:dyDescent="0.25">
      <c r="A424" s="20"/>
      <c r="B424" s="20"/>
      <c r="DS424" s="22"/>
      <c r="DT424" s="22"/>
    </row>
    <row r="425" spans="1:124" s="21" customFormat="1" x14ac:dyDescent="0.25">
      <c r="A425" s="20"/>
      <c r="B425" s="20"/>
      <c r="DS425" s="22"/>
      <c r="DT425" s="22"/>
    </row>
    <row r="426" spans="1:124" s="21" customFormat="1" x14ac:dyDescent="0.25">
      <c r="A426" s="20"/>
      <c r="B426" s="20"/>
      <c r="DS426" s="22"/>
      <c r="DT426" s="22"/>
    </row>
    <row r="427" spans="1:124" s="21" customFormat="1" x14ac:dyDescent="0.25">
      <c r="A427" s="20"/>
      <c r="B427" s="20"/>
      <c r="DS427" s="22"/>
      <c r="DT427" s="22"/>
    </row>
    <row r="428" spans="1:124" s="21" customFormat="1" x14ac:dyDescent="0.25">
      <c r="A428" s="20"/>
      <c r="B428" s="20"/>
      <c r="DS428" s="22"/>
      <c r="DT428" s="22"/>
    </row>
    <row r="429" spans="1:124" s="21" customFormat="1" x14ac:dyDescent="0.25">
      <c r="A429" s="20"/>
      <c r="B429" s="20"/>
      <c r="DS429" s="22"/>
      <c r="DT429" s="22"/>
    </row>
    <row r="430" spans="1:124" s="21" customFormat="1" x14ac:dyDescent="0.25">
      <c r="A430" s="20"/>
      <c r="B430" s="20"/>
      <c r="DS430" s="22"/>
      <c r="DT430" s="22"/>
    </row>
    <row r="431" spans="1:124" s="21" customFormat="1" x14ac:dyDescent="0.25">
      <c r="A431" s="20"/>
      <c r="B431" s="20"/>
      <c r="DS431" s="22"/>
      <c r="DT431" s="22"/>
    </row>
    <row r="432" spans="1:124" s="21" customFormat="1" x14ac:dyDescent="0.25">
      <c r="A432" s="20"/>
      <c r="B432" s="20"/>
      <c r="DS432" s="22"/>
      <c r="DT432" s="22"/>
    </row>
    <row r="433" spans="1:124" s="21" customFormat="1" x14ac:dyDescent="0.25">
      <c r="A433" s="20"/>
      <c r="B433" s="20"/>
      <c r="DS433" s="22"/>
      <c r="DT433" s="22"/>
    </row>
    <row r="434" spans="1:124" s="21" customFormat="1" x14ac:dyDescent="0.25">
      <c r="A434" s="20"/>
      <c r="B434" s="20"/>
      <c r="DS434" s="22"/>
      <c r="DT434" s="22"/>
    </row>
    <row r="435" spans="1:124" s="21" customFormat="1" x14ac:dyDescent="0.25">
      <c r="A435" s="20"/>
      <c r="B435" s="20"/>
      <c r="DS435" s="22"/>
      <c r="DT435" s="22"/>
    </row>
    <row r="436" spans="1:124" s="21" customFormat="1" x14ac:dyDescent="0.25">
      <c r="A436" s="20"/>
      <c r="B436" s="20"/>
      <c r="DS436" s="22"/>
      <c r="DT436" s="22"/>
    </row>
    <row r="437" spans="1:124" s="21" customFormat="1" x14ac:dyDescent="0.25">
      <c r="A437" s="20"/>
      <c r="B437" s="20"/>
      <c r="DS437" s="22"/>
      <c r="DT437" s="22"/>
    </row>
    <row r="438" spans="1:124" s="21" customFormat="1" x14ac:dyDescent="0.25">
      <c r="A438" s="20"/>
      <c r="B438" s="20"/>
      <c r="DS438" s="22"/>
      <c r="DT438" s="22"/>
    </row>
    <row r="439" spans="1:124" s="21" customFormat="1" x14ac:dyDescent="0.25">
      <c r="A439" s="20"/>
      <c r="B439" s="20"/>
      <c r="DS439" s="22"/>
      <c r="DT439" s="22"/>
    </row>
    <row r="440" spans="1:124" s="21" customFormat="1" x14ac:dyDescent="0.25">
      <c r="A440" s="20"/>
      <c r="B440" s="20"/>
      <c r="DS440" s="22"/>
      <c r="DT440" s="22"/>
    </row>
    <row r="441" spans="1:124" s="21" customFormat="1" x14ac:dyDescent="0.25">
      <c r="A441" s="20"/>
      <c r="B441" s="20"/>
      <c r="DS441" s="22"/>
      <c r="DT441" s="22"/>
    </row>
    <row r="442" spans="1:124" s="21" customFormat="1" x14ac:dyDescent="0.25">
      <c r="A442" s="20"/>
      <c r="B442" s="20"/>
      <c r="DS442" s="22"/>
      <c r="DT442" s="22"/>
    </row>
    <row r="443" spans="1:124" s="21" customFormat="1" x14ac:dyDescent="0.25">
      <c r="A443" s="20"/>
      <c r="B443" s="20"/>
      <c r="DS443" s="22"/>
      <c r="DT443" s="22"/>
    </row>
    <row r="444" spans="1:124" s="21" customFormat="1" x14ac:dyDescent="0.25">
      <c r="A444" s="20"/>
      <c r="B444" s="20"/>
      <c r="DS444" s="22"/>
      <c r="DT444" s="22"/>
    </row>
    <row r="445" spans="1:124" s="21" customFormat="1" x14ac:dyDescent="0.25">
      <c r="A445" s="20"/>
      <c r="B445" s="20"/>
      <c r="DS445" s="22"/>
      <c r="DT445" s="22"/>
    </row>
    <row r="446" spans="1:124" s="21" customFormat="1" x14ac:dyDescent="0.25">
      <c r="A446" s="20"/>
      <c r="B446" s="20"/>
      <c r="DS446" s="22"/>
      <c r="DT446" s="22"/>
    </row>
    <row r="447" spans="1:124" s="21" customFormat="1" x14ac:dyDescent="0.25">
      <c r="A447" s="20"/>
      <c r="B447" s="20"/>
      <c r="DS447" s="22"/>
      <c r="DT447" s="22"/>
    </row>
    <row r="448" spans="1:124" s="21" customFormat="1" x14ac:dyDescent="0.25">
      <c r="A448" s="20"/>
      <c r="B448" s="20"/>
      <c r="DS448" s="22"/>
      <c r="DT448" s="22"/>
    </row>
    <row r="449" spans="1:124" s="21" customFormat="1" x14ac:dyDescent="0.25">
      <c r="A449" s="20"/>
      <c r="B449" s="20"/>
      <c r="DS449" s="22"/>
      <c r="DT449" s="22"/>
    </row>
    <row r="450" spans="1:124" s="21" customFormat="1" x14ac:dyDescent="0.25">
      <c r="A450" s="20"/>
      <c r="B450" s="20"/>
      <c r="DS450" s="22"/>
      <c r="DT450" s="22"/>
    </row>
    <row r="451" spans="1:124" s="21" customFormat="1" x14ac:dyDescent="0.25">
      <c r="A451" s="20"/>
      <c r="B451" s="20"/>
      <c r="DS451" s="22"/>
      <c r="DT451" s="22"/>
    </row>
    <row r="452" spans="1:124" s="21" customFormat="1" x14ac:dyDescent="0.25">
      <c r="A452" s="20"/>
      <c r="B452" s="20"/>
      <c r="DS452" s="22"/>
      <c r="DT452" s="22"/>
    </row>
    <row r="453" spans="1:124" s="21" customFormat="1" x14ac:dyDescent="0.25">
      <c r="A453" s="20"/>
      <c r="B453" s="20"/>
      <c r="DS453" s="22"/>
      <c r="DT453" s="22"/>
    </row>
    <row r="454" spans="1:124" s="21" customFormat="1" x14ac:dyDescent="0.25">
      <c r="A454" s="20"/>
      <c r="B454" s="20"/>
      <c r="DS454" s="22"/>
      <c r="DT454" s="22"/>
    </row>
    <row r="455" spans="1:124" s="21" customFormat="1" x14ac:dyDescent="0.25">
      <c r="A455" s="20"/>
      <c r="B455" s="20"/>
      <c r="DS455" s="22"/>
      <c r="DT455" s="22"/>
    </row>
    <row r="456" spans="1:124" s="21" customFormat="1" x14ac:dyDescent="0.25">
      <c r="A456" s="20"/>
      <c r="B456" s="20"/>
      <c r="DS456" s="22"/>
      <c r="DT456" s="22"/>
    </row>
    <row r="457" spans="1:124" s="21" customFormat="1" x14ac:dyDescent="0.25">
      <c r="A457" s="20"/>
      <c r="B457" s="20"/>
      <c r="DS457" s="22"/>
      <c r="DT457" s="22"/>
    </row>
    <row r="458" spans="1:124" s="21" customFormat="1" x14ac:dyDescent="0.25">
      <c r="A458" s="20"/>
      <c r="B458" s="20"/>
      <c r="DS458" s="22"/>
      <c r="DT458" s="22"/>
    </row>
    <row r="459" spans="1:124" s="21" customFormat="1" x14ac:dyDescent="0.25">
      <c r="A459" s="20"/>
      <c r="B459" s="20"/>
      <c r="DS459" s="22"/>
      <c r="DT459" s="22"/>
    </row>
    <row r="460" spans="1:124" s="21" customFormat="1" x14ac:dyDescent="0.25">
      <c r="A460" s="20"/>
      <c r="B460" s="20"/>
      <c r="DS460" s="22"/>
      <c r="DT460" s="22"/>
    </row>
    <row r="461" spans="1:124" s="21" customFormat="1" x14ac:dyDescent="0.25">
      <c r="A461" s="20"/>
      <c r="B461" s="20"/>
      <c r="DS461" s="22"/>
      <c r="DT461" s="22"/>
    </row>
    <row r="462" spans="1:124" s="21" customFormat="1" x14ac:dyDescent="0.25">
      <c r="A462" s="20"/>
      <c r="B462" s="20"/>
      <c r="DS462" s="22"/>
      <c r="DT462" s="22"/>
    </row>
    <row r="463" spans="1:124" s="21" customFormat="1" x14ac:dyDescent="0.25">
      <c r="A463" s="20"/>
      <c r="B463" s="20"/>
      <c r="DS463" s="22"/>
      <c r="DT463" s="22"/>
    </row>
    <row r="464" spans="1:124" s="21" customFormat="1" x14ac:dyDescent="0.25">
      <c r="A464" s="20"/>
      <c r="B464" s="20"/>
      <c r="DS464" s="22"/>
      <c r="DT464" s="22"/>
    </row>
    <row r="465" spans="1:124" s="21" customFormat="1" x14ac:dyDescent="0.25">
      <c r="A465" s="20"/>
      <c r="B465" s="20"/>
      <c r="DS465" s="22"/>
      <c r="DT465" s="22"/>
    </row>
    <row r="466" spans="1:124" s="21" customFormat="1" x14ac:dyDescent="0.25">
      <c r="A466" s="20"/>
      <c r="B466" s="20"/>
      <c r="DS466" s="22"/>
      <c r="DT466" s="22"/>
    </row>
    <row r="467" spans="1:124" s="21" customFormat="1" x14ac:dyDescent="0.25">
      <c r="A467" s="20"/>
      <c r="B467" s="20"/>
      <c r="DS467" s="22"/>
      <c r="DT467" s="22"/>
    </row>
    <row r="468" spans="1:124" s="21" customFormat="1" x14ac:dyDescent="0.25">
      <c r="A468" s="20"/>
      <c r="B468" s="20"/>
      <c r="DS468" s="22"/>
      <c r="DT468" s="22"/>
    </row>
    <row r="469" spans="1:124" s="21" customFormat="1" x14ac:dyDescent="0.25">
      <c r="A469" s="20"/>
      <c r="B469" s="20"/>
      <c r="DS469" s="22"/>
      <c r="DT469" s="22"/>
    </row>
    <row r="470" spans="1:124" s="21" customFormat="1" x14ac:dyDescent="0.25">
      <c r="A470" s="20"/>
      <c r="B470" s="20"/>
      <c r="DS470" s="22"/>
      <c r="DT470" s="22"/>
    </row>
    <row r="471" spans="1:124" s="21" customFormat="1" x14ac:dyDescent="0.25">
      <c r="A471" s="20"/>
      <c r="B471" s="20"/>
      <c r="DS471" s="22"/>
      <c r="DT471" s="22"/>
    </row>
    <row r="472" spans="1:124" s="21" customFormat="1" x14ac:dyDescent="0.25">
      <c r="A472" s="20"/>
      <c r="B472" s="20"/>
      <c r="DS472" s="22"/>
      <c r="DT472" s="22"/>
    </row>
    <row r="473" spans="1:124" s="21" customFormat="1" x14ac:dyDescent="0.25">
      <c r="A473" s="20"/>
      <c r="B473" s="20"/>
      <c r="DS473" s="22"/>
      <c r="DT473" s="22"/>
    </row>
    <row r="474" spans="1:124" s="21" customFormat="1" x14ac:dyDescent="0.25">
      <c r="A474" s="20"/>
      <c r="B474" s="20"/>
      <c r="DS474" s="22"/>
      <c r="DT474" s="22"/>
    </row>
    <row r="475" spans="1:124" s="21" customFormat="1" x14ac:dyDescent="0.25">
      <c r="A475" s="20"/>
      <c r="B475" s="20"/>
      <c r="DS475" s="22"/>
      <c r="DT475" s="22"/>
    </row>
    <row r="476" spans="1:124" s="21" customFormat="1" x14ac:dyDescent="0.25">
      <c r="A476" s="20"/>
      <c r="B476" s="20"/>
      <c r="DS476" s="22"/>
      <c r="DT476" s="22"/>
    </row>
    <row r="477" spans="1:124" s="21" customFormat="1" x14ac:dyDescent="0.25">
      <c r="A477" s="20"/>
      <c r="B477" s="20"/>
      <c r="DS477" s="22"/>
      <c r="DT477" s="22"/>
    </row>
    <row r="478" spans="1:124" s="21" customFormat="1" x14ac:dyDescent="0.25">
      <c r="A478" s="20"/>
      <c r="B478" s="20"/>
      <c r="DS478" s="22"/>
      <c r="DT478" s="22"/>
    </row>
    <row r="479" spans="1:124" s="21" customFormat="1" x14ac:dyDescent="0.25">
      <c r="A479" s="20"/>
      <c r="B479" s="20"/>
      <c r="DS479" s="22"/>
      <c r="DT479" s="22"/>
    </row>
    <row r="480" spans="1:124" s="21" customFormat="1" x14ac:dyDescent="0.25">
      <c r="A480" s="20"/>
      <c r="B480" s="20"/>
      <c r="DS480" s="22"/>
      <c r="DT480" s="22"/>
    </row>
    <row r="481" spans="1:124" s="21" customFormat="1" x14ac:dyDescent="0.25">
      <c r="A481" s="20"/>
      <c r="B481" s="20"/>
      <c r="DS481" s="22"/>
      <c r="DT481" s="22"/>
    </row>
    <row r="482" spans="1:124" s="21" customFormat="1" x14ac:dyDescent="0.25">
      <c r="A482" s="20"/>
      <c r="B482" s="20"/>
      <c r="DS482" s="22"/>
      <c r="DT482" s="22"/>
    </row>
    <row r="483" spans="1:124" s="21" customFormat="1" x14ac:dyDescent="0.25">
      <c r="A483" s="20"/>
      <c r="B483" s="20"/>
      <c r="DS483" s="22"/>
      <c r="DT483" s="22"/>
    </row>
    <row r="484" spans="1:124" s="21" customFormat="1" x14ac:dyDescent="0.25">
      <c r="A484" s="20"/>
      <c r="B484" s="20"/>
      <c r="DS484" s="22"/>
      <c r="DT484" s="22"/>
    </row>
    <row r="485" spans="1:124" s="21" customFormat="1" x14ac:dyDescent="0.25">
      <c r="A485" s="20"/>
      <c r="B485" s="20"/>
      <c r="DS485" s="22"/>
      <c r="DT485" s="22"/>
    </row>
    <row r="486" spans="1:124" s="21" customFormat="1" x14ac:dyDescent="0.25">
      <c r="A486" s="20"/>
      <c r="B486" s="20"/>
      <c r="DS486" s="22"/>
      <c r="DT486" s="22"/>
    </row>
    <row r="487" spans="1:124" s="21" customFormat="1" x14ac:dyDescent="0.25">
      <c r="A487" s="20"/>
      <c r="B487" s="20"/>
      <c r="DS487" s="22"/>
      <c r="DT487" s="22"/>
    </row>
    <row r="488" spans="1:124" s="21" customFormat="1" x14ac:dyDescent="0.25">
      <c r="A488" s="20"/>
      <c r="B488" s="20"/>
      <c r="DS488" s="22"/>
      <c r="DT488" s="22"/>
    </row>
    <row r="489" spans="1:124" s="21" customFormat="1" x14ac:dyDescent="0.25">
      <c r="A489" s="20"/>
      <c r="B489" s="20"/>
      <c r="DS489" s="22"/>
      <c r="DT489" s="22"/>
    </row>
    <row r="490" spans="1:124" s="21" customFormat="1" x14ac:dyDescent="0.25">
      <c r="A490" s="20"/>
      <c r="B490" s="20"/>
      <c r="DS490" s="22"/>
      <c r="DT490" s="22"/>
    </row>
    <row r="491" spans="1:124" s="21" customFormat="1" x14ac:dyDescent="0.25">
      <c r="A491" s="20"/>
      <c r="B491" s="20"/>
      <c r="DS491" s="22"/>
      <c r="DT491" s="22"/>
    </row>
    <row r="492" spans="1:124" s="21" customFormat="1" x14ac:dyDescent="0.25">
      <c r="A492" s="20"/>
      <c r="B492" s="20"/>
      <c r="DS492" s="22"/>
      <c r="DT492" s="22"/>
    </row>
    <row r="493" spans="1:124" s="21" customFormat="1" x14ac:dyDescent="0.25">
      <c r="A493" s="20"/>
      <c r="B493" s="20"/>
      <c r="DS493" s="22"/>
      <c r="DT493" s="22"/>
    </row>
    <row r="494" spans="1:124" s="21" customFormat="1" x14ac:dyDescent="0.25">
      <c r="A494" s="20"/>
      <c r="B494" s="20"/>
      <c r="DS494" s="22"/>
      <c r="DT494" s="22"/>
    </row>
    <row r="495" spans="1:124" s="21" customFormat="1" x14ac:dyDescent="0.25">
      <c r="A495" s="20"/>
      <c r="B495" s="20"/>
      <c r="DS495" s="22"/>
      <c r="DT495" s="22"/>
    </row>
    <row r="496" spans="1:124" s="21" customFormat="1" x14ac:dyDescent="0.25">
      <c r="A496" s="20"/>
      <c r="B496" s="20"/>
      <c r="DS496" s="22"/>
      <c r="DT496" s="22"/>
    </row>
    <row r="497" spans="1:124" s="21" customFormat="1" x14ac:dyDescent="0.25">
      <c r="A497" s="20"/>
      <c r="B497" s="20"/>
      <c r="DS497" s="22"/>
      <c r="DT497" s="22"/>
    </row>
    <row r="498" spans="1:124" s="21" customFormat="1" x14ac:dyDescent="0.25">
      <c r="A498" s="20"/>
      <c r="B498" s="20"/>
      <c r="DS498" s="22"/>
      <c r="DT498" s="22"/>
    </row>
    <row r="499" spans="1:124" s="21" customFormat="1" x14ac:dyDescent="0.25">
      <c r="A499" s="20"/>
      <c r="B499" s="20"/>
      <c r="DS499" s="22"/>
      <c r="DT499" s="22"/>
    </row>
    <row r="500" spans="1:124" s="21" customFormat="1" x14ac:dyDescent="0.25">
      <c r="A500" s="20"/>
      <c r="B500" s="20"/>
      <c r="DS500" s="22"/>
      <c r="DT500" s="22"/>
    </row>
    <row r="501" spans="1:124" s="21" customFormat="1" x14ac:dyDescent="0.25">
      <c r="A501" s="20"/>
      <c r="B501" s="20"/>
      <c r="DS501" s="22"/>
      <c r="DT501" s="22"/>
    </row>
    <row r="502" spans="1:124" s="21" customFormat="1" x14ac:dyDescent="0.25">
      <c r="A502" s="20"/>
      <c r="B502" s="20"/>
      <c r="DS502" s="22"/>
      <c r="DT502" s="22"/>
    </row>
    <row r="503" spans="1:124" s="21" customFormat="1" x14ac:dyDescent="0.25">
      <c r="A503" s="20"/>
      <c r="B503" s="20"/>
      <c r="DS503" s="22"/>
      <c r="DT503" s="22"/>
    </row>
    <row r="504" spans="1:124" s="21" customFormat="1" x14ac:dyDescent="0.25">
      <c r="A504" s="20"/>
      <c r="B504" s="20"/>
      <c r="DS504" s="22"/>
      <c r="DT504" s="22"/>
    </row>
    <row r="505" spans="1:124" s="21" customFormat="1" x14ac:dyDescent="0.25">
      <c r="A505" s="20"/>
      <c r="B505" s="20"/>
      <c r="DS505" s="22"/>
      <c r="DT505" s="22"/>
    </row>
    <row r="506" spans="1:124" s="21" customFormat="1" x14ac:dyDescent="0.25">
      <c r="A506" s="20"/>
      <c r="B506" s="20"/>
      <c r="DS506" s="22"/>
      <c r="DT506" s="22"/>
    </row>
    <row r="507" spans="1:124" s="21" customFormat="1" x14ac:dyDescent="0.25">
      <c r="A507" s="20"/>
      <c r="B507" s="20"/>
      <c r="DS507" s="22"/>
      <c r="DT507" s="22"/>
    </row>
    <row r="508" spans="1:124" s="21" customFormat="1" x14ac:dyDescent="0.25">
      <c r="A508" s="20"/>
      <c r="B508" s="20"/>
      <c r="DS508" s="22"/>
      <c r="DT508" s="22"/>
    </row>
    <row r="509" spans="1:124" s="21" customFormat="1" x14ac:dyDescent="0.25">
      <c r="A509" s="20"/>
      <c r="B509" s="20"/>
      <c r="DS509" s="22"/>
      <c r="DT509" s="22"/>
    </row>
    <row r="510" spans="1:124" s="21" customFormat="1" x14ac:dyDescent="0.25">
      <c r="A510" s="20"/>
      <c r="B510" s="20"/>
      <c r="DS510" s="22"/>
      <c r="DT510" s="22"/>
    </row>
    <row r="511" spans="1:124" s="21" customFormat="1" x14ac:dyDescent="0.25">
      <c r="A511" s="20"/>
      <c r="B511" s="20"/>
      <c r="DS511" s="22"/>
      <c r="DT511" s="22"/>
    </row>
    <row r="512" spans="1:124" s="21" customFormat="1" x14ac:dyDescent="0.25">
      <c r="A512" s="20"/>
      <c r="B512" s="20"/>
      <c r="DS512" s="22"/>
      <c r="DT512" s="22"/>
    </row>
    <row r="513" spans="1:124" s="21" customFormat="1" x14ac:dyDescent="0.25">
      <c r="A513" s="20"/>
      <c r="B513" s="20"/>
      <c r="DS513" s="22"/>
      <c r="DT513" s="22"/>
    </row>
    <row r="514" spans="1:124" s="21" customFormat="1" x14ac:dyDescent="0.25">
      <c r="A514" s="20"/>
      <c r="B514" s="20"/>
      <c r="DS514" s="22"/>
      <c r="DT514" s="22"/>
    </row>
    <row r="515" spans="1:124" s="21" customFormat="1" x14ac:dyDescent="0.25">
      <c r="A515" s="20"/>
      <c r="B515" s="20"/>
      <c r="DS515" s="22"/>
      <c r="DT515" s="22"/>
    </row>
    <row r="516" spans="1:124" s="21" customFormat="1" x14ac:dyDescent="0.25">
      <c r="A516" s="20"/>
      <c r="B516" s="20"/>
      <c r="DS516" s="22"/>
      <c r="DT516" s="22"/>
    </row>
    <row r="517" spans="1:124" s="21" customFormat="1" x14ac:dyDescent="0.25">
      <c r="A517" s="20"/>
      <c r="B517" s="20"/>
      <c r="DS517" s="22"/>
      <c r="DT517" s="22"/>
    </row>
    <row r="518" spans="1:124" s="21" customFormat="1" x14ac:dyDescent="0.25">
      <c r="A518" s="20"/>
      <c r="B518" s="20"/>
      <c r="DS518" s="22"/>
      <c r="DT518" s="22"/>
    </row>
    <row r="519" spans="1:124" s="21" customFormat="1" x14ac:dyDescent="0.25">
      <c r="A519" s="20"/>
      <c r="B519" s="20"/>
      <c r="DS519" s="22"/>
      <c r="DT519" s="22"/>
    </row>
    <row r="520" spans="1:124" s="21" customFormat="1" x14ac:dyDescent="0.25">
      <c r="A520" s="20"/>
      <c r="B520" s="20"/>
      <c r="DS520" s="22"/>
      <c r="DT520" s="22"/>
    </row>
    <row r="521" spans="1:124" s="21" customFormat="1" x14ac:dyDescent="0.25">
      <c r="A521" s="20"/>
      <c r="B521" s="20"/>
      <c r="DS521" s="22"/>
      <c r="DT521" s="22"/>
    </row>
    <row r="522" spans="1:124" s="21" customFormat="1" x14ac:dyDescent="0.25">
      <c r="A522" s="20"/>
      <c r="B522" s="20"/>
      <c r="DS522" s="22"/>
      <c r="DT522" s="22"/>
    </row>
    <row r="523" spans="1:124" s="21" customFormat="1" x14ac:dyDescent="0.25">
      <c r="A523" s="20"/>
      <c r="B523" s="20"/>
      <c r="DS523" s="22"/>
      <c r="DT523" s="22"/>
    </row>
    <row r="524" spans="1:124" s="21" customFormat="1" x14ac:dyDescent="0.25">
      <c r="A524" s="20"/>
      <c r="B524" s="20"/>
      <c r="DS524" s="22"/>
      <c r="DT524" s="22"/>
    </row>
    <row r="525" spans="1:124" s="21" customFormat="1" x14ac:dyDescent="0.25">
      <c r="A525" s="20"/>
      <c r="B525" s="20"/>
      <c r="DS525" s="22"/>
      <c r="DT525" s="22"/>
    </row>
    <row r="526" spans="1:124" s="21" customFormat="1" x14ac:dyDescent="0.25">
      <c r="A526" s="20"/>
      <c r="B526" s="20"/>
      <c r="DS526" s="22"/>
      <c r="DT526" s="22"/>
    </row>
    <row r="527" spans="1:124" s="21" customFormat="1" x14ac:dyDescent="0.25">
      <c r="A527" s="20"/>
      <c r="B527" s="20"/>
      <c r="DS527" s="22"/>
      <c r="DT527" s="22"/>
    </row>
    <row r="528" spans="1:124" s="21" customFormat="1" x14ac:dyDescent="0.25">
      <c r="A528" s="20"/>
      <c r="B528" s="20"/>
      <c r="DS528" s="22"/>
      <c r="DT528" s="22"/>
    </row>
    <row r="529" spans="1:124" s="21" customFormat="1" x14ac:dyDescent="0.25">
      <c r="A529" s="20"/>
      <c r="B529" s="20"/>
      <c r="DS529" s="22"/>
      <c r="DT529" s="22"/>
    </row>
    <row r="530" spans="1:124" s="21" customFormat="1" x14ac:dyDescent="0.25">
      <c r="A530" s="20"/>
      <c r="B530" s="20"/>
      <c r="DS530" s="22"/>
      <c r="DT530" s="22"/>
    </row>
    <row r="531" spans="1:124" s="21" customFormat="1" x14ac:dyDescent="0.25">
      <c r="A531" s="20"/>
      <c r="B531" s="20"/>
      <c r="DS531" s="22"/>
      <c r="DT531" s="22"/>
    </row>
    <row r="532" spans="1:124" s="21" customFormat="1" x14ac:dyDescent="0.25">
      <c r="A532" s="20"/>
      <c r="B532" s="20"/>
      <c r="DS532" s="22"/>
      <c r="DT532" s="22"/>
    </row>
    <row r="533" spans="1:124" s="21" customFormat="1" x14ac:dyDescent="0.25">
      <c r="A533" s="20"/>
      <c r="B533" s="20"/>
      <c r="DS533" s="22"/>
      <c r="DT533" s="22"/>
    </row>
    <row r="534" spans="1:124" s="21" customFormat="1" x14ac:dyDescent="0.25">
      <c r="A534" s="20"/>
      <c r="B534" s="20"/>
      <c r="DS534" s="22"/>
      <c r="DT534" s="22"/>
    </row>
    <row r="535" spans="1:124" s="21" customFormat="1" x14ac:dyDescent="0.25">
      <c r="A535" s="20"/>
      <c r="B535" s="20"/>
      <c r="DS535" s="22"/>
      <c r="DT535" s="22"/>
    </row>
    <row r="536" spans="1:124" s="21" customFormat="1" x14ac:dyDescent="0.25">
      <c r="A536" s="20"/>
      <c r="B536" s="20"/>
      <c r="DS536" s="22"/>
      <c r="DT536" s="22"/>
    </row>
    <row r="537" spans="1:124" s="21" customFormat="1" x14ac:dyDescent="0.25">
      <c r="A537" s="20"/>
      <c r="B537" s="20"/>
      <c r="DS537" s="22"/>
      <c r="DT537" s="22"/>
    </row>
    <row r="538" spans="1:124" s="21" customFormat="1" x14ac:dyDescent="0.25">
      <c r="A538" s="20"/>
      <c r="B538" s="20"/>
      <c r="DS538" s="22"/>
      <c r="DT538" s="22"/>
    </row>
    <row r="539" spans="1:124" s="21" customFormat="1" x14ac:dyDescent="0.25">
      <c r="A539" s="20"/>
      <c r="B539" s="20"/>
      <c r="DS539" s="22"/>
      <c r="DT539" s="22"/>
    </row>
    <row r="540" spans="1:124" s="21" customFormat="1" x14ac:dyDescent="0.25">
      <c r="A540" s="20"/>
      <c r="B540" s="20"/>
      <c r="DS540" s="22"/>
      <c r="DT540" s="22"/>
    </row>
    <row r="541" spans="1:124" s="21" customFormat="1" x14ac:dyDescent="0.25">
      <c r="A541" s="20"/>
      <c r="B541" s="20"/>
      <c r="DS541" s="22"/>
      <c r="DT541" s="22"/>
    </row>
    <row r="542" spans="1:124" s="21" customFormat="1" x14ac:dyDescent="0.25">
      <c r="A542" s="20"/>
      <c r="B542" s="20"/>
      <c r="DS542" s="22"/>
      <c r="DT542" s="22"/>
    </row>
    <row r="543" spans="1:124" s="21" customFormat="1" x14ac:dyDescent="0.25">
      <c r="A543" s="20"/>
      <c r="B543" s="20"/>
      <c r="DS543" s="22"/>
      <c r="DT543" s="22"/>
    </row>
    <row r="544" spans="1:124" s="21" customFormat="1" x14ac:dyDescent="0.25">
      <c r="A544" s="20"/>
      <c r="B544" s="20"/>
      <c r="DS544" s="22"/>
      <c r="DT544" s="22"/>
    </row>
    <row r="545" spans="1:124" s="21" customFormat="1" x14ac:dyDescent="0.25">
      <c r="A545" s="20"/>
      <c r="B545" s="20"/>
      <c r="DS545" s="22"/>
      <c r="DT545" s="22"/>
    </row>
    <row r="546" spans="1:124" s="21" customFormat="1" x14ac:dyDescent="0.25">
      <c r="A546" s="20"/>
      <c r="B546" s="20"/>
      <c r="DS546" s="22"/>
      <c r="DT546" s="22"/>
    </row>
    <row r="547" spans="1:124" s="21" customFormat="1" x14ac:dyDescent="0.25">
      <c r="A547" s="20"/>
      <c r="B547" s="20"/>
      <c r="DS547" s="22"/>
      <c r="DT547" s="22"/>
    </row>
    <row r="548" spans="1:124" s="21" customFormat="1" x14ac:dyDescent="0.25">
      <c r="A548" s="20"/>
      <c r="B548" s="20"/>
      <c r="DS548" s="22"/>
      <c r="DT548" s="22"/>
    </row>
    <row r="549" spans="1:124" s="21" customFormat="1" x14ac:dyDescent="0.25">
      <c r="A549" s="20"/>
      <c r="B549" s="20"/>
      <c r="DS549" s="22"/>
      <c r="DT549" s="22"/>
    </row>
    <row r="550" spans="1:124" s="21" customFormat="1" x14ac:dyDescent="0.25">
      <c r="A550" s="20"/>
      <c r="B550" s="20"/>
      <c r="DS550" s="22"/>
      <c r="DT550" s="22"/>
    </row>
    <row r="551" spans="1:124" s="21" customFormat="1" x14ac:dyDescent="0.25">
      <c r="A551" s="20"/>
      <c r="B551" s="20"/>
      <c r="DS551" s="22"/>
      <c r="DT551" s="22"/>
    </row>
    <row r="552" spans="1:124" s="21" customFormat="1" x14ac:dyDescent="0.25">
      <c r="A552" s="20"/>
      <c r="B552" s="20"/>
      <c r="DS552" s="22"/>
      <c r="DT552" s="22"/>
    </row>
    <row r="553" spans="1:124" s="21" customFormat="1" x14ac:dyDescent="0.25">
      <c r="A553" s="20"/>
      <c r="B553" s="20"/>
      <c r="DS553" s="22"/>
      <c r="DT553" s="22"/>
    </row>
    <row r="554" spans="1:124" s="21" customFormat="1" x14ac:dyDescent="0.25">
      <c r="A554" s="20"/>
      <c r="B554" s="20"/>
      <c r="DS554" s="22"/>
      <c r="DT554" s="22"/>
    </row>
    <row r="555" spans="1:124" s="21" customFormat="1" x14ac:dyDescent="0.25">
      <c r="A555" s="20"/>
      <c r="B555" s="20"/>
      <c r="DS555" s="22"/>
      <c r="DT555" s="22"/>
    </row>
    <row r="556" spans="1:124" s="21" customFormat="1" x14ac:dyDescent="0.25">
      <c r="A556" s="20"/>
      <c r="B556" s="20"/>
      <c r="DS556" s="22"/>
      <c r="DT556" s="22"/>
    </row>
    <row r="557" spans="1:124" s="21" customFormat="1" x14ac:dyDescent="0.25">
      <c r="A557" s="20"/>
      <c r="B557" s="20"/>
      <c r="DS557" s="22"/>
      <c r="DT557" s="22"/>
    </row>
    <row r="558" spans="1:124" s="21" customFormat="1" x14ac:dyDescent="0.25">
      <c r="A558" s="20"/>
      <c r="B558" s="20"/>
      <c r="DS558" s="22"/>
      <c r="DT558" s="22"/>
    </row>
    <row r="559" spans="1:124" s="21" customFormat="1" x14ac:dyDescent="0.25">
      <c r="A559" s="20"/>
      <c r="B559" s="20"/>
      <c r="DS559" s="22"/>
      <c r="DT559" s="22"/>
    </row>
    <row r="560" spans="1:124" s="21" customFormat="1" x14ac:dyDescent="0.25">
      <c r="A560" s="20"/>
      <c r="B560" s="20"/>
      <c r="DS560" s="22"/>
      <c r="DT560" s="22"/>
    </row>
    <row r="561" spans="1:124" s="21" customFormat="1" x14ac:dyDescent="0.25">
      <c r="A561" s="20"/>
      <c r="B561" s="20"/>
      <c r="DS561" s="22"/>
      <c r="DT561" s="22"/>
    </row>
    <row r="562" spans="1:124" s="21" customFormat="1" x14ac:dyDescent="0.25">
      <c r="A562" s="20"/>
      <c r="B562" s="20"/>
      <c r="DS562" s="22"/>
      <c r="DT562" s="22"/>
    </row>
    <row r="563" spans="1:124" s="21" customFormat="1" x14ac:dyDescent="0.25">
      <c r="A563" s="20"/>
      <c r="B563" s="20"/>
      <c r="DS563" s="22"/>
      <c r="DT563" s="22"/>
    </row>
    <row r="564" spans="1:124" s="21" customFormat="1" x14ac:dyDescent="0.25">
      <c r="A564" s="20"/>
      <c r="B564" s="20"/>
      <c r="DS564" s="22"/>
      <c r="DT564" s="22"/>
    </row>
    <row r="565" spans="1:124" s="21" customFormat="1" x14ac:dyDescent="0.25">
      <c r="A565" s="20"/>
      <c r="B565" s="20"/>
      <c r="DS565" s="22"/>
      <c r="DT565" s="22"/>
    </row>
    <row r="566" spans="1:124" s="21" customFormat="1" x14ac:dyDescent="0.25">
      <c r="A566" s="20"/>
      <c r="B566" s="20"/>
      <c r="DS566" s="22"/>
      <c r="DT566" s="22"/>
    </row>
    <row r="567" spans="1:124" s="21" customFormat="1" x14ac:dyDescent="0.25">
      <c r="A567" s="20"/>
      <c r="B567" s="20"/>
      <c r="DS567" s="22"/>
      <c r="DT567" s="22"/>
    </row>
    <row r="568" spans="1:124" s="21" customFormat="1" x14ac:dyDescent="0.25">
      <c r="A568" s="20"/>
      <c r="B568" s="20"/>
      <c r="DS568" s="22"/>
      <c r="DT568" s="22"/>
    </row>
    <row r="569" spans="1:124" s="21" customFormat="1" x14ac:dyDescent="0.25">
      <c r="A569" s="20"/>
      <c r="B569" s="20"/>
      <c r="DS569" s="22"/>
      <c r="DT569" s="22"/>
    </row>
    <row r="570" spans="1:124" s="21" customFormat="1" x14ac:dyDescent="0.25">
      <c r="A570" s="20"/>
      <c r="B570" s="20"/>
      <c r="DS570" s="22"/>
      <c r="DT570" s="22"/>
    </row>
    <row r="571" spans="1:124" s="21" customFormat="1" x14ac:dyDescent="0.25">
      <c r="A571" s="20"/>
      <c r="B571" s="20"/>
      <c r="DS571" s="22"/>
      <c r="DT571" s="22"/>
    </row>
    <row r="572" spans="1:124" s="21" customFormat="1" x14ac:dyDescent="0.25">
      <c r="A572" s="20"/>
      <c r="B572" s="20"/>
      <c r="DS572" s="22"/>
      <c r="DT572" s="22"/>
    </row>
    <row r="573" spans="1:124" s="21" customFormat="1" x14ac:dyDescent="0.25">
      <c r="A573" s="20"/>
      <c r="B573" s="20"/>
      <c r="DS573" s="22"/>
      <c r="DT573" s="22"/>
    </row>
    <row r="574" spans="1:124" s="21" customFormat="1" x14ac:dyDescent="0.25">
      <c r="A574" s="20"/>
      <c r="B574" s="20"/>
      <c r="DS574" s="22"/>
      <c r="DT574" s="22"/>
    </row>
    <row r="575" spans="1:124" s="21" customFormat="1" x14ac:dyDescent="0.25">
      <c r="A575" s="20"/>
      <c r="B575" s="20"/>
      <c r="DS575" s="22"/>
      <c r="DT575" s="22"/>
    </row>
    <row r="576" spans="1:124" s="21" customFormat="1" x14ac:dyDescent="0.25">
      <c r="A576" s="20"/>
      <c r="B576" s="20"/>
      <c r="DS576" s="22"/>
      <c r="DT576" s="22"/>
    </row>
    <row r="577" spans="1:124" s="21" customFormat="1" x14ac:dyDescent="0.25">
      <c r="A577" s="20"/>
      <c r="B577" s="20"/>
      <c r="DS577" s="22"/>
      <c r="DT577" s="22"/>
    </row>
    <row r="578" spans="1:124" s="21" customFormat="1" x14ac:dyDescent="0.25">
      <c r="A578" s="20"/>
      <c r="B578" s="20"/>
      <c r="DS578" s="22"/>
      <c r="DT578" s="22"/>
    </row>
    <row r="579" spans="1:124" s="21" customFormat="1" x14ac:dyDescent="0.25">
      <c r="A579" s="20"/>
      <c r="B579" s="20"/>
      <c r="DS579" s="22"/>
      <c r="DT579" s="22"/>
    </row>
    <row r="580" spans="1:124" s="21" customFormat="1" x14ac:dyDescent="0.25">
      <c r="A580" s="20"/>
      <c r="B580" s="20"/>
      <c r="DS580" s="22"/>
      <c r="DT580" s="22"/>
    </row>
    <row r="581" spans="1:124" s="21" customFormat="1" x14ac:dyDescent="0.25">
      <c r="A581" s="20"/>
      <c r="B581" s="20"/>
      <c r="DS581" s="22"/>
      <c r="DT581" s="22"/>
    </row>
    <row r="582" spans="1:124" s="21" customFormat="1" x14ac:dyDescent="0.25">
      <c r="A582" s="20"/>
      <c r="B582" s="20"/>
      <c r="DS582" s="22"/>
      <c r="DT582" s="22"/>
    </row>
    <row r="583" spans="1:124" s="21" customFormat="1" x14ac:dyDescent="0.25">
      <c r="A583" s="20"/>
      <c r="B583" s="20"/>
      <c r="DS583" s="22"/>
      <c r="DT583" s="22"/>
    </row>
    <row r="584" spans="1:124" s="21" customFormat="1" x14ac:dyDescent="0.25">
      <c r="A584" s="20"/>
      <c r="B584" s="20"/>
      <c r="DS584" s="22"/>
      <c r="DT584" s="22"/>
    </row>
    <row r="585" spans="1:124" s="21" customFormat="1" x14ac:dyDescent="0.25">
      <c r="A585" s="20"/>
      <c r="B585" s="20"/>
      <c r="DS585" s="22"/>
      <c r="DT585" s="22"/>
    </row>
    <row r="586" spans="1:124" s="21" customFormat="1" x14ac:dyDescent="0.25">
      <c r="A586" s="20"/>
      <c r="B586" s="20"/>
      <c r="DS586" s="22"/>
      <c r="DT586" s="22"/>
    </row>
    <row r="587" spans="1:124" s="21" customFormat="1" x14ac:dyDescent="0.25">
      <c r="A587" s="20"/>
      <c r="B587" s="20"/>
      <c r="DS587" s="22"/>
      <c r="DT587" s="22"/>
    </row>
    <row r="588" spans="1:124" s="21" customFormat="1" x14ac:dyDescent="0.25">
      <c r="A588" s="20"/>
      <c r="B588" s="20"/>
      <c r="DS588" s="22"/>
      <c r="DT588" s="22"/>
    </row>
    <row r="589" spans="1:124" s="21" customFormat="1" x14ac:dyDescent="0.25">
      <c r="A589" s="20"/>
      <c r="B589" s="20"/>
      <c r="DS589" s="22"/>
      <c r="DT589" s="22"/>
    </row>
    <row r="590" spans="1:124" s="21" customFormat="1" x14ac:dyDescent="0.25">
      <c r="A590" s="20"/>
      <c r="B590" s="20"/>
      <c r="DS590" s="22"/>
      <c r="DT590" s="22"/>
    </row>
    <row r="591" spans="1:124" s="21" customFormat="1" x14ac:dyDescent="0.25">
      <c r="A591" s="20"/>
      <c r="B591" s="20"/>
      <c r="DS591" s="22"/>
      <c r="DT591" s="22"/>
    </row>
    <row r="592" spans="1:124" s="21" customFormat="1" x14ac:dyDescent="0.25">
      <c r="A592" s="20"/>
      <c r="B592" s="20"/>
      <c r="DS592" s="22"/>
      <c r="DT592" s="22"/>
    </row>
    <row r="593" spans="1:124" s="21" customFormat="1" x14ac:dyDescent="0.25">
      <c r="A593" s="20"/>
      <c r="B593" s="20"/>
      <c r="DS593" s="22"/>
      <c r="DT593" s="22"/>
    </row>
    <row r="594" spans="1:124" s="21" customFormat="1" x14ac:dyDescent="0.25">
      <c r="A594" s="20"/>
      <c r="B594" s="20"/>
      <c r="DS594" s="22"/>
      <c r="DT594" s="22"/>
    </row>
    <row r="595" spans="1:124" s="21" customFormat="1" x14ac:dyDescent="0.25">
      <c r="A595" s="20"/>
      <c r="B595" s="20"/>
      <c r="DS595" s="22"/>
      <c r="DT595" s="22"/>
    </row>
    <row r="596" spans="1:124" s="21" customFormat="1" x14ac:dyDescent="0.25">
      <c r="A596" s="20"/>
      <c r="B596" s="20"/>
      <c r="DS596" s="22"/>
      <c r="DT596" s="22"/>
    </row>
    <row r="597" spans="1:124" s="21" customFormat="1" x14ac:dyDescent="0.25">
      <c r="A597" s="20"/>
      <c r="B597" s="20"/>
      <c r="DS597" s="22"/>
      <c r="DT597" s="22"/>
    </row>
    <row r="598" spans="1:124" s="21" customFormat="1" x14ac:dyDescent="0.25">
      <c r="A598" s="20"/>
      <c r="B598" s="20"/>
      <c r="DS598" s="22"/>
      <c r="DT598" s="22"/>
    </row>
    <row r="599" spans="1:124" s="21" customFormat="1" x14ac:dyDescent="0.25">
      <c r="A599" s="20"/>
      <c r="B599" s="20"/>
      <c r="DS599" s="22"/>
      <c r="DT599" s="22"/>
    </row>
    <row r="600" spans="1:124" s="21" customFormat="1" x14ac:dyDescent="0.25">
      <c r="A600" s="20"/>
      <c r="B600" s="20"/>
      <c r="DS600" s="22"/>
      <c r="DT600" s="22"/>
    </row>
    <row r="601" spans="1:124" s="21" customFormat="1" x14ac:dyDescent="0.25">
      <c r="A601" s="20"/>
      <c r="B601" s="20"/>
      <c r="DS601" s="22"/>
      <c r="DT601" s="22"/>
    </row>
    <row r="602" spans="1:124" s="21" customFormat="1" x14ac:dyDescent="0.25">
      <c r="A602" s="20"/>
      <c r="B602" s="20"/>
      <c r="DS602" s="22"/>
      <c r="DT602" s="22"/>
    </row>
    <row r="603" spans="1:124" s="21" customFormat="1" x14ac:dyDescent="0.25">
      <c r="A603" s="20"/>
      <c r="B603" s="20"/>
      <c r="DS603" s="22"/>
      <c r="DT603" s="22"/>
    </row>
    <row r="604" spans="1:124" s="21" customFormat="1" x14ac:dyDescent="0.25">
      <c r="A604" s="20"/>
      <c r="B604" s="20"/>
      <c r="DS604" s="22"/>
      <c r="DT604" s="22"/>
    </row>
    <row r="605" spans="1:124" s="21" customFormat="1" x14ac:dyDescent="0.25">
      <c r="A605" s="20"/>
      <c r="B605" s="20"/>
      <c r="DS605" s="22"/>
      <c r="DT605" s="22"/>
    </row>
    <row r="606" spans="1:124" s="21" customFormat="1" x14ac:dyDescent="0.25">
      <c r="A606" s="20"/>
      <c r="B606" s="20"/>
      <c r="DS606" s="22"/>
      <c r="DT606" s="22"/>
    </row>
    <row r="607" spans="1:124" s="21" customFormat="1" x14ac:dyDescent="0.25">
      <c r="A607" s="20"/>
      <c r="B607" s="20"/>
      <c r="DS607" s="22"/>
      <c r="DT607" s="22"/>
    </row>
    <row r="608" spans="1:124" s="21" customFormat="1" x14ac:dyDescent="0.25">
      <c r="A608" s="20"/>
      <c r="B608" s="20"/>
      <c r="DS608" s="22"/>
      <c r="DT608" s="22"/>
    </row>
    <row r="609" spans="1:124" s="21" customFormat="1" x14ac:dyDescent="0.25">
      <c r="A609" s="20"/>
      <c r="B609" s="20"/>
      <c r="DS609" s="22"/>
      <c r="DT609" s="22"/>
    </row>
    <row r="610" spans="1:124" s="21" customFormat="1" x14ac:dyDescent="0.25">
      <c r="A610" s="20"/>
      <c r="B610" s="20"/>
      <c r="DS610" s="22"/>
      <c r="DT610" s="22"/>
    </row>
    <row r="611" spans="1:124" s="21" customFormat="1" x14ac:dyDescent="0.25">
      <c r="A611" s="20"/>
      <c r="B611" s="20"/>
      <c r="DS611" s="22"/>
      <c r="DT611" s="22"/>
    </row>
    <row r="612" spans="1:124" s="21" customFormat="1" x14ac:dyDescent="0.25">
      <c r="A612" s="20"/>
      <c r="B612" s="20"/>
      <c r="DS612" s="22"/>
      <c r="DT612" s="22"/>
    </row>
    <row r="613" spans="1:124" s="21" customFormat="1" x14ac:dyDescent="0.25">
      <c r="A613" s="20"/>
      <c r="B613" s="20"/>
      <c r="DS613" s="22"/>
      <c r="DT613" s="22"/>
    </row>
    <row r="614" spans="1:124" s="21" customFormat="1" x14ac:dyDescent="0.25">
      <c r="A614" s="20"/>
      <c r="B614" s="20"/>
      <c r="DS614" s="22"/>
      <c r="DT614" s="22"/>
    </row>
    <row r="615" spans="1:124" s="21" customFormat="1" x14ac:dyDescent="0.25">
      <c r="A615" s="20"/>
      <c r="B615" s="20"/>
      <c r="DS615" s="22"/>
      <c r="DT615" s="22"/>
    </row>
    <row r="616" spans="1:124" s="21" customFormat="1" x14ac:dyDescent="0.25">
      <c r="A616" s="20"/>
      <c r="B616" s="20"/>
      <c r="DS616" s="22"/>
      <c r="DT616" s="22"/>
    </row>
    <row r="617" spans="1:124" s="21" customFormat="1" x14ac:dyDescent="0.25">
      <c r="A617" s="20"/>
      <c r="B617" s="20"/>
      <c r="DS617" s="22"/>
      <c r="DT617" s="22"/>
    </row>
    <row r="618" spans="1:124" s="21" customFormat="1" x14ac:dyDescent="0.25">
      <c r="A618" s="20"/>
      <c r="B618" s="20"/>
      <c r="DS618" s="22"/>
      <c r="DT618" s="22"/>
    </row>
    <row r="619" spans="1:124" s="21" customFormat="1" x14ac:dyDescent="0.25">
      <c r="A619" s="20"/>
      <c r="B619" s="20"/>
      <c r="DS619" s="22"/>
      <c r="DT619" s="22"/>
    </row>
    <row r="620" spans="1:124" s="21" customFormat="1" x14ac:dyDescent="0.25">
      <c r="A620" s="20"/>
      <c r="B620" s="20"/>
      <c r="DS620" s="22"/>
      <c r="DT620" s="22"/>
    </row>
    <row r="621" spans="1:124" s="21" customFormat="1" x14ac:dyDescent="0.25">
      <c r="A621" s="20"/>
      <c r="B621" s="20"/>
      <c r="DS621" s="22"/>
      <c r="DT621" s="22"/>
    </row>
    <row r="622" spans="1:124" s="21" customFormat="1" x14ac:dyDescent="0.25">
      <c r="A622" s="20"/>
      <c r="B622" s="20"/>
      <c r="DS622" s="22"/>
      <c r="DT622" s="22"/>
    </row>
    <row r="623" spans="1:124" s="21" customFormat="1" x14ac:dyDescent="0.25">
      <c r="A623" s="20"/>
      <c r="B623" s="20"/>
      <c r="DS623" s="22"/>
      <c r="DT623" s="22"/>
    </row>
    <row r="624" spans="1:124" s="21" customFormat="1" x14ac:dyDescent="0.25">
      <c r="A624" s="20"/>
      <c r="B624" s="20"/>
      <c r="DS624" s="22"/>
      <c r="DT624" s="22"/>
    </row>
    <row r="625" spans="1:124" s="21" customFormat="1" x14ac:dyDescent="0.25">
      <c r="A625" s="20"/>
      <c r="B625" s="20"/>
      <c r="DS625" s="22"/>
      <c r="DT625" s="22"/>
    </row>
    <row r="626" spans="1:124" s="21" customFormat="1" x14ac:dyDescent="0.25">
      <c r="A626" s="20"/>
      <c r="B626" s="20"/>
      <c r="DS626" s="22"/>
      <c r="DT626" s="22"/>
    </row>
    <row r="627" spans="1:124" s="21" customFormat="1" x14ac:dyDescent="0.25">
      <c r="A627" s="20"/>
      <c r="B627" s="20"/>
      <c r="DS627" s="22"/>
      <c r="DT627" s="22"/>
    </row>
    <row r="628" spans="1:124" s="21" customFormat="1" x14ac:dyDescent="0.25">
      <c r="A628" s="20"/>
      <c r="B628" s="20"/>
      <c r="DS628" s="22"/>
      <c r="DT628" s="22"/>
    </row>
    <row r="629" spans="1:124" s="21" customFormat="1" x14ac:dyDescent="0.25">
      <c r="A629" s="20"/>
      <c r="B629" s="20"/>
      <c r="DS629" s="22"/>
      <c r="DT629" s="22"/>
    </row>
    <row r="630" spans="1:124" s="21" customFormat="1" x14ac:dyDescent="0.25">
      <c r="A630" s="20"/>
      <c r="B630" s="20"/>
      <c r="DS630" s="22"/>
      <c r="DT630" s="22"/>
    </row>
    <row r="631" spans="1:124" s="21" customFormat="1" x14ac:dyDescent="0.25">
      <c r="A631" s="20"/>
      <c r="B631" s="20"/>
      <c r="DS631" s="22"/>
      <c r="DT631" s="22"/>
    </row>
    <row r="632" spans="1:124" s="21" customFormat="1" x14ac:dyDescent="0.25">
      <c r="A632" s="20"/>
      <c r="B632" s="20"/>
      <c r="DS632" s="22"/>
      <c r="DT632" s="22"/>
    </row>
    <row r="633" spans="1:124" s="21" customFormat="1" x14ac:dyDescent="0.25">
      <c r="A633" s="20"/>
      <c r="B633" s="20"/>
      <c r="DS633" s="22"/>
      <c r="DT633" s="22"/>
    </row>
    <row r="634" spans="1:124" s="21" customFormat="1" x14ac:dyDescent="0.25">
      <c r="A634" s="20"/>
      <c r="B634" s="20"/>
      <c r="DS634" s="22"/>
      <c r="DT634" s="22"/>
    </row>
    <row r="635" spans="1:124" s="21" customFormat="1" x14ac:dyDescent="0.25">
      <c r="A635" s="20"/>
      <c r="B635" s="20"/>
      <c r="DS635" s="22"/>
      <c r="DT635" s="22"/>
    </row>
    <row r="636" spans="1:124" s="21" customFormat="1" x14ac:dyDescent="0.25">
      <c r="A636" s="20"/>
      <c r="B636" s="20"/>
      <c r="DS636" s="22"/>
      <c r="DT636" s="22"/>
    </row>
    <row r="637" spans="1:124" s="21" customFormat="1" x14ac:dyDescent="0.25">
      <c r="A637" s="20"/>
      <c r="B637" s="20"/>
      <c r="DS637" s="22"/>
      <c r="DT637" s="22"/>
    </row>
    <row r="638" spans="1:124" s="21" customFormat="1" x14ac:dyDescent="0.25">
      <c r="A638" s="20"/>
      <c r="B638" s="20"/>
      <c r="DS638" s="22"/>
      <c r="DT638" s="22"/>
    </row>
    <row r="639" spans="1:124" s="21" customFormat="1" x14ac:dyDescent="0.25">
      <c r="A639" s="20"/>
      <c r="B639" s="20"/>
      <c r="DS639" s="22"/>
      <c r="DT639" s="22"/>
    </row>
    <row r="640" spans="1:124" s="21" customFormat="1" x14ac:dyDescent="0.25">
      <c r="A640" s="20"/>
      <c r="B640" s="20"/>
      <c r="DS640" s="22"/>
      <c r="DT640" s="22"/>
    </row>
    <row r="641" spans="1:124" s="21" customFormat="1" x14ac:dyDescent="0.25">
      <c r="A641" s="20"/>
      <c r="B641" s="20"/>
      <c r="DS641" s="22"/>
      <c r="DT641" s="22"/>
    </row>
    <row r="642" spans="1:124" s="21" customFormat="1" x14ac:dyDescent="0.25">
      <c r="A642" s="20"/>
      <c r="B642" s="20"/>
      <c r="DS642" s="22"/>
      <c r="DT642" s="22"/>
    </row>
    <row r="643" spans="1:124" s="21" customFormat="1" x14ac:dyDescent="0.25">
      <c r="A643" s="20"/>
      <c r="B643" s="20"/>
      <c r="DS643" s="22"/>
      <c r="DT643" s="22"/>
    </row>
    <row r="644" spans="1:124" s="21" customFormat="1" x14ac:dyDescent="0.25">
      <c r="A644" s="20"/>
      <c r="B644" s="20"/>
      <c r="DS644" s="22"/>
      <c r="DT644" s="22"/>
    </row>
    <row r="645" spans="1:124" s="21" customFormat="1" x14ac:dyDescent="0.25">
      <c r="A645" s="20"/>
      <c r="B645" s="20"/>
      <c r="DS645" s="22"/>
      <c r="DT645" s="22"/>
    </row>
    <row r="646" spans="1:124" s="21" customFormat="1" x14ac:dyDescent="0.25">
      <c r="A646" s="20"/>
      <c r="B646" s="20"/>
      <c r="DS646" s="22"/>
      <c r="DT646" s="22"/>
    </row>
    <row r="647" spans="1:124" s="21" customFormat="1" x14ac:dyDescent="0.25">
      <c r="A647" s="20"/>
      <c r="B647" s="20"/>
      <c r="DS647" s="22"/>
      <c r="DT647" s="22"/>
    </row>
    <row r="648" spans="1:124" s="21" customFormat="1" x14ac:dyDescent="0.25">
      <c r="A648" s="20"/>
      <c r="B648" s="20"/>
      <c r="DS648" s="22"/>
      <c r="DT648" s="22"/>
    </row>
    <row r="649" spans="1:124" s="21" customFormat="1" x14ac:dyDescent="0.25">
      <c r="A649" s="20"/>
      <c r="B649" s="20"/>
      <c r="DS649" s="22"/>
      <c r="DT649" s="22"/>
    </row>
    <row r="650" spans="1:124" s="21" customFormat="1" x14ac:dyDescent="0.25">
      <c r="A650" s="20"/>
      <c r="B650" s="20"/>
      <c r="DS650" s="22"/>
      <c r="DT650" s="22"/>
    </row>
    <row r="651" spans="1:124" s="21" customFormat="1" x14ac:dyDescent="0.25">
      <c r="A651" s="20"/>
      <c r="B651" s="20"/>
      <c r="DS651" s="22"/>
      <c r="DT651" s="22"/>
    </row>
    <row r="652" spans="1:124" s="21" customFormat="1" x14ac:dyDescent="0.25">
      <c r="A652" s="20"/>
      <c r="B652" s="20"/>
      <c r="DS652" s="22"/>
      <c r="DT652" s="22"/>
    </row>
    <row r="653" spans="1:124" s="21" customFormat="1" x14ac:dyDescent="0.25">
      <c r="A653" s="20"/>
      <c r="B653" s="20"/>
      <c r="DS653" s="22"/>
      <c r="DT653" s="22"/>
    </row>
    <row r="654" spans="1:124" s="21" customFormat="1" x14ac:dyDescent="0.25">
      <c r="A654" s="20"/>
      <c r="B654" s="20"/>
      <c r="DS654" s="22"/>
      <c r="DT654" s="22"/>
    </row>
    <row r="655" spans="1:124" s="21" customFormat="1" x14ac:dyDescent="0.25">
      <c r="A655" s="20"/>
      <c r="B655" s="20"/>
      <c r="DS655" s="22"/>
      <c r="DT655" s="22"/>
    </row>
    <row r="656" spans="1:124" s="21" customFormat="1" x14ac:dyDescent="0.25">
      <c r="A656" s="20"/>
      <c r="B656" s="20"/>
      <c r="DS656" s="22"/>
      <c r="DT656" s="22"/>
    </row>
    <row r="657" spans="1:124" s="21" customFormat="1" x14ac:dyDescent="0.25">
      <c r="A657" s="20"/>
      <c r="B657" s="20"/>
      <c r="DS657" s="22"/>
      <c r="DT657" s="22"/>
    </row>
    <row r="658" spans="1:124" s="21" customFormat="1" x14ac:dyDescent="0.25">
      <c r="A658" s="20"/>
      <c r="B658" s="20"/>
      <c r="DS658" s="22"/>
      <c r="DT658" s="22"/>
    </row>
    <row r="659" spans="1:124" s="21" customFormat="1" x14ac:dyDescent="0.25">
      <c r="A659" s="20"/>
      <c r="B659" s="20"/>
      <c r="DS659" s="22"/>
      <c r="DT659" s="22"/>
    </row>
    <row r="660" spans="1:124" s="21" customFormat="1" x14ac:dyDescent="0.25">
      <c r="A660" s="20"/>
      <c r="B660" s="20"/>
      <c r="DS660" s="22"/>
      <c r="DT660" s="22"/>
    </row>
    <row r="661" spans="1:124" s="21" customFormat="1" x14ac:dyDescent="0.25">
      <c r="A661" s="20"/>
      <c r="B661" s="20"/>
      <c r="DS661" s="22"/>
      <c r="DT661" s="22"/>
    </row>
    <row r="662" spans="1:124" s="21" customFormat="1" x14ac:dyDescent="0.25">
      <c r="A662" s="20"/>
      <c r="B662" s="20"/>
      <c r="DS662" s="22"/>
      <c r="DT662" s="22"/>
    </row>
    <row r="663" spans="1:124" s="21" customFormat="1" x14ac:dyDescent="0.25">
      <c r="A663" s="20"/>
      <c r="B663" s="20"/>
      <c r="DS663" s="22"/>
      <c r="DT663" s="22"/>
    </row>
    <row r="664" spans="1:124" s="21" customFormat="1" x14ac:dyDescent="0.25">
      <c r="A664" s="20"/>
      <c r="B664" s="20"/>
      <c r="DS664" s="22"/>
      <c r="DT664" s="22"/>
    </row>
    <row r="665" spans="1:124" s="21" customFormat="1" x14ac:dyDescent="0.25">
      <c r="A665" s="20"/>
      <c r="B665" s="20"/>
      <c r="DS665" s="22"/>
      <c r="DT665" s="22"/>
    </row>
    <row r="666" spans="1:124" s="21" customFormat="1" x14ac:dyDescent="0.25">
      <c r="A666" s="20"/>
      <c r="B666" s="20"/>
      <c r="DS666" s="22"/>
      <c r="DT666" s="22"/>
    </row>
    <row r="667" spans="1:124" s="21" customFormat="1" x14ac:dyDescent="0.25">
      <c r="A667" s="20"/>
      <c r="B667" s="20"/>
      <c r="DS667" s="22"/>
      <c r="DT667" s="22"/>
    </row>
    <row r="668" spans="1:124" s="21" customFormat="1" x14ac:dyDescent="0.25">
      <c r="A668" s="20"/>
      <c r="B668" s="20"/>
      <c r="DS668" s="22"/>
      <c r="DT668" s="22"/>
    </row>
    <row r="669" spans="1:124" s="21" customFormat="1" x14ac:dyDescent="0.25">
      <c r="A669" s="20"/>
      <c r="B669" s="20"/>
      <c r="DS669" s="22"/>
      <c r="DT669" s="22"/>
    </row>
    <row r="670" spans="1:124" s="21" customFormat="1" x14ac:dyDescent="0.25">
      <c r="A670" s="20"/>
      <c r="B670" s="20"/>
      <c r="DS670" s="22"/>
      <c r="DT670" s="22"/>
    </row>
    <row r="671" spans="1:124" s="21" customFormat="1" x14ac:dyDescent="0.25">
      <c r="A671" s="20"/>
      <c r="B671" s="20"/>
      <c r="DS671" s="22"/>
      <c r="DT671" s="22"/>
    </row>
    <row r="672" spans="1:124" s="21" customFormat="1" x14ac:dyDescent="0.25">
      <c r="A672" s="20"/>
      <c r="B672" s="20"/>
      <c r="DS672" s="22"/>
      <c r="DT672" s="22"/>
    </row>
    <row r="673" spans="1:124" s="21" customFormat="1" x14ac:dyDescent="0.25">
      <c r="A673" s="20"/>
      <c r="B673" s="20"/>
      <c r="DS673" s="22"/>
      <c r="DT673" s="22"/>
    </row>
    <row r="674" spans="1:124" s="21" customFormat="1" x14ac:dyDescent="0.25">
      <c r="A674" s="20"/>
      <c r="B674" s="20"/>
      <c r="DS674" s="22"/>
      <c r="DT674" s="22"/>
    </row>
    <row r="675" spans="1:124" s="21" customFormat="1" x14ac:dyDescent="0.25">
      <c r="A675" s="20"/>
      <c r="B675" s="20"/>
      <c r="DS675" s="22"/>
      <c r="DT675" s="22"/>
    </row>
    <row r="676" spans="1:124" s="21" customFormat="1" x14ac:dyDescent="0.25">
      <c r="A676" s="20"/>
      <c r="B676" s="20"/>
      <c r="DS676" s="22"/>
      <c r="DT676" s="22"/>
    </row>
    <row r="677" spans="1:124" s="21" customFormat="1" x14ac:dyDescent="0.25">
      <c r="A677" s="20"/>
      <c r="B677" s="20"/>
      <c r="DS677" s="22"/>
      <c r="DT677" s="22"/>
    </row>
    <row r="678" spans="1:124" s="21" customFormat="1" x14ac:dyDescent="0.25">
      <c r="A678" s="20"/>
      <c r="B678" s="20"/>
      <c r="DS678" s="22"/>
      <c r="DT678" s="22"/>
    </row>
    <row r="679" spans="1:124" s="21" customFormat="1" x14ac:dyDescent="0.25">
      <c r="A679" s="20"/>
      <c r="B679" s="20"/>
      <c r="DS679" s="22"/>
      <c r="DT679" s="22"/>
    </row>
    <row r="680" spans="1:124" s="21" customFormat="1" x14ac:dyDescent="0.25">
      <c r="A680" s="20"/>
      <c r="B680" s="20"/>
      <c r="DS680" s="22"/>
      <c r="DT680" s="22"/>
    </row>
    <row r="681" spans="1:124" s="21" customFormat="1" x14ac:dyDescent="0.25">
      <c r="A681" s="20"/>
      <c r="B681" s="20"/>
      <c r="DS681" s="22"/>
      <c r="DT681" s="22"/>
    </row>
    <row r="682" spans="1:124" s="21" customFormat="1" x14ac:dyDescent="0.25">
      <c r="A682" s="20"/>
      <c r="B682" s="20"/>
      <c r="DS682" s="22"/>
      <c r="DT682" s="22"/>
    </row>
    <row r="683" spans="1:124" s="21" customFormat="1" x14ac:dyDescent="0.25">
      <c r="A683" s="20"/>
      <c r="B683" s="20"/>
      <c r="DS683" s="22"/>
      <c r="DT683" s="22"/>
    </row>
    <row r="684" spans="1:124" s="21" customFormat="1" x14ac:dyDescent="0.25">
      <c r="A684" s="20"/>
      <c r="B684" s="20"/>
      <c r="DS684" s="22"/>
      <c r="DT684" s="22"/>
    </row>
    <row r="685" spans="1:124" s="21" customFormat="1" x14ac:dyDescent="0.25">
      <c r="A685" s="20"/>
      <c r="B685" s="20"/>
      <c r="DS685" s="22"/>
      <c r="DT685" s="22"/>
    </row>
    <row r="686" spans="1:124" s="21" customFormat="1" x14ac:dyDescent="0.25">
      <c r="A686" s="20"/>
      <c r="B686" s="20"/>
      <c r="DS686" s="22"/>
      <c r="DT686" s="22"/>
    </row>
    <row r="687" spans="1:124" s="21" customFormat="1" x14ac:dyDescent="0.25">
      <c r="A687" s="20"/>
      <c r="B687" s="20"/>
      <c r="DS687" s="22"/>
      <c r="DT687" s="22"/>
    </row>
    <row r="688" spans="1:124" s="21" customFormat="1" x14ac:dyDescent="0.25">
      <c r="A688" s="20"/>
      <c r="B688" s="20"/>
      <c r="DS688" s="22"/>
      <c r="DT688" s="22"/>
    </row>
    <row r="689" spans="1:124" s="21" customFormat="1" x14ac:dyDescent="0.25">
      <c r="A689" s="20"/>
      <c r="B689" s="20"/>
      <c r="DS689" s="22"/>
      <c r="DT689" s="22"/>
    </row>
    <row r="690" spans="1:124" s="21" customFormat="1" x14ac:dyDescent="0.25">
      <c r="A690" s="20"/>
      <c r="B690" s="20"/>
      <c r="DS690" s="22"/>
      <c r="DT690" s="22"/>
    </row>
    <row r="691" spans="1:124" s="21" customFormat="1" x14ac:dyDescent="0.25">
      <c r="A691" s="20"/>
      <c r="B691" s="20"/>
      <c r="DS691" s="22"/>
      <c r="DT691" s="22"/>
    </row>
    <row r="692" spans="1:124" s="21" customFormat="1" x14ac:dyDescent="0.25">
      <c r="A692" s="20"/>
      <c r="B692" s="20"/>
      <c r="DS692" s="22"/>
      <c r="DT692" s="22"/>
    </row>
    <row r="693" spans="1:124" s="21" customFormat="1" x14ac:dyDescent="0.25">
      <c r="A693" s="20"/>
      <c r="B693" s="20"/>
      <c r="DS693" s="22"/>
      <c r="DT693" s="22"/>
    </row>
    <row r="694" spans="1:124" s="21" customFormat="1" x14ac:dyDescent="0.25">
      <c r="A694" s="20"/>
      <c r="B694" s="20"/>
      <c r="DS694" s="22"/>
      <c r="DT694" s="22"/>
    </row>
    <row r="695" spans="1:124" s="21" customFormat="1" x14ac:dyDescent="0.25">
      <c r="A695" s="20"/>
      <c r="B695" s="20"/>
      <c r="DS695" s="22"/>
      <c r="DT695" s="22"/>
    </row>
    <row r="696" spans="1:124" s="21" customFormat="1" x14ac:dyDescent="0.25">
      <c r="A696" s="20"/>
      <c r="B696" s="20"/>
      <c r="DS696" s="22"/>
      <c r="DT696" s="22"/>
    </row>
    <row r="697" spans="1:124" s="21" customFormat="1" x14ac:dyDescent="0.25">
      <c r="A697" s="20"/>
      <c r="B697" s="20"/>
      <c r="DS697" s="22"/>
      <c r="DT697" s="22"/>
    </row>
    <row r="698" spans="1:124" s="21" customFormat="1" x14ac:dyDescent="0.25">
      <c r="A698" s="20"/>
      <c r="B698" s="20"/>
      <c r="DS698" s="22"/>
      <c r="DT698" s="22"/>
    </row>
    <row r="699" spans="1:124" s="21" customFormat="1" x14ac:dyDescent="0.25">
      <c r="A699" s="20"/>
      <c r="B699" s="20"/>
      <c r="DS699" s="22"/>
      <c r="DT699" s="22"/>
    </row>
    <row r="700" spans="1:124" s="21" customFormat="1" x14ac:dyDescent="0.25">
      <c r="A700" s="20"/>
      <c r="B700" s="20"/>
      <c r="DS700" s="22"/>
      <c r="DT700" s="22"/>
    </row>
    <row r="701" spans="1:124" s="21" customFormat="1" x14ac:dyDescent="0.25">
      <c r="A701" s="20"/>
      <c r="B701" s="20"/>
      <c r="DS701" s="22"/>
      <c r="DT701" s="22"/>
    </row>
    <row r="702" spans="1:124" s="21" customFormat="1" x14ac:dyDescent="0.25">
      <c r="A702" s="20"/>
      <c r="B702" s="20"/>
      <c r="DS702" s="22"/>
      <c r="DT702" s="22"/>
    </row>
    <row r="703" spans="1:124" s="21" customFormat="1" x14ac:dyDescent="0.25">
      <c r="A703" s="20"/>
      <c r="B703" s="20"/>
      <c r="DS703" s="22"/>
      <c r="DT703" s="22"/>
    </row>
    <row r="704" spans="1:124" s="21" customFormat="1" x14ac:dyDescent="0.25">
      <c r="A704" s="20"/>
      <c r="B704" s="20"/>
      <c r="DS704" s="22"/>
      <c r="DT704" s="22"/>
    </row>
    <row r="705" spans="1:124" s="21" customFormat="1" x14ac:dyDescent="0.25">
      <c r="A705" s="20"/>
      <c r="B705" s="20"/>
      <c r="DS705" s="22"/>
      <c r="DT705" s="22"/>
    </row>
    <row r="706" spans="1:124" s="21" customFormat="1" x14ac:dyDescent="0.25">
      <c r="A706" s="20"/>
      <c r="B706" s="20"/>
      <c r="DS706" s="22"/>
      <c r="DT706" s="22"/>
    </row>
    <row r="707" spans="1:124" s="21" customFormat="1" x14ac:dyDescent="0.25">
      <c r="A707" s="20"/>
      <c r="B707" s="20"/>
      <c r="DS707" s="22"/>
      <c r="DT707" s="22"/>
    </row>
    <row r="708" spans="1:124" s="21" customFormat="1" x14ac:dyDescent="0.25">
      <c r="A708" s="20"/>
      <c r="B708" s="20"/>
      <c r="DS708" s="22"/>
      <c r="DT708" s="22"/>
    </row>
    <row r="709" spans="1:124" s="21" customFormat="1" x14ac:dyDescent="0.25">
      <c r="A709" s="20"/>
      <c r="B709" s="20"/>
      <c r="DS709" s="22"/>
      <c r="DT709" s="22"/>
    </row>
    <row r="710" spans="1:124" s="21" customFormat="1" x14ac:dyDescent="0.25">
      <c r="A710" s="20"/>
      <c r="B710" s="20"/>
      <c r="DS710" s="22"/>
      <c r="DT710" s="22"/>
    </row>
    <row r="711" spans="1:124" s="21" customFormat="1" x14ac:dyDescent="0.25">
      <c r="A711" s="20"/>
      <c r="B711" s="20"/>
      <c r="DS711" s="22"/>
      <c r="DT711" s="22"/>
    </row>
    <row r="712" spans="1:124" s="21" customFormat="1" x14ac:dyDescent="0.25">
      <c r="A712" s="20"/>
      <c r="B712" s="20"/>
      <c r="DS712" s="22"/>
      <c r="DT712" s="22"/>
    </row>
    <row r="713" spans="1:124" s="21" customFormat="1" x14ac:dyDescent="0.25">
      <c r="A713" s="20"/>
      <c r="B713" s="20"/>
      <c r="DS713" s="22"/>
      <c r="DT713" s="22"/>
    </row>
    <row r="714" spans="1:124" s="21" customFormat="1" x14ac:dyDescent="0.25">
      <c r="A714" s="20"/>
      <c r="B714" s="20"/>
      <c r="DS714" s="22"/>
      <c r="DT714" s="22"/>
    </row>
    <row r="715" spans="1:124" s="21" customFormat="1" x14ac:dyDescent="0.25">
      <c r="A715" s="20"/>
      <c r="B715" s="20"/>
      <c r="DS715" s="22"/>
      <c r="DT715" s="22"/>
    </row>
    <row r="716" spans="1:124" s="21" customFormat="1" x14ac:dyDescent="0.25">
      <c r="A716" s="20"/>
      <c r="B716" s="20"/>
      <c r="DS716" s="22"/>
      <c r="DT716" s="22"/>
    </row>
    <row r="717" spans="1:124" s="21" customFormat="1" x14ac:dyDescent="0.25">
      <c r="A717" s="20"/>
      <c r="B717" s="20"/>
      <c r="DS717" s="22"/>
      <c r="DT717" s="22"/>
    </row>
    <row r="718" spans="1:124" s="21" customFormat="1" x14ac:dyDescent="0.25">
      <c r="A718" s="20"/>
      <c r="B718" s="20"/>
      <c r="DS718" s="22"/>
      <c r="DT718" s="22"/>
    </row>
    <row r="719" spans="1:124" s="21" customFormat="1" x14ac:dyDescent="0.25">
      <c r="A719" s="20"/>
      <c r="B719" s="20"/>
      <c r="DS719" s="22"/>
      <c r="DT719" s="22"/>
    </row>
    <row r="720" spans="1:124" s="21" customFormat="1" x14ac:dyDescent="0.25">
      <c r="A720" s="20"/>
      <c r="B720" s="20"/>
      <c r="DS720" s="22"/>
      <c r="DT720" s="22"/>
    </row>
    <row r="721" spans="1:124" s="21" customFormat="1" x14ac:dyDescent="0.25">
      <c r="A721" s="20"/>
      <c r="B721" s="20"/>
      <c r="DS721" s="22"/>
      <c r="DT721" s="22"/>
    </row>
    <row r="722" spans="1:124" s="21" customFormat="1" x14ac:dyDescent="0.25">
      <c r="A722" s="20"/>
      <c r="B722" s="20"/>
      <c r="DS722" s="22"/>
      <c r="DT722" s="22"/>
    </row>
    <row r="723" spans="1:124" s="21" customFormat="1" x14ac:dyDescent="0.25">
      <c r="A723" s="20"/>
      <c r="B723" s="20"/>
      <c r="DS723" s="22"/>
      <c r="DT723" s="22"/>
    </row>
    <row r="724" spans="1:124" s="21" customFormat="1" x14ac:dyDescent="0.25">
      <c r="A724" s="20"/>
      <c r="B724" s="20"/>
      <c r="DS724" s="22"/>
      <c r="DT724" s="22"/>
    </row>
    <row r="725" spans="1:124" s="21" customFormat="1" x14ac:dyDescent="0.25">
      <c r="A725" s="20"/>
      <c r="B725" s="20"/>
      <c r="DS725" s="22"/>
      <c r="DT725" s="22"/>
    </row>
    <row r="726" spans="1:124" s="21" customFormat="1" x14ac:dyDescent="0.25">
      <c r="A726" s="20"/>
      <c r="B726" s="20"/>
      <c r="DS726" s="22"/>
      <c r="DT726" s="22"/>
    </row>
    <row r="727" spans="1:124" s="21" customFormat="1" x14ac:dyDescent="0.25">
      <c r="A727" s="20"/>
      <c r="B727" s="20"/>
      <c r="DS727" s="22"/>
      <c r="DT727" s="22"/>
    </row>
    <row r="728" spans="1:124" s="21" customFormat="1" x14ac:dyDescent="0.25">
      <c r="A728" s="20"/>
      <c r="B728" s="20"/>
      <c r="DS728" s="22"/>
      <c r="DT728" s="22"/>
    </row>
    <row r="729" spans="1:124" s="21" customFormat="1" x14ac:dyDescent="0.25">
      <c r="A729" s="20"/>
      <c r="B729" s="20"/>
      <c r="DS729" s="22"/>
      <c r="DT729" s="22"/>
    </row>
    <row r="730" spans="1:124" s="21" customFormat="1" x14ac:dyDescent="0.25">
      <c r="A730" s="20"/>
      <c r="B730" s="20"/>
      <c r="DS730" s="22"/>
      <c r="DT730" s="22"/>
    </row>
    <row r="731" spans="1:124" s="21" customFormat="1" x14ac:dyDescent="0.25">
      <c r="A731" s="20"/>
      <c r="B731" s="20"/>
      <c r="DS731" s="22"/>
      <c r="DT731" s="22"/>
    </row>
    <row r="732" spans="1:124" s="21" customFormat="1" x14ac:dyDescent="0.25">
      <c r="A732" s="20"/>
      <c r="B732" s="20"/>
      <c r="DS732" s="22"/>
      <c r="DT732" s="22"/>
    </row>
    <row r="733" spans="1:124" s="21" customFormat="1" x14ac:dyDescent="0.25">
      <c r="A733" s="20"/>
      <c r="B733" s="20"/>
      <c r="DS733" s="22"/>
      <c r="DT733" s="22"/>
    </row>
    <row r="734" spans="1:124" s="21" customFormat="1" x14ac:dyDescent="0.25">
      <c r="A734" s="20"/>
      <c r="B734" s="20"/>
      <c r="DS734" s="22"/>
      <c r="DT734" s="22"/>
    </row>
    <row r="735" spans="1:124" s="21" customFormat="1" x14ac:dyDescent="0.25">
      <c r="A735" s="20"/>
      <c r="B735" s="20"/>
      <c r="DS735" s="22"/>
      <c r="DT735" s="22"/>
    </row>
    <row r="736" spans="1:124" s="21" customFormat="1" x14ac:dyDescent="0.25">
      <c r="A736" s="20"/>
      <c r="B736" s="20"/>
      <c r="DS736" s="22"/>
      <c r="DT736" s="22"/>
    </row>
    <row r="737" spans="1:124" s="21" customFormat="1" x14ac:dyDescent="0.25">
      <c r="A737" s="20"/>
      <c r="B737" s="20"/>
      <c r="DS737" s="22"/>
      <c r="DT737" s="22"/>
    </row>
    <row r="738" spans="1:124" s="21" customFormat="1" x14ac:dyDescent="0.25">
      <c r="A738" s="20"/>
      <c r="B738" s="20"/>
      <c r="DS738" s="22"/>
      <c r="DT738" s="22"/>
    </row>
    <row r="739" spans="1:124" s="21" customFormat="1" x14ac:dyDescent="0.25">
      <c r="A739" s="20"/>
      <c r="B739" s="20"/>
      <c r="DS739" s="22"/>
      <c r="DT739" s="22"/>
    </row>
    <row r="740" spans="1:124" s="21" customFormat="1" x14ac:dyDescent="0.25">
      <c r="A740" s="20"/>
      <c r="B740" s="20"/>
      <c r="DS740" s="22"/>
      <c r="DT740" s="22"/>
    </row>
    <row r="741" spans="1:124" s="21" customFormat="1" x14ac:dyDescent="0.25">
      <c r="A741" s="20"/>
      <c r="B741" s="20"/>
      <c r="DS741" s="22"/>
      <c r="DT741" s="22"/>
    </row>
    <row r="742" spans="1:124" s="21" customFormat="1" x14ac:dyDescent="0.25">
      <c r="A742" s="20"/>
      <c r="B742" s="20"/>
      <c r="DS742" s="22"/>
      <c r="DT742" s="22"/>
    </row>
    <row r="743" spans="1:124" s="21" customFormat="1" x14ac:dyDescent="0.25">
      <c r="A743" s="20"/>
      <c r="B743" s="20"/>
      <c r="DS743" s="22"/>
      <c r="DT743" s="22"/>
    </row>
    <row r="744" spans="1:124" s="21" customFormat="1" x14ac:dyDescent="0.25">
      <c r="A744" s="20"/>
      <c r="B744" s="20"/>
      <c r="DS744" s="22"/>
      <c r="DT744" s="22"/>
    </row>
    <row r="745" spans="1:124" s="21" customFormat="1" x14ac:dyDescent="0.25">
      <c r="A745" s="20"/>
      <c r="B745" s="20"/>
      <c r="DS745" s="22"/>
      <c r="DT745" s="22"/>
    </row>
    <row r="746" spans="1:124" s="21" customFormat="1" x14ac:dyDescent="0.25">
      <c r="A746" s="20"/>
      <c r="B746" s="20"/>
      <c r="DS746" s="22"/>
      <c r="DT746" s="22"/>
    </row>
    <row r="747" spans="1:124" s="21" customFormat="1" x14ac:dyDescent="0.25">
      <c r="A747" s="20"/>
      <c r="B747" s="20"/>
      <c r="DS747" s="22"/>
      <c r="DT747" s="22"/>
    </row>
    <row r="748" spans="1:124" s="21" customFormat="1" x14ac:dyDescent="0.25">
      <c r="A748" s="20"/>
      <c r="B748" s="20"/>
      <c r="DS748" s="22"/>
      <c r="DT748" s="22"/>
    </row>
    <row r="749" spans="1:124" s="21" customFormat="1" x14ac:dyDescent="0.25">
      <c r="A749" s="20"/>
      <c r="B749" s="20"/>
      <c r="DS749" s="22"/>
      <c r="DT749" s="22"/>
    </row>
    <row r="750" spans="1:124" s="21" customFormat="1" x14ac:dyDescent="0.25">
      <c r="A750" s="20"/>
      <c r="B750" s="20"/>
      <c r="DS750" s="22"/>
      <c r="DT750" s="22"/>
    </row>
    <row r="751" spans="1:124" s="21" customFormat="1" x14ac:dyDescent="0.25">
      <c r="A751" s="20"/>
      <c r="B751" s="20"/>
      <c r="DS751" s="22"/>
      <c r="DT751" s="22"/>
    </row>
    <row r="752" spans="1:124" s="21" customFormat="1" x14ac:dyDescent="0.25">
      <c r="A752" s="20"/>
      <c r="B752" s="20"/>
      <c r="DS752" s="22"/>
      <c r="DT752" s="22"/>
    </row>
    <row r="753" spans="1:124" s="21" customFormat="1" x14ac:dyDescent="0.25">
      <c r="A753" s="20"/>
      <c r="B753" s="20"/>
      <c r="DS753" s="22"/>
      <c r="DT753" s="22"/>
    </row>
    <row r="754" spans="1:124" s="21" customFormat="1" x14ac:dyDescent="0.25">
      <c r="A754" s="20"/>
      <c r="B754" s="20"/>
      <c r="DS754" s="22"/>
      <c r="DT754" s="22"/>
    </row>
    <row r="755" spans="1:124" s="21" customFormat="1" x14ac:dyDescent="0.25">
      <c r="A755" s="20"/>
      <c r="B755" s="20"/>
      <c r="DS755" s="22"/>
      <c r="DT755" s="22"/>
    </row>
    <row r="756" spans="1:124" s="21" customFormat="1" x14ac:dyDescent="0.25">
      <c r="A756" s="20"/>
      <c r="B756" s="20"/>
      <c r="DS756" s="22"/>
      <c r="DT756" s="22"/>
    </row>
    <row r="757" spans="1:124" s="21" customFormat="1" x14ac:dyDescent="0.25">
      <c r="A757" s="20"/>
      <c r="B757" s="20"/>
      <c r="DS757" s="22"/>
      <c r="DT757" s="22"/>
    </row>
    <row r="758" spans="1:124" s="21" customFormat="1" x14ac:dyDescent="0.25">
      <c r="A758" s="20"/>
      <c r="B758" s="20"/>
      <c r="DS758" s="22"/>
      <c r="DT758" s="22"/>
    </row>
    <row r="759" spans="1:124" s="21" customFormat="1" x14ac:dyDescent="0.25">
      <c r="A759" s="20"/>
      <c r="B759" s="20"/>
      <c r="DS759" s="22"/>
      <c r="DT759" s="22"/>
    </row>
    <row r="760" spans="1:124" s="21" customFormat="1" x14ac:dyDescent="0.25">
      <c r="A760" s="20"/>
      <c r="B760" s="20"/>
      <c r="DS760" s="22"/>
      <c r="DT760" s="22"/>
    </row>
    <row r="761" spans="1:124" s="21" customFormat="1" x14ac:dyDescent="0.25">
      <c r="A761" s="20"/>
      <c r="B761" s="20"/>
      <c r="DS761" s="22"/>
      <c r="DT761" s="22"/>
    </row>
    <row r="762" spans="1:124" s="21" customFormat="1" x14ac:dyDescent="0.25">
      <c r="A762" s="20"/>
      <c r="B762" s="20"/>
      <c r="DS762" s="22"/>
      <c r="DT762" s="22"/>
    </row>
    <row r="763" spans="1:124" s="21" customFormat="1" x14ac:dyDescent="0.25">
      <c r="A763" s="20"/>
      <c r="B763" s="20"/>
      <c r="DS763" s="22"/>
      <c r="DT763" s="22"/>
    </row>
    <row r="764" spans="1:124" s="21" customFormat="1" x14ac:dyDescent="0.25">
      <c r="A764" s="20"/>
      <c r="B764" s="20"/>
      <c r="DS764" s="22"/>
      <c r="DT764" s="22"/>
    </row>
    <row r="765" spans="1:124" s="21" customFormat="1" x14ac:dyDescent="0.25">
      <c r="A765" s="20"/>
      <c r="B765" s="20"/>
      <c r="DS765" s="22"/>
      <c r="DT765" s="22"/>
    </row>
    <row r="766" spans="1:124" s="21" customFormat="1" x14ac:dyDescent="0.25">
      <c r="A766" s="20"/>
      <c r="B766" s="20"/>
      <c r="DS766" s="22"/>
      <c r="DT766" s="22"/>
    </row>
    <row r="767" spans="1:124" s="21" customFormat="1" x14ac:dyDescent="0.25">
      <c r="A767" s="20"/>
      <c r="B767" s="20"/>
      <c r="DS767" s="22"/>
      <c r="DT767" s="22"/>
    </row>
    <row r="768" spans="1:124" s="21" customFormat="1" x14ac:dyDescent="0.25">
      <c r="A768" s="20"/>
      <c r="B768" s="20"/>
      <c r="DS768" s="22"/>
      <c r="DT768" s="22"/>
    </row>
    <row r="769" spans="1:124" s="21" customFormat="1" x14ac:dyDescent="0.25">
      <c r="A769" s="20"/>
      <c r="B769" s="20"/>
      <c r="DS769" s="22"/>
      <c r="DT769" s="22"/>
    </row>
    <row r="770" spans="1:124" s="21" customFormat="1" x14ac:dyDescent="0.25">
      <c r="A770" s="20"/>
      <c r="B770" s="20"/>
      <c r="DS770" s="22"/>
      <c r="DT770" s="22"/>
    </row>
    <row r="771" spans="1:124" s="21" customFormat="1" x14ac:dyDescent="0.25">
      <c r="A771" s="20"/>
      <c r="B771" s="20"/>
      <c r="DS771" s="22"/>
      <c r="DT771" s="22"/>
    </row>
    <row r="772" spans="1:124" s="21" customFormat="1" x14ac:dyDescent="0.25">
      <c r="A772" s="20"/>
      <c r="B772" s="20"/>
      <c r="DS772" s="22"/>
      <c r="DT772" s="22"/>
    </row>
    <row r="773" spans="1:124" s="21" customFormat="1" x14ac:dyDescent="0.25">
      <c r="A773" s="20"/>
      <c r="B773" s="20"/>
      <c r="DS773" s="22"/>
      <c r="DT773" s="22"/>
    </row>
    <row r="774" spans="1:124" s="21" customFormat="1" x14ac:dyDescent="0.25">
      <c r="A774" s="20"/>
      <c r="B774" s="20"/>
      <c r="DS774" s="22"/>
      <c r="DT774" s="22"/>
    </row>
    <row r="775" spans="1:124" s="21" customFormat="1" x14ac:dyDescent="0.25">
      <c r="A775" s="20"/>
      <c r="B775" s="20"/>
      <c r="DS775" s="22"/>
      <c r="DT775" s="22"/>
    </row>
    <row r="776" spans="1:124" s="21" customFormat="1" x14ac:dyDescent="0.25">
      <c r="A776" s="20"/>
      <c r="B776" s="20"/>
      <c r="DS776" s="22"/>
      <c r="DT776" s="22"/>
    </row>
    <row r="777" spans="1:124" s="21" customFormat="1" x14ac:dyDescent="0.25">
      <c r="A777" s="20"/>
      <c r="B777" s="20"/>
      <c r="DS777" s="22"/>
      <c r="DT777" s="22"/>
    </row>
    <row r="778" spans="1:124" s="21" customFormat="1" x14ac:dyDescent="0.25">
      <c r="A778" s="20"/>
      <c r="B778" s="20"/>
      <c r="DS778" s="22"/>
      <c r="DT778" s="22"/>
    </row>
    <row r="779" spans="1:124" s="21" customFormat="1" x14ac:dyDescent="0.25">
      <c r="A779" s="20"/>
      <c r="B779" s="20"/>
      <c r="DS779" s="22"/>
      <c r="DT779" s="22"/>
    </row>
    <row r="780" spans="1:124" s="21" customFormat="1" x14ac:dyDescent="0.25">
      <c r="A780" s="20"/>
      <c r="B780" s="20"/>
      <c r="DS780" s="22"/>
      <c r="DT780" s="22"/>
    </row>
    <row r="781" spans="1:124" s="21" customFormat="1" x14ac:dyDescent="0.25">
      <c r="A781" s="20"/>
      <c r="B781" s="20"/>
      <c r="DS781" s="22"/>
      <c r="DT781" s="22"/>
    </row>
    <row r="782" spans="1:124" s="21" customFormat="1" x14ac:dyDescent="0.25">
      <c r="A782" s="20"/>
      <c r="B782" s="20"/>
      <c r="DS782" s="22"/>
      <c r="DT782" s="22"/>
    </row>
    <row r="783" spans="1:124" s="21" customFormat="1" x14ac:dyDescent="0.25">
      <c r="A783" s="20"/>
      <c r="B783" s="20"/>
      <c r="DS783" s="22"/>
      <c r="DT783" s="22"/>
    </row>
    <row r="784" spans="1:124" s="21" customFormat="1" x14ac:dyDescent="0.25">
      <c r="A784" s="20"/>
      <c r="B784" s="20"/>
      <c r="DS784" s="22"/>
      <c r="DT784" s="22"/>
    </row>
    <row r="785" spans="1:124" s="21" customFormat="1" x14ac:dyDescent="0.25">
      <c r="A785" s="20"/>
      <c r="B785" s="20"/>
      <c r="DS785" s="22"/>
      <c r="DT785" s="22"/>
    </row>
    <row r="786" spans="1:124" s="21" customFormat="1" x14ac:dyDescent="0.25">
      <c r="A786" s="20"/>
      <c r="B786" s="20"/>
      <c r="DS786" s="22"/>
      <c r="DT786" s="22"/>
    </row>
    <row r="787" spans="1:124" s="21" customFormat="1" x14ac:dyDescent="0.25">
      <c r="A787" s="20"/>
      <c r="B787" s="20"/>
      <c r="DS787" s="22"/>
      <c r="DT787" s="22"/>
    </row>
    <row r="788" spans="1:124" s="21" customFormat="1" x14ac:dyDescent="0.25">
      <c r="A788" s="20"/>
      <c r="B788" s="20"/>
      <c r="DS788" s="22"/>
      <c r="DT788" s="22"/>
    </row>
    <row r="789" spans="1:124" s="21" customFormat="1" x14ac:dyDescent="0.25">
      <c r="A789" s="20"/>
      <c r="B789" s="20"/>
      <c r="DS789" s="22"/>
      <c r="DT789" s="22"/>
    </row>
    <row r="790" spans="1:124" s="21" customFormat="1" x14ac:dyDescent="0.25">
      <c r="A790" s="20"/>
      <c r="B790" s="20"/>
      <c r="DS790" s="22"/>
      <c r="DT790" s="22"/>
    </row>
    <row r="791" spans="1:124" s="21" customFormat="1" x14ac:dyDescent="0.25">
      <c r="A791" s="20"/>
      <c r="B791" s="20"/>
      <c r="DS791" s="22"/>
      <c r="DT791" s="22"/>
    </row>
    <row r="792" spans="1:124" s="21" customFormat="1" x14ac:dyDescent="0.25">
      <c r="A792" s="20"/>
      <c r="B792" s="20"/>
      <c r="DS792" s="22"/>
      <c r="DT792" s="22"/>
    </row>
    <row r="793" spans="1:124" s="21" customFormat="1" x14ac:dyDescent="0.25">
      <c r="A793" s="20"/>
      <c r="B793" s="20"/>
      <c r="DS793" s="22"/>
      <c r="DT793" s="22"/>
    </row>
    <row r="794" spans="1:124" s="21" customFormat="1" x14ac:dyDescent="0.25">
      <c r="A794" s="20"/>
      <c r="B794" s="20"/>
      <c r="DS794" s="22"/>
      <c r="DT794" s="22"/>
    </row>
    <row r="795" spans="1:124" s="21" customFormat="1" x14ac:dyDescent="0.25">
      <c r="A795" s="20"/>
      <c r="B795" s="20"/>
      <c r="DS795" s="22"/>
      <c r="DT795" s="22"/>
    </row>
    <row r="796" spans="1:124" s="21" customFormat="1" x14ac:dyDescent="0.25">
      <c r="A796" s="20"/>
      <c r="B796" s="20"/>
      <c r="DS796" s="22"/>
      <c r="DT796" s="22"/>
    </row>
    <row r="797" spans="1:124" s="21" customFormat="1" x14ac:dyDescent="0.25">
      <c r="A797" s="20"/>
      <c r="B797" s="20"/>
      <c r="DS797" s="22"/>
      <c r="DT797" s="22"/>
    </row>
    <row r="798" spans="1:124" s="21" customFormat="1" x14ac:dyDescent="0.25">
      <c r="A798" s="20"/>
      <c r="B798" s="20"/>
      <c r="DS798" s="22"/>
      <c r="DT798" s="22"/>
    </row>
    <row r="799" spans="1:124" s="21" customFormat="1" x14ac:dyDescent="0.25">
      <c r="A799" s="20"/>
      <c r="B799" s="20"/>
      <c r="DS799" s="22"/>
      <c r="DT799" s="22"/>
    </row>
    <row r="800" spans="1:124" s="21" customFormat="1" x14ac:dyDescent="0.25">
      <c r="A800" s="20"/>
      <c r="B800" s="20"/>
      <c r="DS800" s="22"/>
      <c r="DT800" s="22"/>
    </row>
    <row r="801" spans="1:124" s="21" customFormat="1" x14ac:dyDescent="0.25">
      <c r="A801" s="20"/>
      <c r="B801" s="20"/>
      <c r="DS801" s="22"/>
      <c r="DT801" s="22"/>
    </row>
    <row r="802" spans="1:124" s="21" customFormat="1" x14ac:dyDescent="0.25">
      <c r="A802" s="20"/>
      <c r="B802" s="20"/>
      <c r="DS802" s="22"/>
      <c r="DT802" s="22"/>
    </row>
    <row r="803" spans="1:124" s="21" customFormat="1" x14ac:dyDescent="0.25">
      <c r="A803" s="20"/>
      <c r="B803" s="20"/>
      <c r="DS803" s="22"/>
      <c r="DT803" s="22"/>
    </row>
    <row r="804" spans="1:124" s="21" customFormat="1" x14ac:dyDescent="0.25">
      <c r="A804" s="20"/>
      <c r="B804" s="20"/>
      <c r="DS804" s="22"/>
      <c r="DT804" s="22"/>
    </row>
    <row r="805" spans="1:124" s="21" customFormat="1" x14ac:dyDescent="0.25">
      <c r="A805" s="20"/>
      <c r="B805" s="20"/>
      <c r="DS805" s="22"/>
      <c r="DT805" s="22"/>
    </row>
    <row r="806" spans="1:124" s="21" customFormat="1" x14ac:dyDescent="0.25">
      <c r="A806" s="20"/>
      <c r="B806" s="20"/>
      <c r="DS806" s="22"/>
      <c r="DT806" s="22"/>
    </row>
    <row r="807" spans="1:124" s="21" customFormat="1" x14ac:dyDescent="0.25">
      <c r="A807" s="20"/>
      <c r="B807" s="20"/>
      <c r="DS807" s="22"/>
      <c r="DT807" s="22"/>
    </row>
    <row r="808" spans="1:124" s="21" customFormat="1" x14ac:dyDescent="0.25">
      <c r="A808" s="20"/>
      <c r="B808" s="20"/>
      <c r="DS808" s="22"/>
      <c r="DT808" s="22"/>
    </row>
    <row r="809" spans="1:124" s="21" customFormat="1" x14ac:dyDescent="0.25">
      <c r="A809" s="20"/>
      <c r="B809" s="20"/>
      <c r="DS809" s="22"/>
      <c r="DT809" s="22"/>
    </row>
    <row r="810" spans="1:124" s="21" customFormat="1" x14ac:dyDescent="0.25">
      <c r="A810" s="20"/>
      <c r="B810" s="20"/>
      <c r="DS810" s="22"/>
      <c r="DT810" s="22"/>
    </row>
    <row r="811" spans="1:124" s="21" customFormat="1" x14ac:dyDescent="0.25">
      <c r="A811" s="20"/>
      <c r="B811" s="20"/>
      <c r="DS811" s="22"/>
      <c r="DT811" s="22"/>
    </row>
    <row r="812" spans="1:124" s="21" customFormat="1" x14ac:dyDescent="0.25">
      <c r="A812" s="20"/>
      <c r="B812" s="20"/>
      <c r="DS812" s="22"/>
      <c r="DT812" s="22"/>
    </row>
    <row r="813" spans="1:124" s="21" customFormat="1" x14ac:dyDescent="0.25">
      <c r="A813" s="20"/>
      <c r="B813" s="20"/>
      <c r="DS813" s="22"/>
      <c r="DT813" s="22"/>
    </row>
    <row r="814" spans="1:124" s="21" customFormat="1" x14ac:dyDescent="0.25">
      <c r="A814" s="20"/>
      <c r="B814" s="20"/>
      <c r="DS814" s="22"/>
      <c r="DT814" s="22"/>
    </row>
    <row r="815" spans="1:124" s="21" customFormat="1" x14ac:dyDescent="0.25">
      <c r="A815" s="20"/>
      <c r="B815" s="20"/>
      <c r="DS815" s="22"/>
      <c r="DT815" s="22"/>
    </row>
    <row r="816" spans="1:124" s="21" customFormat="1" x14ac:dyDescent="0.25">
      <c r="A816" s="20"/>
      <c r="B816" s="20"/>
      <c r="DS816" s="22"/>
      <c r="DT816" s="22"/>
    </row>
    <row r="817" spans="1:124" s="21" customFormat="1" x14ac:dyDescent="0.25">
      <c r="A817" s="20"/>
      <c r="B817" s="20"/>
      <c r="DS817" s="22"/>
      <c r="DT817" s="22"/>
    </row>
    <row r="818" spans="1:124" s="21" customFormat="1" x14ac:dyDescent="0.25">
      <c r="A818" s="20"/>
      <c r="B818" s="20"/>
      <c r="DS818" s="22"/>
      <c r="DT818" s="22"/>
    </row>
    <row r="819" spans="1:124" s="21" customFormat="1" x14ac:dyDescent="0.25">
      <c r="A819" s="20"/>
      <c r="B819" s="20"/>
      <c r="DS819" s="22"/>
      <c r="DT819" s="22"/>
    </row>
    <row r="820" spans="1:124" s="21" customFormat="1" x14ac:dyDescent="0.25">
      <c r="A820" s="20"/>
      <c r="B820" s="20"/>
      <c r="DS820" s="22"/>
      <c r="DT820" s="22"/>
    </row>
    <row r="821" spans="1:124" s="21" customFormat="1" x14ac:dyDescent="0.25">
      <c r="A821" s="20"/>
      <c r="B821" s="20"/>
      <c r="DS821" s="22"/>
      <c r="DT821" s="22"/>
    </row>
    <row r="822" spans="1:124" s="21" customFormat="1" x14ac:dyDescent="0.25">
      <c r="A822" s="20"/>
      <c r="B822" s="20"/>
      <c r="DS822" s="22"/>
      <c r="DT822" s="22"/>
    </row>
    <row r="823" spans="1:124" s="21" customFormat="1" x14ac:dyDescent="0.25">
      <c r="A823" s="20"/>
      <c r="B823" s="20"/>
      <c r="DS823" s="22"/>
      <c r="DT823" s="22"/>
    </row>
    <row r="824" spans="1:124" s="21" customFormat="1" x14ac:dyDescent="0.25">
      <c r="A824" s="20"/>
      <c r="B824" s="20"/>
      <c r="DS824" s="22"/>
      <c r="DT824" s="22"/>
    </row>
    <row r="825" spans="1:124" s="21" customFormat="1" x14ac:dyDescent="0.25">
      <c r="A825" s="20"/>
      <c r="B825" s="20"/>
      <c r="DS825" s="22"/>
      <c r="DT825" s="22"/>
    </row>
    <row r="826" spans="1:124" s="21" customFormat="1" x14ac:dyDescent="0.25">
      <c r="A826" s="20"/>
      <c r="B826" s="20"/>
      <c r="DS826" s="22"/>
      <c r="DT826" s="22"/>
    </row>
    <row r="827" spans="1:124" s="21" customFormat="1" x14ac:dyDescent="0.25">
      <c r="A827" s="20"/>
      <c r="B827" s="20"/>
      <c r="DS827" s="22"/>
      <c r="DT827" s="22"/>
    </row>
    <row r="828" spans="1:124" s="21" customFormat="1" x14ac:dyDescent="0.25">
      <c r="A828" s="20"/>
      <c r="B828" s="20"/>
      <c r="DS828" s="22"/>
      <c r="DT828" s="22"/>
    </row>
    <row r="829" spans="1:124" s="21" customFormat="1" x14ac:dyDescent="0.25">
      <c r="A829" s="20"/>
      <c r="B829" s="20"/>
      <c r="DS829" s="22"/>
      <c r="DT829" s="22"/>
    </row>
    <row r="830" spans="1:124" s="21" customFormat="1" x14ac:dyDescent="0.25">
      <c r="A830" s="20"/>
      <c r="B830" s="20"/>
      <c r="DS830" s="22"/>
      <c r="DT830" s="22"/>
    </row>
    <row r="831" spans="1:124" s="21" customFormat="1" x14ac:dyDescent="0.25">
      <c r="A831" s="20"/>
      <c r="B831" s="20"/>
      <c r="DS831" s="22"/>
      <c r="DT831" s="22"/>
    </row>
    <row r="832" spans="1:124" s="21" customFormat="1" x14ac:dyDescent="0.25">
      <c r="A832" s="20"/>
      <c r="B832" s="20"/>
      <c r="DS832" s="22"/>
      <c r="DT832" s="22"/>
    </row>
    <row r="833" spans="1:124" s="21" customFormat="1" x14ac:dyDescent="0.25">
      <c r="A833" s="20"/>
      <c r="B833" s="20"/>
      <c r="DS833" s="22"/>
      <c r="DT833" s="22"/>
    </row>
    <row r="834" spans="1:124" s="21" customFormat="1" x14ac:dyDescent="0.25">
      <c r="A834" s="20"/>
      <c r="B834" s="20"/>
      <c r="DS834" s="22"/>
      <c r="DT834" s="22"/>
    </row>
    <row r="835" spans="1:124" s="21" customFormat="1" x14ac:dyDescent="0.25">
      <c r="A835" s="20"/>
      <c r="B835" s="20"/>
      <c r="DS835" s="22"/>
      <c r="DT835" s="22"/>
    </row>
    <row r="836" spans="1:124" s="21" customFormat="1" x14ac:dyDescent="0.25">
      <c r="A836" s="20"/>
      <c r="B836" s="20"/>
      <c r="DS836" s="22"/>
      <c r="DT836" s="22"/>
    </row>
    <row r="837" spans="1:124" s="21" customFormat="1" x14ac:dyDescent="0.25">
      <c r="A837" s="20"/>
      <c r="B837" s="20"/>
      <c r="DS837" s="22"/>
      <c r="DT837" s="22"/>
    </row>
    <row r="838" spans="1:124" s="21" customFormat="1" x14ac:dyDescent="0.25">
      <c r="A838" s="20"/>
      <c r="B838" s="20"/>
      <c r="DS838" s="22"/>
      <c r="DT838" s="22"/>
    </row>
    <row r="839" spans="1:124" s="21" customFormat="1" x14ac:dyDescent="0.25">
      <c r="A839" s="20"/>
      <c r="B839" s="20"/>
      <c r="DS839" s="22"/>
      <c r="DT839" s="22"/>
    </row>
    <row r="840" spans="1:124" s="21" customFormat="1" x14ac:dyDescent="0.25">
      <c r="A840" s="20"/>
      <c r="B840" s="20"/>
      <c r="DS840" s="22"/>
      <c r="DT840" s="22"/>
    </row>
    <row r="841" spans="1:124" s="21" customFormat="1" x14ac:dyDescent="0.25">
      <c r="A841" s="20"/>
      <c r="B841" s="20"/>
      <c r="DS841" s="22"/>
      <c r="DT841" s="22"/>
    </row>
    <row r="842" spans="1:124" s="21" customFormat="1" x14ac:dyDescent="0.25">
      <c r="A842" s="20"/>
      <c r="B842" s="20"/>
      <c r="DS842" s="22"/>
      <c r="DT842" s="22"/>
    </row>
    <row r="843" spans="1:124" s="21" customFormat="1" x14ac:dyDescent="0.25">
      <c r="A843" s="20"/>
      <c r="B843" s="20"/>
      <c r="DS843" s="22"/>
      <c r="DT843" s="22"/>
    </row>
    <row r="844" spans="1:124" s="21" customFormat="1" x14ac:dyDescent="0.25">
      <c r="A844" s="20"/>
      <c r="B844" s="20"/>
      <c r="DS844" s="22"/>
      <c r="DT844" s="22"/>
    </row>
    <row r="845" spans="1:124" s="21" customFormat="1" x14ac:dyDescent="0.25">
      <c r="A845" s="20"/>
      <c r="B845" s="20"/>
      <c r="DS845" s="22"/>
      <c r="DT845" s="22"/>
    </row>
    <row r="846" spans="1:124" s="21" customFormat="1" x14ac:dyDescent="0.25">
      <c r="A846" s="20"/>
      <c r="B846" s="20"/>
      <c r="DS846" s="22"/>
      <c r="DT846" s="22"/>
    </row>
    <row r="847" spans="1:124" s="21" customFormat="1" x14ac:dyDescent="0.25">
      <c r="A847" s="20"/>
      <c r="B847" s="20"/>
      <c r="DS847" s="22"/>
      <c r="DT847" s="22"/>
    </row>
    <row r="848" spans="1:124" s="21" customFormat="1" x14ac:dyDescent="0.25">
      <c r="A848" s="20"/>
      <c r="B848" s="20"/>
      <c r="DS848" s="22"/>
      <c r="DT848" s="22"/>
    </row>
    <row r="849" spans="1:124" s="21" customFormat="1" x14ac:dyDescent="0.25">
      <c r="A849" s="20"/>
      <c r="B849" s="20"/>
      <c r="DS849" s="22"/>
      <c r="DT849" s="22"/>
    </row>
    <row r="850" spans="1:124" s="21" customFormat="1" x14ac:dyDescent="0.25">
      <c r="A850" s="20"/>
      <c r="B850" s="20"/>
      <c r="DS850" s="22"/>
      <c r="DT850" s="22"/>
    </row>
    <row r="851" spans="1:124" s="21" customFormat="1" x14ac:dyDescent="0.25">
      <c r="A851" s="20"/>
      <c r="B851" s="20"/>
      <c r="DS851" s="22"/>
      <c r="DT851" s="22"/>
    </row>
    <row r="852" spans="1:124" s="21" customFormat="1" x14ac:dyDescent="0.25">
      <c r="A852" s="20"/>
      <c r="B852" s="20"/>
      <c r="DS852" s="22"/>
      <c r="DT852" s="22"/>
    </row>
    <row r="853" spans="1:124" s="21" customFormat="1" x14ac:dyDescent="0.25">
      <c r="A853" s="20"/>
      <c r="B853" s="20"/>
      <c r="DS853" s="22"/>
      <c r="DT853" s="22"/>
    </row>
    <row r="854" spans="1:124" s="21" customFormat="1" x14ac:dyDescent="0.25">
      <c r="A854" s="20"/>
      <c r="B854" s="20"/>
      <c r="DS854" s="22"/>
      <c r="DT854" s="22"/>
    </row>
    <row r="855" spans="1:124" s="21" customFormat="1" x14ac:dyDescent="0.25">
      <c r="A855" s="20"/>
      <c r="B855" s="20"/>
      <c r="DS855" s="22"/>
      <c r="DT855" s="22"/>
    </row>
    <row r="856" spans="1:124" s="21" customFormat="1" x14ac:dyDescent="0.25">
      <c r="A856" s="20"/>
      <c r="B856" s="20"/>
      <c r="DS856" s="22"/>
      <c r="DT856" s="22"/>
    </row>
    <row r="857" spans="1:124" s="21" customFormat="1" x14ac:dyDescent="0.25">
      <c r="A857" s="20"/>
      <c r="B857" s="20"/>
      <c r="DS857" s="22"/>
      <c r="DT857" s="22"/>
    </row>
    <row r="858" spans="1:124" s="21" customFormat="1" x14ac:dyDescent="0.25">
      <c r="A858" s="20"/>
      <c r="B858" s="20"/>
      <c r="DS858" s="22"/>
      <c r="DT858" s="22"/>
    </row>
    <row r="859" spans="1:124" s="21" customFormat="1" x14ac:dyDescent="0.25">
      <c r="A859" s="20"/>
      <c r="B859" s="20"/>
      <c r="DS859" s="22"/>
      <c r="DT859" s="22"/>
    </row>
    <row r="860" spans="1:124" s="21" customFormat="1" x14ac:dyDescent="0.25">
      <c r="A860" s="20"/>
      <c r="B860" s="20"/>
      <c r="DS860" s="22"/>
      <c r="DT860" s="22"/>
    </row>
    <row r="861" spans="1:124" s="21" customFormat="1" x14ac:dyDescent="0.25">
      <c r="A861" s="20"/>
      <c r="B861" s="20"/>
      <c r="DS861" s="22"/>
      <c r="DT861" s="22"/>
    </row>
    <row r="862" spans="1:124" s="21" customFormat="1" x14ac:dyDescent="0.25">
      <c r="A862" s="20"/>
      <c r="B862" s="20"/>
      <c r="DS862" s="22"/>
      <c r="DT862" s="22"/>
    </row>
    <row r="863" spans="1:124" s="21" customFormat="1" x14ac:dyDescent="0.25">
      <c r="A863" s="20"/>
      <c r="B863" s="20"/>
      <c r="DS863" s="22"/>
      <c r="DT863" s="22"/>
    </row>
    <row r="864" spans="1:124" s="21" customFormat="1" x14ac:dyDescent="0.25">
      <c r="A864" s="20"/>
      <c r="B864" s="20"/>
      <c r="DS864" s="22"/>
      <c r="DT864" s="22"/>
    </row>
    <row r="865" spans="1:124" s="21" customFormat="1" x14ac:dyDescent="0.25">
      <c r="A865" s="20"/>
      <c r="B865" s="20"/>
      <c r="DS865" s="22"/>
      <c r="DT865" s="22"/>
    </row>
    <row r="866" spans="1:124" s="21" customFormat="1" x14ac:dyDescent="0.25">
      <c r="A866" s="20"/>
      <c r="B866" s="20"/>
      <c r="DS866" s="22"/>
      <c r="DT866" s="22"/>
    </row>
    <row r="867" spans="1:124" s="21" customFormat="1" x14ac:dyDescent="0.25">
      <c r="A867" s="20"/>
      <c r="B867" s="20"/>
      <c r="DS867" s="22"/>
      <c r="DT867" s="22"/>
    </row>
    <row r="868" spans="1:124" s="21" customFormat="1" x14ac:dyDescent="0.25">
      <c r="A868" s="20"/>
      <c r="B868" s="20"/>
      <c r="DS868" s="22"/>
      <c r="DT868" s="22"/>
    </row>
    <row r="869" spans="1:124" s="21" customFormat="1" x14ac:dyDescent="0.25">
      <c r="A869" s="20"/>
      <c r="B869" s="20"/>
      <c r="DS869" s="22"/>
      <c r="DT869" s="22"/>
    </row>
    <row r="870" spans="1:124" s="21" customFormat="1" x14ac:dyDescent="0.25">
      <c r="A870" s="20"/>
      <c r="B870" s="20"/>
      <c r="DS870" s="22"/>
      <c r="DT870" s="22"/>
    </row>
    <row r="871" spans="1:124" s="21" customFormat="1" x14ac:dyDescent="0.25">
      <c r="A871" s="20"/>
      <c r="B871" s="20"/>
      <c r="DS871" s="22"/>
      <c r="DT871" s="22"/>
    </row>
    <row r="872" spans="1:124" s="21" customFormat="1" x14ac:dyDescent="0.25">
      <c r="A872" s="20"/>
      <c r="B872" s="20"/>
      <c r="DS872" s="22"/>
      <c r="DT872" s="22"/>
    </row>
    <row r="873" spans="1:124" s="21" customFormat="1" x14ac:dyDescent="0.25">
      <c r="A873" s="20"/>
      <c r="B873" s="20"/>
      <c r="DS873" s="22"/>
      <c r="DT873" s="22"/>
    </row>
    <row r="874" spans="1:124" s="21" customFormat="1" x14ac:dyDescent="0.25">
      <c r="A874" s="20"/>
      <c r="B874" s="20"/>
      <c r="DS874" s="22"/>
      <c r="DT874" s="22"/>
    </row>
    <row r="875" spans="1:124" s="21" customFormat="1" x14ac:dyDescent="0.25">
      <c r="A875" s="20"/>
      <c r="B875" s="20"/>
      <c r="DS875" s="22"/>
      <c r="DT875" s="22"/>
    </row>
    <row r="876" spans="1:124" s="21" customFormat="1" x14ac:dyDescent="0.25">
      <c r="A876" s="20"/>
      <c r="B876" s="20"/>
      <c r="DS876" s="22"/>
      <c r="DT876" s="22"/>
    </row>
    <row r="877" spans="1:124" s="21" customFormat="1" x14ac:dyDescent="0.25">
      <c r="A877" s="20"/>
      <c r="B877" s="20"/>
      <c r="DS877" s="22"/>
      <c r="DT877" s="22"/>
    </row>
    <row r="878" spans="1:124" s="21" customFormat="1" x14ac:dyDescent="0.25">
      <c r="A878" s="20"/>
      <c r="B878" s="20"/>
      <c r="DS878" s="22"/>
      <c r="DT878" s="22"/>
    </row>
    <row r="879" spans="1:124" s="21" customFormat="1" x14ac:dyDescent="0.25">
      <c r="A879" s="20"/>
      <c r="B879" s="20"/>
      <c r="DS879" s="22"/>
      <c r="DT879" s="22"/>
    </row>
    <row r="880" spans="1:124" s="21" customFormat="1" x14ac:dyDescent="0.25">
      <c r="A880" s="20"/>
      <c r="B880" s="20"/>
      <c r="DS880" s="22"/>
      <c r="DT880" s="22"/>
    </row>
    <row r="881" spans="1:124" s="21" customFormat="1" x14ac:dyDescent="0.25">
      <c r="A881" s="20"/>
      <c r="B881" s="20"/>
      <c r="DS881" s="22"/>
      <c r="DT881" s="22"/>
    </row>
    <row r="882" spans="1:124" s="21" customFormat="1" x14ac:dyDescent="0.25">
      <c r="A882" s="20"/>
      <c r="B882" s="20"/>
      <c r="DS882" s="22"/>
      <c r="DT882" s="22"/>
    </row>
    <row r="883" spans="1:124" s="21" customFormat="1" x14ac:dyDescent="0.25">
      <c r="A883" s="20"/>
      <c r="B883" s="20"/>
      <c r="DS883" s="22"/>
      <c r="DT883" s="22"/>
    </row>
    <row r="884" spans="1:124" s="21" customFormat="1" x14ac:dyDescent="0.25">
      <c r="A884" s="20"/>
      <c r="B884" s="20"/>
      <c r="DS884" s="22"/>
      <c r="DT884" s="22"/>
    </row>
    <row r="885" spans="1:124" s="21" customFormat="1" x14ac:dyDescent="0.25">
      <c r="A885" s="20"/>
      <c r="B885" s="20"/>
      <c r="DS885" s="22"/>
      <c r="DT885" s="22"/>
    </row>
    <row r="886" spans="1:124" s="21" customFormat="1" x14ac:dyDescent="0.25">
      <c r="A886" s="20"/>
      <c r="B886" s="20"/>
      <c r="DS886" s="22"/>
      <c r="DT886" s="22"/>
    </row>
    <row r="887" spans="1:124" s="21" customFormat="1" x14ac:dyDescent="0.25">
      <c r="A887" s="20"/>
      <c r="B887" s="20"/>
      <c r="DS887" s="22"/>
      <c r="DT887" s="22"/>
    </row>
    <row r="888" spans="1:124" s="21" customFormat="1" x14ac:dyDescent="0.25">
      <c r="A888" s="20"/>
      <c r="B888" s="20"/>
      <c r="DS888" s="22"/>
      <c r="DT888" s="22"/>
    </row>
    <row r="889" spans="1:124" s="21" customFormat="1" x14ac:dyDescent="0.25">
      <c r="A889" s="20"/>
      <c r="B889" s="20"/>
      <c r="DS889" s="22"/>
      <c r="DT889" s="22"/>
    </row>
    <row r="890" spans="1:124" s="21" customFormat="1" x14ac:dyDescent="0.25">
      <c r="A890" s="20"/>
      <c r="B890" s="20"/>
      <c r="DS890" s="22"/>
      <c r="DT890" s="22"/>
    </row>
    <row r="891" spans="1:124" s="21" customFormat="1" x14ac:dyDescent="0.25">
      <c r="A891" s="20"/>
      <c r="B891" s="20"/>
      <c r="DS891" s="22"/>
      <c r="DT891" s="22"/>
    </row>
    <row r="892" spans="1:124" s="21" customFormat="1" x14ac:dyDescent="0.25">
      <c r="A892" s="20"/>
      <c r="B892" s="20"/>
      <c r="DS892" s="22"/>
      <c r="DT892" s="22"/>
    </row>
    <row r="893" spans="1:124" s="21" customFormat="1" x14ac:dyDescent="0.25">
      <c r="A893" s="20"/>
      <c r="B893" s="20"/>
      <c r="DS893" s="22"/>
      <c r="DT893" s="22"/>
    </row>
    <row r="894" spans="1:124" s="21" customFormat="1" x14ac:dyDescent="0.25">
      <c r="A894" s="20"/>
      <c r="B894" s="20"/>
      <c r="DS894" s="22"/>
      <c r="DT894" s="22"/>
    </row>
    <row r="895" spans="1:124" s="21" customFormat="1" x14ac:dyDescent="0.25">
      <c r="A895" s="20"/>
      <c r="B895" s="20"/>
      <c r="DS895" s="22"/>
      <c r="DT895" s="22"/>
    </row>
    <row r="896" spans="1:124" s="21" customFormat="1" x14ac:dyDescent="0.25">
      <c r="A896" s="20"/>
      <c r="B896" s="20"/>
      <c r="DS896" s="22"/>
      <c r="DT896" s="22"/>
    </row>
    <row r="897" spans="1:124" s="21" customFormat="1" x14ac:dyDescent="0.25">
      <c r="A897" s="20"/>
      <c r="B897" s="20"/>
      <c r="DS897" s="22"/>
      <c r="DT897" s="22"/>
    </row>
    <row r="898" spans="1:124" s="21" customFormat="1" x14ac:dyDescent="0.25">
      <c r="A898" s="20"/>
      <c r="B898" s="20"/>
      <c r="DS898" s="22"/>
      <c r="DT898" s="22"/>
    </row>
    <row r="899" spans="1:124" s="21" customFormat="1" x14ac:dyDescent="0.25">
      <c r="A899" s="20"/>
      <c r="B899" s="20"/>
      <c r="DS899" s="22"/>
      <c r="DT899" s="22"/>
    </row>
    <row r="900" spans="1:124" s="21" customFormat="1" x14ac:dyDescent="0.25">
      <c r="A900" s="20"/>
      <c r="B900" s="20"/>
      <c r="DS900" s="22"/>
      <c r="DT900" s="22"/>
    </row>
    <row r="901" spans="1:124" s="21" customFormat="1" x14ac:dyDescent="0.25">
      <c r="A901" s="20"/>
      <c r="B901" s="20"/>
      <c r="DS901" s="22"/>
      <c r="DT901" s="22"/>
    </row>
    <row r="902" spans="1:124" s="21" customFormat="1" x14ac:dyDescent="0.25">
      <c r="A902" s="20"/>
      <c r="B902" s="20"/>
      <c r="DS902" s="22"/>
      <c r="DT902" s="22"/>
    </row>
    <row r="903" spans="1:124" s="21" customFormat="1" x14ac:dyDescent="0.25">
      <c r="A903" s="20"/>
      <c r="B903" s="20"/>
      <c r="DS903" s="22"/>
      <c r="DT903" s="22"/>
    </row>
    <row r="904" spans="1:124" s="21" customFormat="1" x14ac:dyDescent="0.25">
      <c r="A904" s="20"/>
      <c r="B904" s="20"/>
      <c r="DS904" s="22"/>
      <c r="DT904" s="22"/>
    </row>
    <row r="905" spans="1:124" s="21" customFormat="1" x14ac:dyDescent="0.25">
      <c r="A905" s="20"/>
      <c r="B905" s="20"/>
      <c r="DS905" s="22"/>
      <c r="DT905" s="22"/>
    </row>
    <row r="906" spans="1:124" s="21" customFormat="1" x14ac:dyDescent="0.25">
      <c r="A906" s="20"/>
      <c r="B906" s="20"/>
      <c r="DS906" s="22"/>
      <c r="DT906" s="22"/>
    </row>
    <row r="907" spans="1:124" s="21" customFormat="1" x14ac:dyDescent="0.25">
      <c r="A907" s="20"/>
      <c r="B907" s="20"/>
      <c r="DS907" s="22"/>
      <c r="DT907" s="22"/>
    </row>
    <row r="908" spans="1:124" s="21" customFormat="1" x14ac:dyDescent="0.25">
      <c r="A908" s="20"/>
      <c r="B908" s="20"/>
      <c r="DS908" s="22"/>
      <c r="DT908" s="22"/>
    </row>
    <row r="909" spans="1:124" s="21" customFormat="1" x14ac:dyDescent="0.25">
      <c r="A909" s="20"/>
      <c r="B909" s="20"/>
      <c r="DS909" s="22"/>
      <c r="DT909" s="22"/>
    </row>
    <row r="910" spans="1:124" s="21" customFormat="1" x14ac:dyDescent="0.25">
      <c r="A910" s="20"/>
      <c r="B910" s="20"/>
      <c r="DS910" s="22"/>
      <c r="DT910" s="22"/>
    </row>
    <row r="911" spans="1:124" s="21" customFormat="1" x14ac:dyDescent="0.25">
      <c r="A911" s="20"/>
      <c r="B911" s="20"/>
      <c r="DS911" s="22"/>
      <c r="DT911" s="22"/>
    </row>
    <row r="912" spans="1:124" s="21" customFormat="1" x14ac:dyDescent="0.25">
      <c r="A912" s="20"/>
      <c r="B912" s="20"/>
      <c r="DS912" s="22"/>
      <c r="DT912" s="22"/>
    </row>
    <row r="913" spans="1:124" s="21" customFormat="1" x14ac:dyDescent="0.25">
      <c r="A913" s="20"/>
      <c r="B913" s="20"/>
      <c r="DS913" s="22"/>
      <c r="DT913" s="22"/>
    </row>
    <row r="914" spans="1:124" s="21" customFormat="1" x14ac:dyDescent="0.25">
      <c r="A914" s="20"/>
      <c r="B914" s="20"/>
      <c r="DS914" s="22"/>
      <c r="DT914" s="22"/>
    </row>
    <row r="915" spans="1:124" s="21" customFormat="1" x14ac:dyDescent="0.25">
      <c r="A915" s="20"/>
      <c r="B915" s="20"/>
      <c r="DS915" s="22"/>
      <c r="DT915" s="22"/>
    </row>
    <row r="916" spans="1:124" s="21" customFormat="1" x14ac:dyDescent="0.25">
      <c r="A916" s="20"/>
      <c r="B916" s="20"/>
      <c r="DS916" s="22"/>
      <c r="DT916" s="22"/>
    </row>
    <row r="917" spans="1:124" s="21" customFormat="1" x14ac:dyDescent="0.25">
      <c r="A917" s="20"/>
      <c r="B917" s="20"/>
      <c r="DS917" s="22"/>
      <c r="DT917" s="22"/>
    </row>
    <row r="918" spans="1:124" s="21" customFormat="1" x14ac:dyDescent="0.25">
      <c r="A918" s="20"/>
      <c r="B918" s="20"/>
      <c r="DS918" s="22"/>
      <c r="DT918" s="22"/>
    </row>
    <row r="919" spans="1:124" s="21" customFormat="1" x14ac:dyDescent="0.25">
      <c r="A919" s="20"/>
      <c r="B919" s="20"/>
      <c r="DS919" s="22"/>
      <c r="DT919" s="22"/>
    </row>
    <row r="920" spans="1:124" s="21" customFormat="1" x14ac:dyDescent="0.25">
      <c r="A920" s="20"/>
      <c r="B920" s="20"/>
      <c r="DS920" s="22"/>
      <c r="DT920" s="22"/>
    </row>
    <row r="921" spans="1:124" s="21" customFormat="1" x14ac:dyDescent="0.25">
      <c r="A921" s="20"/>
      <c r="B921" s="20"/>
      <c r="DS921" s="22"/>
      <c r="DT921" s="22"/>
    </row>
    <row r="922" spans="1:124" s="21" customFormat="1" x14ac:dyDescent="0.25">
      <c r="A922" s="20"/>
      <c r="B922" s="20"/>
      <c r="DS922" s="22"/>
      <c r="DT922" s="22"/>
    </row>
    <row r="923" spans="1:124" s="21" customFormat="1" x14ac:dyDescent="0.25">
      <c r="A923" s="20"/>
      <c r="B923" s="20"/>
      <c r="DS923" s="22"/>
      <c r="DT923" s="22"/>
    </row>
    <row r="924" spans="1:124" s="21" customFormat="1" x14ac:dyDescent="0.25">
      <c r="A924" s="20"/>
      <c r="B924" s="20"/>
      <c r="DS924" s="22"/>
      <c r="DT924" s="22"/>
    </row>
    <row r="925" spans="1:124" s="21" customFormat="1" x14ac:dyDescent="0.25">
      <c r="A925" s="20"/>
      <c r="B925" s="20"/>
      <c r="DS925" s="22"/>
      <c r="DT925" s="22"/>
    </row>
    <row r="926" spans="1:124" s="21" customFormat="1" x14ac:dyDescent="0.25">
      <c r="A926" s="20"/>
      <c r="B926" s="20"/>
      <c r="DS926" s="22"/>
      <c r="DT926" s="22"/>
    </row>
    <row r="927" spans="1:124" s="21" customFormat="1" x14ac:dyDescent="0.25">
      <c r="A927" s="20"/>
      <c r="B927" s="20"/>
      <c r="DS927" s="22"/>
      <c r="DT927" s="22"/>
    </row>
    <row r="928" spans="1:124" s="21" customFormat="1" x14ac:dyDescent="0.25">
      <c r="A928" s="20"/>
      <c r="B928" s="20"/>
      <c r="DS928" s="22"/>
      <c r="DT928" s="22"/>
    </row>
    <row r="929" spans="1:124" s="21" customFormat="1" x14ac:dyDescent="0.25">
      <c r="A929" s="20"/>
      <c r="B929" s="20"/>
      <c r="DS929" s="22"/>
      <c r="DT929" s="22"/>
    </row>
    <row r="930" spans="1:124" s="21" customFormat="1" x14ac:dyDescent="0.25">
      <c r="A930" s="20"/>
      <c r="B930" s="20"/>
      <c r="DS930" s="22"/>
      <c r="DT930" s="22"/>
    </row>
    <row r="931" spans="1:124" s="21" customFormat="1" x14ac:dyDescent="0.25">
      <c r="A931" s="20"/>
      <c r="B931" s="20"/>
      <c r="DS931" s="22"/>
      <c r="DT931" s="22"/>
    </row>
    <row r="932" spans="1:124" s="21" customFormat="1" x14ac:dyDescent="0.25">
      <c r="A932" s="20"/>
      <c r="B932" s="20"/>
      <c r="DS932" s="22"/>
      <c r="DT932" s="22"/>
    </row>
    <row r="933" spans="1:124" s="21" customFormat="1" x14ac:dyDescent="0.25">
      <c r="A933" s="20"/>
      <c r="B933" s="20"/>
      <c r="DS933" s="22"/>
      <c r="DT933" s="22"/>
    </row>
    <row r="934" spans="1:124" s="21" customFormat="1" x14ac:dyDescent="0.25">
      <c r="A934" s="20"/>
      <c r="B934" s="20"/>
      <c r="DS934" s="22"/>
      <c r="DT934" s="22"/>
    </row>
    <row r="935" spans="1:124" s="21" customFormat="1" x14ac:dyDescent="0.25">
      <c r="A935" s="20"/>
      <c r="B935" s="20"/>
      <c r="DS935" s="22"/>
      <c r="DT935" s="22"/>
    </row>
    <row r="936" spans="1:124" s="21" customFormat="1" x14ac:dyDescent="0.25">
      <c r="A936" s="20"/>
      <c r="B936" s="20"/>
      <c r="DS936" s="22"/>
      <c r="DT936" s="22"/>
    </row>
    <row r="937" spans="1:124" s="21" customFormat="1" x14ac:dyDescent="0.25">
      <c r="A937" s="20"/>
      <c r="B937" s="20"/>
      <c r="DS937" s="22"/>
      <c r="DT937" s="22"/>
    </row>
    <row r="938" spans="1:124" s="21" customFormat="1" x14ac:dyDescent="0.25">
      <c r="A938" s="20"/>
      <c r="B938" s="20"/>
      <c r="DS938" s="22"/>
      <c r="DT938" s="22"/>
    </row>
    <row r="939" spans="1:124" s="21" customFormat="1" x14ac:dyDescent="0.25">
      <c r="A939" s="20"/>
      <c r="B939" s="20"/>
      <c r="DS939" s="22"/>
      <c r="DT939" s="22"/>
    </row>
    <row r="940" spans="1:124" s="21" customFormat="1" x14ac:dyDescent="0.25">
      <c r="A940" s="20"/>
      <c r="B940" s="20"/>
      <c r="DS940" s="22"/>
      <c r="DT940" s="22"/>
    </row>
    <row r="941" spans="1:124" s="21" customFormat="1" x14ac:dyDescent="0.25">
      <c r="A941" s="20"/>
      <c r="B941" s="20"/>
      <c r="DS941" s="22"/>
      <c r="DT941" s="22"/>
    </row>
    <row r="942" spans="1:124" s="21" customFormat="1" x14ac:dyDescent="0.25">
      <c r="A942" s="20"/>
      <c r="B942" s="20"/>
      <c r="DS942" s="22"/>
      <c r="DT942" s="22"/>
    </row>
    <row r="943" spans="1:124" s="21" customFormat="1" x14ac:dyDescent="0.25">
      <c r="A943" s="20"/>
      <c r="B943" s="20"/>
      <c r="DS943" s="22"/>
      <c r="DT943" s="22"/>
    </row>
    <row r="944" spans="1:124" s="21" customFormat="1" x14ac:dyDescent="0.25">
      <c r="A944" s="20"/>
      <c r="B944" s="20"/>
      <c r="DS944" s="22"/>
      <c r="DT944" s="22"/>
    </row>
    <row r="945" spans="1:124" s="21" customFormat="1" x14ac:dyDescent="0.25">
      <c r="A945" s="20"/>
      <c r="B945" s="20"/>
      <c r="DS945" s="22"/>
      <c r="DT945" s="22"/>
    </row>
    <row r="946" spans="1:124" s="21" customFormat="1" x14ac:dyDescent="0.25">
      <c r="A946" s="20"/>
      <c r="B946" s="20"/>
      <c r="DS946" s="22"/>
      <c r="DT946" s="22"/>
    </row>
    <row r="947" spans="1:124" s="21" customFormat="1" x14ac:dyDescent="0.25">
      <c r="A947" s="20"/>
      <c r="B947" s="20"/>
      <c r="DS947" s="22"/>
      <c r="DT947" s="22"/>
    </row>
    <row r="948" spans="1:124" s="21" customFormat="1" x14ac:dyDescent="0.25">
      <c r="A948" s="20"/>
      <c r="B948" s="20"/>
      <c r="DS948" s="22"/>
      <c r="DT948" s="22"/>
    </row>
    <row r="949" spans="1:124" s="21" customFormat="1" x14ac:dyDescent="0.25">
      <c r="A949" s="20"/>
      <c r="B949" s="20"/>
      <c r="DS949" s="22"/>
      <c r="DT949" s="22"/>
    </row>
    <row r="950" spans="1:124" s="21" customFormat="1" x14ac:dyDescent="0.25">
      <c r="A950" s="20"/>
      <c r="B950" s="20"/>
      <c r="DS950" s="22"/>
      <c r="DT950" s="22"/>
    </row>
    <row r="951" spans="1:124" s="21" customFormat="1" x14ac:dyDescent="0.25">
      <c r="A951" s="20"/>
      <c r="B951" s="20"/>
      <c r="DS951" s="22"/>
      <c r="DT951" s="22"/>
    </row>
    <row r="952" spans="1:124" s="21" customFormat="1" x14ac:dyDescent="0.25">
      <c r="A952" s="20"/>
      <c r="B952" s="20"/>
      <c r="DS952" s="22"/>
      <c r="DT952" s="22"/>
    </row>
    <row r="953" spans="1:124" s="21" customFormat="1" x14ac:dyDescent="0.25">
      <c r="A953" s="20"/>
      <c r="B953" s="20"/>
      <c r="DS953" s="22"/>
      <c r="DT953" s="22"/>
    </row>
    <row r="954" spans="1:124" s="21" customFormat="1" x14ac:dyDescent="0.25">
      <c r="A954" s="20"/>
      <c r="B954" s="20"/>
      <c r="DS954" s="22"/>
      <c r="DT954" s="22"/>
    </row>
    <row r="955" spans="1:124" s="21" customFormat="1" x14ac:dyDescent="0.25">
      <c r="A955" s="20"/>
      <c r="B955" s="20"/>
      <c r="DS955" s="22"/>
      <c r="DT955" s="22"/>
    </row>
    <row r="956" spans="1:124" s="21" customFormat="1" x14ac:dyDescent="0.25">
      <c r="A956" s="20"/>
      <c r="B956" s="20"/>
      <c r="DS956" s="22"/>
      <c r="DT956" s="22"/>
    </row>
    <row r="957" spans="1:124" s="21" customFormat="1" x14ac:dyDescent="0.25">
      <c r="A957" s="20"/>
      <c r="B957" s="20"/>
      <c r="DS957" s="22"/>
      <c r="DT957" s="22"/>
    </row>
    <row r="958" spans="1:124" s="21" customFormat="1" x14ac:dyDescent="0.25">
      <c r="A958" s="20"/>
      <c r="B958" s="20"/>
      <c r="DS958" s="22"/>
      <c r="DT958" s="22"/>
    </row>
    <row r="959" spans="1:124" s="21" customFormat="1" x14ac:dyDescent="0.25">
      <c r="A959" s="20"/>
      <c r="B959" s="20"/>
      <c r="DS959" s="22"/>
      <c r="DT959" s="22"/>
    </row>
    <row r="960" spans="1:124" s="21" customFormat="1" x14ac:dyDescent="0.25">
      <c r="A960" s="20"/>
      <c r="B960" s="20"/>
      <c r="DS960" s="22"/>
      <c r="DT960" s="22"/>
    </row>
    <row r="961" spans="1:124" s="21" customFormat="1" x14ac:dyDescent="0.25">
      <c r="A961" s="20"/>
      <c r="B961" s="20"/>
      <c r="DS961" s="22"/>
      <c r="DT961" s="22"/>
    </row>
    <row r="962" spans="1:124" s="21" customFormat="1" x14ac:dyDescent="0.25">
      <c r="A962" s="20"/>
      <c r="B962" s="20"/>
      <c r="DS962" s="22"/>
      <c r="DT962" s="22"/>
    </row>
    <row r="963" spans="1:124" s="21" customFormat="1" x14ac:dyDescent="0.25">
      <c r="A963" s="20"/>
      <c r="B963" s="20"/>
      <c r="DS963" s="22"/>
      <c r="DT963" s="22"/>
    </row>
    <row r="964" spans="1:124" s="21" customFormat="1" x14ac:dyDescent="0.25">
      <c r="A964" s="20"/>
      <c r="B964" s="20"/>
      <c r="DS964" s="22"/>
      <c r="DT964" s="22"/>
    </row>
    <row r="965" spans="1:124" s="21" customFormat="1" x14ac:dyDescent="0.25">
      <c r="A965" s="20"/>
      <c r="B965" s="20"/>
      <c r="DS965" s="22"/>
      <c r="DT965" s="22"/>
    </row>
    <row r="966" spans="1:124" s="21" customFormat="1" x14ac:dyDescent="0.25">
      <c r="A966" s="20"/>
      <c r="B966" s="20"/>
      <c r="DS966" s="22"/>
      <c r="DT966" s="22"/>
    </row>
    <row r="967" spans="1:124" s="21" customFormat="1" x14ac:dyDescent="0.25">
      <c r="A967" s="20"/>
      <c r="B967" s="20"/>
      <c r="DS967" s="22"/>
      <c r="DT967" s="22"/>
    </row>
    <row r="968" spans="1:124" s="21" customFormat="1" x14ac:dyDescent="0.25">
      <c r="A968" s="20"/>
      <c r="B968" s="20"/>
      <c r="DS968" s="22"/>
      <c r="DT968" s="22"/>
    </row>
    <row r="969" spans="1:124" s="21" customFormat="1" x14ac:dyDescent="0.25">
      <c r="A969" s="20"/>
      <c r="B969" s="20"/>
      <c r="DS969" s="22"/>
      <c r="DT969" s="22"/>
    </row>
    <row r="970" spans="1:124" s="21" customFormat="1" x14ac:dyDescent="0.25">
      <c r="A970" s="20"/>
      <c r="B970" s="20"/>
      <c r="DS970" s="22"/>
      <c r="DT970" s="22"/>
    </row>
    <row r="971" spans="1:124" s="21" customFormat="1" x14ac:dyDescent="0.25">
      <c r="A971" s="20"/>
      <c r="B971" s="20"/>
      <c r="DS971" s="22"/>
      <c r="DT971" s="22"/>
    </row>
    <row r="972" spans="1:124" s="21" customFormat="1" x14ac:dyDescent="0.25">
      <c r="A972" s="20"/>
      <c r="B972" s="20"/>
      <c r="DS972" s="22"/>
      <c r="DT972" s="22"/>
    </row>
    <row r="973" spans="1:124" s="21" customFormat="1" x14ac:dyDescent="0.25">
      <c r="A973" s="20"/>
      <c r="B973" s="20"/>
      <c r="DS973" s="22"/>
      <c r="DT973" s="22"/>
    </row>
    <row r="974" spans="1:124" s="21" customFormat="1" x14ac:dyDescent="0.25">
      <c r="A974" s="20"/>
      <c r="B974" s="20"/>
      <c r="DS974" s="22"/>
      <c r="DT974" s="22"/>
    </row>
    <row r="975" spans="1:124" s="21" customFormat="1" x14ac:dyDescent="0.25">
      <c r="A975" s="20"/>
      <c r="B975" s="20"/>
      <c r="DS975" s="22"/>
      <c r="DT975" s="22"/>
    </row>
    <row r="976" spans="1:124" s="21" customFormat="1" x14ac:dyDescent="0.25">
      <c r="A976" s="20"/>
      <c r="B976" s="20"/>
      <c r="DS976" s="22"/>
      <c r="DT976" s="22"/>
    </row>
    <row r="977" spans="1:124" s="21" customFormat="1" x14ac:dyDescent="0.25">
      <c r="A977" s="20"/>
      <c r="B977" s="20"/>
      <c r="DS977" s="22"/>
      <c r="DT977" s="22"/>
    </row>
    <row r="978" spans="1:124" s="21" customFormat="1" x14ac:dyDescent="0.25">
      <c r="A978" s="20"/>
      <c r="B978" s="20"/>
      <c r="DS978" s="22"/>
      <c r="DT978" s="22"/>
    </row>
    <row r="979" spans="1:124" s="21" customFormat="1" x14ac:dyDescent="0.25">
      <c r="A979" s="20"/>
      <c r="B979" s="20"/>
      <c r="DS979" s="22"/>
      <c r="DT979" s="22"/>
    </row>
    <row r="980" spans="1:124" s="21" customFormat="1" x14ac:dyDescent="0.25">
      <c r="A980" s="20"/>
      <c r="B980" s="20"/>
      <c r="DS980" s="22"/>
      <c r="DT980" s="22"/>
    </row>
    <row r="981" spans="1:124" s="21" customFormat="1" x14ac:dyDescent="0.25">
      <c r="A981" s="20"/>
      <c r="B981" s="20"/>
      <c r="DS981" s="22"/>
      <c r="DT981" s="22"/>
    </row>
    <row r="982" spans="1:124" s="21" customFormat="1" x14ac:dyDescent="0.25">
      <c r="A982" s="20"/>
      <c r="B982" s="20"/>
      <c r="DS982" s="22"/>
      <c r="DT982" s="22"/>
    </row>
    <row r="983" spans="1:124" s="21" customFormat="1" x14ac:dyDescent="0.25">
      <c r="A983" s="20"/>
      <c r="B983" s="20"/>
      <c r="DS983" s="22"/>
      <c r="DT983" s="22"/>
    </row>
    <row r="984" spans="1:124" s="21" customFormat="1" x14ac:dyDescent="0.25">
      <c r="A984" s="20"/>
      <c r="B984" s="20"/>
      <c r="DS984" s="22"/>
      <c r="DT984" s="22"/>
    </row>
    <row r="985" spans="1:124" s="21" customFormat="1" x14ac:dyDescent="0.25">
      <c r="A985" s="20"/>
      <c r="B985" s="20"/>
      <c r="DS985" s="22"/>
      <c r="DT985" s="22"/>
    </row>
    <row r="986" spans="1:124" s="21" customFormat="1" x14ac:dyDescent="0.25">
      <c r="A986" s="20"/>
      <c r="B986" s="20"/>
      <c r="DS986" s="22"/>
      <c r="DT986" s="22"/>
    </row>
    <row r="987" spans="1:124" s="21" customFormat="1" x14ac:dyDescent="0.25">
      <c r="A987" s="20"/>
      <c r="B987" s="20"/>
      <c r="DS987" s="22"/>
      <c r="DT987" s="22"/>
    </row>
    <row r="988" spans="1:124" s="21" customFormat="1" x14ac:dyDescent="0.25">
      <c r="A988" s="20"/>
      <c r="B988" s="20"/>
      <c r="DS988" s="22"/>
      <c r="DT988" s="22"/>
    </row>
    <row r="989" spans="1:124" s="21" customFormat="1" x14ac:dyDescent="0.25">
      <c r="A989" s="20"/>
      <c r="B989" s="20"/>
      <c r="DS989" s="22"/>
      <c r="DT989" s="22"/>
    </row>
    <row r="990" spans="1:124" s="21" customFormat="1" x14ac:dyDescent="0.25">
      <c r="A990" s="20"/>
      <c r="B990" s="20"/>
      <c r="DS990" s="22"/>
      <c r="DT990" s="22"/>
    </row>
    <row r="991" spans="1:124" s="21" customFormat="1" x14ac:dyDescent="0.25">
      <c r="A991" s="20"/>
      <c r="B991" s="20"/>
      <c r="DS991" s="22"/>
      <c r="DT991" s="22"/>
    </row>
    <row r="992" spans="1:124" s="21" customFormat="1" x14ac:dyDescent="0.25">
      <c r="A992" s="20"/>
      <c r="B992" s="20"/>
      <c r="DS992" s="22"/>
      <c r="DT992" s="22"/>
    </row>
    <row r="993" spans="1:124" s="21" customFormat="1" x14ac:dyDescent="0.25">
      <c r="A993" s="20"/>
      <c r="B993" s="20"/>
      <c r="DS993" s="22"/>
      <c r="DT993" s="22"/>
    </row>
    <row r="994" spans="1:124" s="21" customFormat="1" x14ac:dyDescent="0.25">
      <c r="A994" s="20"/>
      <c r="B994" s="20"/>
      <c r="DS994" s="22"/>
      <c r="DT994" s="22"/>
    </row>
    <row r="995" spans="1:124" s="21" customFormat="1" x14ac:dyDescent="0.25">
      <c r="A995" s="20"/>
      <c r="B995" s="20"/>
      <c r="DS995" s="22"/>
      <c r="DT995" s="22"/>
    </row>
    <row r="996" spans="1:124" s="21" customFormat="1" x14ac:dyDescent="0.25">
      <c r="A996" s="20"/>
      <c r="B996" s="20"/>
      <c r="DS996" s="22"/>
      <c r="DT996" s="22"/>
    </row>
    <row r="997" spans="1:124" s="21" customFormat="1" x14ac:dyDescent="0.25">
      <c r="A997" s="20"/>
      <c r="B997" s="20"/>
      <c r="DS997" s="22"/>
      <c r="DT997" s="22"/>
    </row>
    <row r="998" spans="1:124" s="21" customFormat="1" x14ac:dyDescent="0.25">
      <c r="A998" s="20"/>
      <c r="B998" s="20"/>
      <c r="DS998" s="22"/>
      <c r="DT998" s="22"/>
    </row>
    <row r="999" spans="1:124" s="21" customFormat="1" x14ac:dyDescent="0.25">
      <c r="A999" s="20"/>
      <c r="B999" s="20"/>
      <c r="DS999" s="22"/>
      <c r="DT999" s="22"/>
    </row>
    <row r="1000" spans="1:124" s="21" customFormat="1" x14ac:dyDescent="0.25">
      <c r="A1000" s="20"/>
      <c r="B1000" s="20"/>
      <c r="DS1000" s="22"/>
      <c r="DT1000" s="22"/>
    </row>
    <row r="1001" spans="1:124" s="21" customFormat="1" x14ac:dyDescent="0.25">
      <c r="A1001" s="20"/>
      <c r="B1001" s="20"/>
      <c r="DS1001" s="22"/>
      <c r="DT1001" s="22"/>
    </row>
    <row r="1002" spans="1:124" s="21" customFormat="1" x14ac:dyDescent="0.25">
      <c r="A1002" s="20"/>
      <c r="B1002" s="20"/>
      <c r="DS1002" s="22"/>
      <c r="DT1002" s="22"/>
    </row>
    <row r="1003" spans="1:124" s="21" customFormat="1" x14ac:dyDescent="0.25">
      <c r="A1003" s="20"/>
      <c r="B1003" s="20"/>
      <c r="DS1003" s="22"/>
      <c r="DT1003" s="22"/>
    </row>
    <row r="1004" spans="1:124" s="21" customFormat="1" x14ac:dyDescent="0.25">
      <c r="A1004" s="20"/>
      <c r="B1004" s="20"/>
      <c r="DS1004" s="22"/>
      <c r="DT1004" s="22"/>
    </row>
    <row r="1005" spans="1:124" s="21" customFormat="1" x14ac:dyDescent="0.25">
      <c r="A1005" s="20"/>
      <c r="B1005" s="20"/>
      <c r="DS1005" s="22"/>
      <c r="DT1005" s="22"/>
    </row>
    <row r="1006" spans="1:124" s="21" customFormat="1" x14ac:dyDescent="0.25">
      <c r="A1006" s="20"/>
      <c r="B1006" s="20"/>
      <c r="DS1006" s="22"/>
      <c r="DT1006" s="22"/>
    </row>
    <row r="1007" spans="1:124" s="21" customFormat="1" x14ac:dyDescent="0.25">
      <c r="A1007" s="20"/>
      <c r="B1007" s="20"/>
      <c r="DS1007" s="22"/>
      <c r="DT1007" s="22"/>
    </row>
    <row r="1008" spans="1:124" s="21" customFormat="1" x14ac:dyDescent="0.25">
      <c r="A1008" s="20"/>
      <c r="B1008" s="20"/>
      <c r="DS1008" s="22"/>
      <c r="DT1008" s="22"/>
    </row>
    <row r="1009" spans="1:124" s="21" customFormat="1" x14ac:dyDescent="0.25">
      <c r="A1009" s="20"/>
      <c r="B1009" s="20"/>
      <c r="DS1009" s="22"/>
      <c r="DT1009" s="22"/>
    </row>
    <row r="1010" spans="1:124" s="21" customFormat="1" x14ac:dyDescent="0.25">
      <c r="A1010" s="20"/>
      <c r="B1010" s="20"/>
      <c r="DS1010" s="22"/>
      <c r="DT1010" s="22"/>
    </row>
    <row r="1011" spans="1:124" s="21" customFormat="1" x14ac:dyDescent="0.25">
      <c r="A1011" s="20"/>
      <c r="B1011" s="20"/>
      <c r="DS1011" s="22"/>
      <c r="DT1011" s="22"/>
    </row>
    <row r="1012" spans="1:124" s="21" customFormat="1" x14ac:dyDescent="0.25">
      <c r="A1012" s="20"/>
      <c r="B1012" s="20"/>
      <c r="DS1012" s="22"/>
      <c r="DT1012" s="22"/>
    </row>
    <row r="1013" spans="1:124" s="21" customFormat="1" x14ac:dyDescent="0.25">
      <c r="A1013" s="20"/>
      <c r="B1013" s="20"/>
      <c r="DS1013" s="22"/>
      <c r="DT1013" s="22"/>
    </row>
    <row r="1014" spans="1:124" s="21" customFormat="1" x14ac:dyDescent="0.25">
      <c r="A1014" s="20"/>
      <c r="B1014" s="20"/>
      <c r="DS1014" s="22"/>
      <c r="DT1014" s="22"/>
    </row>
    <row r="1015" spans="1:124" s="21" customFormat="1" x14ac:dyDescent="0.25">
      <c r="A1015" s="20"/>
      <c r="B1015" s="20"/>
      <c r="DS1015" s="22"/>
      <c r="DT1015" s="22"/>
    </row>
    <row r="1016" spans="1:124" s="21" customFormat="1" x14ac:dyDescent="0.25">
      <c r="A1016" s="20"/>
      <c r="B1016" s="20"/>
      <c r="DS1016" s="22"/>
      <c r="DT1016" s="22"/>
    </row>
    <row r="1017" spans="1:124" s="21" customFormat="1" x14ac:dyDescent="0.25">
      <c r="A1017" s="20"/>
      <c r="B1017" s="20"/>
      <c r="DS1017" s="22"/>
      <c r="DT1017" s="22"/>
    </row>
    <row r="1018" spans="1:124" s="21" customFormat="1" x14ac:dyDescent="0.25">
      <c r="A1018" s="20"/>
      <c r="B1018" s="20"/>
      <c r="DS1018" s="22"/>
      <c r="DT1018" s="22"/>
    </row>
    <row r="1019" spans="1:124" s="21" customFormat="1" x14ac:dyDescent="0.25">
      <c r="A1019" s="20"/>
      <c r="B1019" s="20"/>
      <c r="DS1019" s="22"/>
      <c r="DT1019" s="22"/>
    </row>
    <row r="1020" spans="1:124" s="21" customFormat="1" x14ac:dyDescent="0.25">
      <c r="A1020" s="20"/>
      <c r="B1020" s="20"/>
      <c r="DS1020" s="22"/>
      <c r="DT1020" s="22"/>
    </row>
    <row r="1021" spans="1:124" s="21" customFormat="1" x14ac:dyDescent="0.25">
      <c r="A1021" s="20"/>
      <c r="B1021" s="20"/>
      <c r="DS1021" s="22"/>
      <c r="DT1021" s="22"/>
    </row>
    <row r="1022" spans="1:124" s="21" customFormat="1" x14ac:dyDescent="0.25">
      <c r="A1022" s="20"/>
      <c r="B1022" s="20"/>
      <c r="DS1022" s="22"/>
      <c r="DT1022" s="22"/>
    </row>
    <row r="1023" spans="1:124" s="21" customFormat="1" x14ac:dyDescent="0.25">
      <c r="A1023" s="20"/>
      <c r="B1023" s="20"/>
      <c r="DS1023" s="22"/>
      <c r="DT1023" s="22"/>
    </row>
    <row r="1024" spans="1:124" s="21" customFormat="1" x14ac:dyDescent="0.25">
      <c r="A1024" s="20"/>
      <c r="B1024" s="20"/>
      <c r="DS1024" s="22"/>
      <c r="DT1024" s="22"/>
    </row>
    <row r="1025" spans="1:124" s="21" customFormat="1" x14ac:dyDescent="0.25">
      <c r="A1025" s="20"/>
      <c r="B1025" s="20"/>
      <c r="DS1025" s="22"/>
      <c r="DT1025" s="22"/>
    </row>
    <row r="1026" spans="1:124" s="21" customFormat="1" x14ac:dyDescent="0.25">
      <c r="A1026" s="20"/>
      <c r="B1026" s="20"/>
      <c r="DS1026" s="22"/>
      <c r="DT1026" s="22"/>
    </row>
    <row r="1027" spans="1:124" s="21" customFormat="1" x14ac:dyDescent="0.25">
      <c r="A1027" s="20"/>
      <c r="B1027" s="20"/>
      <c r="DS1027" s="22"/>
      <c r="DT1027" s="22"/>
    </row>
    <row r="1028" spans="1:124" s="21" customFormat="1" x14ac:dyDescent="0.25">
      <c r="A1028" s="20"/>
      <c r="B1028" s="20"/>
      <c r="DS1028" s="22"/>
      <c r="DT1028" s="22"/>
    </row>
    <row r="1029" spans="1:124" s="21" customFormat="1" x14ac:dyDescent="0.25">
      <c r="A1029" s="20"/>
      <c r="B1029" s="20"/>
      <c r="DS1029" s="22"/>
      <c r="DT1029" s="22"/>
    </row>
    <row r="1030" spans="1:124" s="21" customFormat="1" x14ac:dyDescent="0.25">
      <c r="A1030" s="20"/>
      <c r="B1030" s="20"/>
      <c r="DS1030" s="22"/>
      <c r="DT1030" s="22"/>
    </row>
    <row r="1031" spans="1:124" s="21" customFormat="1" x14ac:dyDescent="0.25">
      <c r="A1031" s="20"/>
      <c r="B1031" s="20"/>
      <c r="DS1031" s="22"/>
      <c r="DT1031" s="22"/>
    </row>
    <row r="1032" spans="1:124" s="21" customFormat="1" x14ac:dyDescent="0.25">
      <c r="A1032" s="20"/>
      <c r="B1032" s="20"/>
      <c r="DS1032" s="22"/>
      <c r="DT1032" s="22"/>
    </row>
    <row r="1033" spans="1:124" s="21" customFormat="1" x14ac:dyDescent="0.25">
      <c r="A1033" s="20"/>
      <c r="B1033" s="20"/>
      <c r="DS1033" s="22"/>
      <c r="DT1033" s="22"/>
    </row>
    <row r="1034" spans="1:124" s="21" customFormat="1" x14ac:dyDescent="0.25">
      <c r="A1034" s="20"/>
      <c r="B1034" s="20"/>
      <c r="DS1034" s="22"/>
      <c r="DT1034" s="22"/>
    </row>
    <row r="1035" spans="1:124" s="21" customFormat="1" x14ac:dyDescent="0.25">
      <c r="A1035" s="20"/>
      <c r="B1035" s="20"/>
      <c r="DS1035" s="22"/>
      <c r="DT1035" s="22"/>
    </row>
    <row r="1036" spans="1:124" s="21" customFormat="1" x14ac:dyDescent="0.25">
      <c r="A1036" s="20"/>
      <c r="B1036" s="20"/>
      <c r="DS1036" s="22"/>
      <c r="DT1036" s="22"/>
    </row>
    <row r="1037" spans="1:124" s="21" customFormat="1" x14ac:dyDescent="0.25">
      <c r="A1037" s="20"/>
      <c r="B1037" s="20"/>
      <c r="DS1037" s="22"/>
      <c r="DT1037" s="22"/>
    </row>
    <row r="1038" spans="1:124" s="21" customFormat="1" x14ac:dyDescent="0.25">
      <c r="A1038" s="20"/>
      <c r="B1038" s="20"/>
      <c r="DS1038" s="22"/>
      <c r="DT1038" s="22"/>
    </row>
    <row r="1039" spans="1:124" s="21" customFormat="1" x14ac:dyDescent="0.25">
      <c r="A1039" s="20"/>
      <c r="B1039" s="20"/>
      <c r="DS1039" s="22"/>
      <c r="DT1039" s="22"/>
    </row>
    <row r="1040" spans="1:124" s="21" customFormat="1" x14ac:dyDescent="0.25">
      <c r="A1040" s="20"/>
      <c r="B1040" s="20"/>
      <c r="DS1040" s="22"/>
      <c r="DT1040" s="22"/>
    </row>
    <row r="1041" spans="1:124" s="21" customFormat="1" x14ac:dyDescent="0.25">
      <c r="A1041" s="20"/>
      <c r="B1041" s="20"/>
      <c r="DS1041" s="22"/>
      <c r="DT1041" s="22"/>
    </row>
    <row r="1042" spans="1:124" s="21" customFormat="1" x14ac:dyDescent="0.25">
      <c r="A1042" s="20"/>
      <c r="B1042" s="20"/>
      <c r="DS1042" s="22"/>
      <c r="DT1042" s="22"/>
    </row>
    <row r="1043" spans="1:124" s="21" customFormat="1" x14ac:dyDescent="0.25">
      <c r="A1043" s="20"/>
      <c r="B1043" s="20"/>
      <c r="DS1043" s="22"/>
      <c r="DT1043" s="22"/>
    </row>
    <row r="1044" spans="1:124" s="21" customFormat="1" x14ac:dyDescent="0.25">
      <c r="A1044" s="20"/>
      <c r="B1044" s="20"/>
      <c r="DS1044" s="22"/>
      <c r="DT1044" s="22"/>
    </row>
    <row r="1045" spans="1:124" s="21" customFormat="1" x14ac:dyDescent="0.25">
      <c r="A1045" s="20"/>
      <c r="B1045" s="20"/>
      <c r="DS1045" s="22"/>
      <c r="DT1045" s="22"/>
    </row>
    <row r="1046" spans="1:124" s="21" customFormat="1" x14ac:dyDescent="0.25">
      <c r="A1046" s="20"/>
      <c r="B1046" s="20"/>
      <c r="DS1046" s="22"/>
      <c r="DT1046" s="22"/>
    </row>
    <row r="1047" spans="1:124" s="21" customFormat="1" x14ac:dyDescent="0.25">
      <c r="A1047" s="20"/>
      <c r="B1047" s="20"/>
      <c r="DS1047" s="22"/>
      <c r="DT1047" s="22"/>
    </row>
    <row r="1048" spans="1:124" s="21" customFormat="1" x14ac:dyDescent="0.25">
      <c r="A1048" s="20"/>
      <c r="B1048" s="20"/>
      <c r="DS1048" s="22"/>
      <c r="DT1048" s="22"/>
    </row>
    <row r="1049" spans="1:124" s="21" customFormat="1" x14ac:dyDescent="0.25">
      <c r="A1049" s="20"/>
      <c r="B1049" s="20"/>
      <c r="DS1049" s="22"/>
      <c r="DT1049" s="22"/>
    </row>
    <row r="1050" spans="1:124" s="21" customFormat="1" x14ac:dyDescent="0.25">
      <c r="A1050" s="20"/>
      <c r="B1050" s="20"/>
      <c r="DS1050" s="22"/>
      <c r="DT1050" s="22"/>
    </row>
    <row r="1051" spans="1:124" s="21" customFormat="1" x14ac:dyDescent="0.25">
      <c r="A1051" s="20"/>
      <c r="B1051" s="20"/>
      <c r="DS1051" s="22"/>
      <c r="DT1051" s="22"/>
    </row>
    <row r="1052" spans="1:124" s="21" customFormat="1" x14ac:dyDescent="0.25">
      <c r="A1052" s="20"/>
      <c r="B1052" s="20"/>
      <c r="DS1052" s="22"/>
      <c r="DT1052" s="22"/>
    </row>
    <row r="1053" spans="1:124" s="21" customFormat="1" x14ac:dyDescent="0.25">
      <c r="A1053" s="20"/>
      <c r="B1053" s="20"/>
      <c r="DS1053" s="22"/>
      <c r="DT1053" s="22"/>
    </row>
    <row r="1054" spans="1:124" s="21" customFormat="1" x14ac:dyDescent="0.25">
      <c r="A1054" s="20"/>
      <c r="B1054" s="20"/>
      <c r="DS1054" s="22"/>
      <c r="DT1054" s="22"/>
    </row>
    <row r="1055" spans="1:124" s="21" customFormat="1" x14ac:dyDescent="0.25">
      <c r="A1055" s="20"/>
      <c r="B1055" s="20"/>
      <c r="DS1055" s="22"/>
      <c r="DT1055" s="22"/>
    </row>
    <row r="1056" spans="1:124" s="21" customFormat="1" x14ac:dyDescent="0.25">
      <c r="A1056" s="20"/>
      <c r="B1056" s="20"/>
      <c r="DS1056" s="22"/>
      <c r="DT1056" s="22"/>
    </row>
    <row r="1057" spans="1:124" s="21" customFormat="1" x14ac:dyDescent="0.25">
      <c r="A1057" s="20"/>
      <c r="B1057" s="20"/>
      <c r="DS1057" s="22"/>
      <c r="DT1057" s="22"/>
    </row>
    <row r="1058" spans="1:124" s="21" customFormat="1" x14ac:dyDescent="0.25">
      <c r="A1058" s="20"/>
      <c r="B1058" s="20"/>
      <c r="DS1058" s="22"/>
      <c r="DT1058" s="22"/>
    </row>
    <row r="1059" spans="1:124" s="21" customFormat="1" x14ac:dyDescent="0.25">
      <c r="A1059" s="20"/>
      <c r="B1059" s="20"/>
      <c r="DS1059" s="22"/>
      <c r="DT1059" s="22"/>
    </row>
    <row r="1060" spans="1:124" s="21" customFormat="1" x14ac:dyDescent="0.25">
      <c r="A1060" s="20"/>
      <c r="B1060" s="20"/>
      <c r="DS1060" s="22"/>
      <c r="DT1060" s="22"/>
    </row>
    <row r="1061" spans="1:124" s="21" customFormat="1" x14ac:dyDescent="0.25">
      <c r="A1061" s="20"/>
      <c r="B1061" s="20"/>
      <c r="DS1061" s="22"/>
      <c r="DT1061" s="22"/>
    </row>
    <row r="1062" spans="1:124" s="21" customFormat="1" x14ac:dyDescent="0.25">
      <c r="A1062" s="20"/>
      <c r="B1062" s="20"/>
      <c r="DS1062" s="22"/>
      <c r="DT1062" s="22"/>
    </row>
    <row r="1063" spans="1:124" s="21" customFormat="1" x14ac:dyDescent="0.25">
      <c r="A1063" s="20"/>
      <c r="B1063" s="20"/>
      <c r="DS1063" s="22"/>
      <c r="DT1063" s="22"/>
    </row>
    <row r="1064" spans="1:124" s="21" customFormat="1" x14ac:dyDescent="0.25">
      <c r="A1064" s="20"/>
      <c r="B1064" s="20"/>
      <c r="DS1064" s="22"/>
      <c r="DT1064" s="22"/>
    </row>
    <row r="1065" spans="1:124" s="21" customFormat="1" x14ac:dyDescent="0.25">
      <c r="A1065" s="20"/>
      <c r="B1065" s="20"/>
      <c r="DS1065" s="22"/>
      <c r="DT1065" s="22"/>
    </row>
    <row r="1066" spans="1:124" s="21" customFormat="1" x14ac:dyDescent="0.25">
      <c r="A1066" s="20"/>
      <c r="B1066" s="20"/>
      <c r="DS1066" s="22"/>
      <c r="DT1066" s="22"/>
    </row>
    <row r="1067" spans="1:124" s="21" customFormat="1" x14ac:dyDescent="0.25">
      <c r="A1067" s="20"/>
      <c r="B1067" s="20"/>
      <c r="DS1067" s="22"/>
      <c r="DT1067" s="22"/>
    </row>
    <row r="1068" spans="1:124" s="21" customFormat="1" x14ac:dyDescent="0.25">
      <c r="A1068" s="20"/>
      <c r="B1068" s="20"/>
      <c r="DS1068" s="22"/>
      <c r="DT1068" s="22"/>
    </row>
    <row r="1069" spans="1:124" s="21" customFormat="1" x14ac:dyDescent="0.25">
      <c r="A1069" s="20"/>
      <c r="B1069" s="20"/>
      <c r="DS1069" s="22"/>
      <c r="DT1069" s="22"/>
    </row>
    <row r="1070" spans="1:124" s="21" customFormat="1" x14ac:dyDescent="0.25">
      <c r="A1070" s="20"/>
      <c r="B1070" s="20"/>
      <c r="DS1070" s="22"/>
      <c r="DT1070" s="22"/>
    </row>
    <row r="1071" spans="1:124" s="21" customFormat="1" x14ac:dyDescent="0.25">
      <c r="A1071" s="20"/>
      <c r="B1071" s="20"/>
      <c r="DS1071" s="22"/>
      <c r="DT1071" s="22"/>
    </row>
    <row r="1072" spans="1:124" s="21" customFormat="1" x14ac:dyDescent="0.25">
      <c r="A1072" s="20"/>
      <c r="B1072" s="20"/>
      <c r="DS1072" s="22"/>
      <c r="DT1072" s="22"/>
    </row>
    <row r="1073" spans="1:124" s="21" customFormat="1" x14ac:dyDescent="0.25">
      <c r="A1073" s="20"/>
      <c r="B1073" s="20"/>
      <c r="DS1073" s="22"/>
      <c r="DT1073" s="22"/>
    </row>
    <row r="1074" spans="1:124" s="21" customFormat="1" x14ac:dyDescent="0.25">
      <c r="A1074" s="20"/>
      <c r="B1074" s="20"/>
      <c r="DS1074" s="22"/>
      <c r="DT1074" s="22"/>
    </row>
    <row r="1075" spans="1:124" s="21" customFormat="1" x14ac:dyDescent="0.25">
      <c r="A1075" s="20"/>
      <c r="B1075" s="20"/>
      <c r="DS1075" s="22"/>
      <c r="DT1075" s="22"/>
    </row>
    <row r="1076" spans="1:124" s="21" customFormat="1" x14ac:dyDescent="0.25">
      <c r="A1076" s="20"/>
      <c r="B1076" s="20"/>
      <c r="DS1076" s="22"/>
      <c r="DT1076" s="22"/>
    </row>
    <row r="1077" spans="1:124" s="21" customFormat="1" x14ac:dyDescent="0.25">
      <c r="A1077" s="20"/>
      <c r="B1077" s="20"/>
      <c r="DS1077" s="22"/>
      <c r="DT1077" s="22"/>
    </row>
    <row r="1078" spans="1:124" s="21" customFormat="1" x14ac:dyDescent="0.25">
      <c r="A1078" s="20"/>
      <c r="B1078" s="20"/>
      <c r="DS1078" s="22"/>
      <c r="DT1078" s="22"/>
    </row>
    <row r="1079" spans="1:124" s="21" customFormat="1" x14ac:dyDescent="0.25">
      <c r="A1079" s="20"/>
      <c r="B1079" s="20"/>
      <c r="DS1079" s="22"/>
      <c r="DT1079" s="22"/>
    </row>
    <row r="1080" spans="1:124" s="21" customFormat="1" x14ac:dyDescent="0.25">
      <c r="A1080" s="20"/>
      <c r="B1080" s="20"/>
      <c r="DS1080" s="22"/>
      <c r="DT1080" s="22"/>
    </row>
    <row r="1081" spans="1:124" s="21" customFormat="1" x14ac:dyDescent="0.25">
      <c r="A1081" s="20"/>
      <c r="B1081" s="20"/>
      <c r="DS1081" s="22"/>
      <c r="DT1081" s="22"/>
    </row>
    <row r="1082" spans="1:124" s="21" customFormat="1" x14ac:dyDescent="0.25">
      <c r="A1082" s="20"/>
      <c r="B1082" s="20"/>
      <c r="DS1082" s="22"/>
      <c r="DT1082" s="22"/>
    </row>
    <row r="1083" spans="1:124" s="21" customFormat="1" x14ac:dyDescent="0.25">
      <c r="A1083" s="20"/>
      <c r="B1083" s="20"/>
      <c r="DS1083" s="22"/>
      <c r="DT1083" s="22"/>
    </row>
    <row r="1084" spans="1:124" s="21" customFormat="1" x14ac:dyDescent="0.25">
      <c r="A1084" s="20"/>
      <c r="B1084" s="20"/>
      <c r="DS1084" s="22"/>
      <c r="DT1084" s="22"/>
    </row>
    <row r="1085" spans="1:124" s="21" customFormat="1" x14ac:dyDescent="0.25">
      <c r="A1085" s="20"/>
      <c r="B1085" s="20"/>
      <c r="DS1085" s="22"/>
      <c r="DT1085" s="22"/>
    </row>
    <row r="1086" spans="1:124" s="21" customFormat="1" x14ac:dyDescent="0.25">
      <c r="A1086" s="20"/>
      <c r="B1086" s="20"/>
      <c r="DS1086" s="22"/>
      <c r="DT1086" s="22"/>
    </row>
    <row r="1087" spans="1:124" s="21" customFormat="1" x14ac:dyDescent="0.25">
      <c r="A1087" s="20"/>
      <c r="B1087" s="20"/>
      <c r="DS1087" s="22"/>
      <c r="DT1087" s="22"/>
    </row>
    <row r="1088" spans="1:124" s="21" customFormat="1" x14ac:dyDescent="0.25">
      <c r="A1088" s="20"/>
      <c r="B1088" s="20"/>
      <c r="DS1088" s="22"/>
      <c r="DT1088" s="22"/>
    </row>
    <row r="1089" spans="1:124" s="21" customFormat="1" x14ac:dyDescent="0.25">
      <c r="A1089" s="20"/>
      <c r="B1089" s="20"/>
      <c r="DS1089" s="22"/>
      <c r="DT1089" s="22"/>
    </row>
    <row r="1090" spans="1:124" s="21" customFormat="1" x14ac:dyDescent="0.25">
      <c r="A1090" s="20"/>
      <c r="B1090" s="20"/>
      <c r="DS1090" s="22"/>
      <c r="DT1090" s="22"/>
    </row>
    <row r="1091" spans="1:124" s="21" customFormat="1" x14ac:dyDescent="0.25">
      <c r="A1091" s="20"/>
      <c r="B1091" s="20"/>
      <c r="DS1091" s="22"/>
      <c r="DT1091" s="22"/>
    </row>
    <row r="1092" spans="1:124" s="21" customFormat="1" x14ac:dyDescent="0.25">
      <c r="A1092" s="20"/>
      <c r="B1092" s="20"/>
      <c r="DS1092" s="22"/>
      <c r="DT1092" s="22"/>
    </row>
    <row r="1093" spans="1:124" s="21" customFormat="1" x14ac:dyDescent="0.25">
      <c r="A1093" s="20"/>
      <c r="B1093" s="20"/>
      <c r="DS1093" s="22"/>
      <c r="DT1093" s="22"/>
    </row>
    <row r="1094" spans="1:124" s="21" customFormat="1" x14ac:dyDescent="0.25">
      <c r="A1094" s="20"/>
      <c r="B1094" s="20"/>
      <c r="DS1094" s="22"/>
      <c r="DT1094" s="22"/>
    </row>
    <row r="1095" spans="1:124" s="21" customFormat="1" x14ac:dyDescent="0.25">
      <c r="A1095" s="20"/>
      <c r="B1095" s="20"/>
      <c r="DS1095" s="22"/>
      <c r="DT1095" s="22"/>
    </row>
    <row r="1096" spans="1:124" s="21" customFormat="1" x14ac:dyDescent="0.25">
      <c r="A1096" s="20"/>
      <c r="B1096" s="20"/>
      <c r="DS1096" s="22"/>
      <c r="DT1096" s="22"/>
    </row>
    <row r="1097" spans="1:124" s="21" customFormat="1" x14ac:dyDescent="0.25">
      <c r="A1097" s="20"/>
      <c r="B1097" s="20"/>
      <c r="DS1097" s="22"/>
      <c r="DT1097" s="22"/>
    </row>
    <row r="1098" spans="1:124" s="21" customFormat="1" x14ac:dyDescent="0.25">
      <c r="A1098" s="20"/>
      <c r="B1098" s="20"/>
      <c r="DS1098" s="22"/>
      <c r="DT1098" s="22"/>
    </row>
    <row r="1099" spans="1:124" s="21" customFormat="1" x14ac:dyDescent="0.25">
      <c r="A1099" s="20"/>
      <c r="B1099" s="20"/>
      <c r="DS1099" s="22"/>
      <c r="DT1099" s="22"/>
    </row>
    <row r="1100" spans="1:124" s="21" customFormat="1" x14ac:dyDescent="0.25">
      <c r="A1100" s="20"/>
      <c r="B1100" s="20"/>
      <c r="DS1100" s="22"/>
      <c r="DT1100" s="22"/>
    </row>
    <row r="1101" spans="1:124" s="21" customFormat="1" x14ac:dyDescent="0.25">
      <c r="A1101" s="20"/>
      <c r="B1101" s="20"/>
      <c r="DS1101" s="22"/>
      <c r="DT1101" s="22"/>
    </row>
    <row r="1102" spans="1:124" s="21" customFormat="1" x14ac:dyDescent="0.25">
      <c r="A1102" s="20"/>
      <c r="B1102" s="20"/>
      <c r="DS1102" s="22"/>
      <c r="DT1102" s="22"/>
    </row>
    <row r="1103" spans="1:124" s="21" customFormat="1" x14ac:dyDescent="0.25">
      <c r="A1103" s="20"/>
      <c r="B1103" s="20"/>
      <c r="DS1103" s="22"/>
      <c r="DT1103" s="22"/>
    </row>
    <row r="1104" spans="1:124" s="21" customFormat="1" x14ac:dyDescent="0.25">
      <c r="A1104" s="20"/>
      <c r="B1104" s="20"/>
      <c r="DS1104" s="22"/>
      <c r="DT1104" s="22"/>
    </row>
    <row r="1105" spans="1:124" s="21" customFormat="1" x14ac:dyDescent="0.25">
      <c r="A1105" s="20"/>
      <c r="B1105" s="20"/>
      <c r="DS1105" s="22"/>
      <c r="DT1105" s="22"/>
    </row>
    <row r="1106" spans="1:124" s="21" customFormat="1" x14ac:dyDescent="0.25">
      <c r="A1106" s="20"/>
      <c r="B1106" s="20"/>
      <c r="DS1106" s="22"/>
      <c r="DT1106" s="22"/>
    </row>
    <row r="1107" spans="1:124" s="21" customFormat="1" x14ac:dyDescent="0.25">
      <c r="A1107" s="20"/>
      <c r="B1107" s="20"/>
      <c r="DS1107" s="22"/>
      <c r="DT1107" s="22"/>
    </row>
    <row r="1108" spans="1:124" s="21" customFormat="1" x14ac:dyDescent="0.25">
      <c r="A1108" s="20"/>
      <c r="B1108" s="20"/>
      <c r="DS1108" s="22"/>
      <c r="DT1108" s="22"/>
    </row>
    <row r="1109" spans="1:124" s="21" customFormat="1" x14ac:dyDescent="0.25">
      <c r="A1109" s="20"/>
      <c r="B1109" s="20"/>
      <c r="DS1109" s="22"/>
      <c r="DT1109" s="22"/>
    </row>
    <row r="1110" spans="1:124" s="21" customFormat="1" x14ac:dyDescent="0.25">
      <c r="A1110" s="20"/>
      <c r="B1110" s="20"/>
      <c r="DS1110" s="22"/>
      <c r="DT1110" s="22"/>
    </row>
    <row r="1111" spans="1:124" s="21" customFormat="1" x14ac:dyDescent="0.25">
      <c r="A1111" s="20"/>
      <c r="B1111" s="20"/>
      <c r="DS1111" s="22"/>
      <c r="DT1111" s="22"/>
    </row>
    <row r="1112" spans="1:124" s="21" customFormat="1" x14ac:dyDescent="0.25">
      <c r="A1112" s="20"/>
      <c r="B1112" s="20"/>
      <c r="DS1112" s="22"/>
      <c r="DT1112" s="22"/>
    </row>
    <row r="1113" spans="1:124" s="21" customFormat="1" x14ac:dyDescent="0.25">
      <c r="A1113" s="20"/>
      <c r="B1113" s="20"/>
      <c r="DS1113" s="22"/>
      <c r="DT1113" s="22"/>
    </row>
    <row r="1114" spans="1:124" s="21" customFormat="1" x14ac:dyDescent="0.25">
      <c r="A1114" s="20"/>
      <c r="B1114" s="20"/>
      <c r="DS1114" s="22"/>
      <c r="DT1114" s="22"/>
    </row>
    <row r="1115" spans="1:124" s="21" customFormat="1" x14ac:dyDescent="0.25">
      <c r="A1115" s="20"/>
      <c r="B1115" s="20"/>
      <c r="DS1115" s="22"/>
      <c r="DT1115" s="22"/>
    </row>
    <row r="1116" spans="1:124" s="21" customFormat="1" x14ac:dyDescent="0.25">
      <c r="A1116" s="20"/>
      <c r="B1116" s="20"/>
      <c r="DS1116" s="22"/>
      <c r="DT1116" s="22"/>
    </row>
    <row r="1117" spans="1:124" s="21" customFormat="1" x14ac:dyDescent="0.25">
      <c r="A1117" s="20"/>
      <c r="B1117" s="20"/>
      <c r="DS1117" s="22"/>
      <c r="DT1117" s="22"/>
    </row>
    <row r="1118" spans="1:124" s="21" customFormat="1" x14ac:dyDescent="0.25">
      <c r="A1118" s="20"/>
      <c r="B1118" s="20"/>
      <c r="DS1118" s="22"/>
      <c r="DT1118" s="22"/>
    </row>
    <row r="1119" spans="1:124" s="21" customFormat="1" x14ac:dyDescent="0.25">
      <c r="A1119" s="20"/>
      <c r="B1119" s="20"/>
      <c r="DS1119" s="22"/>
      <c r="DT1119" s="22"/>
    </row>
    <row r="1120" spans="1:124" s="21" customFormat="1" x14ac:dyDescent="0.25">
      <c r="A1120" s="20"/>
      <c r="B1120" s="20"/>
      <c r="DS1120" s="22"/>
      <c r="DT1120" s="22"/>
    </row>
    <row r="1121" spans="1:124" s="21" customFormat="1" x14ac:dyDescent="0.25">
      <c r="A1121" s="20"/>
      <c r="B1121" s="20"/>
      <c r="DS1121" s="22"/>
      <c r="DT1121" s="22"/>
    </row>
    <row r="1122" spans="1:124" s="21" customFormat="1" x14ac:dyDescent="0.25">
      <c r="A1122" s="20"/>
      <c r="B1122" s="20"/>
      <c r="DS1122" s="22"/>
      <c r="DT1122" s="22"/>
    </row>
    <row r="1123" spans="1:124" s="21" customFormat="1" x14ac:dyDescent="0.25">
      <c r="A1123" s="20"/>
      <c r="B1123" s="20"/>
      <c r="DS1123" s="22"/>
      <c r="DT1123" s="22"/>
    </row>
    <row r="1124" spans="1:124" s="21" customFormat="1" x14ac:dyDescent="0.25">
      <c r="A1124" s="20"/>
      <c r="B1124" s="20"/>
      <c r="DS1124" s="22"/>
      <c r="DT1124" s="22"/>
    </row>
    <row r="1125" spans="1:124" s="21" customFormat="1" x14ac:dyDescent="0.25">
      <c r="A1125" s="20"/>
      <c r="B1125" s="20"/>
      <c r="DS1125" s="22"/>
      <c r="DT1125" s="22"/>
    </row>
    <row r="1126" spans="1:124" s="21" customFormat="1" x14ac:dyDescent="0.25">
      <c r="A1126" s="20"/>
      <c r="B1126" s="20"/>
      <c r="DS1126" s="22"/>
      <c r="DT1126" s="22"/>
    </row>
    <row r="1127" spans="1:124" s="21" customFormat="1" x14ac:dyDescent="0.25">
      <c r="A1127" s="20"/>
      <c r="B1127" s="20"/>
      <c r="DS1127" s="22"/>
      <c r="DT1127" s="22"/>
    </row>
    <row r="1128" spans="1:124" s="21" customFormat="1" x14ac:dyDescent="0.25">
      <c r="A1128" s="20"/>
      <c r="B1128" s="20"/>
      <c r="DS1128" s="22"/>
      <c r="DT1128" s="22"/>
    </row>
    <row r="1129" spans="1:124" s="21" customFormat="1" x14ac:dyDescent="0.25">
      <c r="A1129" s="20"/>
      <c r="B1129" s="20"/>
      <c r="DS1129" s="22"/>
      <c r="DT1129" s="22"/>
    </row>
    <row r="1130" spans="1:124" s="21" customFormat="1" x14ac:dyDescent="0.25">
      <c r="A1130" s="20"/>
      <c r="B1130" s="20"/>
      <c r="DS1130" s="22"/>
      <c r="DT1130" s="22"/>
    </row>
    <row r="1131" spans="1:124" s="21" customFormat="1" x14ac:dyDescent="0.25">
      <c r="A1131" s="20"/>
      <c r="B1131" s="20"/>
      <c r="DS1131" s="22"/>
      <c r="DT1131" s="22"/>
    </row>
    <row r="1132" spans="1:124" s="21" customFormat="1" x14ac:dyDescent="0.25">
      <c r="A1132" s="20"/>
      <c r="B1132" s="20"/>
      <c r="DS1132" s="22"/>
      <c r="DT1132" s="22"/>
    </row>
    <row r="1133" spans="1:124" s="21" customFormat="1" x14ac:dyDescent="0.25">
      <c r="A1133" s="20"/>
      <c r="B1133" s="20"/>
      <c r="DS1133" s="22"/>
      <c r="DT1133" s="22"/>
    </row>
    <row r="1134" spans="1:124" s="21" customFormat="1" x14ac:dyDescent="0.25">
      <c r="A1134" s="20"/>
      <c r="B1134" s="20"/>
      <c r="DS1134" s="22"/>
      <c r="DT1134" s="22"/>
    </row>
    <row r="1135" spans="1:124" s="21" customFormat="1" x14ac:dyDescent="0.25">
      <c r="A1135" s="20"/>
      <c r="B1135" s="20"/>
      <c r="DS1135" s="22"/>
      <c r="DT1135" s="22"/>
    </row>
    <row r="1136" spans="1:124" s="21" customFormat="1" x14ac:dyDescent="0.25">
      <c r="A1136" s="20"/>
      <c r="B1136" s="20"/>
      <c r="DS1136" s="22"/>
      <c r="DT1136" s="22"/>
    </row>
    <row r="1137" spans="1:124" s="21" customFormat="1" x14ac:dyDescent="0.25">
      <c r="A1137" s="20"/>
      <c r="B1137" s="20"/>
      <c r="DS1137" s="22"/>
      <c r="DT1137" s="22"/>
    </row>
    <row r="1138" spans="1:124" s="21" customFormat="1" x14ac:dyDescent="0.25">
      <c r="A1138" s="20"/>
      <c r="B1138" s="20"/>
      <c r="DS1138" s="22"/>
      <c r="DT1138" s="22"/>
    </row>
    <row r="1139" spans="1:124" s="21" customFormat="1" x14ac:dyDescent="0.25">
      <c r="A1139" s="20"/>
      <c r="B1139" s="20"/>
      <c r="DS1139" s="22"/>
      <c r="DT1139" s="22"/>
    </row>
    <row r="1140" spans="1:124" s="21" customFormat="1" x14ac:dyDescent="0.25">
      <c r="A1140" s="20"/>
      <c r="B1140" s="20"/>
      <c r="DS1140" s="22"/>
      <c r="DT1140" s="22"/>
    </row>
    <row r="1141" spans="1:124" s="21" customFormat="1" x14ac:dyDescent="0.25">
      <c r="A1141" s="20"/>
      <c r="B1141" s="20"/>
      <c r="DS1141" s="22"/>
      <c r="DT1141" s="22"/>
    </row>
    <row r="1142" spans="1:124" s="21" customFormat="1" x14ac:dyDescent="0.25">
      <c r="A1142" s="20"/>
      <c r="B1142" s="20"/>
      <c r="DS1142" s="22"/>
      <c r="DT1142" s="22"/>
    </row>
    <row r="1143" spans="1:124" s="21" customFormat="1" x14ac:dyDescent="0.25">
      <c r="A1143" s="20"/>
      <c r="B1143" s="20"/>
      <c r="DS1143" s="22"/>
      <c r="DT1143" s="22"/>
    </row>
    <row r="1144" spans="1:124" s="21" customFormat="1" x14ac:dyDescent="0.25">
      <c r="A1144" s="20"/>
      <c r="B1144" s="20"/>
      <c r="DS1144" s="22"/>
      <c r="DT1144" s="22"/>
    </row>
    <row r="1145" spans="1:124" s="21" customFormat="1" x14ac:dyDescent="0.25">
      <c r="A1145" s="20"/>
      <c r="B1145" s="20"/>
      <c r="DS1145" s="22"/>
      <c r="DT1145" s="22"/>
    </row>
    <row r="1146" spans="1:124" s="21" customFormat="1" x14ac:dyDescent="0.25">
      <c r="A1146" s="20"/>
      <c r="B1146" s="20"/>
      <c r="DS1146" s="22"/>
      <c r="DT1146" s="22"/>
    </row>
    <row r="1147" spans="1:124" s="21" customFormat="1" x14ac:dyDescent="0.25">
      <c r="A1147" s="20"/>
      <c r="B1147" s="20"/>
      <c r="DS1147" s="22"/>
      <c r="DT1147" s="22"/>
    </row>
    <row r="1148" spans="1:124" s="21" customFormat="1" x14ac:dyDescent="0.25">
      <c r="A1148" s="20"/>
      <c r="B1148" s="20"/>
      <c r="DS1148" s="22"/>
      <c r="DT1148" s="22"/>
    </row>
    <row r="1149" spans="1:124" s="21" customFormat="1" x14ac:dyDescent="0.25">
      <c r="A1149" s="20"/>
      <c r="B1149" s="20"/>
      <c r="DS1149" s="22"/>
      <c r="DT1149" s="22"/>
    </row>
    <row r="1150" spans="1:124" s="21" customFormat="1" x14ac:dyDescent="0.25">
      <c r="A1150" s="20"/>
      <c r="B1150" s="20"/>
      <c r="DS1150" s="22"/>
      <c r="DT1150" s="22"/>
    </row>
    <row r="1151" spans="1:124" s="21" customFormat="1" x14ac:dyDescent="0.25">
      <c r="A1151" s="20"/>
      <c r="B1151" s="20"/>
      <c r="DS1151" s="22"/>
      <c r="DT1151" s="22"/>
    </row>
    <row r="1152" spans="1:124" s="21" customFormat="1" x14ac:dyDescent="0.25">
      <c r="A1152" s="20"/>
      <c r="B1152" s="20"/>
      <c r="DS1152" s="22"/>
      <c r="DT1152" s="22"/>
    </row>
    <row r="1153" spans="1:124" s="21" customFormat="1" x14ac:dyDescent="0.25">
      <c r="A1153" s="20"/>
      <c r="B1153" s="20"/>
      <c r="DS1153" s="22"/>
      <c r="DT1153" s="22"/>
    </row>
    <row r="1154" spans="1:124" s="21" customFormat="1" x14ac:dyDescent="0.25">
      <c r="A1154" s="20"/>
      <c r="B1154" s="20"/>
      <c r="DS1154" s="22"/>
      <c r="DT1154" s="22"/>
    </row>
    <row r="1155" spans="1:124" s="21" customFormat="1" x14ac:dyDescent="0.25">
      <c r="A1155" s="20"/>
      <c r="B1155" s="20"/>
      <c r="DS1155" s="22"/>
      <c r="DT1155" s="22"/>
    </row>
    <row r="1156" spans="1:124" s="21" customFormat="1" x14ac:dyDescent="0.25">
      <c r="A1156" s="20"/>
      <c r="B1156" s="20"/>
      <c r="DS1156" s="22"/>
      <c r="DT1156" s="22"/>
    </row>
    <row r="1157" spans="1:124" s="21" customFormat="1" x14ac:dyDescent="0.25">
      <c r="A1157" s="20"/>
      <c r="B1157" s="20"/>
      <c r="DS1157" s="22"/>
      <c r="DT1157" s="22"/>
    </row>
    <row r="1158" spans="1:124" s="21" customFormat="1" x14ac:dyDescent="0.25">
      <c r="A1158" s="20"/>
      <c r="B1158" s="20"/>
      <c r="DS1158" s="22"/>
      <c r="DT1158" s="22"/>
    </row>
    <row r="1159" spans="1:124" s="21" customFormat="1" x14ac:dyDescent="0.25">
      <c r="A1159" s="20"/>
      <c r="B1159" s="20"/>
      <c r="DS1159" s="22"/>
      <c r="DT1159" s="22"/>
    </row>
    <row r="1160" spans="1:124" s="21" customFormat="1" x14ac:dyDescent="0.25">
      <c r="A1160" s="20"/>
      <c r="B1160" s="20"/>
      <c r="DS1160" s="22"/>
      <c r="DT1160" s="22"/>
    </row>
    <row r="1161" spans="1:124" s="21" customFormat="1" x14ac:dyDescent="0.25">
      <c r="A1161" s="20"/>
      <c r="B1161" s="20"/>
      <c r="DS1161" s="22"/>
      <c r="DT1161" s="22"/>
    </row>
    <row r="1162" spans="1:124" s="21" customFormat="1" x14ac:dyDescent="0.25">
      <c r="A1162" s="20"/>
      <c r="B1162" s="20"/>
      <c r="DS1162" s="22"/>
      <c r="DT1162" s="22"/>
    </row>
    <row r="1163" spans="1:124" s="21" customFormat="1" x14ac:dyDescent="0.25">
      <c r="A1163" s="20"/>
      <c r="B1163" s="20"/>
      <c r="DS1163" s="22"/>
      <c r="DT1163" s="22"/>
    </row>
    <row r="1164" spans="1:124" s="21" customFormat="1" x14ac:dyDescent="0.25">
      <c r="A1164" s="20"/>
      <c r="B1164" s="20"/>
      <c r="DS1164" s="22"/>
      <c r="DT1164" s="22"/>
    </row>
    <row r="1165" spans="1:124" s="21" customFormat="1" x14ac:dyDescent="0.25">
      <c r="A1165" s="20"/>
      <c r="B1165" s="20"/>
      <c r="DS1165" s="22"/>
      <c r="DT1165" s="22"/>
    </row>
    <row r="1166" spans="1:124" s="21" customFormat="1" x14ac:dyDescent="0.25">
      <c r="A1166" s="20"/>
      <c r="B1166" s="20"/>
      <c r="DS1166" s="22"/>
      <c r="DT1166" s="22"/>
    </row>
    <row r="1167" spans="1:124" s="21" customFormat="1" x14ac:dyDescent="0.25">
      <c r="A1167" s="20"/>
      <c r="B1167" s="20"/>
      <c r="DS1167" s="22"/>
      <c r="DT1167" s="22"/>
    </row>
    <row r="1168" spans="1:124" s="21" customFormat="1" x14ac:dyDescent="0.25">
      <c r="A1168" s="20"/>
      <c r="B1168" s="20"/>
      <c r="DS1168" s="22"/>
      <c r="DT1168" s="22"/>
    </row>
    <row r="1169" spans="1:124" s="21" customFormat="1" x14ac:dyDescent="0.25">
      <c r="A1169" s="20"/>
      <c r="B1169" s="20"/>
      <c r="DS1169" s="22"/>
      <c r="DT1169" s="22"/>
    </row>
    <row r="1170" spans="1:124" s="21" customFormat="1" x14ac:dyDescent="0.25">
      <c r="A1170" s="20"/>
      <c r="B1170" s="20"/>
      <c r="DS1170" s="22"/>
      <c r="DT1170" s="22"/>
    </row>
    <row r="1171" spans="1:124" s="21" customFormat="1" x14ac:dyDescent="0.25">
      <c r="A1171" s="20"/>
      <c r="B1171" s="20"/>
      <c r="DS1171" s="22"/>
      <c r="DT1171" s="22"/>
    </row>
    <row r="1172" spans="1:124" s="21" customFormat="1" x14ac:dyDescent="0.25">
      <c r="A1172" s="20"/>
      <c r="B1172" s="20"/>
      <c r="DS1172" s="22"/>
      <c r="DT1172" s="22"/>
    </row>
    <row r="1173" spans="1:124" s="21" customFormat="1" x14ac:dyDescent="0.25">
      <c r="A1173" s="20"/>
      <c r="B1173" s="20"/>
      <c r="DS1173" s="22"/>
      <c r="DT1173" s="22"/>
    </row>
    <row r="1174" spans="1:124" s="21" customFormat="1" x14ac:dyDescent="0.25">
      <c r="A1174" s="20"/>
      <c r="B1174" s="20"/>
      <c r="DS1174" s="22"/>
      <c r="DT1174" s="22"/>
    </row>
    <row r="1175" spans="1:124" s="21" customFormat="1" x14ac:dyDescent="0.25">
      <c r="A1175" s="20"/>
      <c r="B1175" s="20"/>
      <c r="DS1175" s="22"/>
      <c r="DT1175" s="22"/>
    </row>
    <row r="1176" spans="1:124" s="21" customFormat="1" x14ac:dyDescent="0.25">
      <c r="A1176" s="20"/>
      <c r="B1176" s="20"/>
      <c r="DS1176" s="22"/>
      <c r="DT1176" s="22"/>
    </row>
    <row r="1177" spans="1:124" s="21" customFormat="1" x14ac:dyDescent="0.25">
      <c r="A1177" s="20"/>
      <c r="B1177" s="20"/>
      <c r="DS1177" s="22"/>
      <c r="DT1177" s="22"/>
    </row>
    <row r="1178" spans="1:124" s="21" customFormat="1" x14ac:dyDescent="0.25">
      <c r="A1178" s="20"/>
      <c r="B1178" s="20"/>
      <c r="DS1178" s="22"/>
      <c r="DT1178" s="22"/>
    </row>
    <row r="1179" spans="1:124" s="21" customFormat="1" x14ac:dyDescent="0.25">
      <c r="A1179" s="20"/>
      <c r="B1179" s="20"/>
      <c r="DS1179" s="22"/>
      <c r="DT1179" s="22"/>
    </row>
    <row r="1180" spans="1:124" s="21" customFormat="1" x14ac:dyDescent="0.25">
      <c r="A1180" s="20"/>
      <c r="B1180" s="20"/>
      <c r="DS1180" s="22"/>
      <c r="DT1180" s="22"/>
    </row>
    <row r="1181" spans="1:124" s="21" customFormat="1" x14ac:dyDescent="0.25">
      <c r="A1181" s="20"/>
      <c r="B1181" s="20"/>
      <c r="DS1181" s="22"/>
      <c r="DT1181" s="22"/>
    </row>
    <row r="1182" spans="1:124" s="21" customFormat="1" x14ac:dyDescent="0.25">
      <c r="A1182" s="20"/>
      <c r="B1182" s="20"/>
      <c r="DS1182" s="22"/>
      <c r="DT1182" s="22"/>
    </row>
    <row r="1183" spans="1:124" s="21" customFormat="1" x14ac:dyDescent="0.25">
      <c r="A1183" s="20"/>
      <c r="B1183" s="20"/>
      <c r="DS1183" s="22"/>
      <c r="DT1183" s="22"/>
    </row>
    <row r="1184" spans="1:124" s="21" customFormat="1" x14ac:dyDescent="0.25">
      <c r="A1184" s="20"/>
      <c r="B1184" s="20"/>
      <c r="DS1184" s="22"/>
      <c r="DT1184" s="22"/>
    </row>
    <row r="1185" spans="1:124" s="21" customFormat="1" x14ac:dyDescent="0.25">
      <c r="A1185" s="20"/>
      <c r="B1185" s="20"/>
      <c r="DS1185" s="22"/>
      <c r="DT1185" s="22"/>
    </row>
    <row r="1186" spans="1:124" s="21" customFormat="1" x14ac:dyDescent="0.25">
      <c r="A1186" s="20"/>
      <c r="B1186" s="20"/>
      <c r="DS1186" s="22"/>
      <c r="DT1186" s="22"/>
    </row>
    <row r="1187" spans="1:124" s="21" customFormat="1" x14ac:dyDescent="0.25">
      <c r="A1187" s="20"/>
      <c r="B1187" s="20"/>
      <c r="DS1187" s="22"/>
      <c r="DT1187" s="22"/>
    </row>
    <row r="1188" spans="1:124" s="21" customFormat="1" x14ac:dyDescent="0.25">
      <c r="A1188" s="20"/>
      <c r="B1188" s="20"/>
      <c r="DS1188" s="22"/>
      <c r="DT1188" s="22"/>
    </row>
    <row r="1189" spans="1:124" s="21" customFormat="1" x14ac:dyDescent="0.25">
      <c r="A1189" s="20"/>
      <c r="B1189" s="20"/>
      <c r="DS1189" s="22"/>
      <c r="DT1189" s="22"/>
    </row>
    <row r="1190" spans="1:124" s="21" customFormat="1" x14ac:dyDescent="0.25">
      <c r="A1190" s="20"/>
      <c r="B1190" s="20"/>
      <c r="DS1190" s="22"/>
      <c r="DT1190" s="22"/>
    </row>
    <row r="1191" spans="1:124" s="21" customFormat="1" x14ac:dyDescent="0.25">
      <c r="A1191" s="20"/>
      <c r="B1191" s="20"/>
      <c r="DS1191" s="22"/>
      <c r="DT1191" s="22"/>
    </row>
    <row r="1192" spans="1:124" s="21" customFormat="1" x14ac:dyDescent="0.25">
      <c r="A1192" s="20"/>
      <c r="B1192" s="20"/>
      <c r="DS1192" s="22"/>
      <c r="DT1192" s="22"/>
    </row>
    <row r="1193" spans="1:124" s="21" customFormat="1" x14ac:dyDescent="0.25">
      <c r="A1193" s="20"/>
      <c r="B1193" s="20"/>
      <c r="DS1193" s="22"/>
      <c r="DT1193" s="22"/>
    </row>
    <row r="1194" spans="1:124" s="21" customFormat="1" x14ac:dyDescent="0.25">
      <c r="A1194" s="20"/>
      <c r="B1194" s="20"/>
      <c r="DS1194" s="22"/>
      <c r="DT1194" s="22"/>
    </row>
    <row r="1195" spans="1:124" s="21" customFormat="1" x14ac:dyDescent="0.25">
      <c r="A1195" s="20"/>
      <c r="B1195" s="20"/>
      <c r="DS1195" s="22"/>
      <c r="DT1195" s="22"/>
    </row>
    <row r="1196" spans="1:124" s="21" customFormat="1" x14ac:dyDescent="0.25">
      <c r="A1196" s="20"/>
      <c r="B1196" s="20"/>
      <c r="DS1196" s="22"/>
      <c r="DT1196" s="22"/>
    </row>
    <row r="1197" spans="1:124" s="21" customFormat="1" x14ac:dyDescent="0.25">
      <c r="A1197" s="20"/>
      <c r="B1197" s="20"/>
      <c r="DS1197" s="22"/>
      <c r="DT1197" s="22"/>
    </row>
    <row r="1198" spans="1:124" s="21" customFormat="1" x14ac:dyDescent="0.25">
      <c r="A1198" s="20"/>
      <c r="B1198" s="20"/>
      <c r="DS1198" s="22"/>
      <c r="DT1198" s="22"/>
    </row>
    <row r="1199" spans="1:124" s="21" customFormat="1" x14ac:dyDescent="0.25">
      <c r="A1199" s="20"/>
      <c r="B1199" s="20"/>
      <c r="DS1199" s="22"/>
      <c r="DT1199" s="22"/>
    </row>
    <row r="1200" spans="1:124" s="21" customFormat="1" x14ac:dyDescent="0.25">
      <c r="A1200" s="20"/>
      <c r="B1200" s="20"/>
      <c r="DS1200" s="22"/>
      <c r="DT1200" s="22"/>
    </row>
    <row r="1201" spans="1:124" s="21" customFormat="1" x14ac:dyDescent="0.25">
      <c r="A1201" s="20"/>
      <c r="B1201" s="20"/>
      <c r="DS1201" s="22"/>
      <c r="DT1201" s="22"/>
    </row>
    <row r="1202" spans="1:124" s="21" customFormat="1" x14ac:dyDescent="0.25">
      <c r="A1202" s="20"/>
      <c r="B1202" s="20"/>
      <c r="DS1202" s="22"/>
      <c r="DT1202" s="22"/>
    </row>
    <row r="1203" spans="1:124" s="21" customFormat="1" x14ac:dyDescent="0.25">
      <c r="A1203" s="20"/>
      <c r="B1203" s="20"/>
      <c r="DS1203" s="22"/>
      <c r="DT1203" s="22"/>
    </row>
    <row r="1204" spans="1:124" s="21" customFormat="1" x14ac:dyDescent="0.25">
      <c r="A1204" s="20"/>
      <c r="B1204" s="20"/>
      <c r="DS1204" s="22"/>
      <c r="DT1204" s="22"/>
    </row>
    <row r="1205" spans="1:124" s="21" customFormat="1" x14ac:dyDescent="0.25">
      <c r="A1205" s="20"/>
      <c r="B1205" s="20"/>
      <c r="DS1205" s="22"/>
      <c r="DT1205" s="22"/>
    </row>
    <row r="1206" spans="1:124" s="21" customFormat="1" x14ac:dyDescent="0.25">
      <c r="A1206" s="20"/>
      <c r="B1206" s="20"/>
      <c r="DS1206" s="22"/>
      <c r="DT1206" s="22"/>
    </row>
    <row r="1207" spans="1:124" s="21" customFormat="1" x14ac:dyDescent="0.25">
      <c r="A1207" s="20"/>
      <c r="B1207" s="20"/>
      <c r="DS1207" s="22"/>
      <c r="DT1207" s="22"/>
    </row>
    <row r="1208" spans="1:124" s="21" customFormat="1" x14ac:dyDescent="0.25">
      <c r="A1208" s="20"/>
      <c r="B1208" s="20"/>
      <c r="DS1208" s="22"/>
      <c r="DT1208" s="22"/>
    </row>
    <row r="1209" spans="1:124" s="21" customFormat="1" x14ac:dyDescent="0.25">
      <c r="A1209" s="20"/>
      <c r="B1209" s="20"/>
      <c r="DS1209" s="22"/>
      <c r="DT1209" s="22"/>
    </row>
    <row r="1210" spans="1:124" s="21" customFormat="1" x14ac:dyDescent="0.25">
      <c r="A1210" s="20"/>
      <c r="B1210" s="20"/>
      <c r="DS1210" s="22"/>
      <c r="DT1210" s="22"/>
    </row>
    <row r="1211" spans="1:124" s="21" customFormat="1" x14ac:dyDescent="0.25">
      <c r="A1211" s="20"/>
      <c r="B1211" s="20"/>
      <c r="DS1211" s="22"/>
      <c r="DT1211" s="22"/>
    </row>
    <row r="1212" spans="1:124" s="21" customFormat="1" x14ac:dyDescent="0.25">
      <c r="A1212" s="20"/>
      <c r="B1212" s="20"/>
      <c r="DS1212" s="22"/>
      <c r="DT1212" s="22"/>
    </row>
    <row r="1213" spans="1:124" s="21" customFormat="1" x14ac:dyDescent="0.25">
      <c r="A1213" s="20"/>
      <c r="B1213" s="20"/>
      <c r="DS1213" s="22"/>
      <c r="DT1213" s="22"/>
    </row>
    <row r="1214" spans="1:124" s="21" customFormat="1" x14ac:dyDescent="0.25">
      <c r="A1214" s="20"/>
      <c r="B1214" s="20"/>
      <c r="DS1214" s="22"/>
      <c r="DT1214" s="22"/>
    </row>
    <row r="1215" spans="1:124" s="21" customFormat="1" x14ac:dyDescent="0.25">
      <c r="A1215" s="20"/>
      <c r="B1215" s="20"/>
      <c r="DS1215" s="22"/>
      <c r="DT1215" s="22"/>
    </row>
    <row r="1216" spans="1:124" s="21" customFormat="1" x14ac:dyDescent="0.25">
      <c r="A1216" s="20"/>
      <c r="B1216" s="20"/>
      <c r="DS1216" s="22"/>
      <c r="DT1216" s="22"/>
    </row>
    <row r="1217" spans="1:124" s="21" customFormat="1" x14ac:dyDescent="0.25">
      <c r="A1217" s="20"/>
      <c r="B1217" s="20"/>
      <c r="DS1217" s="22"/>
      <c r="DT1217" s="22"/>
    </row>
    <row r="1218" spans="1:124" s="21" customFormat="1" x14ac:dyDescent="0.25">
      <c r="A1218" s="20"/>
      <c r="B1218" s="20"/>
      <c r="DS1218" s="22"/>
      <c r="DT1218" s="22"/>
    </row>
    <row r="1219" spans="1:124" s="21" customFormat="1" x14ac:dyDescent="0.25">
      <c r="A1219" s="20"/>
      <c r="B1219" s="20"/>
      <c r="DS1219" s="22"/>
      <c r="DT1219" s="22"/>
    </row>
    <row r="1220" spans="1:124" s="21" customFormat="1" x14ac:dyDescent="0.25">
      <c r="A1220" s="20"/>
      <c r="B1220" s="20"/>
      <c r="DS1220" s="22"/>
      <c r="DT1220" s="22"/>
    </row>
    <row r="1221" spans="1:124" s="21" customFormat="1" x14ac:dyDescent="0.25">
      <c r="A1221" s="20"/>
      <c r="B1221" s="20"/>
      <c r="DS1221" s="22"/>
      <c r="DT1221" s="22"/>
    </row>
    <row r="1222" spans="1:124" s="21" customFormat="1" x14ac:dyDescent="0.25">
      <c r="A1222" s="20"/>
      <c r="B1222" s="20"/>
      <c r="DS1222" s="22"/>
      <c r="DT1222" s="22"/>
    </row>
    <row r="1223" spans="1:124" s="21" customFormat="1" x14ac:dyDescent="0.25">
      <c r="A1223" s="20"/>
      <c r="B1223" s="20"/>
      <c r="DS1223" s="22"/>
      <c r="DT1223" s="22"/>
    </row>
    <row r="1224" spans="1:124" s="21" customFormat="1" x14ac:dyDescent="0.25">
      <c r="A1224" s="20"/>
      <c r="B1224" s="20"/>
      <c r="DS1224" s="22"/>
      <c r="DT1224" s="22"/>
    </row>
    <row r="1225" spans="1:124" s="21" customFormat="1" x14ac:dyDescent="0.25">
      <c r="A1225" s="20"/>
      <c r="B1225" s="20"/>
      <c r="DS1225" s="22"/>
      <c r="DT1225" s="22"/>
    </row>
    <row r="1226" spans="1:124" s="21" customFormat="1" x14ac:dyDescent="0.25">
      <c r="A1226" s="20"/>
      <c r="B1226" s="20"/>
      <c r="DS1226" s="22"/>
      <c r="DT1226" s="22"/>
    </row>
    <row r="1227" spans="1:124" s="21" customFormat="1" x14ac:dyDescent="0.25">
      <c r="A1227" s="20"/>
      <c r="B1227" s="20"/>
      <c r="DS1227" s="22"/>
      <c r="DT1227" s="22"/>
    </row>
    <row r="1228" spans="1:124" s="21" customFormat="1" x14ac:dyDescent="0.25">
      <c r="A1228" s="20"/>
      <c r="B1228" s="20"/>
      <c r="DS1228" s="22"/>
      <c r="DT1228" s="22"/>
    </row>
    <row r="1229" spans="1:124" s="21" customFormat="1" x14ac:dyDescent="0.25">
      <c r="A1229" s="20"/>
      <c r="B1229" s="20"/>
      <c r="DS1229" s="22"/>
      <c r="DT1229" s="22"/>
    </row>
    <row r="1230" spans="1:124" s="21" customFormat="1" x14ac:dyDescent="0.25">
      <c r="A1230" s="20"/>
      <c r="B1230" s="20"/>
      <c r="DS1230" s="22"/>
      <c r="DT1230" s="22"/>
    </row>
    <row r="1231" spans="1:124" s="21" customFormat="1" x14ac:dyDescent="0.25">
      <c r="A1231" s="20"/>
      <c r="B1231" s="20"/>
      <c r="DS1231" s="22"/>
      <c r="DT1231" s="22"/>
    </row>
    <row r="1232" spans="1:124" s="21" customFormat="1" x14ac:dyDescent="0.25">
      <c r="A1232" s="20"/>
      <c r="B1232" s="20"/>
      <c r="DS1232" s="22"/>
      <c r="DT1232" s="22"/>
    </row>
    <row r="1233" spans="1:124" s="21" customFormat="1" x14ac:dyDescent="0.25">
      <c r="A1233" s="20"/>
      <c r="B1233" s="20"/>
      <c r="DS1233" s="22"/>
      <c r="DT1233" s="22"/>
    </row>
    <row r="1234" spans="1:124" s="21" customFormat="1" x14ac:dyDescent="0.25">
      <c r="A1234" s="20"/>
      <c r="B1234" s="20"/>
      <c r="DS1234" s="22"/>
      <c r="DT1234" s="22"/>
    </row>
    <row r="1235" spans="1:124" s="21" customFormat="1" x14ac:dyDescent="0.25">
      <c r="A1235" s="20"/>
      <c r="B1235" s="20"/>
      <c r="DS1235" s="22"/>
      <c r="DT1235" s="22"/>
    </row>
    <row r="1236" spans="1:124" s="21" customFormat="1" x14ac:dyDescent="0.25">
      <c r="A1236" s="20"/>
      <c r="B1236" s="20"/>
      <c r="DS1236" s="22"/>
      <c r="DT1236" s="22"/>
    </row>
    <row r="1237" spans="1:124" s="21" customFormat="1" x14ac:dyDescent="0.25">
      <c r="A1237" s="20"/>
      <c r="B1237" s="20"/>
      <c r="DS1237" s="22"/>
      <c r="DT1237" s="22"/>
    </row>
    <row r="1238" spans="1:124" s="21" customFormat="1" x14ac:dyDescent="0.25">
      <c r="A1238" s="20"/>
      <c r="B1238" s="20"/>
      <c r="DS1238" s="22"/>
      <c r="DT1238" s="22"/>
    </row>
    <row r="1239" spans="1:124" s="21" customFormat="1" x14ac:dyDescent="0.25">
      <c r="A1239" s="20"/>
      <c r="B1239" s="20"/>
      <c r="DS1239" s="22"/>
      <c r="DT1239" s="22"/>
    </row>
    <row r="1240" spans="1:124" s="21" customFormat="1" x14ac:dyDescent="0.25">
      <c r="A1240" s="20"/>
      <c r="B1240" s="20"/>
      <c r="DS1240" s="22"/>
      <c r="DT1240" s="22"/>
    </row>
    <row r="1241" spans="1:124" s="21" customFormat="1" x14ac:dyDescent="0.25">
      <c r="A1241" s="20"/>
      <c r="B1241" s="20"/>
      <c r="DS1241" s="22"/>
      <c r="DT1241" s="22"/>
    </row>
    <row r="1242" spans="1:124" s="21" customFormat="1" x14ac:dyDescent="0.25">
      <c r="A1242" s="20"/>
      <c r="B1242" s="20"/>
      <c r="DS1242" s="22"/>
      <c r="DT1242" s="22"/>
    </row>
    <row r="1243" spans="1:124" s="21" customFormat="1" x14ac:dyDescent="0.25">
      <c r="A1243" s="20"/>
      <c r="B1243" s="20"/>
      <c r="DS1243" s="22"/>
      <c r="DT1243" s="22"/>
    </row>
    <row r="1244" spans="1:124" s="21" customFormat="1" x14ac:dyDescent="0.25">
      <c r="A1244" s="20"/>
      <c r="B1244" s="20"/>
      <c r="DS1244" s="22"/>
      <c r="DT1244" s="22"/>
    </row>
    <row r="1245" spans="1:124" s="21" customFormat="1" x14ac:dyDescent="0.25">
      <c r="A1245" s="20"/>
      <c r="B1245" s="20"/>
      <c r="DS1245" s="22"/>
      <c r="DT1245" s="22"/>
    </row>
    <row r="1246" spans="1:124" s="21" customFormat="1" x14ac:dyDescent="0.25">
      <c r="A1246" s="20"/>
      <c r="B1246" s="20"/>
      <c r="DS1246" s="22"/>
      <c r="DT1246" s="22"/>
    </row>
    <row r="1247" spans="1:124" s="21" customFormat="1" x14ac:dyDescent="0.25">
      <c r="A1247" s="20"/>
      <c r="B1247" s="20"/>
      <c r="DS1247" s="22"/>
      <c r="DT1247" s="22"/>
    </row>
    <row r="1248" spans="1:124" s="21" customFormat="1" x14ac:dyDescent="0.25">
      <c r="A1248" s="20"/>
      <c r="B1248" s="20"/>
      <c r="DS1248" s="22"/>
      <c r="DT1248" s="22"/>
    </row>
    <row r="1249" spans="1:124" s="21" customFormat="1" x14ac:dyDescent="0.25">
      <c r="A1249" s="20"/>
      <c r="B1249" s="20"/>
      <c r="DS1249" s="22"/>
      <c r="DT1249" s="22"/>
    </row>
    <row r="1250" spans="1:124" s="21" customFormat="1" x14ac:dyDescent="0.25">
      <c r="A1250" s="20"/>
      <c r="B1250" s="20"/>
      <c r="DS1250" s="22"/>
      <c r="DT1250" s="22"/>
    </row>
    <row r="1251" spans="1:124" s="21" customFormat="1" x14ac:dyDescent="0.25">
      <c r="A1251" s="20"/>
      <c r="B1251" s="20"/>
      <c r="DS1251" s="22"/>
      <c r="DT1251" s="22"/>
    </row>
    <row r="1252" spans="1:124" s="21" customFormat="1" x14ac:dyDescent="0.25">
      <c r="A1252" s="20"/>
      <c r="B1252" s="20"/>
      <c r="DS1252" s="22"/>
      <c r="DT1252" s="22"/>
    </row>
    <row r="1253" spans="1:124" s="21" customFormat="1" x14ac:dyDescent="0.25">
      <c r="A1253" s="20"/>
      <c r="B1253" s="20"/>
      <c r="DS1253" s="22"/>
      <c r="DT1253" s="22"/>
    </row>
    <row r="1254" spans="1:124" s="21" customFormat="1" x14ac:dyDescent="0.25">
      <c r="A1254" s="20"/>
      <c r="B1254" s="20"/>
      <c r="DS1254" s="22"/>
      <c r="DT1254" s="22"/>
    </row>
    <row r="1255" spans="1:124" s="21" customFormat="1" x14ac:dyDescent="0.25">
      <c r="A1255" s="20"/>
      <c r="B1255" s="20"/>
      <c r="DS1255" s="22"/>
      <c r="DT1255" s="22"/>
    </row>
    <row r="1256" spans="1:124" s="21" customFormat="1" x14ac:dyDescent="0.25">
      <c r="A1256" s="20"/>
      <c r="B1256" s="20"/>
      <c r="DS1256" s="22"/>
      <c r="DT1256" s="22"/>
    </row>
    <row r="1257" spans="1:124" s="21" customFormat="1" x14ac:dyDescent="0.25">
      <c r="A1257" s="20"/>
      <c r="B1257" s="20"/>
      <c r="DS1257" s="22"/>
      <c r="DT1257" s="22"/>
    </row>
    <row r="1258" spans="1:124" s="21" customFormat="1" x14ac:dyDescent="0.25">
      <c r="A1258" s="20"/>
      <c r="B1258" s="20"/>
      <c r="DS1258" s="22"/>
      <c r="DT1258" s="22"/>
    </row>
    <row r="1259" spans="1:124" s="21" customFormat="1" x14ac:dyDescent="0.25">
      <c r="A1259" s="20"/>
      <c r="B1259" s="20"/>
      <c r="DS1259" s="22"/>
      <c r="DT1259" s="22"/>
    </row>
    <row r="1260" spans="1:124" s="21" customFormat="1" x14ac:dyDescent="0.25">
      <c r="A1260" s="20"/>
      <c r="B1260" s="20"/>
      <c r="DS1260" s="22"/>
      <c r="DT1260" s="22"/>
    </row>
    <row r="1261" spans="1:124" s="21" customFormat="1" x14ac:dyDescent="0.25">
      <c r="A1261" s="20"/>
      <c r="B1261" s="20"/>
      <c r="DS1261" s="22"/>
      <c r="DT1261" s="22"/>
    </row>
    <row r="1262" spans="1:124" s="21" customFormat="1" x14ac:dyDescent="0.25">
      <c r="A1262" s="20"/>
      <c r="B1262" s="20"/>
      <c r="DS1262" s="22"/>
      <c r="DT1262" s="22"/>
    </row>
    <row r="1263" spans="1:124" s="21" customFormat="1" x14ac:dyDescent="0.25">
      <c r="A1263" s="20"/>
      <c r="B1263" s="20"/>
      <c r="DS1263" s="22"/>
      <c r="DT1263" s="22"/>
    </row>
    <row r="1264" spans="1:124" s="21" customFormat="1" x14ac:dyDescent="0.25">
      <c r="A1264" s="20"/>
      <c r="B1264" s="20"/>
      <c r="DS1264" s="22"/>
      <c r="DT1264" s="22"/>
    </row>
    <row r="1265" spans="1:124" s="21" customFormat="1" x14ac:dyDescent="0.25">
      <c r="A1265" s="20"/>
      <c r="B1265" s="20"/>
      <c r="DS1265" s="22"/>
      <c r="DT1265" s="22"/>
    </row>
    <row r="1266" spans="1:124" s="21" customFormat="1" x14ac:dyDescent="0.25">
      <c r="A1266" s="20"/>
      <c r="B1266" s="20"/>
      <c r="DS1266" s="22"/>
      <c r="DT1266" s="22"/>
    </row>
    <row r="1267" spans="1:124" s="21" customFormat="1" x14ac:dyDescent="0.25">
      <c r="A1267" s="20"/>
      <c r="B1267" s="20"/>
      <c r="DS1267" s="22"/>
      <c r="DT1267" s="22"/>
    </row>
    <row r="1268" spans="1:124" s="21" customFormat="1" x14ac:dyDescent="0.25">
      <c r="A1268" s="20"/>
      <c r="B1268" s="20"/>
      <c r="DS1268" s="22"/>
      <c r="DT1268" s="22"/>
    </row>
    <row r="1269" spans="1:124" s="21" customFormat="1" x14ac:dyDescent="0.25">
      <c r="A1269" s="20"/>
      <c r="B1269" s="20"/>
      <c r="DS1269" s="22"/>
      <c r="DT1269" s="22"/>
    </row>
    <row r="1270" spans="1:124" s="21" customFormat="1" x14ac:dyDescent="0.25">
      <c r="A1270" s="20"/>
      <c r="B1270" s="20"/>
      <c r="DS1270" s="22"/>
      <c r="DT1270" s="22"/>
    </row>
    <row r="1271" spans="1:124" s="21" customFormat="1" x14ac:dyDescent="0.25">
      <c r="A1271" s="20"/>
      <c r="B1271" s="20"/>
      <c r="DS1271" s="22"/>
      <c r="DT1271" s="22"/>
    </row>
    <row r="1272" spans="1:124" s="21" customFormat="1" x14ac:dyDescent="0.25">
      <c r="A1272" s="20"/>
      <c r="B1272" s="20"/>
      <c r="DS1272" s="22"/>
      <c r="DT1272" s="22"/>
    </row>
    <row r="1273" spans="1:124" s="21" customFormat="1" x14ac:dyDescent="0.25">
      <c r="A1273" s="20"/>
      <c r="B1273" s="20"/>
      <c r="DS1273" s="22"/>
      <c r="DT1273" s="22"/>
    </row>
    <row r="1274" spans="1:124" s="21" customFormat="1" x14ac:dyDescent="0.25">
      <c r="A1274" s="20"/>
      <c r="B1274" s="20"/>
      <c r="DS1274" s="22"/>
      <c r="DT1274" s="22"/>
    </row>
    <row r="1275" spans="1:124" s="21" customFormat="1" x14ac:dyDescent="0.25">
      <c r="A1275" s="20"/>
      <c r="B1275" s="20"/>
      <c r="DS1275" s="22"/>
      <c r="DT1275" s="22"/>
    </row>
    <row r="1276" spans="1:124" s="21" customFormat="1" x14ac:dyDescent="0.25">
      <c r="A1276" s="20"/>
      <c r="B1276" s="20"/>
      <c r="DS1276" s="22"/>
      <c r="DT1276" s="22"/>
    </row>
    <row r="1277" spans="1:124" s="21" customFormat="1" x14ac:dyDescent="0.25">
      <c r="A1277" s="20"/>
      <c r="B1277" s="20"/>
      <c r="DS1277" s="22"/>
      <c r="DT1277" s="22"/>
    </row>
    <row r="1278" spans="1:124" s="21" customFormat="1" x14ac:dyDescent="0.25">
      <c r="A1278" s="20"/>
      <c r="B1278" s="20"/>
      <c r="DS1278" s="22"/>
      <c r="DT1278" s="22"/>
    </row>
    <row r="1279" spans="1:124" s="21" customFormat="1" x14ac:dyDescent="0.25">
      <c r="A1279" s="20"/>
      <c r="B1279" s="20"/>
      <c r="DS1279" s="22"/>
      <c r="DT1279" s="22"/>
    </row>
    <row r="1280" spans="1:124" s="21" customFormat="1" x14ac:dyDescent="0.25">
      <c r="A1280" s="20"/>
      <c r="B1280" s="20"/>
      <c r="DS1280" s="22"/>
      <c r="DT1280" s="22"/>
    </row>
    <row r="1281" spans="1:124" s="21" customFormat="1" x14ac:dyDescent="0.25">
      <c r="A1281" s="20"/>
      <c r="B1281" s="20"/>
      <c r="DS1281" s="22"/>
      <c r="DT1281" s="22"/>
    </row>
    <row r="1282" spans="1:124" s="21" customFormat="1" x14ac:dyDescent="0.25">
      <c r="A1282" s="20"/>
      <c r="B1282" s="20"/>
      <c r="DS1282" s="22"/>
      <c r="DT1282" s="22"/>
    </row>
    <row r="1283" spans="1:124" s="21" customFormat="1" x14ac:dyDescent="0.25">
      <c r="A1283" s="20"/>
      <c r="B1283" s="20"/>
      <c r="DS1283" s="22"/>
      <c r="DT1283" s="22"/>
    </row>
    <row r="1284" spans="1:124" s="21" customFormat="1" x14ac:dyDescent="0.25">
      <c r="A1284" s="20"/>
      <c r="B1284" s="20"/>
      <c r="DS1284" s="22"/>
      <c r="DT1284" s="22"/>
    </row>
    <row r="1285" spans="1:124" s="21" customFormat="1" x14ac:dyDescent="0.25">
      <c r="A1285" s="20"/>
      <c r="B1285" s="20"/>
      <c r="DS1285" s="22"/>
      <c r="DT1285" s="22"/>
    </row>
    <row r="1286" spans="1:124" s="21" customFormat="1" x14ac:dyDescent="0.25">
      <c r="A1286" s="20"/>
      <c r="B1286" s="20"/>
      <c r="DS1286" s="22"/>
      <c r="DT1286" s="22"/>
    </row>
    <row r="1287" spans="1:124" s="21" customFormat="1" x14ac:dyDescent="0.25">
      <c r="A1287" s="20"/>
      <c r="B1287" s="20"/>
      <c r="DS1287" s="22"/>
      <c r="DT1287" s="22"/>
    </row>
    <row r="1288" spans="1:124" s="21" customFormat="1" x14ac:dyDescent="0.25">
      <c r="A1288" s="20"/>
      <c r="B1288" s="20"/>
      <c r="DS1288" s="22"/>
      <c r="DT1288" s="22"/>
    </row>
    <row r="1289" spans="1:124" s="21" customFormat="1" x14ac:dyDescent="0.25">
      <c r="A1289" s="20"/>
      <c r="B1289" s="20"/>
      <c r="DS1289" s="22"/>
      <c r="DT1289" s="22"/>
    </row>
    <row r="1290" spans="1:124" s="21" customFormat="1" x14ac:dyDescent="0.25">
      <c r="A1290" s="20"/>
      <c r="B1290" s="20"/>
      <c r="DS1290" s="22"/>
      <c r="DT1290" s="22"/>
    </row>
    <row r="1291" spans="1:124" s="21" customFormat="1" x14ac:dyDescent="0.25">
      <c r="A1291" s="20"/>
      <c r="B1291" s="20"/>
      <c r="DS1291" s="22"/>
      <c r="DT1291" s="22"/>
    </row>
    <row r="1292" spans="1:124" s="21" customFormat="1" x14ac:dyDescent="0.25">
      <c r="A1292" s="20"/>
      <c r="B1292" s="20"/>
      <c r="DS1292" s="22"/>
      <c r="DT1292" s="22"/>
    </row>
    <row r="1293" spans="1:124" s="21" customFormat="1" x14ac:dyDescent="0.25">
      <c r="A1293" s="20"/>
      <c r="B1293" s="20"/>
      <c r="DS1293" s="22"/>
      <c r="DT1293" s="22"/>
    </row>
    <row r="1294" spans="1:124" s="21" customFormat="1" x14ac:dyDescent="0.25">
      <c r="A1294" s="20"/>
      <c r="B1294" s="20"/>
      <c r="DS1294" s="22"/>
      <c r="DT1294" s="22"/>
    </row>
    <row r="1295" spans="1:124" s="21" customFormat="1" x14ac:dyDescent="0.25">
      <c r="A1295" s="20"/>
      <c r="B1295" s="20"/>
      <c r="DS1295" s="22"/>
      <c r="DT1295" s="22"/>
    </row>
    <row r="1296" spans="1:124" s="21" customFormat="1" x14ac:dyDescent="0.25">
      <c r="A1296" s="20"/>
      <c r="B1296" s="20"/>
      <c r="DS1296" s="22"/>
      <c r="DT1296" s="22"/>
    </row>
    <row r="1297" spans="1:124" s="21" customFormat="1" x14ac:dyDescent="0.25">
      <c r="A1297" s="20"/>
      <c r="B1297" s="20"/>
      <c r="DS1297" s="22"/>
      <c r="DT1297" s="22"/>
    </row>
    <row r="1298" spans="1:124" s="21" customFormat="1" x14ac:dyDescent="0.25">
      <c r="A1298" s="20"/>
      <c r="B1298" s="20"/>
      <c r="DS1298" s="22"/>
      <c r="DT1298" s="22"/>
    </row>
    <row r="1299" spans="1:124" s="21" customFormat="1" x14ac:dyDescent="0.25">
      <c r="A1299" s="20"/>
      <c r="B1299" s="20"/>
      <c r="DS1299" s="22"/>
      <c r="DT1299" s="22"/>
    </row>
    <row r="1300" spans="1:124" s="21" customFormat="1" x14ac:dyDescent="0.25">
      <c r="A1300" s="20"/>
      <c r="B1300" s="20"/>
      <c r="DS1300" s="22"/>
      <c r="DT1300" s="22"/>
    </row>
    <row r="1301" spans="1:124" s="21" customFormat="1" x14ac:dyDescent="0.25">
      <c r="A1301" s="20"/>
      <c r="B1301" s="20"/>
      <c r="DS1301" s="22"/>
      <c r="DT1301" s="22"/>
    </row>
    <row r="1302" spans="1:124" s="21" customFormat="1" x14ac:dyDescent="0.25">
      <c r="A1302" s="20"/>
      <c r="B1302" s="20"/>
      <c r="DS1302" s="22"/>
      <c r="DT1302" s="22"/>
    </row>
    <row r="1303" spans="1:124" s="21" customFormat="1" x14ac:dyDescent="0.25">
      <c r="A1303" s="20"/>
      <c r="B1303" s="20"/>
      <c r="DS1303" s="22"/>
      <c r="DT1303" s="22"/>
    </row>
    <row r="1304" spans="1:124" s="21" customFormat="1" x14ac:dyDescent="0.25">
      <c r="A1304" s="20"/>
      <c r="B1304" s="20"/>
      <c r="DS1304" s="22"/>
      <c r="DT1304" s="22"/>
    </row>
    <row r="1305" spans="1:124" s="21" customFormat="1" x14ac:dyDescent="0.25">
      <c r="A1305" s="20"/>
      <c r="B1305" s="20"/>
      <c r="DS1305" s="22"/>
      <c r="DT1305" s="22"/>
    </row>
    <row r="1306" spans="1:124" s="21" customFormat="1" x14ac:dyDescent="0.25">
      <c r="A1306" s="20"/>
      <c r="B1306" s="20"/>
      <c r="DS1306" s="22"/>
      <c r="DT1306" s="22"/>
    </row>
    <row r="1307" spans="1:124" s="21" customFormat="1" x14ac:dyDescent="0.25">
      <c r="A1307" s="20"/>
      <c r="B1307" s="20"/>
      <c r="DS1307" s="22"/>
      <c r="DT1307" s="22"/>
    </row>
    <row r="1308" spans="1:124" s="21" customFormat="1" x14ac:dyDescent="0.25">
      <c r="A1308" s="20"/>
      <c r="B1308" s="20"/>
      <c r="DS1308" s="22"/>
      <c r="DT1308" s="22"/>
    </row>
    <row r="1309" spans="1:124" s="21" customFormat="1" x14ac:dyDescent="0.25">
      <c r="A1309" s="20"/>
      <c r="B1309" s="20"/>
      <c r="DS1309" s="22"/>
      <c r="DT1309" s="22"/>
    </row>
    <row r="1310" spans="1:124" s="21" customFormat="1" x14ac:dyDescent="0.25">
      <c r="A1310" s="20"/>
      <c r="B1310" s="20"/>
      <c r="DS1310" s="22"/>
      <c r="DT1310" s="22"/>
    </row>
    <row r="1311" spans="1:124" s="21" customFormat="1" x14ac:dyDescent="0.25">
      <c r="A1311" s="20"/>
      <c r="B1311" s="20"/>
      <c r="DS1311" s="22"/>
      <c r="DT1311" s="22"/>
    </row>
    <row r="1312" spans="1:124" s="21" customFormat="1" x14ac:dyDescent="0.25">
      <c r="A1312" s="20"/>
      <c r="B1312" s="20"/>
      <c r="DS1312" s="22"/>
      <c r="DT1312" s="22"/>
    </row>
    <row r="1313" spans="1:124" s="21" customFormat="1" x14ac:dyDescent="0.25">
      <c r="A1313" s="20"/>
      <c r="B1313" s="20"/>
      <c r="DS1313" s="22"/>
      <c r="DT1313" s="22"/>
    </row>
    <row r="1314" spans="1:124" s="21" customFormat="1" x14ac:dyDescent="0.25">
      <c r="A1314" s="20"/>
      <c r="B1314" s="20"/>
      <c r="DS1314" s="22"/>
      <c r="DT1314" s="22"/>
    </row>
    <row r="1315" spans="1:124" s="21" customFormat="1" x14ac:dyDescent="0.25">
      <c r="A1315" s="20"/>
      <c r="B1315" s="20"/>
      <c r="DS1315" s="22"/>
      <c r="DT1315" s="22"/>
    </row>
    <row r="1316" spans="1:124" s="21" customFormat="1" x14ac:dyDescent="0.25">
      <c r="A1316" s="20"/>
      <c r="B1316" s="20"/>
      <c r="DS1316" s="22"/>
      <c r="DT1316" s="22"/>
    </row>
    <row r="1317" spans="1:124" s="21" customFormat="1" x14ac:dyDescent="0.25">
      <c r="A1317" s="20"/>
      <c r="B1317" s="20"/>
      <c r="DS1317" s="22"/>
      <c r="DT1317" s="22"/>
    </row>
    <row r="1318" spans="1:124" s="21" customFormat="1" x14ac:dyDescent="0.25">
      <c r="A1318" s="20"/>
      <c r="B1318" s="20"/>
      <c r="DS1318" s="22"/>
      <c r="DT1318" s="22"/>
    </row>
    <row r="1319" spans="1:124" s="21" customFormat="1" x14ac:dyDescent="0.25">
      <c r="A1319" s="20"/>
      <c r="B1319" s="20"/>
      <c r="DS1319" s="22"/>
      <c r="DT1319" s="22"/>
    </row>
    <row r="1320" spans="1:124" s="21" customFormat="1" x14ac:dyDescent="0.25">
      <c r="A1320" s="20"/>
      <c r="B1320" s="20"/>
      <c r="DS1320" s="22"/>
      <c r="DT1320" s="22"/>
    </row>
    <row r="1321" spans="1:124" s="21" customFormat="1" x14ac:dyDescent="0.25">
      <c r="A1321" s="20"/>
      <c r="B1321" s="20"/>
      <c r="DS1321" s="22"/>
      <c r="DT1321" s="22"/>
    </row>
    <row r="1322" spans="1:124" s="21" customFormat="1" x14ac:dyDescent="0.25">
      <c r="A1322" s="20"/>
      <c r="B1322" s="20"/>
      <c r="DS1322" s="22"/>
      <c r="DT1322" s="22"/>
    </row>
    <row r="1323" spans="1:124" s="21" customFormat="1" x14ac:dyDescent="0.25">
      <c r="A1323" s="20"/>
      <c r="B1323" s="20"/>
      <c r="DS1323" s="22"/>
      <c r="DT1323" s="22"/>
    </row>
    <row r="1324" spans="1:124" s="21" customFormat="1" x14ac:dyDescent="0.25">
      <c r="A1324" s="20"/>
      <c r="B1324" s="20"/>
      <c r="DS1324" s="22"/>
      <c r="DT1324" s="22"/>
    </row>
    <row r="1325" spans="1:124" s="21" customFormat="1" x14ac:dyDescent="0.25">
      <c r="A1325" s="20"/>
      <c r="B1325" s="20"/>
      <c r="DS1325" s="22"/>
      <c r="DT1325" s="22"/>
    </row>
    <row r="1326" spans="1:124" s="21" customFormat="1" x14ac:dyDescent="0.25">
      <c r="A1326" s="20"/>
      <c r="B1326" s="20"/>
      <c r="DS1326" s="22"/>
      <c r="DT1326" s="22"/>
    </row>
    <row r="1327" spans="1:124" s="21" customFormat="1" x14ac:dyDescent="0.25">
      <c r="A1327" s="20"/>
      <c r="B1327" s="20"/>
      <c r="DS1327" s="22"/>
      <c r="DT1327" s="22"/>
    </row>
    <row r="1328" spans="1:124" s="21" customFormat="1" x14ac:dyDescent="0.25">
      <c r="A1328" s="20"/>
      <c r="B1328" s="20"/>
      <c r="DS1328" s="22"/>
      <c r="DT1328" s="22"/>
    </row>
    <row r="1329" spans="1:124" s="21" customFormat="1" x14ac:dyDescent="0.25">
      <c r="A1329" s="20"/>
      <c r="B1329" s="20"/>
      <c r="DS1329" s="22"/>
      <c r="DT1329" s="22"/>
    </row>
    <row r="1330" spans="1:124" s="21" customFormat="1" x14ac:dyDescent="0.25">
      <c r="A1330" s="20"/>
      <c r="B1330" s="20"/>
      <c r="DS1330" s="22"/>
      <c r="DT1330" s="22"/>
    </row>
    <row r="1331" spans="1:124" s="21" customFormat="1" x14ac:dyDescent="0.25">
      <c r="A1331" s="20"/>
      <c r="B1331" s="20"/>
      <c r="DS1331" s="22"/>
      <c r="DT1331" s="22"/>
    </row>
    <row r="1332" spans="1:124" s="21" customFormat="1" x14ac:dyDescent="0.25">
      <c r="A1332" s="20"/>
      <c r="B1332" s="20"/>
      <c r="DS1332" s="22"/>
      <c r="DT1332" s="22"/>
    </row>
    <row r="1333" spans="1:124" s="21" customFormat="1" x14ac:dyDescent="0.25">
      <c r="A1333" s="20"/>
      <c r="B1333" s="20"/>
      <c r="DS1333" s="22"/>
      <c r="DT1333" s="22"/>
    </row>
    <row r="1334" spans="1:124" s="21" customFormat="1" x14ac:dyDescent="0.25">
      <c r="A1334" s="20"/>
      <c r="B1334" s="20"/>
      <c r="DS1334" s="22"/>
      <c r="DT1334" s="22"/>
    </row>
    <row r="1335" spans="1:124" s="21" customFormat="1" x14ac:dyDescent="0.25">
      <c r="A1335" s="20"/>
      <c r="B1335" s="20"/>
      <c r="DS1335" s="22"/>
      <c r="DT1335" s="22"/>
    </row>
    <row r="1336" spans="1:124" s="21" customFormat="1" x14ac:dyDescent="0.25">
      <c r="A1336" s="20"/>
      <c r="B1336" s="20"/>
      <c r="DS1336" s="22"/>
      <c r="DT1336" s="22"/>
    </row>
    <row r="1337" spans="1:124" s="21" customFormat="1" x14ac:dyDescent="0.25">
      <c r="A1337" s="20"/>
      <c r="B1337" s="20"/>
      <c r="DS1337" s="22"/>
      <c r="DT1337" s="22"/>
    </row>
    <row r="1338" spans="1:124" s="21" customFormat="1" x14ac:dyDescent="0.25">
      <c r="A1338" s="20"/>
      <c r="B1338" s="20"/>
      <c r="DS1338" s="22"/>
      <c r="DT1338" s="22"/>
    </row>
    <row r="1339" spans="1:124" s="21" customFormat="1" x14ac:dyDescent="0.25">
      <c r="A1339" s="20"/>
      <c r="B1339" s="20"/>
      <c r="DS1339" s="22"/>
      <c r="DT1339" s="22"/>
    </row>
    <row r="1340" spans="1:124" s="21" customFormat="1" x14ac:dyDescent="0.25">
      <c r="A1340" s="20"/>
      <c r="B1340" s="20"/>
      <c r="DS1340" s="22"/>
      <c r="DT1340" s="22"/>
    </row>
    <row r="1341" spans="1:124" s="21" customFormat="1" x14ac:dyDescent="0.25">
      <c r="A1341" s="20"/>
      <c r="B1341" s="20"/>
      <c r="DS1341" s="22"/>
      <c r="DT1341" s="22"/>
    </row>
    <row r="1342" spans="1:124" s="21" customFormat="1" x14ac:dyDescent="0.25">
      <c r="A1342" s="20"/>
      <c r="B1342" s="20"/>
      <c r="DS1342" s="22"/>
      <c r="DT1342" s="22"/>
    </row>
    <row r="1343" spans="1:124" s="21" customFormat="1" x14ac:dyDescent="0.25">
      <c r="A1343" s="20"/>
      <c r="B1343" s="20"/>
      <c r="DS1343" s="22"/>
      <c r="DT1343" s="22"/>
    </row>
    <row r="1344" spans="1:124" s="21" customFormat="1" x14ac:dyDescent="0.25">
      <c r="A1344" s="20"/>
      <c r="B1344" s="20"/>
      <c r="DS1344" s="22"/>
      <c r="DT1344" s="22"/>
    </row>
    <row r="1345" spans="1:124" s="21" customFormat="1" x14ac:dyDescent="0.25">
      <c r="A1345" s="20"/>
      <c r="B1345" s="20"/>
      <c r="DS1345" s="22"/>
      <c r="DT1345" s="22"/>
    </row>
    <row r="1346" spans="1:124" s="21" customFormat="1" x14ac:dyDescent="0.25">
      <c r="A1346" s="20"/>
      <c r="B1346" s="20"/>
      <c r="DS1346" s="22"/>
      <c r="DT1346" s="22"/>
    </row>
    <row r="1347" spans="1:124" s="21" customFormat="1" x14ac:dyDescent="0.25">
      <c r="A1347" s="20"/>
      <c r="B1347" s="20"/>
      <c r="DS1347" s="22"/>
      <c r="DT1347" s="22"/>
    </row>
    <row r="1348" spans="1:124" s="21" customFormat="1" x14ac:dyDescent="0.25">
      <c r="A1348" s="20"/>
      <c r="B1348" s="20"/>
      <c r="DS1348" s="22"/>
      <c r="DT1348" s="22"/>
    </row>
    <row r="1349" spans="1:124" s="21" customFormat="1" x14ac:dyDescent="0.25">
      <c r="A1349" s="20"/>
      <c r="B1349" s="20"/>
      <c r="DS1349" s="22"/>
      <c r="DT1349" s="22"/>
    </row>
    <row r="1350" spans="1:124" s="21" customFormat="1" x14ac:dyDescent="0.25">
      <c r="A1350" s="20"/>
      <c r="B1350" s="20"/>
      <c r="DS1350" s="22"/>
      <c r="DT1350" s="22"/>
    </row>
    <row r="1351" spans="1:124" s="21" customFormat="1" x14ac:dyDescent="0.25">
      <c r="A1351" s="20"/>
      <c r="B1351" s="20"/>
      <c r="DS1351" s="22"/>
      <c r="DT1351" s="22"/>
    </row>
    <row r="1352" spans="1:124" s="21" customFormat="1" x14ac:dyDescent="0.25">
      <c r="A1352" s="20"/>
      <c r="B1352" s="20"/>
      <c r="DS1352" s="22"/>
      <c r="DT1352" s="22"/>
    </row>
    <row r="1353" spans="1:124" s="21" customFormat="1" x14ac:dyDescent="0.25">
      <c r="A1353" s="20"/>
      <c r="B1353" s="20"/>
      <c r="DS1353" s="22"/>
      <c r="DT1353" s="22"/>
    </row>
    <row r="1354" spans="1:124" s="21" customFormat="1" x14ac:dyDescent="0.25">
      <c r="A1354" s="20"/>
      <c r="B1354" s="20"/>
      <c r="DS1354" s="22"/>
      <c r="DT1354" s="22"/>
    </row>
    <row r="1355" spans="1:124" s="21" customFormat="1" x14ac:dyDescent="0.25">
      <c r="A1355" s="20"/>
      <c r="B1355" s="20"/>
      <c r="DS1355" s="22"/>
      <c r="DT1355" s="22"/>
    </row>
    <row r="1356" spans="1:124" s="21" customFormat="1" x14ac:dyDescent="0.25">
      <c r="A1356" s="20"/>
      <c r="B1356" s="20"/>
      <c r="DS1356" s="22"/>
      <c r="DT1356" s="22"/>
    </row>
    <row r="1357" spans="1:124" s="21" customFormat="1" x14ac:dyDescent="0.25">
      <c r="A1357" s="20"/>
      <c r="B1357" s="20"/>
      <c r="DS1357" s="22"/>
      <c r="DT1357" s="22"/>
    </row>
    <row r="1358" spans="1:124" s="21" customFormat="1" x14ac:dyDescent="0.25">
      <c r="A1358" s="20"/>
      <c r="B1358" s="20"/>
      <c r="DS1358" s="22"/>
      <c r="DT1358" s="22"/>
    </row>
    <row r="1359" spans="1:124" s="21" customFormat="1" x14ac:dyDescent="0.25">
      <c r="A1359" s="20"/>
      <c r="B1359" s="20"/>
      <c r="DS1359" s="22"/>
      <c r="DT1359" s="22"/>
    </row>
    <row r="1360" spans="1:124" s="21" customFormat="1" x14ac:dyDescent="0.25">
      <c r="A1360" s="20"/>
      <c r="B1360" s="20"/>
      <c r="DS1360" s="22"/>
      <c r="DT1360" s="22"/>
    </row>
    <row r="1361" spans="1:124" s="21" customFormat="1" x14ac:dyDescent="0.25">
      <c r="A1361" s="20"/>
      <c r="B1361" s="20"/>
      <c r="DS1361" s="22"/>
      <c r="DT1361" s="22"/>
    </row>
    <row r="1362" spans="1:124" s="21" customFormat="1" x14ac:dyDescent="0.25">
      <c r="A1362" s="20"/>
      <c r="B1362" s="20"/>
      <c r="DS1362" s="22"/>
      <c r="DT1362" s="22"/>
    </row>
    <row r="1363" spans="1:124" s="21" customFormat="1" x14ac:dyDescent="0.25">
      <c r="A1363" s="20"/>
      <c r="B1363" s="20"/>
      <c r="DS1363" s="22"/>
      <c r="DT1363" s="22"/>
    </row>
    <row r="1364" spans="1:124" s="21" customFormat="1" x14ac:dyDescent="0.25">
      <c r="A1364" s="20"/>
      <c r="B1364" s="20"/>
      <c r="DS1364" s="22"/>
      <c r="DT1364" s="22"/>
    </row>
    <row r="1365" spans="1:124" s="21" customFormat="1" x14ac:dyDescent="0.25">
      <c r="A1365" s="20"/>
      <c r="B1365" s="20"/>
      <c r="DS1365" s="22"/>
      <c r="DT1365" s="22"/>
    </row>
    <row r="1366" spans="1:124" s="21" customFormat="1" x14ac:dyDescent="0.25">
      <c r="A1366" s="20"/>
      <c r="B1366" s="20"/>
      <c r="DS1366" s="22"/>
      <c r="DT1366" s="22"/>
    </row>
    <row r="1367" spans="1:124" s="21" customFormat="1" x14ac:dyDescent="0.25">
      <c r="A1367" s="20"/>
      <c r="B1367" s="20"/>
      <c r="DS1367" s="22"/>
      <c r="DT1367" s="22"/>
    </row>
    <row r="1368" spans="1:124" s="21" customFormat="1" x14ac:dyDescent="0.25">
      <c r="A1368" s="20"/>
      <c r="B1368" s="20"/>
      <c r="DS1368" s="22"/>
      <c r="DT1368" s="22"/>
    </row>
    <row r="1369" spans="1:124" s="21" customFormat="1" x14ac:dyDescent="0.25">
      <c r="A1369" s="20"/>
      <c r="B1369" s="20"/>
      <c r="DS1369" s="22"/>
      <c r="DT1369" s="22"/>
    </row>
    <row r="1370" spans="1:124" s="21" customFormat="1" x14ac:dyDescent="0.25">
      <c r="A1370" s="20"/>
      <c r="B1370" s="20"/>
      <c r="DS1370" s="22"/>
      <c r="DT1370" s="22"/>
    </row>
    <row r="1371" spans="1:124" s="21" customFormat="1" x14ac:dyDescent="0.25">
      <c r="A1371" s="20"/>
      <c r="B1371" s="20"/>
      <c r="DS1371" s="22"/>
      <c r="DT1371" s="22"/>
    </row>
    <row r="1372" spans="1:124" s="21" customFormat="1" x14ac:dyDescent="0.25">
      <c r="A1372" s="20"/>
      <c r="B1372" s="20"/>
      <c r="DS1372" s="22"/>
      <c r="DT1372" s="22"/>
    </row>
    <row r="1373" spans="1:124" s="21" customFormat="1" x14ac:dyDescent="0.25">
      <c r="A1373" s="20"/>
      <c r="B1373" s="20"/>
      <c r="DS1373" s="22"/>
      <c r="DT1373" s="22"/>
    </row>
    <row r="1374" spans="1:124" s="21" customFormat="1" x14ac:dyDescent="0.25">
      <c r="A1374" s="20"/>
      <c r="B1374" s="20"/>
      <c r="DS1374" s="22"/>
      <c r="DT1374" s="22"/>
    </row>
    <row r="1375" spans="1:124" s="21" customFormat="1" x14ac:dyDescent="0.25">
      <c r="A1375" s="20"/>
      <c r="B1375" s="20"/>
      <c r="DS1375" s="22"/>
      <c r="DT1375" s="22"/>
    </row>
    <row r="1376" spans="1:124" s="21" customFormat="1" x14ac:dyDescent="0.25">
      <c r="A1376" s="20"/>
      <c r="B1376" s="20"/>
      <c r="DS1376" s="22"/>
      <c r="DT1376" s="22"/>
    </row>
    <row r="1377" spans="1:124" s="21" customFormat="1" x14ac:dyDescent="0.25">
      <c r="A1377" s="20"/>
      <c r="B1377" s="20"/>
      <c r="DS1377" s="22"/>
      <c r="DT1377" s="22"/>
    </row>
    <row r="1378" spans="1:124" s="21" customFormat="1" x14ac:dyDescent="0.25">
      <c r="A1378" s="20"/>
      <c r="B1378" s="20"/>
      <c r="DS1378" s="22"/>
      <c r="DT1378" s="22"/>
    </row>
    <row r="1379" spans="1:124" s="21" customFormat="1" x14ac:dyDescent="0.25">
      <c r="A1379" s="20"/>
      <c r="B1379" s="20"/>
      <c r="DS1379" s="22"/>
      <c r="DT1379" s="22"/>
    </row>
    <row r="1380" spans="1:124" s="21" customFormat="1" x14ac:dyDescent="0.25">
      <c r="A1380" s="20"/>
      <c r="B1380" s="20"/>
      <c r="DS1380" s="22"/>
      <c r="DT1380" s="22"/>
    </row>
    <row r="1381" spans="1:124" s="21" customFormat="1" x14ac:dyDescent="0.25">
      <c r="A1381" s="20"/>
      <c r="B1381" s="20"/>
      <c r="DS1381" s="22"/>
      <c r="DT1381" s="22"/>
    </row>
    <row r="1382" spans="1:124" s="21" customFormat="1" x14ac:dyDescent="0.25">
      <c r="A1382" s="20"/>
      <c r="B1382" s="20"/>
      <c r="DS1382" s="22"/>
      <c r="DT1382" s="22"/>
    </row>
    <row r="1383" spans="1:124" s="21" customFormat="1" x14ac:dyDescent="0.25">
      <c r="A1383" s="20"/>
      <c r="B1383" s="20"/>
      <c r="DS1383" s="22"/>
      <c r="DT1383" s="22"/>
    </row>
    <row r="1384" spans="1:124" s="21" customFormat="1" x14ac:dyDescent="0.25">
      <c r="A1384" s="20"/>
      <c r="B1384" s="20"/>
      <c r="DS1384" s="22"/>
      <c r="DT1384" s="22"/>
    </row>
    <row r="1385" spans="1:124" s="21" customFormat="1" x14ac:dyDescent="0.25">
      <c r="A1385" s="20"/>
      <c r="B1385" s="20"/>
      <c r="DS1385" s="22"/>
      <c r="DT1385" s="22"/>
    </row>
    <row r="1386" spans="1:124" s="21" customFormat="1" x14ac:dyDescent="0.25">
      <c r="A1386" s="20"/>
      <c r="B1386" s="20"/>
      <c r="DS1386" s="22"/>
      <c r="DT1386" s="22"/>
    </row>
    <row r="1387" spans="1:124" s="21" customFormat="1" x14ac:dyDescent="0.25">
      <c r="A1387" s="20"/>
      <c r="B1387" s="20"/>
      <c r="DS1387" s="22"/>
      <c r="DT1387" s="22"/>
    </row>
    <row r="1388" spans="1:124" s="21" customFormat="1" x14ac:dyDescent="0.25">
      <c r="A1388" s="20"/>
      <c r="B1388" s="20"/>
      <c r="DS1388" s="22"/>
      <c r="DT1388" s="22"/>
    </row>
    <row r="1389" spans="1:124" s="21" customFormat="1" x14ac:dyDescent="0.25">
      <c r="A1389" s="20"/>
      <c r="B1389" s="20"/>
      <c r="DS1389" s="22"/>
      <c r="DT1389" s="22"/>
    </row>
    <row r="1390" spans="1:124" s="21" customFormat="1" x14ac:dyDescent="0.25">
      <c r="A1390" s="20"/>
      <c r="B1390" s="20"/>
      <c r="DS1390" s="22"/>
      <c r="DT1390" s="22"/>
    </row>
    <row r="1391" spans="1:124" s="21" customFormat="1" x14ac:dyDescent="0.25">
      <c r="A1391" s="20"/>
      <c r="B1391" s="20"/>
      <c r="DS1391" s="22"/>
      <c r="DT1391" s="22"/>
    </row>
    <row r="1392" spans="1:124" s="21" customFormat="1" x14ac:dyDescent="0.25">
      <c r="A1392" s="20"/>
      <c r="B1392" s="20"/>
      <c r="DS1392" s="22"/>
      <c r="DT1392" s="22"/>
    </row>
    <row r="1393" spans="1:124" s="21" customFormat="1" x14ac:dyDescent="0.25">
      <c r="A1393" s="20"/>
      <c r="B1393" s="20"/>
      <c r="DS1393" s="22"/>
      <c r="DT1393" s="22"/>
    </row>
    <row r="1394" spans="1:124" s="21" customFormat="1" x14ac:dyDescent="0.25">
      <c r="A1394" s="20"/>
      <c r="B1394" s="20"/>
      <c r="DS1394" s="22"/>
      <c r="DT1394" s="22"/>
    </row>
    <row r="1395" spans="1:124" s="21" customFormat="1" x14ac:dyDescent="0.25">
      <c r="A1395" s="20"/>
      <c r="B1395" s="20"/>
      <c r="DS1395" s="22"/>
      <c r="DT1395" s="22"/>
    </row>
    <row r="1396" spans="1:124" s="21" customFormat="1" x14ac:dyDescent="0.25">
      <c r="A1396" s="20"/>
      <c r="B1396" s="20"/>
      <c r="DS1396" s="22"/>
      <c r="DT1396" s="22"/>
    </row>
    <row r="1397" spans="1:124" s="21" customFormat="1" x14ac:dyDescent="0.25">
      <c r="A1397" s="20"/>
      <c r="B1397" s="20"/>
      <c r="DS1397" s="22"/>
      <c r="DT1397" s="22"/>
    </row>
    <row r="1398" spans="1:124" s="21" customFormat="1" x14ac:dyDescent="0.25">
      <c r="A1398" s="20"/>
      <c r="B1398" s="20"/>
      <c r="DS1398" s="22"/>
      <c r="DT1398" s="22"/>
    </row>
    <row r="1399" spans="1:124" s="21" customFormat="1" x14ac:dyDescent="0.25">
      <c r="A1399" s="20"/>
      <c r="B1399" s="20"/>
      <c r="DS1399" s="22"/>
      <c r="DT1399" s="22"/>
    </row>
    <row r="1400" spans="1:124" s="21" customFormat="1" x14ac:dyDescent="0.25">
      <c r="A1400" s="20"/>
      <c r="B1400" s="20"/>
      <c r="DS1400" s="22"/>
      <c r="DT1400" s="22"/>
    </row>
    <row r="1401" spans="1:124" s="21" customFormat="1" x14ac:dyDescent="0.25">
      <c r="A1401" s="20"/>
      <c r="B1401" s="20"/>
      <c r="DS1401" s="22"/>
      <c r="DT1401" s="22"/>
    </row>
    <row r="1402" spans="1:124" s="21" customFormat="1" x14ac:dyDescent="0.25">
      <c r="A1402" s="20"/>
      <c r="B1402" s="20"/>
      <c r="DS1402" s="22"/>
      <c r="DT1402" s="22"/>
    </row>
    <row r="1403" spans="1:124" s="21" customFormat="1" x14ac:dyDescent="0.25">
      <c r="A1403" s="20"/>
      <c r="B1403" s="20"/>
      <c r="DS1403" s="22"/>
      <c r="DT1403" s="22"/>
    </row>
    <row r="1404" spans="1:124" s="21" customFormat="1" x14ac:dyDescent="0.25">
      <c r="A1404" s="20"/>
      <c r="B1404" s="20"/>
      <c r="DS1404" s="22"/>
      <c r="DT1404" s="22"/>
    </row>
    <row r="1405" spans="1:124" s="21" customFormat="1" x14ac:dyDescent="0.25">
      <c r="A1405" s="20"/>
      <c r="B1405" s="20"/>
      <c r="DS1405" s="22"/>
      <c r="DT1405" s="22"/>
    </row>
    <row r="1406" spans="1:124" s="21" customFormat="1" x14ac:dyDescent="0.25">
      <c r="A1406" s="20"/>
      <c r="B1406" s="20"/>
      <c r="DS1406" s="22"/>
      <c r="DT1406" s="22"/>
    </row>
    <row r="1407" spans="1:124" s="21" customFormat="1" x14ac:dyDescent="0.25">
      <c r="A1407" s="20"/>
      <c r="B1407" s="20"/>
      <c r="DS1407" s="22"/>
      <c r="DT1407" s="22"/>
    </row>
    <row r="1408" spans="1:124" s="21" customFormat="1" x14ac:dyDescent="0.25">
      <c r="A1408" s="20"/>
      <c r="B1408" s="20"/>
      <c r="DS1408" s="22"/>
      <c r="DT1408" s="22"/>
    </row>
    <row r="1409" spans="1:124" s="21" customFormat="1" x14ac:dyDescent="0.25">
      <c r="A1409" s="20"/>
      <c r="B1409" s="20"/>
      <c r="DS1409" s="22"/>
      <c r="DT1409" s="22"/>
    </row>
    <row r="1410" spans="1:124" s="21" customFormat="1" x14ac:dyDescent="0.25">
      <c r="A1410" s="20"/>
      <c r="B1410" s="20"/>
      <c r="DS1410" s="22"/>
      <c r="DT1410" s="22"/>
    </row>
    <row r="1411" spans="1:124" s="21" customFormat="1" x14ac:dyDescent="0.25">
      <c r="A1411" s="20"/>
      <c r="B1411" s="20"/>
      <c r="DS1411" s="22"/>
      <c r="DT1411" s="22"/>
    </row>
    <row r="1412" spans="1:124" s="21" customFormat="1" x14ac:dyDescent="0.25">
      <c r="A1412" s="20"/>
      <c r="B1412" s="20"/>
      <c r="DS1412" s="22"/>
      <c r="DT1412" s="22"/>
    </row>
    <row r="1413" spans="1:124" s="21" customFormat="1" x14ac:dyDescent="0.25">
      <c r="A1413" s="20"/>
      <c r="B1413" s="20"/>
      <c r="DS1413" s="22"/>
      <c r="DT1413" s="22"/>
    </row>
    <row r="1414" spans="1:124" s="21" customFormat="1" x14ac:dyDescent="0.25">
      <c r="A1414" s="20"/>
      <c r="B1414" s="20"/>
      <c r="DS1414" s="22"/>
      <c r="DT1414" s="22"/>
    </row>
    <row r="1415" spans="1:124" s="21" customFormat="1" x14ac:dyDescent="0.25">
      <c r="A1415" s="20"/>
      <c r="B1415" s="20"/>
      <c r="DS1415" s="22"/>
      <c r="DT1415" s="22"/>
    </row>
    <row r="1416" spans="1:124" s="21" customFormat="1" x14ac:dyDescent="0.25">
      <c r="A1416" s="20"/>
      <c r="B1416" s="20"/>
      <c r="DS1416" s="22"/>
      <c r="DT1416" s="22"/>
    </row>
    <row r="1417" spans="1:124" s="21" customFormat="1" x14ac:dyDescent="0.25">
      <c r="A1417" s="20"/>
      <c r="B1417" s="20"/>
      <c r="DS1417" s="22"/>
      <c r="DT1417" s="22"/>
    </row>
    <row r="1418" spans="1:124" s="21" customFormat="1" x14ac:dyDescent="0.25">
      <c r="A1418" s="20"/>
      <c r="B1418" s="20"/>
      <c r="DS1418" s="22"/>
      <c r="DT1418" s="22"/>
    </row>
    <row r="1419" spans="1:124" s="21" customFormat="1" x14ac:dyDescent="0.25">
      <c r="A1419" s="20"/>
      <c r="B1419" s="20"/>
      <c r="DS1419" s="22"/>
      <c r="DT1419" s="22"/>
    </row>
    <row r="1420" spans="1:124" s="21" customFormat="1" x14ac:dyDescent="0.25">
      <c r="A1420" s="20"/>
      <c r="B1420" s="20"/>
      <c r="DS1420" s="22"/>
      <c r="DT1420" s="22"/>
    </row>
    <row r="1421" spans="1:124" s="21" customFormat="1" x14ac:dyDescent="0.25">
      <c r="A1421" s="20"/>
      <c r="B1421" s="20"/>
      <c r="DS1421" s="22"/>
      <c r="DT1421" s="22"/>
    </row>
    <row r="1422" spans="1:124" s="21" customFormat="1" x14ac:dyDescent="0.25">
      <c r="A1422" s="20"/>
      <c r="B1422" s="20"/>
      <c r="DS1422" s="22"/>
      <c r="DT1422" s="22"/>
    </row>
    <row r="1423" spans="1:124" s="21" customFormat="1" x14ac:dyDescent="0.25">
      <c r="A1423" s="20"/>
      <c r="B1423" s="20"/>
      <c r="DS1423" s="22"/>
      <c r="DT1423" s="22"/>
    </row>
    <row r="1424" spans="1:124" s="21" customFormat="1" x14ac:dyDescent="0.25">
      <c r="A1424" s="20"/>
      <c r="B1424" s="20"/>
      <c r="DS1424" s="22"/>
      <c r="DT1424" s="22"/>
    </row>
    <row r="1425" spans="1:124" s="21" customFormat="1" x14ac:dyDescent="0.25">
      <c r="A1425" s="20"/>
      <c r="B1425" s="20"/>
      <c r="DS1425" s="22"/>
      <c r="DT1425" s="22"/>
    </row>
    <row r="1426" spans="1:124" s="21" customFormat="1" x14ac:dyDescent="0.25">
      <c r="A1426" s="20"/>
      <c r="B1426" s="20"/>
      <c r="DS1426" s="22"/>
      <c r="DT1426" s="22"/>
    </row>
    <row r="1427" spans="1:124" s="21" customFormat="1" x14ac:dyDescent="0.25">
      <c r="A1427" s="20"/>
      <c r="B1427" s="20"/>
      <c r="DS1427" s="22"/>
      <c r="DT1427" s="22"/>
    </row>
    <row r="1428" spans="1:124" s="21" customFormat="1" x14ac:dyDescent="0.25">
      <c r="A1428" s="20"/>
      <c r="B1428" s="20"/>
      <c r="DS1428" s="22"/>
      <c r="DT1428" s="22"/>
    </row>
    <row r="1429" spans="1:124" s="21" customFormat="1" x14ac:dyDescent="0.25">
      <c r="A1429" s="20"/>
      <c r="B1429" s="20"/>
      <c r="DS1429" s="22"/>
      <c r="DT1429" s="22"/>
    </row>
    <row r="1430" spans="1:124" s="21" customFormat="1" x14ac:dyDescent="0.25">
      <c r="A1430" s="20"/>
      <c r="B1430" s="20"/>
      <c r="DS1430" s="22"/>
      <c r="DT1430" s="22"/>
    </row>
    <row r="1431" spans="1:124" s="21" customFormat="1" x14ac:dyDescent="0.25">
      <c r="A1431" s="20"/>
      <c r="B1431" s="20"/>
      <c r="DS1431" s="22"/>
      <c r="DT1431" s="22"/>
    </row>
    <row r="1432" spans="1:124" s="21" customFormat="1" x14ac:dyDescent="0.25">
      <c r="A1432" s="20"/>
      <c r="B1432" s="20"/>
      <c r="DS1432" s="22"/>
      <c r="DT1432" s="22"/>
    </row>
    <row r="1433" spans="1:124" s="21" customFormat="1" x14ac:dyDescent="0.25">
      <c r="A1433" s="20"/>
      <c r="B1433" s="20"/>
      <c r="DS1433" s="22"/>
      <c r="DT1433" s="22"/>
    </row>
    <row r="1434" spans="1:124" s="21" customFormat="1" x14ac:dyDescent="0.25">
      <c r="A1434" s="20"/>
      <c r="B1434" s="20"/>
      <c r="DS1434" s="22"/>
      <c r="DT1434" s="22"/>
    </row>
    <row r="1435" spans="1:124" s="21" customFormat="1" x14ac:dyDescent="0.25">
      <c r="A1435" s="20"/>
      <c r="B1435" s="20"/>
      <c r="DS1435" s="22"/>
      <c r="DT1435" s="22"/>
    </row>
    <row r="1436" spans="1:124" s="21" customFormat="1" x14ac:dyDescent="0.25">
      <c r="A1436" s="20"/>
      <c r="B1436" s="20"/>
      <c r="DS1436" s="22"/>
      <c r="DT1436" s="22"/>
    </row>
    <row r="1437" spans="1:124" s="21" customFormat="1" x14ac:dyDescent="0.25">
      <c r="A1437" s="20"/>
      <c r="B1437" s="20"/>
      <c r="DS1437" s="22"/>
      <c r="DT1437" s="22"/>
    </row>
    <row r="1438" spans="1:124" s="21" customFormat="1" x14ac:dyDescent="0.25">
      <c r="A1438" s="20"/>
      <c r="B1438" s="20"/>
      <c r="DS1438" s="22"/>
      <c r="DT1438" s="22"/>
    </row>
    <row r="1439" spans="1:124" s="21" customFormat="1" x14ac:dyDescent="0.25">
      <c r="A1439" s="20"/>
      <c r="B1439" s="20"/>
      <c r="DS1439" s="22"/>
      <c r="DT1439" s="22"/>
    </row>
    <row r="1440" spans="1:124" s="21" customFormat="1" x14ac:dyDescent="0.25">
      <c r="A1440" s="20"/>
      <c r="B1440" s="20"/>
      <c r="DS1440" s="22"/>
      <c r="DT1440" s="22"/>
    </row>
    <row r="1441" spans="1:124" s="21" customFormat="1" x14ac:dyDescent="0.25">
      <c r="A1441" s="20"/>
      <c r="B1441" s="20"/>
      <c r="DS1441" s="22"/>
      <c r="DT1441" s="22"/>
    </row>
    <row r="1442" spans="1:124" s="21" customFormat="1" x14ac:dyDescent="0.25">
      <c r="A1442" s="20"/>
      <c r="B1442" s="20"/>
      <c r="DS1442" s="22"/>
      <c r="DT1442" s="22"/>
    </row>
    <row r="1443" spans="1:124" s="21" customFormat="1" x14ac:dyDescent="0.25">
      <c r="A1443" s="20"/>
      <c r="B1443" s="20"/>
      <c r="DS1443" s="22"/>
      <c r="DT1443" s="22"/>
    </row>
    <row r="1444" spans="1:124" s="21" customFormat="1" x14ac:dyDescent="0.25">
      <c r="A1444" s="20"/>
      <c r="B1444" s="20"/>
      <c r="DS1444" s="22"/>
      <c r="DT1444" s="22"/>
    </row>
    <row r="1445" spans="1:124" s="21" customFormat="1" x14ac:dyDescent="0.25">
      <c r="A1445" s="20"/>
      <c r="B1445" s="20"/>
      <c r="DS1445" s="22"/>
      <c r="DT1445" s="22"/>
    </row>
    <row r="1446" spans="1:124" s="21" customFormat="1" x14ac:dyDescent="0.25">
      <c r="A1446" s="20"/>
      <c r="B1446" s="20"/>
      <c r="DS1446" s="22"/>
      <c r="DT1446" s="22"/>
    </row>
    <row r="1447" spans="1:124" s="21" customFormat="1" x14ac:dyDescent="0.25">
      <c r="A1447" s="20"/>
      <c r="B1447" s="20"/>
      <c r="DS1447" s="22"/>
      <c r="DT1447" s="22"/>
    </row>
    <row r="1448" spans="1:124" s="21" customFormat="1" x14ac:dyDescent="0.25">
      <c r="A1448" s="20"/>
      <c r="B1448" s="20"/>
      <c r="DS1448" s="22"/>
      <c r="DT1448" s="22"/>
    </row>
    <row r="1449" spans="1:124" s="21" customFormat="1" x14ac:dyDescent="0.25">
      <c r="A1449" s="20"/>
      <c r="B1449" s="20"/>
      <c r="DS1449" s="22"/>
      <c r="DT1449" s="22"/>
    </row>
    <row r="1450" spans="1:124" s="21" customFormat="1" x14ac:dyDescent="0.25">
      <c r="A1450" s="20"/>
      <c r="B1450" s="20"/>
      <c r="DS1450" s="22"/>
      <c r="DT1450" s="22"/>
    </row>
    <row r="1451" spans="1:124" s="21" customFormat="1" x14ac:dyDescent="0.25">
      <c r="A1451" s="20"/>
      <c r="B1451" s="20"/>
      <c r="DS1451" s="22"/>
      <c r="DT1451" s="22"/>
    </row>
    <row r="1452" spans="1:124" s="21" customFormat="1" x14ac:dyDescent="0.25">
      <c r="A1452" s="20"/>
      <c r="B1452" s="20"/>
      <c r="DS1452" s="22"/>
      <c r="DT1452" s="22"/>
    </row>
    <row r="1453" spans="1:124" s="21" customFormat="1" x14ac:dyDescent="0.25">
      <c r="A1453" s="20"/>
      <c r="B1453" s="20"/>
      <c r="DS1453" s="22"/>
      <c r="DT1453" s="22"/>
    </row>
    <row r="1454" spans="1:124" s="21" customFormat="1" x14ac:dyDescent="0.25">
      <c r="A1454" s="20"/>
      <c r="B1454" s="20"/>
      <c r="DS1454" s="22"/>
      <c r="DT1454" s="22"/>
    </row>
    <row r="1455" spans="1:124" s="21" customFormat="1" x14ac:dyDescent="0.25">
      <c r="A1455" s="20"/>
      <c r="B1455" s="20"/>
      <c r="DS1455" s="22"/>
      <c r="DT1455" s="22"/>
    </row>
    <row r="1456" spans="1:124" s="21" customFormat="1" x14ac:dyDescent="0.25">
      <c r="A1456" s="20"/>
      <c r="B1456" s="20"/>
      <c r="DS1456" s="22"/>
      <c r="DT1456" s="22"/>
    </row>
    <row r="1457" spans="1:124" s="21" customFormat="1" x14ac:dyDescent="0.25">
      <c r="A1457" s="20"/>
      <c r="B1457" s="20"/>
      <c r="DS1457" s="22"/>
      <c r="DT1457" s="22"/>
    </row>
    <row r="1458" spans="1:124" s="21" customFormat="1" x14ac:dyDescent="0.25">
      <c r="A1458" s="20"/>
      <c r="B1458" s="20"/>
      <c r="DS1458" s="22"/>
      <c r="DT1458" s="22"/>
    </row>
    <row r="1459" spans="1:124" s="21" customFormat="1" x14ac:dyDescent="0.25">
      <c r="A1459" s="20"/>
      <c r="B1459" s="20"/>
      <c r="DS1459" s="22"/>
      <c r="DT1459" s="22"/>
    </row>
    <row r="1460" spans="1:124" s="21" customFormat="1" x14ac:dyDescent="0.25">
      <c r="A1460" s="20"/>
      <c r="B1460" s="20"/>
      <c r="DS1460" s="22"/>
      <c r="DT1460" s="22"/>
    </row>
    <row r="1461" spans="1:124" s="21" customFormat="1" x14ac:dyDescent="0.25">
      <c r="A1461" s="20"/>
      <c r="B1461" s="20"/>
      <c r="DS1461" s="22"/>
      <c r="DT1461" s="22"/>
    </row>
    <row r="1462" spans="1:124" s="21" customFormat="1" x14ac:dyDescent="0.25">
      <c r="A1462" s="20"/>
      <c r="B1462" s="20"/>
      <c r="DS1462" s="22"/>
      <c r="DT1462" s="22"/>
    </row>
    <row r="1463" spans="1:124" s="21" customFormat="1" x14ac:dyDescent="0.25">
      <c r="A1463" s="20"/>
      <c r="B1463" s="20"/>
      <c r="DS1463" s="22"/>
      <c r="DT1463" s="22"/>
    </row>
    <row r="1464" spans="1:124" s="21" customFormat="1" x14ac:dyDescent="0.25">
      <c r="A1464" s="20"/>
      <c r="B1464" s="20"/>
      <c r="DS1464" s="22"/>
      <c r="DT1464" s="22"/>
    </row>
    <row r="1465" spans="1:124" s="21" customFormat="1" x14ac:dyDescent="0.25">
      <c r="A1465" s="20"/>
      <c r="B1465" s="20"/>
      <c r="DS1465" s="22"/>
      <c r="DT1465" s="22"/>
    </row>
    <row r="1466" spans="1:124" s="21" customFormat="1" x14ac:dyDescent="0.25">
      <c r="A1466" s="20"/>
      <c r="B1466" s="20"/>
      <c r="DS1466" s="22"/>
      <c r="DT1466" s="22"/>
    </row>
    <row r="1467" spans="1:124" s="21" customFormat="1" x14ac:dyDescent="0.25">
      <c r="A1467" s="20"/>
      <c r="B1467" s="20"/>
      <c r="DS1467" s="22"/>
      <c r="DT1467" s="22"/>
    </row>
    <row r="1468" spans="1:124" s="21" customFormat="1" x14ac:dyDescent="0.25">
      <c r="A1468" s="20"/>
      <c r="B1468" s="20"/>
      <c r="DS1468" s="22"/>
      <c r="DT1468" s="22"/>
    </row>
    <row r="1469" spans="1:124" s="21" customFormat="1" x14ac:dyDescent="0.25">
      <c r="A1469" s="20"/>
      <c r="B1469" s="20"/>
      <c r="DS1469" s="22"/>
      <c r="DT1469" s="22"/>
    </row>
    <row r="1470" spans="1:124" s="21" customFormat="1" x14ac:dyDescent="0.25">
      <c r="A1470" s="20"/>
      <c r="B1470" s="20"/>
      <c r="DS1470" s="22"/>
      <c r="DT1470" s="22"/>
    </row>
    <row r="1471" spans="1:124" s="21" customFormat="1" x14ac:dyDescent="0.25">
      <c r="A1471" s="20"/>
      <c r="B1471" s="20"/>
      <c r="DS1471" s="22"/>
      <c r="DT1471" s="22"/>
    </row>
    <row r="1472" spans="1:124" s="21" customFormat="1" x14ac:dyDescent="0.25">
      <c r="A1472" s="20"/>
      <c r="B1472" s="20"/>
      <c r="DS1472" s="22"/>
      <c r="DT1472" s="22"/>
    </row>
    <row r="1473" spans="1:124" s="21" customFormat="1" x14ac:dyDescent="0.25">
      <c r="A1473" s="20"/>
      <c r="B1473" s="20"/>
      <c r="DS1473" s="22"/>
      <c r="DT1473" s="22"/>
    </row>
    <row r="1474" spans="1:124" s="21" customFormat="1" x14ac:dyDescent="0.25">
      <c r="A1474" s="20"/>
      <c r="B1474" s="20"/>
      <c r="DS1474" s="22"/>
      <c r="DT1474" s="22"/>
    </row>
    <row r="1475" spans="1:124" s="21" customFormat="1" x14ac:dyDescent="0.25">
      <c r="A1475" s="20"/>
      <c r="B1475" s="20"/>
      <c r="DS1475" s="22"/>
      <c r="DT1475" s="22"/>
    </row>
    <row r="1476" spans="1:124" s="21" customFormat="1" x14ac:dyDescent="0.25">
      <c r="A1476" s="20"/>
      <c r="B1476" s="20"/>
      <c r="DS1476" s="22"/>
      <c r="DT1476" s="22"/>
    </row>
    <row r="1477" spans="1:124" s="21" customFormat="1" x14ac:dyDescent="0.25">
      <c r="A1477" s="20"/>
      <c r="B1477" s="20"/>
      <c r="DS1477" s="22"/>
      <c r="DT1477" s="22"/>
    </row>
    <row r="1478" spans="1:124" s="21" customFormat="1" x14ac:dyDescent="0.25">
      <c r="A1478" s="20"/>
      <c r="B1478" s="20"/>
      <c r="DS1478" s="22"/>
      <c r="DT1478" s="22"/>
    </row>
    <row r="1479" spans="1:124" s="21" customFormat="1" x14ac:dyDescent="0.25">
      <c r="A1479" s="20"/>
      <c r="B1479" s="20"/>
      <c r="DS1479" s="22"/>
      <c r="DT1479" s="22"/>
    </row>
    <row r="1480" spans="1:124" s="21" customFormat="1" x14ac:dyDescent="0.25">
      <c r="A1480" s="20"/>
      <c r="B1480" s="20"/>
      <c r="DS1480" s="22"/>
      <c r="DT1480" s="22"/>
    </row>
    <row r="1481" spans="1:124" s="21" customFormat="1" x14ac:dyDescent="0.25">
      <c r="A1481" s="20"/>
      <c r="B1481" s="20"/>
      <c r="DS1481" s="22"/>
      <c r="DT1481" s="22"/>
    </row>
    <row r="1482" spans="1:124" s="21" customFormat="1" x14ac:dyDescent="0.25">
      <c r="A1482" s="20"/>
      <c r="B1482" s="20"/>
      <c r="DS1482" s="22"/>
      <c r="DT1482" s="22"/>
    </row>
    <row r="1483" spans="1:124" s="21" customFormat="1" x14ac:dyDescent="0.25">
      <c r="A1483" s="20"/>
      <c r="B1483" s="20"/>
      <c r="DS1483" s="22"/>
      <c r="DT1483" s="22"/>
    </row>
    <row r="1484" spans="1:124" s="21" customFormat="1" x14ac:dyDescent="0.25">
      <c r="A1484" s="20"/>
      <c r="B1484" s="20"/>
      <c r="DS1484" s="22"/>
      <c r="DT1484" s="22"/>
    </row>
    <row r="1485" spans="1:124" s="21" customFormat="1" x14ac:dyDescent="0.25">
      <c r="A1485" s="20"/>
      <c r="B1485" s="20"/>
      <c r="DS1485" s="22"/>
      <c r="DT1485" s="22"/>
    </row>
    <row r="1486" spans="1:124" s="21" customFormat="1" x14ac:dyDescent="0.25">
      <c r="A1486" s="20"/>
      <c r="B1486" s="20"/>
      <c r="DS1486" s="22"/>
      <c r="DT1486" s="22"/>
    </row>
    <row r="1487" spans="1:124" s="21" customFormat="1" x14ac:dyDescent="0.25">
      <c r="A1487" s="20"/>
      <c r="B1487" s="20"/>
      <c r="DS1487" s="22"/>
      <c r="DT1487" s="22"/>
    </row>
    <row r="1488" spans="1:124" s="21" customFormat="1" x14ac:dyDescent="0.25">
      <c r="A1488" s="20"/>
      <c r="B1488" s="20"/>
      <c r="DS1488" s="22"/>
      <c r="DT1488" s="22"/>
    </row>
    <row r="1489" spans="1:124" s="21" customFormat="1" x14ac:dyDescent="0.25">
      <c r="A1489" s="20"/>
      <c r="B1489" s="20"/>
      <c r="DS1489" s="22"/>
      <c r="DT1489" s="22"/>
    </row>
    <row r="1490" spans="1:124" s="21" customFormat="1" x14ac:dyDescent="0.25">
      <c r="A1490" s="20"/>
      <c r="B1490" s="20"/>
      <c r="DS1490" s="22"/>
      <c r="DT1490" s="22"/>
    </row>
    <row r="1491" spans="1:124" s="21" customFormat="1" x14ac:dyDescent="0.25">
      <c r="A1491" s="20"/>
      <c r="B1491" s="20"/>
      <c r="DS1491" s="22"/>
      <c r="DT1491" s="22"/>
    </row>
    <row r="1492" spans="1:124" s="21" customFormat="1" x14ac:dyDescent="0.25">
      <c r="A1492" s="20"/>
      <c r="B1492" s="20"/>
      <c r="DS1492" s="22"/>
      <c r="DT1492" s="22"/>
    </row>
    <row r="1493" spans="1:124" s="21" customFormat="1" x14ac:dyDescent="0.25">
      <c r="A1493" s="20"/>
      <c r="B1493" s="20"/>
      <c r="DS1493" s="22"/>
      <c r="DT1493" s="22"/>
    </row>
    <row r="1494" spans="1:124" s="21" customFormat="1" x14ac:dyDescent="0.25">
      <c r="A1494" s="20"/>
      <c r="B1494" s="20"/>
      <c r="DS1494" s="22"/>
      <c r="DT1494" s="22"/>
    </row>
    <row r="1495" spans="1:124" s="21" customFormat="1" x14ac:dyDescent="0.25">
      <c r="A1495" s="20"/>
      <c r="B1495" s="20"/>
      <c r="DS1495" s="22"/>
      <c r="DT1495" s="22"/>
    </row>
    <row r="1496" spans="1:124" s="21" customFormat="1" x14ac:dyDescent="0.25">
      <c r="A1496" s="20"/>
      <c r="B1496" s="20"/>
      <c r="DS1496" s="22"/>
      <c r="DT1496" s="22"/>
    </row>
    <row r="1497" spans="1:124" s="21" customFormat="1" x14ac:dyDescent="0.25">
      <c r="A1497" s="20"/>
      <c r="B1497" s="20"/>
      <c r="DS1497" s="22"/>
      <c r="DT1497" s="22"/>
    </row>
    <row r="1498" spans="1:124" s="21" customFormat="1" x14ac:dyDescent="0.25">
      <c r="A1498" s="20"/>
      <c r="B1498" s="20"/>
      <c r="DS1498" s="22"/>
      <c r="DT1498" s="22"/>
    </row>
    <row r="1499" spans="1:124" s="21" customFormat="1" x14ac:dyDescent="0.25">
      <c r="A1499" s="20"/>
      <c r="B1499" s="20"/>
      <c r="DS1499" s="22"/>
      <c r="DT1499" s="22"/>
    </row>
    <row r="1500" spans="1:124" s="21" customFormat="1" x14ac:dyDescent="0.25">
      <c r="A1500" s="20"/>
      <c r="B1500" s="20"/>
      <c r="DS1500" s="22"/>
      <c r="DT1500" s="22"/>
    </row>
    <row r="1501" spans="1:124" s="21" customFormat="1" x14ac:dyDescent="0.25">
      <c r="A1501" s="20"/>
      <c r="B1501" s="20"/>
      <c r="DS1501" s="22"/>
      <c r="DT1501" s="22"/>
    </row>
    <row r="1502" spans="1:124" s="21" customFormat="1" x14ac:dyDescent="0.25">
      <c r="A1502" s="20"/>
      <c r="B1502" s="20"/>
      <c r="DS1502" s="22"/>
      <c r="DT1502" s="22"/>
    </row>
    <row r="1503" spans="1:124" s="21" customFormat="1" x14ac:dyDescent="0.25">
      <c r="A1503" s="20"/>
      <c r="B1503" s="20"/>
      <c r="DS1503" s="22"/>
      <c r="DT1503" s="22"/>
    </row>
    <row r="1504" spans="1:124" s="21" customFormat="1" x14ac:dyDescent="0.25">
      <c r="A1504" s="20"/>
      <c r="B1504" s="20"/>
      <c r="DS1504" s="22"/>
      <c r="DT1504" s="22"/>
    </row>
    <row r="1505" spans="1:124" s="21" customFormat="1" x14ac:dyDescent="0.25">
      <c r="A1505" s="20"/>
      <c r="B1505" s="20"/>
      <c r="DS1505" s="22"/>
      <c r="DT1505" s="22"/>
    </row>
    <row r="1506" spans="1:124" s="21" customFormat="1" x14ac:dyDescent="0.25">
      <c r="A1506" s="20"/>
      <c r="B1506" s="20"/>
      <c r="DS1506" s="22"/>
      <c r="DT1506" s="22"/>
    </row>
    <row r="1507" spans="1:124" s="21" customFormat="1" x14ac:dyDescent="0.25">
      <c r="A1507" s="20"/>
      <c r="B1507" s="20"/>
      <c r="DS1507" s="22"/>
      <c r="DT1507" s="22"/>
    </row>
    <row r="1508" spans="1:124" s="21" customFormat="1" x14ac:dyDescent="0.25">
      <c r="A1508" s="20"/>
      <c r="B1508" s="20"/>
      <c r="DS1508" s="22"/>
      <c r="DT1508" s="22"/>
    </row>
    <row r="1509" spans="1:124" s="21" customFormat="1" x14ac:dyDescent="0.25">
      <c r="A1509" s="20"/>
      <c r="B1509" s="20"/>
      <c r="DS1509" s="22"/>
      <c r="DT1509" s="22"/>
    </row>
    <row r="1510" spans="1:124" s="21" customFormat="1" x14ac:dyDescent="0.25">
      <c r="A1510" s="20"/>
      <c r="B1510" s="20"/>
      <c r="DS1510" s="22"/>
      <c r="DT1510" s="22"/>
    </row>
    <row r="1511" spans="1:124" s="21" customFormat="1" x14ac:dyDescent="0.25">
      <c r="A1511" s="20"/>
      <c r="B1511" s="20"/>
      <c r="DS1511" s="22"/>
      <c r="DT1511" s="22"/>
    </row>
    <row r="1512" spans="1:124" s="21" customFormat="1" x14ac:dyDescent="0.25">
      <c r="A1512" s="20"/>
      <c r="B1512" s="20"/>
      <c r="DS1512" s="22"/>
      <c r="DT1512" s="22"/>
    </row>
    <row r="1513" spans="1:124" s="21" customFormat="1" x14ac:dyDescent="0.25">
      <c r="A1513" s="20"/>
      <c r="B1513" s="20"/>
      <c r="DS1513" s="22"/>
      <c r="DT1513" s="22"/>
    </row>
    <row r="1514" spans="1:124" s="21" customFormat="1" x14ac:dyDescent="0.25">
      <c r="A1514" s="20"/>
      <c r="B1514" s="20"/>
      <c r="DS1514" s="22"/>
      <c r="DT1514" s="22"/>
    </row>
    <row r="1515" spans="1:124" s="21" customFormat="1" x14ac:dyDescent="0.25">
      <c r="A1515" s="20"/>
      <c r="B1515" s="20"/>
      <c r="DS1515" s="22"/>
      <c r="DT1515" s="22"/>
    </row>
    <row r="1516" spans="1:124" s="21" customFormat="1" x14ac:dyDescent="0.25">
      <c r="A1516" s="20"/>
      <c r="B1516" s="20"/>
      <c r="DS1516" s="22"/>
      <c r="DT1516" s="22"/>
    </row>
    <row r="1517" spans="1:124" s="21" customFormat="1" x14ac:dyDescent="0.25">
      <c r="A1517" s="20"/>
      <c r="B1517" s="20"/>
      <c r="DS1517" s="22"/>
      <c r="DT1517" s="22"/>
    </row>
    <row r="1518" spans="1:124" s="21" customFormat="1" x14ac:dyDescent="0.25">
      <c r="A1518" s="20"/>
      <c r="B1518" s="20"/>
      <c r="DS1518" s="22"/>
      <c r="DT1518" s="22"/>
    </row>
    <row r="1519" spans="1:124" s="21" customFormat="1" x14ac:dyDescent="0.25">
      <c r="A1519" s="20"/>
      <c r="B1519" s="20"/>
      <c r="DS1519" s="22"/>
      <c r="DT1519" s="22"/>
    </row>
    <row r="1520" spans="1:124" s="21" customFormat="1" x14ac:dyDescent="0.25">
      <c r="A1520" s="20"/>
      <c r="B1520" s="20"/>
      <c r="DS1520" s="22"/>
      <c r="DT1520" s="22"/>
    </row>
    <row r="1521" spans="1:124" s="21" customFormat="1" x14ac:dyDescent="0.25">
      <c r="A1521" s="20"/>
      <c r="B1521" s="20"/>
      <c r="DS1521" s="22"/>
      <c r="DT1521" s="22"/>
    </row>
    <row r="1522" spans="1:124" s="21" customFormat="1" x14ac:dyDescent="0.25">
      <c r="A1522" s="20"/>
      <c r="B1522" s="20"/>
      <c r="DS1522" s="22"/>
      <c r="DT1522" s="22"/>
    </row>
    <row r="1523" spans="1:124" s="21" customFormat="1" x14ac:dyDescent="0.25">
      <c r="A1523" s="20"/>
      <c r="B1523" s="20"/>
      <c r="DS1523" s="22"/>
      <c r="DT1523" s="22"/>
    </row>
    <row r="1524" spans="1:124" s="21" customFormat="1" x14ac:dyDescent="0.25">
      <c r="A1524" s="20"/>
      <c r="B1524" s="20"/>
      <c r="DS1524" s="22"/>
      <c r="DT1524" s="22"/>
    </row>
    <row r="1525" spans="1:124" s="21" customFormat="1" x14ac:dyDescent="0.25">
      <c r="A1525" s="20"/>
      <c r="B1525" s="20"/>
      <c r="DS1525" s="22"/>
      <c r="DT1525" s="22"/>
    </row>
    <row r="1526" spans="1:124" s="21" customFormat="1" x14ac:dyDescent="0.25">
      <c r="A1526" s="20"/>
      <c r="B1526" s="20"/>
      <c r="DS1526" s="22"/>
      <c r="DT1526" s="22"/>
    </row>
    <row r="1527" spans="1:124" s="21" customFormat="1" x14ac:dyDescent="0.25">
      <c r="A1527" s="20"/>
      <c r="B1527" s="20"/>
      <c r="DS1527" s="22"/>
      <c r="DT1527" s="22"/>
    </row>
    <row r="1528" spans="1:124" s="21" customFormat="1" x14ac:dyDescent="0.25">
      <c r="A1528" s="20"/>
      <c r="B1528" s="20"/>
      <c r="DS1528" s="22"/>
      <c r="DT1528" s="22"/>
    </row>
    <row r="1529" spans="1:124" s="21" customFormat="1" x14ac:dyDescent="0.25">
      <c r="A1529" s="20"/>
      <c r="B1529" s="20"/>
      <c r="DS1529" s="22"/>
      <c r="DT1529" s="22"/>
    </row>
    <row r="1530" spans="1:124" s="21" customFormat="1" x14ac:dyDescent="0.25">
      <c r="A1530" s="20"/>
      <c r="B1530" s="20"/>
      <c r="DS1530" s="22"/>
      <c r="DT1530" s="22"/>
    </row>
    <row r="1531" spans="1:124" s="21" customFormat="1" x14ac:dyDescent="0.25">
      <c r="A1531" s="20"/>
      <c r="B1531" s="20"/>
      <c r="DS1531" s="22"/>
      <c r="DT1531" s="22"/>
    </row>
    <row r="1532" spans="1:124" s="21" customFormat="1" x14ac:dyDescent="0.25">
      <c r="A1532" s="20"/>
      <c r="B1532" s="20"/>
      <c r="DS1532" s="22"/>
      <c r="DT1532" s="22"/>
    </row>
    <row r="1533" spans="1:124" s="21" customFormat="1" x14ac:dyDescent="0.25">
      <c r="A1533" s="20"/>
      <c r="B1533" s="20"/>
      <c r="DS1533" s="22"/>
      <c r="DT1533" s="22"/>
    </row>
    <row r="1534" spans="1:124" s="21" customFormat="1" x14ac:dyDescent="0.25">
      <c r="A1534" s="20"/>
      <c r="B1534" s="20"/>
      <c r="DS1534" s="22"/>
      <c r="DT1534" s="22"/>
    </row>
    <row r="1535" spans="1:124" s="21" customFormat="1" x14ac:dyDescent="0.25">
      <c r="A1535" s="20"/>
      <c r="B1535" s="20"/>
      <c r="DS1535" s="22"/>
      <c r="DT1535" s="22"/>
    </row>
    <row r="1536" spans="1:124" s="21" customFormat="1" x14ac:dyDescent="0.25">
      <c r="A1536" s="20"/>
      <c r="B1536" s="20"/>
      <c r="DS1536" s="22"/>
      <c r="DT1536" s="22"/>
    </row>
    <row r="1537" spans="1:124" s="21" customFormat="1" x14ac:dyDescent="0.25">
      <c r="A1537" s="20"/>
      <c r="B1537" s="20"/>
      <c r="DS1537" s="22"/>
      <c r="DT1537" s="22"/>
    </row>
    <row r="1538" spans="1:124" s="21" customFormat="1" x14ac:dyDescent="0.25">
      <c r="A1538" s="20"/>
      <c r="B1538" s="20"/>
      <c r="DS1538" s="22"/>
      <c r="DT1538" s="22"/>
    </row>
    <row r="1539" spans="1:124" s="21" customFormat="1" x14ac:dyDescent="0.25">
      <c r="A1539" s="20"/>
      <c r="B1539" s="20"/>
      <c r="DS1539" s="22"/>
      <c r="DT1539" s="22"/>
    </row>
    <row r="1540" spans="1:124" s="21" customFormat="1" x14ac:dyDescent="0.25">
      <c r="A1540" s="20"/>
      <c r="B1540" s="20"/>
      <c r="DS1540" s="22"/>
      <c r="DT1540" s="22"/>
    </row>
    <row r="1541" spans="1:124" s="21" customFormat="1" x14ac:dyDescent="0.25">
      <c r="A1541" s="20"/>
      <c r="B1541" s="20"/>
      <c r="DS1541" s="22"/>
      <c r="DT1541" s="22"/>
    </row>
    <row r="1542" spans="1:124" s="21" customFormat="1" x14ac:dyDescent="0.25">
      <c r="A1542" s="20"/>
      <c r="B1542" s="20"/>
      <c r="DS1542" s="22"/>
      <c r="DT1542" s="22"/>
    </row>
    <row r="1543" spans="1:124" s="21" customFormat="1" x14ac:dyDescent="0.25">
      <c r="A1543" s="20"/>
      <c r="B1543" s="20"/>
      <c r="DS1543" s="22"/>
      <c r="DT1543" s="22"/>
    </row>
    <row r="1544" spans="1:124" s="21" customFormat="1" x14ac:dyDescent="0.25">
      <c r="A1544" s="20"/>
      <c r="B1544" s="20"/>
      <c r="DS1544" s="22"/>
      <c r="DT1544" s="22"/>
    </row>
    <row r="1545" spans="1:124" s="21" customFormat="1" x14ac:dyDescent="0.25">
      <c r="A1545" s="20"/>
      <c r="B1545" s="20"/>
      <c r="DS1545" s="22"/>
      <c r="DT1545" s="22"/>
    </row>
    <row r="1546" spans="1:124" s="21" customFormat="1" x14ac:dyDescent="0.25">
      <c r="A1546" s="20"/>
      <c r="B1546" s="20"/>
      <c r="DS1546" s="22"/>
      <c r="DT1546" s="22"/>
    </row>
    <row r="1547" spans="1:124" s="21" customFormat="1" x14ac:dyDescent="0.25">
      <c r="A1547" s="20"/>
      <c r="B1547" s="20"/>
      <c r="DS1547" s="22"/>
      <c r="DT1547" s="22"/>
    </row>
    <row r="1548" spans="1:124" s="21" customFormat="1" x14ac:dyDescent="0.25">
      <c r="A1548" s="20"/>
      <c r="B1548" s="20"/>
      <c r="DS1548" s="22"/>
      <c r="DT1548" s="22"/>
    </row>
    <row r="1549" spans="1:124" s="21" customFormat="1" x14ac:dyDescent="0.25">
      <c r="A1549" s="20"/>
      <c r="B1549" s="20"/>
      <c r="DS1549" s="22"/>
      <c r="DT1549" s="22"/>
    </row>
    <row r="1550" spans="1:124" s="21" customFormat="1" x14ac:dyDescent="0.25">
      <c r="A1550" s="20"/>
      <c r="B1550" s="20"/>
      <c r="DS1550" s="22"/>
      <c r="DT1550" s="22"/>
    </row>
    <row r="1551" spans="1:124" s="21" customFormat="1" x14ac:dyDescent="0.25">
      <c r="A1551" s="20"/>
      <c r="B1551" s="20"/>
      <c r="DS1551" s="22"/>
      <c r="DT1551" s="22"/>
    </row>
    <row r="1552" spans="1:124" s="21" customFormat="1" x14ac:dyDescent="0.25">
      <c r="A1552" s="20"/>
      <c r="B1552" s="20"/>
      <c r="DS1552" s="22"/>
      <c r="DT1552" s="22"/>
    </row>
    <row r="1553" spans="1:124" s="21" customFormat="1" x14ac:dyDescent="0.25">
      <c r="A1553" s="20"/>
      <c r="B1553" s="20"/>
      <c r="DS1553" s="22"/>
      <c r="DT1553" s="22"/>
    </row>
    <row r="1554" spans="1:124" s="21" customFormat="1" x14ac:dyDescent="0.25">
      <c r="A1554" s="20"/>
      <c r="B1554" s="20"/>
      <c r="DS1554" s="22"/>
      <c r="DT1554" s="22"/>
    </row>
    <row r="1555" spans="1:124" s="21" customFormat="1" x14ac:dyDescent="0.25">
      <c r="A1555" s="20"/>
      <c r="B1555" s="20"/>
      <c r="DS1555" s="22"/>
      <c r="DT1555" s="22"/>
    </row>
    <row r="1556" spans="1:124" s="21" customFormat="1" x14ac:dyDescent="0.25">
      <c r="A1556" s="20"/>
      <c r="B1556" s="20"/>
      <c r="DS1556" s="22"/>
      <c r="DT1556" s="22"/>
    </row>
    <row r="1557" spans="1:124" s="21" customFormat="1" x14ac:dyDescent="0.25">
      <c r="A1557" s="20"/>
      <c r="B1557" s="20"/>
      <c r="DS1557" s="22"/>
      <c r="DT1557" s="22"/>
    </row>
    <row r="1558" spans="1:124" s="21" customFormat="1" x14ac:dyDescent="0.25">
      <c r="A1558" s="20"/>
      <c r="B1558" s="20"/>
      <c r="DS1558" s="22"/>
      <c r="DT1558" s="22"/>
    </row>
    <row r="1559" spans="1:124" s="21" customFormat="1" x14ac:dyDescent="0.25">
      <c r="A1559" s="20"/>
      <c r="B1559" s="20"/>
      <c r="DS1559" s="22"/>
      <c r="DT1559" s="22"/>
    </row>
    <row r="1560" spans="1:124" s="21" customFormat="1" x14ac:dyDescent="0.25">
      <c r="A1560" s="20"/>
      <c r="B1560" s="20"/>
      <c r="DS1560" s="22"/>
      <c r="DT1560" s="22"/>
    </row>
    <row r="1561" spans="1:124" s="21" customFormat="1" x14ac:dyDescent="0.25">
      <c r="A1561" s="20"/>
      <c r="B1561" s="20"/>
      <c r="DS1561" s="22"/>
      <c r="DT1561" s="22"/>
    </row>
    <row r="1562" spans="1:124" s="21" customFormat="1" x14ac:dyDescent="0.25">
      <c r="A1562" s="20"/>
      <c r="B1562" s="20"/>
      <c r="DS1562" s="22"/>
      <c r="DT1562" s="22"/>
    </row>
    <row r="1563" spans="1:124" s="21" customFormat="1" x14ac:dyDescent="0.25">
      <c r="A1563" s="20"/>
      <c r="B1563" s="20"/>
      <c r="DS1563" s="22"/>
      <c r="DT1563" s="22"/>
    </row>
    <row r="1564" spans="1:124" s="21" customFormat="1" x14ac:dyDescent="0.25">
      <c r="A1564" s="20"/>
      <c r="B1564" s="20"/>
      <c r="DS1564" s="22"/>
      <c r="DT1564" s="22"/>
    </row>
    <row r="1565" spans="1:124" s="21" customFormat="1" x14ac:dyDescent="0.25">
      <c r="A1565" s="20"/>
      <c r="B1565" s="20"/>
      <c r="DS1565" s="22"/>
      <c r="DT1565" s="22"/>
    </row>
    <row r="1566" spans="1:124" s="21" customFormat="1" x14ac:dyDescent="0.25">
      <c r="A1566" s="20"/>
      <c r="B1566" s="20"/>
      <c r="DS1566" s="22"/>
      <c r="DT1566" s="22"/>
    </row>
    <row r="1567" spans="1:124" s="21" customFormat="1" x14ac:dyDescent="0.25">
      <c r="A1567" s="20"/>
      <c r="B1567" s="20"/>
      <c r="DS1567" s="22"/>
      <c r="DT1567" s="22"/>
    </row>
    <row r="1568" spans="1:124" s="21" customFormat="1" x14ac:dyDescent="0.25">
      <c r="A1568" s="20"/>
      <c r="B1568" s="20"/>
      <c r="DS1568" s="22"/>
      <c r="DT1568" s="22"/>
    </row>
    <row r="1569" spans="1:124" s="21" customFormat="1" x14ac:dyDescent="0.25">
      <c r="A1569" s="20"/>
      <c r="B1569" s="20"/>
      <c r="DS1569" s="22"/>
      <c r="DT1569" s="22"/>
    </row>
    <row r="1570" spans="1:124" s="21" customFormat="1" x14ac:dyDescent="0.25">
      <c r="A1570" s="20"/>
      <c r="B1570" s="20"/>
      <c r="DS1570" s="22"/>
      <c r="DT1570" s="22"/>
    </row>
    <row r="1571" spans="1:124" s="21" customFormat="1" x14ac:dyDescent="0.25">
      <c r="A1571" s="20"/>
      <c r="B1571" s="20"/>
      <c r="DS1571" s="22"/>
      <c r="DT1571" s="22"/>
    </row>
    <row r="1572" spans="1:124" s="21" customFormat="1" x14ac:dyDescent="0.25">
      <c r="A1572" s="20"/>
      <c r="B1572" s="20"/>
      <c r="DS1572" s="22"/>
      <c r="DT1572" s="22"/>
    </row>
    <row r="1573" spans="1:124" s="21" customFormat="1" x14ac:dyDescent="0.25">
      <c r="A1573" s="20"/>
      <c r="B1573" s="20"/>
      <c r="DS1573" s="22"/>
      <c r="DT1573" s="22"/>
    </row>
    <row r="1574" spans="1:124" s="21" customFormat="1" x14ac:dyDescent="0.25">
      <c r="A1574" s="20"/>
      <c r="B1574" s="20"/>
      <c r="DS1574" s="22"/>
      <c r="DT1574" s="22"/>
    </row>
    <row r="1575" spans="1:124" s="21" customFormat="1" x14ac:dyDescent="0.25">
      <c r="A1575" s="20"/>
      <c r="B1575" s="20"/>
      <c r="DS1575" s="22"/>
      <c r="DT1575" s="22"/>
    </row>
    <row r="1576" spans="1:124" s="21" customFormat="1" x14ac:dyDescent="0.25">
      <c r="A1576" s="20"/>
      <c r="B1576" s="20"/>
      <c r="DS1576" s="22"/>
      <c r="DT1576" s="22"/>
    </row>
    <row r="1577" spans="1:124" s="21" customFormat="1" x14ac:dyDescent="0.25">
      <c r="A1577" s="20"/>
      <c r="B1577" s="20"/>
      <c r="DS1577" s="22"/>
      <c r="DT1577" s="22"/>
    </row>
    <row r="1578" spans="1:124" s="21" customFormat="1" x14ac:dyDescent="0.25">
      <c r="A1578" s="20"/>
      <c r="B1578" s="20"/>
      <c r="DS1578" s="22"/>
      <c r="DT1578" s="22"/>
    </row>
    <row r="1579" spans="1:124" s="21" customFormat="1" x14ac:dyDescent="0.25">
      <c r="A1579" s="20"/>
      <c r="B1579" s="20"/>
      <c r="DS1579" s="22"/>
      <c r="DT1579" s="22"/>
    </row>
    <row r="1580" spans="1:124" s="21" customFormat="1" x14ac:dyDescent="0.25">
      <c r="A1580" s="20"/>
      <c r="B1580" s="20"/>
      <c r="DS1580" s="22"/>
      <c r="DT1580" s="22"/>
    </row>
    <row r="1581" spans="1:124" s="21" customFormat="1" x14ac:dyDescent="0.25">
      <c r="A1581" s="20"/>
      <c r="B1581" s="20"/>
      <c r="DS1581" s="22"/>
      <c r="DT1581" s="22"/>
    </row>
    <row r="1582" spans="1:124" s="21" customFormat="1" x14ac:dyDescent="0.25">
      <c r="A1582" s="20"/>
      <c r="B1582" s="20"/>
      <c r="DS1582" s="22"/>
      <c r="DT1582" s="22"/>
    </row>
    <row r="1583" spans="1:124" s="21" customFormat="1" x14ac:dyDescent="0.25">
      <c r="A1583" s="20"/>
      <c r="B1583" s="20"/>
      <c r="DS1583" s="22"/>
      <c r="DT1583" s="22"/>
    </row>
    <row r="1584" spans="1:124" s="21" customFormat="1" x14ac:dyDescent="0.25">
      <c r="A1584" s="20"/>
      <c r="B1584" s="20"/>
      <c r="DS1584" s="22"/>
      <c r="DT1584" s="22"/>
    </row>
    <row r="1585" spans="1:124" s="21" customFormat="1" x14ac:dyDescent="0.25">
      <c r="A1585" s="20"/>
      <c r="B1585" s="20"/>
      <c r="DS1585" s="22"/>
      <c r="DT1585" s="22"/>
    </row>
    <row r="1586" spans="1:124" s="21" customFormat="1" x14ac:dyDescent="0.25">
      <c r="A1586" s="20"/>
      <c r="B1586" s="20"/>
      <c r="DS1586" s="22"/>
      <c r="DT1586" s="22"/>
    </row>
    <row r="1587" spans="1:124" s="21" customFormat="1" x14ac:dyDescent="0.25">
      <c r="A1587" s="20"/>
      <c r="B1587" s="20"/>
      <c r="DS1587" s="22"/>
      <c r="DT1587" s="22"/>
    </row>
    <row r="1588" spans="1:124" s="21" customFormat="1" x14ac:dyDescent="0.25">
      <c r="A1588" s="20"/>
      <c r="B1588" s="20"/>
      <c r="DS1588" s="22"/>
      <c r="DT1588" s="22"/>
    </row>
    <row r="1589" spans="1:124" s="21" customFormat="1" x14ac:dyDescent="0.25">
      <c r="A1589" s="20"/>
      <c r="B1589" s="20"/>
      <c r="DS1589" s="22"/>
      <c r="DT1589" s="22"/>
    </row>
    <row r="1590" spans="1:124" s="21" customFormat="1" x14ac:dyDescent="0.25">
      <c r="A1590" s="20"/>
      <c r="B1590" s="20"/>
      <c r="DS1590" s="22"/>
      <c r="DT1590" s="22"/>
    </row>
    <row r="1591" spans="1:124" s="21" customFormat="1" x14ac:dyDescent="0.25">
      <c r="A1591" s="20"/>
      <c r="B1591" s="20"/>
      <c r="DS1591" s="22"/>
      <c r="DT1591" s="22"/>
    </row>
    <row r="1592" spans="1:124" s="21" customFormat="1" x14ac:dyDescent="0.25">
      <c r="A1592" s="20"/>
      <c r="B1592" s="20"/>
      <c r="DS1592" s="22"/>
      <c r="DT1592" s="22"/>
    </row>
    <row r="1593" spans="1:124" s="21" customFormat="1" x14ac:dyDescent="0.25">
      <c r="A1593" s="20"/>
      <c r="B1593" s="20"/>
      <c r="DS1593" s="22"/>
      <c r="DT1593" s="22"/>
    </row>
    <row r="1594" spans="1:124" s="21" customFormat="1" x14ac:dyDescent="0.25">
      <c r="A1594" s="20"/>
      <c r="B1594" s="20"/>
      <c r="DS1594" s="22"/>
      <c r="DT1594" s="22"/>
    </row>
    <row r="1595" spans="1:124" s="21" customFormat="1" x14ac:dyDescent="0.25">
      <c r="A1595" s="20"/>
      <c r="B1595" s="20"/>
      <c r="DS1595" s="22"/>
      <c r="DT1595" s="22"/>
    </row>
    <row r="1596" spans="1:124" s="21" customFormat="1" x14ac:dyDescent="0.25">
      <c r="A1596" s="20"/>
      <c r="B1596" s="20"/>
      <c r="DS1596" s="22"/>
      <c r="DT1596" s="22"/>
    </row>
    <row r="1597" spans="1:124" s="21" customFormat="1" x14ac:dyDescent="0.25">
      <c r="A1597" s="20"/>
      <c r="B1597" s="20"/>
      <c r="DS1597" s="22"/>
      <c r="DT1597" s="22"/>
    </row>
    <row r="1598" spans="1:124" s="21" customFormat="1" x14ac:dyDescent="0.25">
      <c r="A1598" s="20"/>
      <c r="B1598" s="20"/>
      <c r="DS1598" s="22"/>
      <c r="DT1598" s="22"/>
    </row>
    <row r="1599" spans="1:124" s="21" customFormat="1" x14ac:dyDescent="0.25">
      <c r="A1599" s="20"/>
      <c r="B1599" s="20"/>
      <c r="DS1599" s="22"/>
      <c r="DT1599" s="22"/>
    </row>
    <row r="1600" spans="1:124" s="21" customFormat="1" x14ac:dyDescent="0.25">
      <c r="A1600" s="20"/>
      <c r="B1600" s="20"/>
      <c r="DS1600" s="22"/>
      <c r="DT1600" s="22"/>
    </row>
    <row r="1601" spans="1:124" s="21" customFormat="1" x14ac:dyDescent="0.25">
      <c r="A1601" s="20"/>
      <c r="B1601" s="20"/>
      <c r="DS1601" s="22"/>
      <c r="DT1601" s="22"/>
    </row>
    <row r="1602" spans="1:124" s="21" customFormat="1" x14ac:dyDescent="0.25">
      <c r="A1602" s="20"/>
      <c r="B1602" s="20"/>
      <c r="DS1602" s="22"/>
      <c r="DT1602" s="22"/>
    </row>
    <row r="1603" spans="1:124" s="21" customFormat="1" x14ac:dyDescent="0.25">
      <c r="A1603" s="20"/>
      <c r="B1603" s="20"/>
      <c r="DS1603" s="22"/>
      <c r="DT1603" s="22"/>
    </row>
    <row r="1604" spans="1:124" s="21" customFormat="1" x14ac:dyDescent="0.25">
      <c r="A1604" s="20"/>
      <c r="B1604" s="20"/>
      <c r="DS1604" s="22"/>
      <c r="DT1604" s="22"/>
    </row>
    <row r="1605" spans="1:124" s="21" customFormat="1" x14ac:dyDescent="0.25">
      <c r="A1605" s="20"/>
      <c r="B1605" s="20"/>
      <c r="DS1605" s="22"/>
      <c r="DT1605" s="22"/>
    </row>
    <row r="1606" spans="1:124" s="21" customFormat="1" x14ac:dyDescent="0.25">
      <c r="A1606" s="20"/>
      <c r="B1606" s="20"/>
      <c r="DS1606" s="22"/>
      <c r="DT1606" s="22"/>
    </row>
    <row r="1607" spans="1:124" s="21" customFormat="1" x14ac:dyDescent="0.25">
      <c r="A1607" s="20"/>
      <c r="B1607" s="20"/>
      <c r="DS1607" s="22"/>
      <c r="DT1607" s="22"/>
    </row>
    <row r="1608" spans="1:124" s="21" customFormat="1" x14ac:dyDescent="0.25">
      <c r="A1608" s="20"/>
      <c r="B1608" s="20"/>
      <c r="DS1608" s="22"/>
      <c r="DT1608" s="22"/>
    </row>
    <row r="1609" spans="1:124" s="21" customFormat="1" x14ac:dyDescent="0.25">
      <c r="A1609" s="20"/>
      <c r="B1609" s="20"/>
      <c r="DS1609" s="22"/>
      <c r="DT1609" s="22"/>
    </row>
    <row r="1610" spans="1:124" s="21" customFormat="1" x14ac:dyDescent="0.25">
      <c r="A1610" s="20"/>
      <c r="B1610" s="20"/>
      <c r="DS1610" s="22"/>
      <c r="DT1610" s="22"/>
    </row>
    <row r="1611" spans="1:124" s="21" customFormat="1" x14ac:dyDescent="0.25">
      <c r="A1611" s="20"/>
      <c r="B1611" s="20"/>
      <c r="DS1611" s="22"/>
      <c r="DT1611" s="22"/>
    </row>
    <row r="1612" spans="1:124" s="21" customFormat="1" x14ac:dyDescent="0.25">
      <c r="A1612" s="20"/>
      <c r="B1612" s="20"/>
      <c r="DS1612" s="22"/>
      <c r="DT1612" s="22"/>
    </row>
    <row r="1613" spans="1:124" s="21" customFormat="1" x14ac:dyDescent="0.25">
      <c r="A1613" s="20"/>
      <c r="B1613" s="20"/>
      <c r="DS1613" s="22"/>
      <c r="DT1613" s="22"/>
    </row>
    <row r="1614" spans="1:124" s="21" customFormat="1" x14ac:dyDescent="0.25">
      <c r="A1614" s="20"/>
      <c r="B1614" s="20"/>
      <c r="DS1614" s="22"/>
      <c r="DT1614" s="22"/>
    </row>
    <row r="1615" spans="1:124" s="21" customFormat="1" x14ac:dyDescent="0.25">
      <c r="A1615" s="20"/>
      <c r="B1615" s="20"/>
      <c r="DS1615" s="22"/>
      <c r="DT1615" s="22"/>
    </row>
    <row r="1616" spans="1:124" s="21" customFormat="1" x14ac:dyDescent="0.25">
      <c r="A1616" s="20"/>
      <c r="B1616" s="20"/>
      <c r="DS1616" s="22"/>
      <c r="DT1616" s="22"/>
    </row>
    <row r="1617" spans="1:124" s="21" customFormat="1" x14ac:dyDescent="0.25">
      <c r="A1617" s="20"/>
      <c r="B1617" s="20"/>
      <c r="DS1617" s="22"/>
      <c r="DT1617" s="22"/>
    </row>
    <row r="1618" spans="1:124" s="21" customFormat="1" x14ac:dyDescent="0.25">
      <c r="A1618" s="20"/>
      <c r="B1618" s="20"/>
      <c r="DS1618" s="22"/>
      <c r="DT1618" s="22"/>
    </row>
    <row r="1619" spans="1:124" s="21" customFormat="1" x14ac:dyDescent="0.25">
      <c r="A1619" s="20"/>
      <c r="B1619" s="20"/>
      <c r="DS1619" s="22"/>
      <c r="DT1619" s="22"/>
    </row>
    <row r="1620" spans="1:124" s="21" customFormat="1" x14ac:dyDescent="0.25">
      <c r="A1620" s="20"/>
      <c r="B1620" s="20"/>
      <c r="DS1620" s="22"/>
      <c r="DT1620" s="22"/>
    </row>
    <row r="1621" spans="1:124" s="21" customFormat="1" x14ac:dyDescent="0.25">
      <c r="A1621" s="20"/>
      <c r="B1621" s="20"/>
      <c r="DS1621" s="22"/>
      <c r="DT1621" s="22"/>
    </row>
    <row r="1622" spans="1:124" s="21" customFormat="1" x14ac:dyDescent="0.25">
      <c r="A1622" s="20"/>
      <c r="B1622" s="20"/>
      <c r="DS1622" s="22"/>
      <c r="DT1622" s="22"/>
    </row>
    <row r="1623" spans="1:124" s="21" customFormat="1" x14ac:dyDescent="0.25">
      <c r="A1623" s="20"/>
      <c r="B1623" s="20"/>
      <c r="DS1623" s="22"/>
      <c r="DT1623" s="22"/>
    </row>
    <row r="1624" spans="1:124" s="21" customFormat="1" x14ac:dyDescent="0.25">
      <c r="A1624" s="20"/>
      <c r="B1624" s="20"/>
      <c r="DS1624" s="22"/>
      <c r="DT1624" s="22"/>
    </row>
    <row r="1625" spans="1:124" s="21" customFormat="1" x14ac:dyDescent="0.25">
      <c r="A1625" s="20"/>
      <c r="B1625" s="20"/>
      <c r="DS1625" s="22"/>
      <c r="DT1625" s="22"/>
    </row>
    <row r="1626" spans="1:124" s="21" customFormat="1" x14ac:dyDescent="0.25">
      <c r="A1626" s="20"/>
      <c r="B1626" s="20"/>
      <c r="DS1626" s="22"/>
      <c r="DT1626" s="22"/>
    </row>
    <row r="1627" spans="1:124" s="21" customFormat="1" x14ac:dyDescent="0.25">
      <c r="A1627" s="20"/>
      <c r="B1627" s="20"/>
      <c r="DS1627" s="22"/>
      <c r="DT1627" s="22"/>
    </row>
    <row r="1628" spans="1:124" s="21" customFormat="1" x14ac:dyDescent="0.25">
      <c r="A1628" s="20"/>
      <c r="B1628" s="20"/>
      <c r="DS1628" s="22"/>
      <c r="DT1628" s="22"/>
    </row>
    <row r="1629" spans="1:124" s="21" customFormat="1" x14ac:dyDescent="0.25">
      <c r="A1629" s="20"/>
      <c r="B1629" s="20"/>
      <c r="DS1629" s="22"/>
      <c r="DT1629" s="22"/>
    </row>
    <row r="1630" spans="1:124" s="21" customFormat="1" x14ac:dyDescent="0.25">
      <c r="A1630" s="20"/>
      <c r="B1630" s="20"/>
      <c r="DS1630" s="22"/>
      <c r="DT1630" s="22"/>
    </row>
    <row r="1631" spans="1:124" s="21" customFormat="1" x14ac:dyDescent="0.25">
      <c r="A1631" s="20"/>
      <c r="B1631" s="20"/>
      <c r="DS1631" s="22"/>
      <c r="DT1631" s="22"/>
    </row>
    <row r="1632" spans="1:124" s="21" customFormat="1" x14ac:dyDescent="0.25">
      <c r="A1632" s="20"/>
      <c r="B1632" s="20"/>
      <c r="DS1632" s="22"/>
      <c r="DT1632" s="22"/>
    </row>
    <row r="1633" spans="1:124" s="21" customFormat="1" x14ac:dyDescent="0.25">
      <c r="A1633" s="20"/>
      <c r="B1633" s="20"/>
      <c r="DS1633" s="22"/>
      <c r="DT1633" s="22"/>
    </row>
    <row r="1634" spans="1:124" s="21" customFormat="1" x14ac:dyDescent="0.25">
      <c r="A1634" s="20"/>
      <c r="B1634" s="20"/>
      <c r="DS1634" s="22"/>
      <c r="DT1634" s="22"/>
    </row>
    <row r="1635" spans="1:124" s="21" customFormat="1" x14ac:dyDescent="0.25">
      <c r="A1635" s="20"/>
      <c r="B1635" s="20"/>
      <c r="DS1635" s="22"/>
      <c r="DT1635" s="22"/>
    </row>
    <row r="1636" spans="1:124" s="21" customFormat="1" x14ac:dyDescent="0.25">
      <c r="A1636" s="20"/>
      <c r="B1636" s="20"/>
      <c r="DS1636" s="22"/>
      <c r="DT1636" s="22"/>
    </row>
    <row r="1637" spans="1:124" s="21" customFormat="1" x14ac:dyDescent="0.25">
      <c r="A1637" s="20"/>
      <c r="B1637" s="20"/>
      <c r="DS1637" s="22"/>
      <c r="DT1637" s="22"/>
    </row>
    <row r="1638" spans="1:124" s="21" customFormat="1" x14ac:dyDescent="0.25">
      <c r="A1638" s="20"/>
      <c r="B1638" s="20"/>
      <c r="DS1638" s="22"/>
      <c r="DT1638" s="22"/>
    </row>
    <row r="1639" spans="1:124" s="21" customFormat="1" x14ac:dyDescent="0.25">
      <c r="A1639" s="20"/>
      <c r="B1639" s="20"/>
      <c r="DS1639" s="22"/>
      <c r="DT1639" s="22"/>
    </row>
    <row r="1640" spans="1:124" s="21" customFormat="1" x14ac:dyDescent="0.25">
      <c r="A1640" s="20"/>
      <c r="B1640" s="20"/>
      <c r="DS1640" s="22"/>
      <c r="DT1640" s="22"/>
    </row>
    <row r="1641" spans="1:124" s="21" customFormat="1" x14ac:dyDescent="0.25">
      <c r="A1641" s="20"/>
      <c r="B1641" s="20"/>
      <c r="DS1641" s="22"/>
      <c r="DT1641" s="22"/>
    </row>
    <row r="1642" spans="1:124" s="21" customFormat="1" x14ac:dyDescent="0.25">
      <c r="A1642" s="20"/>
      <c r="B1642" s="20"/>
      <c r="DS1642" s="22"/>
      <c r="DT1642" s="22"/>
    </row>
    <row r="1643" spans="1:124" s="21" customFormat="1" x14ac:dyDescent="0.25">
      <c r="A1643" s="20"/>
      <c r="B1643" s="20"/>
      <c r="DS1643" s="22"/>
      <c r="DT1643" s="22"/>
    </row>
    <row r="1644" spans="1:124" s="21" customFormat="1" x14ac:dyDescent="0.25">
      <c r="A1644" s="20"/>
      <c r="B1644" s="20"/>
      <c r="DS1644" s="22"/>
      <c r="DT1644" s="22"/>
    </row>
    <row r="1645" spans="1:124" s="21" customFormat="1" x14ac:dyDescent="0.25">
      <c r="A1645" s="20"/>
      <c r="B1645" s="20"/>
      <c r="DS1645" s="22"/>
      <c r="DT1645" s="22"/>
    </row>
    <row r="1646" spans="1:124" s="21" customFormat="1" x14ac:dyDescent="0.25">
      <c r="A1646" s="20"/>
      <c r="B1646" s="20"/>
      <c r="DS1646" s="22"/>
      <c r="DT1646" s="22"/>
    </row>
    <row r="1647" spans="1:124" s="21" customFormat="1" x14ac:dyDescent="0.25">
      <c r="A1647" s="20"/>
      <c r="B1647" s="20"/>
      <c r="DS1647" s="22"/>
      <c r="DT1647" s="22"/>
    </row>
    <row r="1648" spans="1:124" s="21" customFormat="1" x14ac:dyDescent="0.25">
      <c r="A1648" s="20"/>
      <c r="B1648" s="20"/>
      <c r="DS1648" s="22"/>
      <c r="DT1648" s="22"/>
    </row>
    <row r="1649" spans="1:124" s="21" customFormat="1" x14ac:dyDescent="0.25">
      <c r="A1649" s="20"/>
      <c r="B1649" s="20"/>
      <c r="DS1649" s="22"/>
      <c r="DT1649" s="22"/>
    </row>
    <row r="1650" spans="1:124" s="21" customFormat="1" x14ac:dyDescent="0.25">
      <c r="A1650" s="20"/>
      <c r="B1650" s="20"/>
      <c r="DS1650" s="22"/>
      <c r="DT1650" s="22"/>
    </row>
    <row r="1651" spans="1:124" s="21" customFormat="1" x14ac:dyDescent="0.25">
      <c r="A1651" s="20"/>
      <c r="B1651" s="20"/>
      <c r="DS1651" s="22"/>
      <c r="DT1651" s="22"/>
    </row>
    <row r="1652" spans="1:124" s="21" customFormat="1" x14ac:dyDescent="0.25">
      <c r="A1652" s="20"/>
      <c r="B1652" s="20"/>
      <c r="DS1652" s="22"/>
      <c r="DT1652" s="22"/>
    </row>
    <row r="1653" spans="1:124" s="21" customFormat="1" x14ac:dyDescent="0.25">
      <c r="A1653" s="20"/>
      <c r="B1653" s="20"/>
      <c r="DS1653" s="22"/>
      <c r="DT1653" s="22"/>
    </row>
    <row r="1654" spans="1:124" s="21" customFormat="1" x14ac:dyDescent="0.25">
      <c r="A1654" s="20"/>
      <c r="B1654" s="20"/>
      <c r="DS1654" s="22"/>
      <c r="DT1654" s="22"/>
    </row>
    <row r="1655" spans="1:124" s="21" customFormat="1" x14ac:dyDescent="0.25">
      <c r="A1655" s="20"/>
      <c r="B1655" s="20"/>
      <c r="DS1655" s="22"/>
      <c r="DT1655" s="22"/>
    </row>
    <row r="1656" spans="1:124" s="21" customFormat="1" x14ac:dyDescent="0.25">
      <c r="A1656" s="20"/>
      <c r="B1656" s="20"/>
      <c r="DS1656" s="22"/>
      <c r="DT1656" s="22"/>
    </row>
    <row r="1657" spans="1:124" s="21" customFormat="1" x14ac:dyDescent="0.25">
      <c r="A1657" s="20"/>
      <c r="B1657" s="20"/>
      <c r="DS1657" s="22"/>
      <c r="DT1657" s="22"/>
    </row>
    <row r="1658" spans="1:124" s="21" customFormat="1" x14ac:dyDescent="0.25">
      <c r="A1658" s="20"/>
      <c r="B1658" s="20"/>
      <c r="DS1658" s="22"/>
      <c r="DT1658" s="22"/>
    </row>
    <row r="1659" spans="1:124" s="21" customFormat="1" x14ac:dyDescent="0.25">
      <c r="A1659" s="20"/>
      <c r="B1659" s="20"/>
      <c r="DS1659" s="22"/>
      <c r="DT1659" s="22"/>
    </row>
    <row r="1660" spans="1:124" s="21" customFormat="1" x14ac:dyDescent="0.25">
      <c r="A1660" s="20"/>
      <c r="B1660" s="20"/>
      <c r="DS1660" s="22"/>
      <c r="DT1660" s="22"/>
    </row>
    <row r="1661" spans="1:124" s="21" customFormat="1" x14ac:dyDescent="0.25">
      <c r="A1661" s="20"/>
      <c r="B1661" s="20"/>
      <c r="DS1661" s="22"/>
      <c r="DT1661" s="22"/>
    </row>
    <row r="1662" spans="1:124" s="21" customFormat="1" x14ac:dyDescent="0.25">
      <c r="A1662" s="20"/>
      <c r="B1662" s="20"/>
      <c r="DS1662" s="22"/>
      <c r="DT1662" s="22"/>
    </row>
    <row r="1663" spans="1:124" s="21" customFormat="1" x14ac:dyDescent="0.25">
      <c r="A1663" s="20"/>
      <c r="B1663" s="20"/>
      <c r="DS1663" s="22"/>
      <c r="DT1663" s="22"/>
    </row>
    <row r="1664" spans="1:124" s="21" customFormat="1" x14ac:dyDescent="0.25">
      <c r="A1664" s="20"/>
      <c r="B1664" s="20"/>
      <c r="DS1664" s="22"/>
      <c r="DT1664" s="22"/>
    </row>
    <row r="1665" spans="1:124" s="21" customFormat="1" x14ac:dyDescent="0.25">
      <c r="A1665" s="20"/>
      <c r="B1665" s="20"/>
      <c r="DS1665" s="22"/>
      <c r="DT1665" s="22"/>
    </row>
    <row r="1666" spans="1:124" s="21" customFormat="1" x14ac:dyDescent="0.25">
      <c r="A1666" s="20"/>
      <c r="B1666" s="20"/>
      <c r="DS1666" s="22"/>
      <c r="DT1666" s="22"/>
    </row>
    <row r="1667" spans="1:124" s="21" customFormat="1" x14ac:dyDescent="0.25">
      <c r="A1667" s="20"/>
      <c r="B1667" s="20"/>
      <c r="DS1667" s="22"/>
      <c r="DT1667" s="22"/>
    </row>
    <row r="1668" spans="1:124" s="21" customFormat="1" x14ac:dyDescent="0.25">
      <c r="A1668" s="20"/>
      <c r="B1668" s="20"/>
      <c r="DS1668" s="22"/>
      <c r="DT1668" s="22"/>
    </row>
    <row r="1669" spans="1:124" s="21" customFormat="1" x14ac:dyDescent="0.25">
      <c r="A1669" s="20"/>
      <c r="B1669" s="20"/>
      <c r="DS1669" s="22"/>
      <c r="DT1669" s="22"/>
    </row>
    <row r="1670" spans="1:124" s="21" customFormat="1" x14ac:dyDescent="0.25">
      <c r="A1670" s="20"/>
      <c r="B1670" s="20"/>
      <c r="DS1670" s="22"/>
      <c r="DT1670" s="22"/>
    </row>
    <row r="1671" spans="1:124" s="21" customFormat="1" x14ac:dyDescent="0.25">
      <c r="A1671" s="20"/>
      <c r="B1671" s="20"/>
      <c r="DS1671" s="22"/>
      <c r="DT1671" s="22"/>
    </row>
    <row r="1672" spans="1:124" s="21" customFormat="1" x14ac:dyDescent="0.25">
      <c r="A1672" s="20"/>
      <c r="B1672" s="20"/>
      <c r="DS1672" s="22"/>
      <c r="DT1672" s="22"/>
    </row>
    <row r="1673" spans="1:124" s="21" customFormat="1" x14ac:dyDescent="0.25">
      <c r="A1673" s="20"/>
      <c r="B1673" s="20"/>
      <c r="DS1673" s="22"/>
      <c r="DT1673" s="22"/>
    </row>
    <row r="1674" spans="1:124" s="21" customFormat="1" x14ac:dyDescent="0.25">
      <c r="A1674" s="20"/>
      <c r="B1674" s="20"/>
      <c r="DS1674" s="22"/>
      <c r="DT1674" s="22"/>
    </row>
    <row r="1675" spans="1:124" s="21" customFormat="1" x14ac:dyDescent="0.25">
      <c r="A1675" s="20"/>
      <c r="B1675" s="20"/>
      <c r="DS1675" s="22"/>
      <c r="DT1675" s="22"/>
    </row>
    <row r="1676" spans="1:124" s="21" customFormat="1" x14ac:dyDescent="0.25">
      <c r="A1676" s="20"/>
      <c r="B1676" s="20"/>
      <c r="DS1676" s="22"/>
      <c r="DT1676" s="22"/>
    </row>
    <row r="1677" spans="1:124" s="21" customFormat="1" x14ac:dyDescent="0.25">
      <c r="A1677" s="20"/>
      <c r="B1677" s="20"/>
      <c r="DS1677" s="22"/>
      <c r="DT1677" s="22"/>
    </row>
    <row r="1678" spans="1:124" s="21" customFormat="1" x14ac:dyDescent="0.25">
      <c r="A1678" s="20"/>
      <c r="B1678" s="20"/>
      <c r="DS1678" s="22"/>
      <c r="DT1678" s="22"/>
    </row>
    <row r="1679" spans="1:124" s="21" customFormat="1" x14ac:dyDescent="0.25">
      <c r="A1679" s="20"/>
      <c r="B1679" s="20"/>
      <c r="DS1679" s="22"/>
      <c r="DT1679" s="22"/>
    </row>
    <row r="1680" spans="1:124" s="21" customFormat="1" x14ac:dyDescent="0.25">
      <c r="A1680" s="20"/>
      <c r="B1680" s="20"/>
      <c r="DS1680" s="22"/>
      <c r="DT1680" s="22"/>
    </row>
    <row r="1681" spans="1:124" s="21" customFormat="1" x14ac:dyDescent="0.25">
      <c r="A1681" s="20"/>
      <c r="B1681" s="20"/>
      <c r="DS1681" s="22"/>
      <c r="DT1681" s="22"/>
    </row>
    <row r="1682" spans="1:124" s="21" customFormat="1" x14ac:dyDescent="0.25">
      <c r="A1682" s="20"/>
      <c r="B1682" s="20"/>
      <c r="DS1682" s="22"/>
      <c r="DT1682" s="22"/>
    </row>
    <row r="1683" spans="1:124" s="21" customFormat="1" x14ac:dyDescent="0.25">
      <c r="A1683" s="20"/>
      <c r="B1683" s="20"/>
      <c r="DS1683" s="22"/>
      <c r="DT1683" s="22"/>
    </row>
    <row r="1684" spans="1:124" s="21" customFormat="1" x14ac:dyDescent="0.25">
      <c r="A1684" s="20"/>
      <c r="B1684" s="20"/>
      <c r="DS1684" s="22"/>
      <c r="DT1684" s="22"/>
    </row>
    <row r="1685" spans="1:124" s="21" customFormat="1" x14ac:dyDescent="0.25">
      <c r="A1685" s="20"/>
      <c r="B1685" s="20"/>
      <c r="DS1685" s="22"/>
      <c r="DT1685" s="22"/>
    </row>
    <row r="1686" spans="1:124" s="21" customFormat="1" x14ac:dyDescent="0.25">
      <c r="A1686" s="20"/>
      <c r="B1686" s="20"/>
      <c r="DS1686" s="22"/>
      <c r="DT1686" s="22"/>
    </row>
    <row r="1687" spans="1:124" s="21" customFormat="1" x14ac:dyDescent="0.25">
      <c r="A1687" s="20"/>
      <c r="B1687" s="20"/>
      <c r="DS1687" s="22"/>
      <c r="DT1687" s="22"/>
    </row>
    <row r="1688" spans="1:124" s="21" customFormat="1" x14ac:dyDescent="0.25">
      <c r="A1688" s="20"/>
      <c r="B1688" s="20"/>
      <c r="DS1688" s="22"/>
      <c r="DT1688" s="22"/>
    </row>
    <row r="1689" spans="1:124" s="21" customFormat="1" x14ac:dyDescent="0.25">
      <c r="A1689" s="20"/>
      <c r="B1689" s="20"/>
      <c r="DS1689" s="22"/>
      <c r="DT1689" s="22"/>
    </row>
    <row r="1690" spans="1:124" s="21" customFormat="1" x14ac:dyDescent="0.25">
      <c r="A1690" s="20"/>
      <c r="B1690" s="20"/>
      <c r="DS1690" s="22"/>
      <c r="DT1690" s="22"/>
    </row>
    <row r="1691" spans="1:124" s="21" customFormat="1" x14ac:dyDescent="0.25">
      <c r="A1691" s="20"/>
      <c r="B1691" s="20"/>
      <c r="DS1691" s="22"/>
      <c r="DT1691" s="22"/>
    </row>
    <row r="1692" spans="1:124" s="21" customFormat="1" x14ac:dyDescent="0.25">
      <c r="A1692" s="20"/>
      <c r="B1692" s="20"/>
      <c r="DS1692" s="22"/>
      <c r="DT1692" s="22"/>
    </row>
    <row r="1693" spans="1:124" s="21" customFormat="1" x14ac:dyDescent="0.25">
      <c r="A1693" s="20"/>
      <c r="B1693" s="20"/>
      <c r="DS1693" s="22"/>
      <c r="DT1693" s="22"/>
    </row>
    <row r="1694" spans="1:124" s="21" customFormat="1" x14ac:dyDescent="0.25">
      <c r="A1694" s="20"/>
      <c r="B1694" s="20"/>
      <c r="DS1694" s="22"/>
      <c r="DT1694" s="22"/>
    </row>
    <row r="1695" spans="1:124" s="21" customFormat="1" x14ac:dyDescent="0.25">
      <c r="A1695" s="20"/>
      <c r="B1695" s="20"/>
      <c r="DS1695" s="22"/>
      <c r="DT1695" s="22"/>
    </row>
    <row r="1696" spans="1:124" s="21" customFormat="1" x14ac:dyDescent="0.25">
      <c r="A1696" s="20"/>
      <c r="B1696" s="20"/>
      <c r="DS1696" s="22"/>
      <c r="DT1696" s="22"/>
    </row>
    <row r="1697" spans="1:124" s="21" customFormat="1" x14ac:dyDescent="0.25">
      <c r="A1697" s="20"/>
      <c r="B1697" s="20"/>
      <c r="DS1697" s="22"/>
      <c r="DT1697" s="22"/>
    </row>
    <row r="1698" spans="1:124" s="21" customFormat="1" x14ac:dyDescent="0.25">
      <c r="A1698" s="20"/>
      <c r="B1698" s="20"/>
      <c r="DS1698" s="22"/>
      <c r="DT1698" s="22"/>
    </row>
    <row r="1699" spans="1:124" s="21" customFormat="1" x14ac:dyDescent="0.25">
      <c r="A1699" s="20"/>
      <c r="B1699" s="20"/>
      <c r="DS1699" s="22"/>
      <c r="DT1699" s="22"/>
    </row>
    <row r="1700" spans="1:124" s="21" customFormat="1" x14ac:dyDescent="0.25">
      <c r="A1700" s="20"/>
      <c r="B1700" s="20"/>
      <c r="DS1700" s="22"/>
      <c r="DT1700" s="22"/>
    </row>
    <row r="1701" spans="1:124" s="21" customFormat="1" x14ac:dyDescent="0.25">
      <c r="A1701" s="20"/>
      <c r="B1701" s="20"/>
      <c r="DS1701" s="22"/>
      <c r="DT1701" s="22"/>
    </row>
    <row r="1702" spans="1:124" s="21" customFormat="1" x14ac:dyDescent="0.25">
      <c r="A1702" s="20"/>
      <c r="B1702" s="20"/>
      <c r="DS1702" s="22"/>
      <c r="DT1702" s="22"/>
    </row>
    <row r="1703" spans="1:124" s="21" customFormat="1" x14ac:dyDescent="0.25">
      <c r="A1703" s="20"/>
      <c r="B1703" s="20"/>
      <c r="DS1703" s="22"/>
      <c r="DT1703" s="22"/>
    </row>
    <row r="1704" spans="1:124" s="21" customFormat="1" x14ac:dyDescent="0.25">
      <c r="A1704" s="20"/>
      <c r="B1704" s="20"/>
      <c r="DS1704" s="22"/>
      <c r="DT1704" s="22"/>
    </row>
    <row r="1705" spans="1:124" s="21" customFormat="1" x14ac:dyDescent="0.25">
      <c r="A1705" s="20"/>
      <c r="B1705" s="20"/>
      <c r="DS1705" s="22"/>
      <c r="DT1705" s="22"/>
    </row>
    <row r="1706" spans="1:124" s="21" customFormat="1" x14ac:dyDescent="0.25">
      <c r="A1706" s="20"/>
      <c r="B1706" s="20"/>
      <c r="DS1706" s="22"/>
      <c r="DT1706" s="22"/>
    </row>
    <row r="1707" spans="1:124" s="21" customFormat="1" x14ac:dyDescent="0.25">
      <c r="A1707" s="20"/>
      <c r="B1707" s="20"/>
      <c r="DS1707" s="22"/>
      <c r="DT1707" s="22"/>
    </row>
    <row r="1708" spans="1:124" s="21" customFormat="1" x14ac:dyDescent="0.25">
      <c r="A1708" s="20"/>
      <c r="B1708" s="20"/>
      <c r="DS1708" s="22"/>
      <c r="DT1708" s="22"/>
    </row>
    <row r="1709" spans="1:124" s="21" customFormat="1" x14ac:dyDescent="0.25">
      <c r="A1709" s="20"/>
      <c r="B1709" s="20"/>
      <c r="DS1709" s="22"/>
      <c r="DT1709" s="22"/>
    </row>
    <row r="1710" spans="1:124" s="21" customFormat="1" x14ac:dyDescent="0.25">
      <c r="A1710" s="20"/>
      <c r="B1710" s="20"/>
      <c r="DS1710" s="22"/>
      <c r="DT1710" s="22"/>
    </row>
    <row r="1711" spans="1:124" s="21" customFormat="1" x14ac:dyDescent="0.25">
      <c r="A1711" s="20"/>
      <c r="B1711" s="20"/>
      <c r="DS1711" s="22"/>
      <c r="DT1711" s="22"/>
    </row>
    <row r="1712" spans="1:124" s="21" customFormat="1" x14ac:dyDescent="0.25">
      <c r="A1712" s="20"/>
      <c r="B1712" s="20"/>
      <c r="DS1712" s="22"/>
      <c r="DT1712" s="22"/>
    </row>
    <row r="1713" spans="1:124" s="21" customFormat="1" x14ac:dyDescent="0.25">
      <c r="A1713" s="20"/>
      <c r="B1713" s="20"/>
      <c r="DS1713" s="22"/>
      <c r="DT1713" s="22"/>
    </row>
    <row r="1714" spans="1:124" s="21" customFormat="1" x14ac:dyDescent="0.25">
      <c r="A1714" s="20"/>
      <c r="B1714" s="20"/>
      <c r="DS1714" s="22"/>
      <c r="DT1714" s="22"/>
    </row>
    <row r="1715" spans="1:124" s="21" customFormat="1" x14ac:dyDescent="0.25">
      <c r="A1715" s="20"/>
      <c r="B1715" s="20"/>
      <c r="DS1715" s="22"/>
      <c r="DT1715" s="22"/>
    </row>
    <row r="1716" spans="1:124" s="21" customFormat="1" x14ac:dyDescent="0.25">
      <c r="A1716" s="20"/>
      <c r="B1716" s="20"/>
      <c r="DS1716" s="22"/>
      <c r="DT1716" s="22"/>
    </row>
    <row r="1717" spans="1:124" s="21" customFormat="1" x14ac:dyDescent="0.25">
      <c r="A1717" s="20"/>
      <c r="B1717" s="20"/>
      <c r="DS1717" s="22"/>
      <c r="DT1717" s="22"/>
    </row>
    <row r="1718" spans="1:124" s="21" customFormat="1" x14ac:dyDescent="0.25">
      <c r="A1718" s="20"/>
      <c r="B1718" s="20"/>
      <c r="DS1718" s="22"/>
      <c r="DT1718" s="22"/>
    </row>
    <row r="1719" spans="1:124" s="21" customFormat="1" x14ac:dyDescent="0.25">
      <c r="A1719" s="20"/>
      <c r="B1719" s="20"/>
      <c r="DS1719" s="22"/>
      <c r="DT1719" s="22"/>
    </row>
    <row r="1720" spans="1:124" s="21" customFormat="1" x14ac:dyDescent="0.25">
      <c r="A1720" s="20"/>
      <c r="B1720" s="20"/>
      <c r="DS1720" s="22"/>
      <c r="DT1720" s="22"/>
    </row>
    <row r="1721" spans="1:124" s="21" customFormat="1" x14ac:dyDescent="0.25">
      <c r="A1721" s="20"/>
      <c r="B1721" s="20"/>
      <c r="DS1721" s="22"/>
      <c r="DT1721" s="22"/>
    </row>
    <row r="1722" spans="1:124" s="21" customFormat="1" x14ac:dyDescent="0.25">
      <c r="A1722" s="20"/>
      <c r="B1722" s="20"/>
      <c r="DS1722" s="22"/>
      <c r="DT1722" s="22"/>
    </row>
    <row r="1723" spans="1:124" s="21" customFormat="1" x14ac:dyDescent="0.25">
      <c r="A1723" s="20"/>
      <c r="B1723" s="20"/>
      <c r="DS1723" s="22"/>
      <c r="DT1723" s="22"/>
    </row>
    <row r="1724" spans="1:124" s="21" customFormat="1" x14ac:dyDescent="0.25">
      <c r="A1724" s="20"/>
      <c r="B1724" s="20"/>
      <c r="DS1724" s="22"/>
      <c r="DT1724" s="22"/>
    </row>
    <row r="1725" spans="1:124" s="21" customFormat="1" x14ac:dyDescent="0.25">
      <c r="A1725" s="20"/>
      <c r="B1725" s="20"/>
      <c r="DS1725" s="22"/>
      <c r="DT1725" s="22"/>
    </row>
    <row r="1726" spans="1:124" s="21" customFormat="1" x14ac:dyDescent="0.25">
      <c r="A1726" s="20"/>
      <c r="B1726" s="20"/>
      <c r="DS1726" s="22"/>
      <c r="DT1726" s="22"/>
    </row>
    <row r="1727" spans="1:124" s="21" customFormat="1" x14ac:dyDescent="0.25">
      <c r="A1727" s="20"/>
      <c r="B1727" s="20"/>
      <c r="DS1727" s="22"/>
      <c r="DT1727" s="22"/>
    </row>
    <row r="1728" spans="1:124" s="21" customFormat="1" x14ac:dyDescent="0.25">
      <c r="A1728" s="20"/>
      <c r="B1728" s="20"/>
      <c r="DS1728" s="22"/>
      <c r="DT1728" s="22"/>
    </row>
    <row r="1729" spans="1:124" s="21" customFormat="1" x14ac:dyDescent="0.25">
      <c r="A1729" s="20"/>
      <c r="B1729" s="20"/>
      <c r="DS1729" s="22"/>
      <c r="DT1729" s="22"/>
    </row>
    <row r="1730" spans="1:124" s="21" customFormat="1" x14ac:dyDescent="0.25">
      <c r="A1730" s="20"/>
      <c r="B1730" s="20"/>
      <c r="DS1730" s="22"/>
      <c r="DT1730" s="22"/>
    </row>
    <row r="1731" spans="1:124" s="21" customFormat="1" x14ac:dyDescent="0.25">
      <c r="A1731" s="20"/>
      <c r="B1731" s="20"/>
      <c r="DS1731" s="22"/>
      <c r="DT1731" s="22"/>
    </row>
    <row r="1732" spans="1:124" s="21" customFormat="1" x14ac:dyDescent="0.25">
      <c r="A1732" s="20"/>
      <c r="B1732" s="20"/>
      <c r="DS1732" s="22"/>
      <c r="DT1732" s="22"/>
    </row>
    <row r="1733" spans="1:124" s="21" customFormat="1" x14ac:dyDescent="0.25">
      <c r="A1733" s="20"/>
      <c r="B1733" s="20"/>
      <c r="DS1733" s="22"/>
      <c r="DT1733" s="22"/>
    </row>
    <row r="1734" spans="1:124" s="21" customFormat="1" x14ac:dyDescent="0.25">
      <c r="A1734" s="20"/>
      <c r="B1734" s="20"/>
      <c r="DS1734" s="22"/>
      <c r="DT1734" s="22"/>
    </row>
    <row r="1735" spans="1:124" s="21" customFormat="1" x14ac:dyDescent="0.25">
      <c r="A1735" s="20"/>
      <c r="B1735" s="20"/>
      <c r="DS1735" s="22"/>
      <c r="DT1735" s="22"/>
    </row>
    <row r="1736" spans="1:124" s="21" customFormat="1" x14ac:dyDescent="0.25">
      <c r="A1736" s="20"/>
      <c r="B1736" s="20"/>
      <c r="DS1736" s="22"/>
      <c r="DT1736" s="22"/>
    </row>
    <row r="1737" spans="1:124" s="21" customFormat="1" x14ac:dyDescent="0.25">
      <c r="A1737" s="20"/>
      <c r="B1737" s="20"/>
      <c r="DS1737" s="22"/>
      <c r="DT1737" s="22"/>
    </row>
    <row r="1738" spans="1:124" s="21" customFormat="1" x14ac:dyDescent="0.25">
      <c r="A1738" s="20"/>
      <c r="B1738" s="20"/>
      <c r="DS1738" s="22"/>
      <c r="DT1738" s="22"/>
    </row>
    <row r="1739" spans="1:124" s="21" customFormat="1" x14ac:dyDescent="0.25">
      <c r="A1739" s="20"/>
      <c r="B1739" s="20"/>
      <c r="DS1739" s="22"/>
      <c r="DT1739" s="22"/>
    </row>
    <row r="1740" spans="1:124" s="21" customFormat="1" x14ac:dyDescent="0.25">
      <c r="A1740" s="20"/>
      <c r="B1740" s="20"/>
      <c r="DS1740" s="22"/>
      <c r="DT1740" s="22"/>
    </row>
    <row r="1741" spans="1:124" s="21" customFormat="1" x14ac:dyDescent="0.25">
      <c r="A1741" s="20"/>
      <c r="B1741" s="20"/>
      <c r="DS1741" s="22"/>
      <c r="DT1741" s="22"/>
    </row>
    <row r="1742" spans="1:124" s="21" customFormat="1" x14ac:dyDescent="0.25">
      <c r="A1742" s="20"/>
      <c r="B1742" s="20"/>
      <c r="DS1742" s="22"/>
      <c r="DT1742" s="22"/>
    </row>
    <row r="1743" spans="1:124" s="21" customFormat="1" x14ac:dyDescent="0.25">
      <c r="A1743" s="20"/>
      <c r="B1743" s="20"/>
      <c r="DS1743" s="22"/>
      <c r="DT1743" s="22"/>
    </row>
    <row r="1744" spans="1:124" s="21" customFormat="1" x14ac:dyDescent="0.25">
      <c r="A1744" s="20"/>
      <c r="B1744" s="20"/>
      <c r="DS1744" s="22"/>
      <c r="DT1744" s="22"/>
    </row>
    <row r="1745" spans="1:124" s="21" customFormat="1" x14ac:dyDescent="0.25">
      <c r="A1745" s="20"/>
      <c r="B1745" s="20"/>
      <c r="DS1745" s="22"/>
      <c r="DT1745" s="22"/>
    </row>
    <row r="1746" spans="1:124" s="21" customFormat="1" x14ac:dyDescent="0.25">
      <c r="A1746" s="20"/>
      <c r="B1746" s="20"/>
      <c r="DS1746" s="22"/>
      <c r="DT1746" s="22"/>
    </row>
    <row r="1747" spans="1:124" s="21" customFormat="1" x14ac:dyDescent="0.25">
      <c r="A1747" s="20"/>
      <c r="B1747" s="20"/>
      <c r="DS1747" s="22"/>
      <c r="DT1747" s="22"/>
    </row>
    <row r="1748" spans="1:124" s="21" customFormat="1" x14ac:dyDescent="0.25">
      <c r="A1748" s="20"/>
      <c r="B1748" s="20"/>
      <c r="DS1748" s="22"/>
      <c r="DT1748" s="22"/>
    </row>
    <row r="1749" spans="1:124" s="21" customFormat="1" x14ac:dyDescent="0.25">
      <c r="A1749" s="20"/>
      <c r="B1749" s="20"/>
      <c r="DS1749" s="22"/>
      <c r="DT1749" s="22"/>
    </row>
    <row r="1750" spans="1:124" s="21" customFormat="1" x14ac:dyDescent="0.25">
      <c r="A1750" s="20"/>
      <c r="B1750" s="20"/>
      <c r="DS1750" s="22"/>
      <c r="DT1750" s="22"/>
    </row>
    <row r="1751" spans="1:124" s="21" customFormat="1" x14ac:dyDescent="0.25">
      <c r="A1751" s="20"/>
      <c r="B1751" s="20"/>
      <c r="DS1751" s="22"/>
      <c r="DT1751" s="22"/>
    </row>
    <row r="1752" spans="1:124" s="21" customFormat="1" x14ac:dyDescent="0.25">
      <c r="A1752" s="20"/>
      <c r="B1752" s="20"/>
      <c r="DS1752" s="22"/>
      <c r="DT1752" s="22"/>
    </row>
    <row r="1753" spans="1:124" s="21" customFormat="1" x14ac:dyDescent="0.25">
      <c r="A1753" s="20"/>
      <c r="B1753" s="20"/>
      <c r="DS1753" s="22"/>
      <c r="DT1753" s="22"/>
    </row>
    <row r="1754" spans="1:124" s="21" customFormat="1" x14ac:dyDescent="0.25">
      <c r="A1754" s="20"/>
      <c r="B1754" s="20"/>
      <c r="DS1754" s="22"/>
      <c r="DT1754" s="22"/>
    </row>
    <row r="1755" spans="1:124" s="21" customFormat="1" x14ac:dyDescent="0.25">
      <c r="A1755" s="20"/>
      <c r="B1755" s="20"/>
      <c r="DS1755" s="22"/>
      <c r="DT1755" s="22"/>
    </row>
    <row r="1756" spans="1:124" s="21" customFormat="1" x14ac:dyDescent="0.25">
      <c r="A1756" s="20"/>
      <c r="B1756" s="20"/>
      <c r="DS1756" s="22"/>
      <c r="DT1756" s="22"/>
    </row>
    <row r="1757" spans="1:124" s="21" customFormat="1" x14ac:dyDescent="0.25">
      <c r="A1757" s="20"/>
      <c r="B1757" s="20"/>
      <c r="DS1757" s="22"/>
      <c r="DT1757" s="22"/>
    </row>
    <row r="1758" spans="1:124" s="21" customFormat="1" x14ac:dyDescent="0.25">
      <c r="A1758" s="20"/>
      <c r="B1758" s="20"/>
      <c r="DS1758" s="22"/>
      <c r="DT1758" s="22"/>
    </row>
    <row r="1759" spans="1:124" s="21" customFormat="1" x14ac:dyDescent="0.25">
      <c r="A1759" s="20"/>
      <c r="B1759" s="20"/>
      <c r="DS1759" s="22"/>
      <c r="DT1759" s="22"/>
    </row>
    <row r="1760" spans="1:124" s="21" customFormat="1" x14ac:dyDescent="0.25">
      <c r="A1760" s="20"/>
      <c r="B1760" s="20"/>
      <c r="DS1760" s="22"/>
      <c r="DT1760" s="22"/>
    </row>
    <row r="1761" spans="1:124" s="21" customFormat="1" x14ac:dyDescent="0.25">
      <c r="A1761" s="20"/>
      <c r="B1761" s="20"/>
      <c r="DS1761" s="22"/>
      <c r="DT1761" s="22"/>
    </row>
    <row r="1762" spans="1:124" s="21" customFormat="1" x14ac:dyDescent="0.25">
      <c r="A1762" s="20"/>
      <c r="B1762" s="20"/>
      <c r="DS1762" s="22"/>
      <c r="DT1762" s="22"/>
    </row>
    <row r="1763" spans="1:124" s="21" customFormat="1" x14ac:dyDescent="0.25">
      <c r="A1763" s="20"/>
      <c r="B1763" s="20"/>
      <c r="DS1763" s="22"/>
      <c r="DT1763" s="22"/>
    </row>
    <row r="1764" spans="1:124" s="21" customFormat="1" x14ac:dyDescent="0.25">
      <c r="A1764" s="20"/>
      <c r="B1764" s="20"/>
      <c r="DS1764" s="22"/>
      <c r="DT1764" s="22"/>
    </row>
    <row r="1765" spans="1:124" s="21" customFormat="1" x14ac:dyDescent="0.25">
      <c r="A1765" s="20"/>
      <c r="B1765" s="20"/>
      <c r="DS1765" s="22"/>
      <c r="DT1765" s="22"/>
    </row>
    <row r="1766" spans="1:124" s="21" customFormat="1" x14ac:dyDescent="0.25">
      <c r="A1766" s="20"/>
      <c r="B1766" s="20"/>
      <c r="DS1766" s="22"/>
      <c r="DT1766" s="22"/>
    </row>
    <row r="1767" spans="1:124" s="21" customFormat="1" x14ac:dyDescent="0.25">
      <c r="A1767" s="20"/>
      <c r="B1767" s="20"/>
      <c r="DS1767" s="22"/>
      <c r="DT1767" s="22"/>
    </row>
    <row r="1768" spans="1:124" s="21" customFormat="1" x14ac:dyDescent="0.25">
      <c r="A1768" s="20"/>
      <c r="B1768" s="20"/>
      <c r="DS1768" s="22"/>
      <c r="DT1768" s="22"/>
    </row>
    <row r="1769" spans="1:124" s="21" customFormat="1" x14ac:dyDescent="0.25">
      <c r="A1769" s="20"/>
      <c r="B1769" s="20"/>
      <c r="DS1769" s="22"/>
      <c r="DT1769" s="22"/>
    </row>
    <row r="1770" spans="1:124" s="21" customFormat="1" x14ac:dyDescent="0.25">
      <c r="A1770" s="20"/>
      <c r="B1770" s="20"/>
      <c r="DS1770" s="22"/>
      <c r="DT1770" s="22"/>
    </row>
    <row r="1771" spans="1:124" s="21" customFormat="1" x14ac:dyDescent="0.25">
      <c r="A1771" s="20"/>
      <c r="B1771" s="20"/>
      <c r="DS1771" s="22"/>
      <c r="DT1771" s="22"/>
    </row>
    <row r="1772" spans="1:124" s="21" customFormat="1" x14ac:dyDescent="0.25">
      <c r="A1772" s="20"/>
      <c r="B1772" s="20"/>
      <c r="DS1772" s="22"/>
      <c r="DT1772" s="22"/>
    </row>
    <row r="1773" spans="1:124" s="21" customFormat="1" x14ac:dyDescent="0.25">
      <c r="A1773" s="20"/>
      <c r="B1773" s="20"/>
      <c r="DS1773" s="22"/>
      <c r="DT1773" s="22"/>
    </row>
    <row r="1774" spans="1:124" s="21" customFormat="1" x14ac:dyDescent="0.25">
      <c r="A1774" s="20"/>
      <c r="B1774" s="20"/>
      <c r="DS1774" s="22"/>
      <c r="DT1774" s="22"/>
    </row>
    <row r="1775" spans="1:124" s="21" customFormat="1" x14ac:dyDescent="0.25">
      <c r="A1775" s="20"/>
      <c r="B1775" s="20"/>
      <c r="DS1775" s="22"/>
      <c r="DT1775" s="22"/>
    </row>
    <row r="1776" spans="1:124" s="21" customFormat="1" x14ac:dyDescent="0.25">
      <c r="A1776" s="20"/>
      <c r="B1776" s="20"/>
      <c r="DS1776" s="22"/>
      <c r="DT1776" s="22"/>
    </row>
    <row r="1777" spans="1:124" s="21" customFormat="1" x14ac:dyDescent="0.25">
      <c r="A1777" s="20"/>
      <c r="B1777" s="20"/>
      <c r="DS1777" s="22"/>
      <c r="DT1777" s="22"/>
    </row>
    <row r="1778" spans="1:124" s="21" customFormat="1" x14ac:dyDescent="0.25">
      <c r="A1778" s="20"/>
      <c r="B1778" s="20"/>
      <c r="DS1778" s="22"/>
      <c r="DT1778" s="22"/>
    </row>
    <row r="1779" spans="1:124" s="21" customFormat="1" x14ac:dyDescent="0.25">
      <c r="A1779" s="20"/>
      <c r="B1779" s="20"/>
      <c r="DS1779" s="22"/>
      <c r="DT1779" s="22"/>
    </row>
    <row r="1780" spans="1:124" s="21" customFormat="1" x14ac:dyDescent="0.25">
      <c r="A1780" s="20"/>
      <c r="B1780" s="20"/>
      <c r="DS1780" s="22"/>
      <c r="DT1780" s="22"/>
    </row>
    <row r="1781" spans="1:124" s="21" customFormat="1" x14ac:dyDescent="0.25">
      <c r="A1781" s="20"/>
      <c r="B1781" s="20"/>
      <c r="DS1781" s="22"/>
      <c r="DT1781" s="22"/>
    </row>
    <row r="1782" spans="1:124" s="21" customFormat="1" x14ac:dyDescent="0.25">
      <c r="A1782" s="20"/>
      <c r="B1782" s="20"/>
      <c r="DS1782" s="22"/>
      <c r="DT1782" s="22"/>
    </row>
    <row r="1783" spans="1:124" s="21" customFormat="1" x14ac:dyDescent="0.25">
      <c r="A1783" s="20"/>
      <c r="B1783" s="20"/>
      <c r="DS1783" s="22"/>
      <c r="DT1783" s="22"/>
    </row>
    <row r="1784" spans="1:124" s="21" customFormat="1" x14ac:dyDescent="0.25">
      <c r="A1784" s="20"/>
      <c r="B1784" s="20"/>
      <c r="DS1784" s="22"/>
      <c r="DT1784" s="22"/>
    </row>
    <row r="1785" spans="1:124" s="21" customFormat="1" x14ac:dyDescent="0.25">
      <c r="A1785" s="20"/>
      <c r="B1785" s="20"/>
      <c r="DS1785" s="22"/>
      <c r="DT1785" s="22"/>
    </row>
    <row r="1786" spans="1:124" s="21" customFormat="1" x14ac:dyDescent="0.25">
      <c r="A1786" s="20"/>
      <c r="B1786" s="20"/>
      <c r="DS1786" s="22"/>
      <c r="DT1786" s="22"/>
    </row>
    <row r="1787" spans="1:124" s="21" customFormat="1" x14ac:dyDescent="0.25">
      <c r="A1787" s="20"/>
      <c r="B1787" s="20"/>
      <c r="DS1787" s="22"/>
      <c r="DT1787" s="22"/>
    </row>
    <row r="1788" spans="1:124" s="21" customFormat="1" x14ac:dyDescent="0.25">
      <c r="A1788" s="20"/>
      <c r="B1788" s="20"/>
      <c r="DS1788" s="22"/>
      <c r="DT1788" s="22"/>
    </row>
    <row r="1789" spans="1:124" s="21" customFormat="1" x14ac:dyDescent="0.25">
      <c r="A1789" s="20"/>
      <c r="B1789" s="20"/>
      <c r="DS1789" s="22"/>
      <c r="DT1789" s="22"/>
    </row>
    <row r="1790" spans="1:124" s="21" customFormat="1" x14ac:dyDescent="0.25">
      <c r="A1790" s="20"/>
      <c r="B1790" s="20"/>
      <c r="DS1790" s="22"/>
      <c r="DT1790" s="22"/>
    </row>
    <row r="1791" spans="1:124" s="21" customFormat="1" x14ac:dyDescent="0.25">
      <c r="A1791" s="20"/>
      <c r="B1791" s="20"/>
      <c r="DS1791" s="22"/>
      <c r="DT1791" s="22"/>
    </row>
    <row r="1792" spans="1:124" s="21" customFormat="1" x14ac:dyDescent="0.25">
      <c r="A1792" s="20"/>
      <c r="B1792" s="20"/>
      <c r="DS1792" s="22"/>
      <c r="DT1792" s="22"/>
    </row>
    <row r="1793" spans="1:124" s="21" customFormat="1" x14ac:dyDescent="0.25">
      <c r="A1793" s="20"/>
      <c r="B1793" s="20"/>
      <c r="DS1793" s="22"/>
      <c r="DT1793" s="22"/>
    </row>
    <row r="1794" spans="1:124" s="21" customFormat="1" x14ac:dyDescent="0.25">
      <c r="A1794" s="20"/>
      <c r="B1794" s="20"/>
      <c r="DS1794" s="22"/>
      <c r="DT1794" s="22"/>
    </row>
    <row r="1795" spans="1:124" s="21" customFormat="1" x14ac:dyDescent="0.25">
      <c r="A1795" s="20"/>
      <c r="B1795" s="20"/>
      <c r="DS1795" s="22"/>
      <c r="DT1795" s="22"/>
    </row>
    <row r="1796" spans="1:124" s="21" customFormat="1" x14ac:dyDescent="0.25">
      <c r="A1796" s="20"/>
      <c r="B1796" s="20"/>
      <c r="DS1796" s="22"/>
      <c r="DT1796" s="22"/>
    </row>
    <row r="1797" spans="1:124" s="21" customFormat="1" x14ac:dyDescent="0.25">
      <c r="A1797" s="20"/>
      <c r="B1797" s="20"/>
      <c r="DS1797" s="22"/>
      <c r="DT1797" s="22"/>
    </row>
    <row r="1798" spans="1:124" s="21" customFormat="1" x14ac:dyDescent="0.25">
      <c r="A1798" s="20"/>
      <c r="B1798" s="20"/>
      <c r="DS1798" s="22"/>
      <c r="DT1798" s="22"/>
    </row>
    <row r="1799" spans="1:124" s="21" customFormat="1" x14ac:dyDescent="0.25">
      <c r="A1799" s="20"/>
      <c r="B1799" s="20"/>
      <c r="DS1799" s="22"/>
      <c r="DT1799" s="22"/>
    </row>
    <row r="1800" spans="1:124" s="21" customFormat="1" x14ac:dyDescent="0.25">
      <c r="A1800" s="20"/>
      <c r="B1800" s="20"/>
      <c r="DS1800" s="22"/>
      <c r="DT1800" s="22"/>
    </row>
    <row r="1801" spans="1:124" s="21" customFormat="1" x14ac:dyDescent="0.25">
      <c r="A1801" s="20"/>
      <c r="B1801" s="20"/>
      <c r="DS1801" s="22"/>
      <c r="DT1801" s="22"/>
    </row>
    <row r="1802" spans="1:124" s="21" customFormat="1" x14ac:dyDescent="0.25">
      <c r="A1802" s="20"/>
      <c r="B1802" s="20"/>
      <c r="DS1802" s="22"/>
      <c r="DT1802" s="22"/>
    </row>
    <row r="1803" spans="1:124" s="21" customFormat="1" x14ac:dyDescent="0.25">
      <c r="A1803" s="20"/>
      <c r="B1803" s="20"/>
      <c r="DS1803" s="22"/>
      <c r="DT1803" s="22"/>
    </row>
    <row r="1804" spans="1:124" s="21" customFormat="1" x14ac:dyDescent="0.25">
      <c r="A1804" s="20"/>
      <c r="B1804" s="20"/>
      <c r="DS1804" s="22"/>
      <c r="DT1804" s="22"/>
    </row>
    <row r="1805" spans="1:124" s="21" customFormat="1" x14ac:dyDescent="0.25">
      <c r="A1805" s="20"/>
      <c r="B1805" s="20"/>
      <c r="DS1805" s="22"/>
      <c r="DT1805" s="22"/>
    </row>
    <row r="1806" spans="1:124" s="21" customFormat="1" x14ac:dyDescent="0.25">
      <c r="A1806" s="20"/>
      <c r="B1806" s="20"/>
      <c r="DS1806" s="22"/>
      <c r="DT1806" s="22"/>
    </row>
    <row r="1807" spans="1:124" s="21" customFormat="1" x14ac:dyDescent="0.25">
      <c r="A1807" s="20"/>
      <c r="B1807" s="20"/>
      <c r="DS1807" s="22"/>
      <c r="DT1807" s="22"/>
    </row>
    <row r="1808" spans="1:124" s="21" customFormat="1" x14ac:dyDescent="0.25">
      <c r="A1808" s="20"/>
      <c r="B1808" s="20"/>
      <c r="DS1808" s="22"/>
      <c r="DT1808" s="22"/>
    </row>
    <row r="1809" spans="1:124" s="21" customFormat="1" x14ac:dyDescent="0.25">
      <c r="A1809" s="20"/>
      <c r="B1809" s="20"/>
      <c r="DS1809" s="22"/>
      <c r="DT1809" s="22"/>
    </row>
    <row r="1810" spans="1:124" s="21" customFormat="1" x14ac:dyDescent="0.25">
      <c r="A1810" s="20"/>
      <c r="B1810" s="20"/>
      <c r="DS1810" s="22"/>
      <c r="DT1810" s="22"/>
    </row>
    <row r="1811" spans="1:124" s="21" customFormat="1" x14ac:dyDescent="0.25">
      <c r="A1811" s="20"/>
      <c r="B1811" s="20"/>
      <c r="DS1811" s="22"/>
      <c r="DT1811" s="22"/>
    </row>
    <row r="1812" spans="1:124" s="21" customFormat="1" x14ac:dyDescent="0.25">
      <c r="A1812" s="20"/>
      <c r="B1812" s="20"/>
      <c r="DS1812" s="22"/>
      <c r="DT1812" s="22"/>
    </row>
    <row r="1813" spans="1:124" s="21" customFormat="1" x14ac:dyDescent="0.25">
      <c r="A1813" s="20"/>
      <c r="B1813" s="20"/>
      <c r="DS1813" s="22"/>
      <c r="DT1813" s="22"/>
    </row>
    <row r="1814" spans="1:124" s="21" customFormat="1" x14ac:dyDescent="0.25">
      <c r="A1814" s="20"/>
      <c r="B1814" s="20"/>
      <c r="DS1814" s="22"/>
      <c r="DT1814" s="22"/>
    </row>
    <row r="1815" spans="1:124" s="21" customFormat="1" x14ac:dyDescent="0.25">
      <c r="A1815" s="20"/>
      <c r="B1815" s="20"/>
      <c r="DS1815" s="22"/>
      <c r="DT1815" s="22"/>
    </row>
    <row r="1816" spans="1:124" s="21" customFormat="1" x14ac:dyDescent="0.25">
      <c r="A1816" s="20"/>
      <c r="B1816" s="20"/>
      <c r="DS1816" s="22"/>
      <c r="DT1816" s="22"/>
    </row>
    <row r="1817" spans="1:124" s="21" customFormat="1" x14ac:dyDescent="0.25">
      <c r="A1817" s="20"/>
      <c r="B1817" s="20"/>
      <c r="DS1817" s="22"/>
      <c r="DT1817" s="22"/>
    </row>
    <row r="1818" spans="1:124" s="21" customFormat="1" x14ac:dyDescent="0.25">
      <c r="A1818" s="20"/>
      <c r="B1818" s="20"/>
      <c r="DS1818" s="22"/>
      <c r="DT1818" s="22"/>
    </row>
    <row r="1819" spans="1:124" s="21" customFormat="1" x14ac:dyDescent="0.25">
      <c r="A1819" s="20"/>
      <c r="B1819" s="20"/>
      <c r="DS1819" s="22"/>
      <c r="DT1819" s="22"/>
    </row>
    <row r="1820" spans="1:124" s="21" customFormat="1" x14ac:dyDescent="0.25">
      <c r="A1820" s="20"/>
      <c r="B1820" s="20"/>
      <c r="DS1820" s="22"/>
      <c r="DT1820" s="22"/>
    </row>
    <row r="1821" spans="1:124" s="21" customFormat="1" x14ac:dyDescent="0.25">
      <c r="A1821" s="20"/>
      <c r="B1821" s="20"/>
      <c r="DS1821" s="22"/>
      <c r="DT1821" s="22"/>
    </row>
    <row r="1822" spans="1:124" s="21" customFormat="1" x14ac:dyDescent="0.25">
      <c r="A1822" s="20"/>
      <c r="B1822" s="20"/>
      <c r="DS1822" s="22"/>
      <c r="DT1822" s="22"/>
    </row>
    <row r="1823" spans="1:124" s="21" customFormat="1" x14ac:dyDescent="0.25">
      <c r="A1823" s="20"/>
      <c r="B1823" s="20"/>
      <c r="DS1823" s="22"/>
      <c r="DT1823" s="22"/>
    </row>
    <row r="1824" spans="1:124" s="21" customFormat="1" x14ac:dyDescent="0.25">
      <c r="A1824" s="20"/>
      <c r="B1824" s="20"/>
      <c r="DS1824" s="22"/>
      <c r="DT1824" s="22"/>
    </row>
    <row r="1825" spans="1:124" s="21" customFormat="1" x14ac:dyDescent="0.25">
      <c r="A1825" s="20"/>
      <c r="B1825" s="20"/>
      <c r="DS1825" s="22"/>
      <c r="DT1825" s="22"/>
    </row>
    <row r="1826" spans="1:124" s="21" customFormat="1" x14ac:dyDescent="0.25">
      <c r="A1826" s="20"/>
      <c r="B1826" s="20"/>
      <c r="DS1826" s="22"/>
      <c r="DT1826" s="22"/>
    </row>
    <row r="1827" spans="1:124" s="21" customFormat="1" x14ac:dyDescent="0.25">
      <c r="A1827" s="20"/>
      <c r="B1827" s="20"/>
      <c r="DS1827" s="22"/>
      <c r="DT1827" s="22"/>
    </row>
    <row r="1828" spans="1:124" s="21" customFormat="1" x14ac:dyDescent="0.25">
      <c r="A1828" s="20"/>
      <c r="B1828" s="20"/>
      <c r="DS1828" s="22"/>
      <c r="DT1828" s="22"/>
    </row>
    <row r="1829" spans="1:124" s="21" customFormat="1" x14ac:dyDescent="0.25">
      <c r="A1829" s="20"/>
      <c r="B1829" s="20"/>
      <c r="DS1829" s="22"/>
      <c r="DT1829" s="22"/>
    </row>
    <row r="1830" spans="1:124" s="21" customFormat="1" x14ac:dyDescent="0.25">
      <c r="A1830" s="20"/>
      <c r="B1830" s="20"/>
      <c r="DS1830" s="22"/>
      <c r="DT1830" s="22"/>
    </row>
    <row r="1831" spans="1:124" s="21" customFormat="1" x14ac:dyDescent="0.25">
      <c r="A1831" s="20"/>
      <c r="B1831" s="20"/>
      <c r="DS1831" s="22"/>
      <c r="DT1831" s="22"/>
    </row>
    <row r="1832" spans="1:124" s="21" customFormat="1" x14ac:dyDescent="0.25">
      <c r="A1832" s="20"/>
      <c r="B1832" s="20"/>
      <c r="DS1832" s="22"/>
      <c r="DT1832" s="22"/>
    </row>
    <row r="1833" spans="1:124" s="21" customFormat="1" x14ac:dyDescent="0.25">
      <c r="A1833" s="20"/>
      <c r="B1833" s="20"/>
      <c r="DS1833" s="22"/>
      <c r="DT1833" s="22"/>
    </row>
    <row r="1834" spans="1:124" s="21" customFormat="1" x14ac:dyDescent="0.25">
      <c r="A1834" s="20"/>
      <c r="B1834" s="20"/>
      <c r="DS1834" s="22"/>
      <c r="DT1834" s="22"/>
    </row>
    <row r="1835" spans="1:124" s="21" customFormat="1" x14ac:dyDescent="0.25">
      <c r="A1835" s="20"/>
      <c r="B1835" s="20"/>
      <c r="DS1835" s="22"/>
      <c r="DT1835" s="22"/>
    </row>
    <row r="1836" spans="1:124" s="21" customFormat="1" x14ac:dyDescent="0.25">
      <c r="A1836" s="20"/>
      <c r="B1836" s="20"/>
      <c r="DS1836" s="22"/>
      <c r="DT1836" s="22"/>
    </row>
    <row r="1837" spans="1:124" s="21" customFormat="1" x14ac:dyDescent="0.25">
      <c r="A1837" s="20"/>
      <c r="B1837" s="20"/>
      <c r="DS1837" s="22"/>
      <c r="DT1837" s="22"/>
    </row>
    <row r="1838" spans="1:124" s="21" customFormat="1" x14ac:dyDescent="0.25">
      <c r="A1838" s="20"/>
      <c r="B1838" s="20"/>
      <c r="DS1838" s="22"/>
      <c r="DT1838" s="22"/>
    </row>
    <row r="1839" spans="1:124" s="21" customFormat="1" x14ac:dyDescent="0.25">
      <c r="A1839" s="20"/>
      <c r="B1839" s="20"/>
      <c r="DS1839" s="22"/>
      <c r="DT1839" s="22"/>
    </row>
    <row r="1840" spans="1:124" s="21" customFormat="1" x14ac:dyDescent="0.25">
      <c r="A1840" s="20"/>
      <c r="B1840" s="20"/>
      <c r="DS1840" s="22"/>
      <c r="DT1840" s="22"/>
    </row>
    <row r="1841" spans="1:124" s="21" customFormat="1" x14ac:dyDescent="0.25">
      <c r="A1841" s="20"/>
      <c r="B1841" s="20"/>
      <c r="DS1841" s="22"/>
      <c r="DT1841" s="22"/>
    </row>
    <row r="1842" spans="1:124" s="21" customFormat="1" x14ac:dyDescent="0.25">
      <c r="A1842" s="20"/>
      <c r="B1842" s="20"/>
      <c r="DS1842" s="22"/>
      <c r="DT1842" s="22"/>
    </row>
    <row r="1843" spans="1:124" s="21" customFormat="1" x14ac:dyDescent="0.25">
      <c r="A1843" s="20"/>
      <c r="B1843" s="20"/>
      <c r="DS1843" s="22"/>
      <c r="DT1843" s="22"/>
    </row>
    <row r="1844" spans="1:124" s="21" customFormat="1" x14ac:dyDescent="0.25">
      <c r="A1844" s="20"/>
      <c r="B1844" s="20"/>
      <c r="DS1844" s="22"/>
      <c r="DT1844" s="22"/>
    </row>
    <row r="1845" spans="1:124" s="21" customFormat="1" x14ac:dyDescent="0.25">
      <c r="A1845" s="20"/>
      <c r="B1845" s="20"/>
      <c r="DS1845" s="22"/>
      <c r="DT1845" s="22"/>
    </row>
    <row r="1846" spans="1:124" s="21" customFormat="1" x14ac:dyDescent="0.25">
      <c r="A1846" s="20"/>
      <c r="B1846" s="20"/>
      <c r="DS1846" s="22"/>
      <c r="DT1846" s="22"/>
    </row>
    <row r="1847" spans="1:124" s="21" customFormat="1" x14ac:dyDescent="0.25">
      <c r="A1847" s="20"/>
      <c r="B1847" s="20"/>
      <c r="DS1847" s="22"/>
      <c r="DT1847" s="22"/>
    </row>
    <row r="1848" spans="1:124" s="21" customFormat="1" x14ac:dyDescent="0.25">
      <c r="A1848" s="20"/>
      <c r="B1848" s="20"/>
      <c r="DS1848" s="22"/>
      <c r="DT1848" s="22"/>
    </row>
    <row r="1849" spans="1:124" s="21" customFormat="1" x14ac:dyDescent="0.25">
      <c r="A1849" s="20"/>
      <c r="B1849" s="20"/>
      <c r="DS1849" s="22"/>
      <c r="DT1849" s="22"/>
    </row>
    <row r="1850" spans="1:124" s="21" customFormat="1" x14ac:dyDescent="0.25">
      <c r="A1850" s="20"/>
      <c r="B1850" s="20"/>
      <c r="DS1850" s="22"/>
      <c r="DT1850" s="22"/>
    </row>
    <row r="1851" spans="1:124" s="21" customFormat="1" x14ac:dyDescent="0.25">
      <c r="A1851" s="20"/>
      <c r="B1851" s="20"/>
      <c r="DS1851" s="22"/>
      <c r="DT1851" s="22"/>
    </row>
    <row r="1852" spans="1:124" s="21" customFormat="1" x14ac:dyDescent="0.25">
      <c r="A1852" s="20"/>
      <c r="B1852" s="20"/>
      <c r="DS1852" s="22"/>
      <c r="DT1852" s="22"/>
    </row>
    <row r="1853" spans="1:124" s="21" customFormat="1" x14ac:dyDescent="0.25">
      <c r="A1853" s="20"/>
      <c r="B1853" s="20"/>
      <c r="DS1853" s="22"/>
      <c r="DT1853" s="22"/>
    </row>
    <row r="1854" spans="1:124" s="21" customFormat="1" x14ac:dyDescent="0.25">
      <c r="A1854" s="20"/>
      <c r="B1854" s="20"/>
      <c r="DS1854" s="22"/>
      <c r="DT1854" s="22"/>
    </row>
    <row r="1855" spans="1:124" s="21" customFormat="1" x14ac:dyDescent="0.25">
      <c r="A1855" s="20"/>
      <c r="B1855" s="20"/>
      <c r="DS1855" s="22"/>
      <c r="DT1855" s="22"/>
    </row>
    <row r="1856" spans="1:124" s="21" customFormat="1" x14ac:dyDescent="0.25">
      <c r="A1856" s="20"/>
      <c r="B1856" s="20"/>
      <c r="DS1856" s="22"/>
      <c r="DT1856" s="22"/>
    </row>
    <row r="1857" spans="1:124" s="21" customFormat="1" x14ac:dyDescent="0.25">
      <c r="A1857" s="20"/>
      <c r="B1857" s="20"/>
      <c r="DS1857" s="22"/>
      <c r="DT1857" s="22"/>
    </row>
    <row r="1858" spans="1:124" s="21" customFormat="1" x14ac:dyDescent="0.25">
      <c r="A1858" s="20"/>
      <c r="B1858" s="20"/>
      <c r="DS1858" s="22"/>
      <c r="DT1858" s="22"/>
    </row>
    <row r="1859" spans="1:124" s="21" customFormat="1" x14ac:dyDescent="0.25">
      <c r="A1859" s="20"/>
      <c r="B1859" s="20"/>
      <c r="DS1859" s="22"/>
      <c r="DT1859" s="22"/>
    </row>
    <row r="1860" spans="1:124" s="21" customFormat="1" x14ac:dyDescent="0.25">
      <c r="A1860" s="20"/>
      <c r="B1860" s="20"/>
      <c r="DS1860" s="22"/>
      <c r="DT1860" s="22"/>
    </row>
    <row r="1861" spans="1:124" s="21" customFormat="1" x14ac:dyDescent="0.25">
      <c r="A1861" s="20"/>
      <c r="B1861" s="20"/>
      <c r="DS1861" s="22"/>
      <c r="DT1861" s="22"/>
    </row>
    <row r="1862" spans="1:124" s="21" customFormat="1" x14ac:dyDescent="0.25">
      <c r="A1862" s="20"/>
      <c r="B1862" s="20"/>
      <c r="DS1862" s="22"/>
      <c r="DT1862" s="22"/>
    </row>
    <row r="1863" spans="1:124" s="21" customFormat="1" x14ac:dyDescent="0.25">
      <c r="A1863" s="20"/>
      <c r="B1863" s="20"/>
      <c r="DS1863" s="22"/>
      <c r="DT1863" s="22"/>
    </row>
    <row r="1864" spans="1:124" s="21" customFormat="1" x14ac:dyDescent="0.25">
      <c r="A1864" s="20"/>
      <c r="B1864" s="20"/>
      <c r="DS1864" s="22"/>
      <c r="DT1864" s="22"/>
    </row>
    <row r="1865" spans="1:124" s="21" customFormat="1" x14ac:dyDescent="0.25">
      <c r="A1865" s="20"/>
      <c r="B1865" s="20"/>
      <c r="DS1865" s="22"/>
      <c r="DT1865" s="22"/>
    </row>
    <row r="1866" spans="1:124" s="21" customFormat="1" x14ac:dyDescent="0.25">
      <c r="A1866" s="20"/>
      <c r="B1866" s="20"/>
      <c r="DS1866" s="22"/>
      <c r="DT1866" s="22"/>
    </row>
    <row r="1867" spans="1:124" s="21" customFormat="1" x14ac:dyDescent="0.25">
      <c r="A1867" s="20"/>
      <c r="B1867" s="20"/>
      <c r="DS1867" s="22"/>
      <c r="DT1867" s="22"/>
    </row>
    <row r="1868" spans="1:124" s="21" customFormat="1" x14ac:dyDescent="0.25">
      <c r="A1868" s="20"/>
      <c r="B1868" s="20"/>
      <c r="DS1868" s="22"/>
      <c r="DT1868" s="22"/>
    </row>
    <row r="1869" spans="1:124" s="21" customFormat="1" x14ac:dyDescent="0.25">
      <c r="A1869" s="20"/>
      <c r="B1869" s="20"/>
      <c r="DS1869" s="22"/>
      <c r="DT1869" s="22"/>
    </row>
    <row r="1870" spans="1:124" s="21" customFormat="1" x14ac:dyDescent="0.25">
      <c r="A1870" s="20"/>
      <c r="B1870" s="20"/>
      <c r="DS1870" s="22"/>
      <c r="DT1870" s="22"/>
    </row>
    <row r="1871" spans="1:124" s="21" customFormat="1" x14ac:dyDescent="0.25">
      <c r="A1871" s="20"/>
      <c r="B1871" s="20"/>
      <c r="DS1871" s="22"/>
      <c r="DT1871" s="22"/>
    </row>
    <row r="1872" spans="1:124" s="21" customFormat="1" x14ac:dyDescent="0.25">
      <c r="A1872" s="20"/>
      <c r="B1872" s="20"/>
      <c r="DS1872" s="22"/>
      <c r="DT1872" s="22"/>
    </row>
    <row r="1873" spans="1:124" s="21" customFormat="1" x14ac:dyDescent="0.25">
      <c r="A1873" s="20"/>
      <c r="B1873" s="20"/>
      <c r="DS1873" s="22"/>
      <c r="DT1873" s="22"/>
    </row>
    <row r="1874" spans="1:124" s="21" customFormat="1" x14ac:dyDescent="0.25">
      <c r="A1874" s="20"/>
      <c r="B1874" s="20"/>
      <c r="DS1874" s="22"/>
      <c r="DT1874" s="22"/>
    </row>
    <row r="1875" spans="1:124" s="21" customFormat="1" x14ac:dyDescent="0.25">
      <c r="A1875" s="20"/>
      <c r="B1875" s="20"/>
      <c r="DS1875" s="22"/>
      <c r="DT1875" s="22"/>
    </row>
    <row r="1876" spans="1:124" s="21" customFormat="1" x14ac:dyDescent="0.25">
      <c r="A1876" s="20"/>
      <c r="B1876" s="20"/>
      <c r="DS1876" s="22"/>
      <c r="DT1876" s="22"/>
    </row>
    <row r="1877" spans="1:124" s="21" customFormat="1" x14ac:dyDescent="0.25">
      <c r="A1877" s="20"/>
      <c r="B1877" s="20"/>
      <c r="DS1877" s="22"/>
      <c r="DT1877" s="22"/>
    </row>
    <row r="1878" spans="1:124" s="21" customFormat="1" x14ac:dyDescent="0.25">
      <c r="A1878" s="20"/>
      <c r="B1878" s="20"/>
      <c r="DS1878" s="22"/>
      <c r="DT1878" s="22"/>
    </row>
    <row r="1879" spans="1:124" s="21" customFormat="1" x14ac:dyDescent="0.25">
      <c r="A1879" s="20"/>
      <c r="B1879" s="20"/>
      <c r="DS1879" s="22"/>
      <c r="DT1879" s="22"/>
    </row>
    <row r="1880" spans="1:124" s="21" customFormat="1" x14ac:dyDescent="0.25">
      <c r="A1880" s="20"/>
      <c r="B1880" s="20"/>
      <c r="DS1880" s="22"/>
      <c r="DT1880" s="22"/>
    </row>
    <row r="1881" spans="1:124" s="21" customFormat="1" x14ac:dyDescent="0.25">
      <c r="A1881" s="20"/>
      <c r="B1881" s="20"/>
      <c r="DS1881" s="22"/>
      <c r="DT1881" s="22"/>
    </row>
    <row r="1882" spans="1:124" s="21" customFormat="1" x14ac:dyDescent="0.25">
      <c r="A1882" s="20"/>
      <c r="B1882" s="20"/>
      <c r="DS1882" s="22"/>
      <c r="DT1882" s="22"/>
    </row>
    <row r="1883" spans="1:124" s="21" customFormat="1" x14ac:dyDescent="0.25">
      <c r="A1883" s="20"/>
      <c r="B1883" s="20"/>
      <c r="DS1883" s="22"/>
      <c r="DT1883" s="22"/>
    </row>
    <row r="1884" spans="1:124" s="21" customFormat="1" x14ac:dyDescent="0.25">
      <c r="A1884" s="20"/>
      <c r="B1884" s="20"/>
      <c r="DS1884" s="22"/>
      <c r="DT1884" s="22"/>
    </row>
    <row r="1885" spans="1:124" s="21" customFormat="1" x14ac:dyDescent="0.25">
      <c r="A1885" s="20"/>
      <c r="B1885" s="20"/>
      <c r="DS1885" s="22"/>
      <c r="DT1885" s="22"/>
    </row>
    <row r="1886" spans="1:124" s="21" customFormat="1" x14ac:dyDescent="0.25">
      <c r="A1886" s="20"/>
      <c r="B1886" s="20"/>
      <c r="DS1886" s="22"/>
      <c r="DT1886" s="22"/>
    </row>
    <row r="1887" spans="1:124" s="21" customFormat="1" x14ac:dyDescent="0.25">
      <c r="A1887" s="20"/>
      <c r="B1887" s="20"/>
      <c r="DS1887" s="22"/>
      <c r="DT1887" s="22"/>
    </row>
    <row r="1888" spans="1:124" s="21" customFormat="1" x14ac:dyDescent="0.25">
      <c r="A1888" s="20"/>
      <c r="B1888" s="20"/>
      <c r="DS1888" s="22"/>
      <c r="DT1888" s="22"/>
    </row>
    <row r="1889" spans="1:124" s="21" customFormat="1" x14ac:dyDescent="0.25">
      <c r="A1889" s="20"/>
      <c r="B1889" s="20"/>
      <c r="DS1889" s="22"/>
      <c r="DT1889" s="22"/>
    </row>
    <row r="1890" spans="1:124" s="21" customFormat="1" x14ac:dyDescent="0.25">
      <c r="A1890" s="20"/>
      <c r="B1890" s="20"/>
      <c r="DS1890" s="22"/>
      <c r="DT1890" s="22"/>
    </row>
    <row r="1891" spans="1:124" s="21" customFormat="1" x14ac:dyDescent="0.25">
      <c r="A1891" s="20"/>
      <c r="B1891" s="20"/>
      <c r="DS1891" s="22"/>
      <c r="DT1891" s="22"/>
    </row>
    <row r="1892" spans="1:124" s="21" customFormat="1" x14ac:dyDescent="0.25">
      <c r="A1892" s="20"/>
      <c r="B1892" s="20"/>
      <c r="DS1892" s="22"/>
      <c r="DT1892" s="22"/>
    </row>
    <row r="1893" spans="1:124" s="21" customFormat="1" x14ac:dyDescent="0.25">
      <c r="A1893" s="20"/>
      <c r="B1893" s="20"/>
      <c r="DS1893" s="22"/>
      <c r="DT1893" s="22"/>
    </row>
    <row r="1894" spans="1:124" s="21" customFormat="1" x14ac:dyDescent="0.25">
      <c r="A1894" s="20"/>
      <c r="B1894" s="20"/>
      <c r="DS1894" s="22"/>
      <c r="DT1894" s="22"/>
    </row>
    <row r="1895" spans="1:124" s="21" customFormat="1" x14ac:dyDescent="0.25">
      <c r="A1895" s="20"/>
      <c r="B1895" s="20"/>
      <c r="DS1895" s="22"/>
      <c r="DT1895" s="22"/>
    </row>
    <row r="1896" spans="1:124" s="21" customFormat="1" x14ac:dyDescent="0.25">
      <c r="A1896" s="20"/>
      <c r="B1896" s="20"/>
      <c r="DS1896" s="22"/>
      <c r="DT1896" s="22"/>
    </row>
    <row r="1897" spans="1:124" s="21" customFormat="1" x14ac:dyDescent="0.25">
      <c r="A1897" s="20"/>
      <c r="B1897" s="20"/>
      <c r="DS1897" s="22"/>
      <c r="DT1897" s="22"/>
    </row>
    <row r="1898" spans="1:124" s="21" customFormat="1" x14ac:dyDescent="0.25">
      <c r="A1898" s="20"/>
      <c r="B1898" s="20"/>
      <c r="DS1898" s="22"/>
      <c r="DT1898" s="22"/>
    </row>
    <row r="1899" spans="1:124" s="21" customFormat="1" x14ac:dyDescent="0.25">
      <c r="A1899" s="20"/>
      <c r="B1899" s="20"/>
      <c r="DS1899" s="22"/>
      <c r="DT1899" s="22"/>
    </row>
    <row r="1900" spans="1:124" s="21" customFormat="1" x14ac:dyDescent="0.25">
      <c r="A1900" s="20"/>
      <c r="B1900" s="20"/>
      <c r="DS1900" s="22"/>
      <c r="DT1900" s="22"/>
    </row>
    <row r="1901" spans="1:124" s="21" customFormat="1" x14ac:dyDescent="0.25">
      <c r="A1901" s="20"/>
      <c r="B1901" s="20"/>
      <c r="DS1901" s="22"/>
      <c r="DT1901" s="22"/>
    </row>
    <row r="1902" spans="1:124" s="21" customFormat="1" x14ac:dyDescent="0.25">
      <c r="A1902" s="20"/>
      <c r="B1902" s="20"/>
      <c r="DS1902" s="22"/>
      <c r="DT1902" s="22"/>
    </row>
    <row r="1903" spans="1:124" s="21" customFormat="1" x14ac:dyDescent="0.25">
      <c r="A1903" s="20"/>
      <c r="B1903" s="20"/>
      <c r="DS1903" s="22"/>
      <c r="DT1903" s="22"/>
    </row>
    <row r="1904" spans="1:124" s="21" customFormat="1" x14ac:dyDescent="0.25">
      <c r="A1904" s="20"/>
      <c r="B1904" s="20"/>
      <c r="DS1904" s="22"/>
      <c r="DT1904" s="22"/>
    </row>
    <row r="1905" spans="1:124" s="21" customFormat="1" x14ac:dyDescent="0.25">
      <c r="A1905" s="20"/>
      <c r="B1905" s="20"/>
      <c r="DS1905" s="22"/>
      <c r="DT1905" s="22"/>
    </row>
    <row r="1906" spans="1:124" s="21" customFormat="1" x14ac:dyDescent="0.25">
      <c r="A1906" s="20"/>
      <c r="B1906" s="20"/>
      <c r="DS1906" s="22"/>
      <c r="DT1906" s="22"/>
    </row>
    <row r="1907" spans="1:124" s="21" customFormat="1" x14ac:dyDescent="0.25">
      <c r="A1907" s="20"/>
      <c r="B1907" s="20"/>
      <c r="DS1907" s="22"/>
      <c r="DT1907" s="22"/>
    </row>
    <row r="1908" spans="1:124" s="21" customFormat="1" x14ac:dyDescent="0.25">
      <c r="A1908" s="20"/>
      <c r="B1908" s="20"/>
      <c r="DS1908" s="22"/>
      <c r="DT1908" s="22"/>
    </row>
    <row r="1909" spans="1:124" s="21" customFormat="1" x14ac:dyDescent="0.25">
      <c r="A1909" s="20"/>
      <c r="B1909" s="20"/>
      <c r="DS1909" s="22"/>
      <c r="DT1909" s="22"/>
    </row>
    <row r="1910" spans="1:124" s="21" customFormat="1" x14ac:dyDescent="0.25">
      <c r="A1910" s="20"/>
      <c r="B1910" s="20"/>
      <c r="DS1910" s="22"/>
      <c r="DT1910" s="22"/>
    </row>
    <row r="1911" spans="1:124" s="21" customFormat="1" x14ac:dyDescent="0.25">
      <c r="A1911" s="20"/>
      <c r="B1911" s="20"/>
      <c r="DS1911" s="22"/>
      <c r="DT1911" s="22"/>
    </row>
    <row r="1912" spans="1:124" s="21" customFormat="1" x14ac:dyDescent="0.25">
      <c r="A1912" s="20"/>
      <c r="B1912" s="20"/>
      <c r="DS1912" s="22"/>
      <c r="DT1912" s="22"/>
    </row>
    <row r="1913" spans="1:124" s="21" customFormat="1" x14ac:dyDescent="0.25">
      <c r="A1913" s="20"/>
      <c r="B1913" s="20"/>
      <c r="DS1913" s="22"/>
      <c r="DT1913" s="22"/>
    </row>
    <row r="1914" spans="1:124" s="21" customFormat="1" x14ac:dyDescent="0.25">
      <c r="A1914" s="20"/>
      <c r="B1914" s="20"/>
      <c r="DS1914" s="22"/>
      <c r="DT1914" s="22"/>
    </row>
    <row r="1915" spans="1:124" s="21" customFormat="1" x14ac:dyDescent="0.25">
      <c r="A1915" s="20"/>
      <c r="B1915" s="20"/>
      <c r="DS1915" s="22"/>
      <c r="DT1915" s="22"/>
    </row>
    <row r="1916" spans="1:124" s="21" customFormat="1" x14ac:dyDescent="0.25">
      <c r="A1916" s="20"/>
      <c r="B1916" s="20"/>
      <c r="DS1916" s="22"/>
      <c r="DT1916" s="22"/>
    </row>
    <row r="1917" spans="1:124" s="21" customFormat="1" x14ac:dyDescent="0.25">
      <c r="A1917" s="20"/>
      <c r="B1917" s="20"/>
      <c r="DS1917" s="22"/>
      <c r="DT1917" s="22"/>
    </row>
    <row r="1918" spans="1:124" s="21" customFormat="1" x14ac:dyDescent="0.25">
      <c r="A1918" s="20"/>
      <c r="B1918" s="20"/>
      <c r="DS1918" s="22"/>
      <c r="DT1918" s="22"/>
    </row>
    <row r="1919" spans="1:124" s="21" customFormat="1" x14ac:dyDescent="0.25">
      <c r="A1919" s="20"/>
      <c r="B1919" s="20"/>
      <c r="DS1919" s="22"/>
      <c r="DT1919" s="22"/>
    </row>
    <row r="1920" spans="1:124" s="21" customFormat="1" x14ac:dyDescent="0.25">
      <c r="A1920" s="20"/>
      <c r="B1920" s="20"/>
      <c r="DS1920" s="22"/>
      <c r="DT1920" s="22"/>
    </row>
    <row r="1921" spans="1:124" s="21" customFormat="1" x14ac:dyDescent="0.25">
      <c r="A1921" s="20"/>
      <c r="B1921" s="20"/>
      <c r="DS1921" s="22"/>
      <c r="DT1921" s="22"/>
    </row>
    <row r="1922" spans="1:124" s="21" customFormat="1" x14ac:dyDescent="0.25">
      <c r="A1922" s="20"/>
      <c r="B1922" s="20"/>
      <c r="DS1922" s="22"/>
      <c r="DT1922" s="22"/>
    </row>
    <row r="1923" spans="1:124" s="21" customFormat="1" x14ac:dyDescent="0.25">
      <c r="A1923" s="20"/>
      <c r="B1923" s="20"/>
      <c r="DS1923" s="22"/>
      <c r="DT1923" s="22"/>
    </row>
    <row r="1924" spans="1:124" s="21" customFormat="1" x14ac:dyDescent="0.25">
      <c r="A1924" s="20"/>
      <c r="B1924" s="20"/>
      <c r="DS1924" s="22"/>
      <c r="DT1924" s="22"/>
    </row>
    <row r="1925" spans="1:124" s="21" customFormat="1" x14ac:dyDescent="0.25">
      <c r="A1925" s="20"/>
      <c r="B1925" s="20"/>
      <c r="DS1925" s="22"/>
      <c r="DT1925" s="22"/>
    </row>
    <row r="1926" spans="1:124" s="21" customFormat="1" x14ac:dyDescent="0.25">
      <c r="A1926" s="20"/>
      <c r="B1926" s="20"/>
      <c r="DS1926" s="22"/>
      <c r="DT1926" s="22"/>
    </row>
    <row r="1927" spans="1:124" s="21" customFormat="1" x14ac:dyDescent="0.25">
      <c r="A1927" s="20"/>
      <c r="B1927" s="20"/>
      <c r="DS1927" s="22"/>
      <c r="DT1927" s="22"/>
    </row>
    <row r="1928" spans="1:124" s="21" customFormat="1" x14ac:dyDescent="0.25">
      <c r="A1928" s="20"/>
      <c r="B1928" s="20"/>
      <c r="DS1928" s="22"/>
      <c r="DT1928" s="22"/>
    </row>
    <row r="1929" spans="1:124" s="21" customFormat="1" x14ac:dyDescent="0.25">
      <c r="A1929" s="20"/>
      <c r="B1929" s="20"/>
      <c r="DS1929" s="22"/>
      <c r="DT1929" s="22"/>
    </row>
    <row r="1930" spans="1:124" s="21" customFormat="1" x14ac:dyDescent="0.25">
      <c r="A1930" s="20"/>
      <c r="B1930" s="20"/>
      <c r="DS1930" s="22"/>
      <c r="DT1930" s="22"/>
    </row>
    <row r="1931" spans="1:124" s="21" customFormat="1" x14ac:dyDescent="0.25">
      <c r="A1931" s="20"/>
      <c r="B1931" s="20"/>
      <c r="DS1931" s="22"/>
      <c r="DT1931" s="22"/>
    </row>
    <row r="1932" spans="1:124" s="21" customFormat="1" x14ac:dyDescent="0.25">
      <c r="A1932" s="20"/>
      <c r="B1932" s="20"/>
      <c r="DS1932" s="22"/>
      <c r="DT1932" s="22"/>
    </row>
    <row r="1933" spans="1:124" s="21" customFormat="1" x14ac:dyDescent="0.25">
      <c r="A1933" s="20"/>
      <c r="B1933" s="20"/>
      <c r="DS1933" s="22"/>
      <c r="DT1933" s="22"/>
    </row>
    <row r="1934" spans="1:124" s="21" customFormat="1" x14ac:dyDescent="0.25">
      <c r="A1934" s="20"/>
      <c r="B1934" s="20"/>
      <c r="DS1934" s="22"/>
      <c r="DT1934" s="22"/>
    </row>
    <row r="1935" spans="1:124" s="21" customFormat="1" x14ac:dyDescent="0.25">
      <c r="A1935" s="20"/>
      <c r="B1935" s="20"/>
      <c r="DS1935" s="22"/>
      <c r="DT1935" s="22"/>
    </row>
    <row r="1936" spans="1:124" s="21" customFormat="1" x14ac:dyDescent="0.25">
      <c r="A1936" s="20"/>
      <c r="B1936" s="20"/>
      <c r="DS1936" s="22"/>
      <c r="DT1936" s="22"/>
    </row>
    <row r="1937" spans="1:124" s="21" customFormat="1" x14ac:dyDescent="0.25">
      <c r="A1937" s="20"/>
      <c r="B1937" s="20"/>
      <c r="DS1937" s="22"/>
      <c r="DT1937" s="22"/>
    </row>
    <row r="1938" spans="1:124" s="21" customFormat="1" x14ac:dyDescent="0.25">
      <c r="A1938" s="20"/>
      <c r="B1938" s="20"/>
      <c r="DS1938" s="22"/>
      <c r="DT1938" s="22"/>
    </row>
    <row r="1939" spans="1:124" s="21" customFormat="1" x14ac:dyDescent="0.25">
      <c r="A1939" s="20"/>
      <c r="B1939" s="20"/>
      <c r="DS1939" s="22"/>
      <c r="DT1939" s="22"/>
    </row>
    <row r="1940" spans="1:124" s="21" customFormat="1" x14ac:dyDescent="0.25">
      <c r="A1940" s="20"/>
      <c r="B1940" s="20"/>
      <c r="DS1940" s="22"/>
      <c r="DT1940" s="22"/>
    </row>
    <row r="1941" spans="1:124" s="21" customFormat="1" x14ac:dyDescent="0.25">
      <c r="A1941" s="20"/>
      <c r="B1941" s="20"/>
      <c r="DS1941" s="22"/>
      <c r="DT1941" s="22"/>
    </row>
    <row r="1942" spans="1:124" s="21" customFormat="1" x14ac:dyDescent="0.25">
      <c r="A1942" s="20"/>
      <c r="B1942" s="20"/>
      <c r="DS1942" s="22"/>
      <c r="DT1942" s="22"/>
    </row>
    <row r="1943" spans="1:124" s="21" customFormat="1" x14ac:dyDescent="0.25">
      <c r="A1943" s="20"/>
      <c r="B1943" s="20"/>
      <c r="DS1943" s="22"/>
      <c r="DT1943" s="22"/>
    </row>
    <row r="1944" spans="1:124" s="21" customFormat="1" x14ac:dyDescent="0.25">
      <c r="A1944" s="20"/>
      <c r="B1944" s="20"/>
      <c r="DS1944" s="22"/>
      <c r="DT1944" s="22"/>
    </row>
    <row r="1945" spans="1:124" s="21" customFormat="1" x14ac:dyDescent="0.25">
      <c r="A1945" s="20"/>
      <c r="B1945" s="20"/>
      <c r="DS1945" s="22"/>
      <c r="DT1945" s="22"/>
    </row>
    <row r="1946" spans="1:124" s="21" customFormat="1" x14ac:dyDescent="0.25">
      <c r="A1946" s="20"/>
      <c r="B1946" s="20"/>
      <c r="DS1946" s="22"/>
      <c r="DT1946" s="22"/>
    </row>
    <row r="1947" spans="1:124" s="21" customFormat="1" x14ac:dyDescent="0.25">
      <c r="A1947" s="20"/>
      <c r="B1947" s="20"/>
      <c r="DS1947" s="22"/>
      <c r="DT1947" s="22"/>
    </row>
    <row r="1948" spans="1:124" s="21" customFormat="1" x14ac:dyDescent="0.25">
      <c r="A1948" s="20"/>
      <c r="B1948" s="20"/>
      <c r="DS1948" s="22"/>
      <c r="DT1948" s="22"/>
    </row>
    <row r="1949" spans="1:124" s="21" customFormat="1" x14ac:dyDescent="0.25">
      <c r="A1949" s="20"/>
      <c r="B1949" s="20"/>
      <c r="DS1949" s="22"/>
      <c r="DT1949" s="22"/>
    </row>
    <row r="1950" spans="1:124" s="21" customFormat="1" x14ac:dyDescent="0.25">
      <c r="A1950" s="20"/>
      <c r="B1950" s="20"/>
      <c r="DS1950" s="22"/>
      <c r="DT1950" s="22"/>
    </row>
    <row r="1951" spans="1:124" s="21" customFormat="1" x14ac:dyDescent="0.25">
      <c r="A1951" s="20"/>
      <c r="B1951" s="20"/>
      <c r="DS1951" s="22"/>
      <c r="DT1951" s="22"/>
    </row>
    <row r="1952" spans="1:124" s="21" customFormat="1" x14ac:dyDescent="0.25">
      <c r="A1952" s="20"/>
      <c r="B1952" s="20"/>
      <c r="DS1952" s="22"/>
      <c r="DT1952" s="22"/>
    </row>
    <row r="1953" spans="1:124" s="21" customFormat="1" x14ac:dyDescent="0.25">
      <c r="A1953" s="20"/>
      <c r="B1953" s="20"/>
      <c r="DS1953" s="22"/>
      <c r="DT1953" s="22"/>
    </row>
    <row r="1954" spans="1:124" s="21" customFormat="1" x14ac:dyDescent="0.25">
      <c r="A1954" s="20"/>
      <c r="B1954" s="20"/>
      <c r="DS1954" s="22"/>
      <c r="DT1954" s="22"/>
    </row>
    <row r="1955" spans="1:124" s="21" customFormat="1" x14ac:dyDescent="0.25">
      <c r="A1955" s="20"/>
      <c r="B1955" s="20"/>
      <c r="DS1955" s="22"/>
      <c r="DT1955" s="22"/>
    </row>
    <row r="1956" spans="1:124" s="21" customFormat="1" x14ac:dyDescent="0.25">
      <c r="A1956" s="20"/>
      <c r="B1956" s="20"/>
      <c r="DS1956" s="22"/>
      <c r="DT1956" s="22"/>
    </row>
    <row r="1957" spans="1:124" s="21" customFormat="1" x14ac:dyDescent="0.25">
      <c r="A1957" s="20"/>
      <c r="B1957" s="20"/>
      <c r="DS1957" s="22"/>
      <c r="DT1957" s="22"/>
    </row>
    <row r="1958" spans="1:124" s="21" customFormat="1" x14ac:dyDescent="0.25">
      <c r="A1958" s="20"/>
      <c r="B1958" s="20"/>
      <c r="DS1958" s="22"/>
      <c r="DT1958" s="22"/>
    </row>
    <row r="1959" spans="1:124" s="21" customFormat="1" x14ac:dyDescent="0.25">
      <c r="A1959" s="20"/>
      <c r="B1959" s="20"/>
      <c r="DS1959" s="22"/>
      <c r="DT1959" s="22"/>
    </row>
    <row r="1960" spans="1:124" s="21" customFormat="1" x14ac:dyDescent="0.25">
      <c r="A1960" s="20"/>
      <c r="B1960" s="20"/>
      <c r="DS1960" s="22"/>
      <c r="DT1960" s="22"/>
    </row>
    <row r="1961" spans="1:124" s="21" customFormat="1" x14ac:dyDescent="0.25">
      <c r="A1961" s="20"/>
      <c r="B1961" s="20"/>
      <c r="DS1961" s="22"/>
      <c r="DT1961" s="22"/>
    </row>
    <row r="1962" spans="1:124" s="21" customFormat="1" x14ac:dyDescent="0.25">
      <c r="A1962" s="20"/>
      <c r="B1962" s="20"/>
      <c r="DS1962" s="22"/>
      <c r="DT1962" s="22"/>
    </row>
    <row r="1963" spans="1:124" s="21" customFormat="1" x14ac:dyDescent="0.25">
      <c r="A1963" s="20"/>
      <c r="B1963" s="20"/>
      <c r="DS1963" s="22"/>
      <c r="DT1963" s="22"/>
    </row>
    <row r="1964" spans="1:124" s="21" customFormat="1" x14ac:dyDescent="0.25">
      <c r="A1964" s="20"/>
      <c r="B1964" s="20"/>
      <c r="DS1964" s="22"/>
      <c r="DT1964" s="22"/>
    </row>
    <row r="1965" spans="1:124" s="21" customFormat="1" x14ac:dyDescent="0.25">
      <c r="A1965" s="20"/>
      <c r="B1965" s="20"/>
      <c r="DS1965" s="22"/>
      <c r="DT1965" s="22"/>
    </row>
    <row r="1966" spans="1:124" s="21" customFormat="1" x14ac:dyDescent="0.25">
      <c r="A1966" s="20"/>
      <c r="B1966" s="20"/>
      <c r="DS1966" s="22"/>
      <c r="DT1966" s="22"/>
    </row>
    <row r="1967" spans="1:124" s="21" customFormat="1" x14ac:dyDescent="0.25">
      <c r="A1967" s="20"/>
      <c r="B1967" s="20"/>
      <c r="DS1967" s="22"/>
      <c r="DT1967" s="22"/>
    </row>
    <row r="1968" spans="1:124" s="21" customFormat="1" x14ac:dyDescent="0.25">
      <c r="A1968" s="20"/>
      <c r="B1968" s="20"/>
      <c r="DS1968" s="22"/>
      <c r="DT1968" s="22"/>
    </row>
    <row r="1969" spans="1:124" s="21" customFormat="1" x14ac:dyDescent="0.25">
      <c r="A1969" s="20"/>
      <c r="B1969" s="20"/>
      <c r="DS1969" s="22"/>
      <c r="DT1969" s="22"/>
    </row>
    <row r="1970" spans="1:124" s="21" customFormat="1" x14ac:dyDescent="0.25">
      <c r="A1970" s="20"/>
      <c r="B1970" s="20"/>
      <c r="DS1970" s="22"/>
      <c r="DT1970" s="22"/>
    </row>
    <row r="1971" spans="1:124" s="21" customFormat="1" x14ac:dyDescent="0.25">
      <c r="A1971" s="20"/>
      <c r="B1971" s="20"/>
      <c r="DS1971" s="22"/>
      <c r="DT1971" s="22"/>
    </row>
    <row r="1972" spans="1:124" s="21" customFormat="1" x14ac:dyDescent="0.25">
      <c r="A1972" s="20"/>
      <c r="B1972" s="20"/>
      <c r="DS1972" s="22"/>
      <c r="DT1972" s="22"/>
    </row>
    <row r="1973" spans="1:124" s="21" customFormat="1" x14ac:dyDescent="0.25">
      <c r="A1973" s="20"/>
      <c r="B1973" s="20"/>
      <c r="DS1973" s="22"/>
      <c r="DT1973" s="22"/>
    </row>
    <row r="1974" spans="1:124" s="21" customFormat="1" x14ac:dyDescent="0.25">
      <c r="A1974" s="20"/>
      <c r="B1974" s="20"/>
      <c r="DS1974" s="22"/>
      <c r="DT1974" s="22"/>
    </row>
    <row r="1975" spans="1:124" s="21" customFormat="1" x14ac:dyDescent="0.25">
      <c r="A1975" s="20"/>
      <c r="B1975" s="20"/>
      <c r="DS1975" s="22"/>
      <c r="DT1975" s="22"/>
    </row>
    <row r="1976" spans="1:124" s="21" customFormat="1" x14ac:dyDescent="0.25">
      <c r="A1976" s="20"/>
      <c r="B1976" s="20"/>
      <c r="DS1976" s="22"/>
      <c r="DT1976" s="22"/>
    </row>
    <row r="1977" spans="1:124" s="21" customFormat="1" x14ac:dyDescent="0.25">
      <c r="A1977" s="20"/>
      <c r="B1977" s="20"/>
      <c r="DS1977" s="22"/>
      <c r="DT1977" s="22"/>
    </row>
    <row r="1978" spans="1:124" s="21" customFormat="1" x14ac:dyDescent="0.25">
      <c r="A1978" s="20"/>
      <c r="B1978" s="20"/>
      <c r="DS1978" s="22"/>
      <c r="DT1978" s="22"/>
    </row>
    <row r="1979" spans="1:124" s="21" customFormat="1" x14ac:dyDescent="0.25">
      <c r="A1979" s="20"/>
      <c r="B1979" s="20"/>
      <c r="DS1979" s="22"/>
      <c r="DT1979" s="22"/>
    </row>
    <row r="1980" spans="1:124" s="21" customFormat="1" x14ac:dyDescent="0.25">
      <c r="A1980" s="20"/>
      <c r="B1980" s="20"/>
      <c r="DS1980" s="22"/>
      <c r="DT1980" s="22"/>
    </row>
    <row r="1981" spans="1:124" s="21" customFormat="1" x14ac:dyDescent="0.25">
      <c r="A1981" s="20"/>
      <c r="B1981" s="20"/>
      <c r="DS1981" s="22"/>
      <c r="DT1981" s="22"/>
    </row>
    <row r="1982" spans="1:124" s="21" customFormat="1" x14ac:dyDescent="0.25">
      <c r="A1982" s="20"/>
      <c r="B1982" s="20"/>
      <c r="DS1982" s="22"/>
      <c r="DT1982" s="22"/>
    </row>
    <row r="1983" spans="1:124" s="21" customFormat="1" x14ac:dyDescent="0.25">
      <c r="A1983" s="20"/>
      <c r="B1983" s="20"/>
      <c r="DS1983" s="22"/>
      <c r="DT1983" s="22"/>
    </row>
    <row r="1984" spans="1:124" s="21" customFormat="1" x14ac:dyDescent="0.25">
      <c r="A1984" s="20"/>
      <c r="B1984" s="20"/>
      <c r="DS1984" s="22"/>
      <c r="DT1984" s="22"/>
    </row>
    <row r="1985" spans="1:124" s="21" customFormat="1" x14ac:dyDescent="0.25">
      <c r="A1985" s="20"/>
      <c r="B1985" s="20"/>
      <c r="DS1985" s="22"/>
      <c r="DT1985" s="22"/>
    </row>
    <row r="1986" spans="1:124" s="21" customFormat="1" x14ac:dyDescent="0.25">
      <c r="A1986" s="20"/>
      <c r="B1986" s="20"/>
      <c r="DS1986" s="22"/>
      <c r="DT1986" s="22"/>
    </row>
    <row r="1987" spans="1:124" s="21" customFormat="1" x14ac:dyDescent="0.25">
      <c r="A1987" s="20"/>
      <c r="B1987" s="20"/>
      <c r="DS1987" s="22"/>
      <c r="DT1987" s="22"/>
    </row>
    <row r="1988" spans="1:124" s="21" customFormat="1" x14ac:dyDescent="0.25">
      <c r="A1988" s="20"/>
      <c r="B1988" s="20"/>
      <c r="DS1988" s="22"/>
      <c r="DT1988" s="22"/>
    </row>
    <row r="1989" spans="1:124" s="21" customFormat="1" x14ac:dyDescent="0.25">
      <c r="A1989" s="20"/>
      <c r="B1989" s="20"/>
      <c r="DS1989" s="22"/>
      <c r="DT1989" s="22"/>
    </row>
    <row r="1990" spans="1:124" s="21" customFormat="1" x14ac:dyDescent="0.25">
      <c r="A1990" s="20"/>
      <c r="B1990" s="20"/>
      <c r="DS1990" s="22"/>
      <c r="DT1990" s="22"/>
    </row>
    <row r="1991" spans="1:124" s="21" customFormat="1" x14ac:dyDescent="0.25">
      <c r="A1991" s="20"/>
      <c r="B1991" s="20"/>
      <c r="DS1991" s="22"/>
      <c r="DT1991" s="22"/>
    </row>
    <row r="1992" spans="1:124" s="21" customFormat="1" x14ac:dyDescent="0.25">
      <c r="A1992" s="20"/>
      <c r="B1992" s="20"/>
      <c r="DS1992" s="22"/>
      <c r="DT1992" s="22"/>
    </row>
    <row r="1993" spans="1:124" s="21" customFormat="1" x14ac:dyDescent="0.25">
      <c r="A1993" s="20"/>
      <c r="B1993" s="20"/>
      <c r="DS1993" s="22"/>
      <c r="DT1993" s="22"/>
    </row>
    <row r="1994" spans="1:124" s="21" customFormat="1" x14ac:dyDescent="0.25">
      <c r="A1994" s="20"/>
      <c r="B1994" s="20"/>
      <c r="DS1994" s="22"/>
      <c r="DT1994" s="22"/>
    </row>
    <row r="1995" spans="1:124" s="21" customFormat="1" x14ac:dyDescent="0.25">
      <c r="A1995" s="20"/>
      <c r="B1995" s="20"/>
      <c r="DS1995" s="22"/>
      <c r="DT1995" s="22"/>
    </row>
    <row r="1996" spans="1:124" s="21" customFormat="1" x14ac:dyDescent="0.25">
      <c r="A1996" s="20"/>
      <c r="B1996" s="20"/>
      <c r="DS1996" s="22"/>
      <c r="DT1996" s="22"/>
    </row>
    <row r="1997" spans="1:124" s="21" customFormat="1" x14ac:dyDescent="0.25">
      <c r="A1997" s="20"/>
      <c r="B1997" s="20"/>
      <c r="DS1997" s="22"/>
      <c r="DT1997" s="22"/>
    </row>
    <row r="1998" spans="1:124" s="21" customFormat="1" x14ac:dyDescent="0.25">
      <c r="A1998" s="20"/>
      <c r="B1998" s="20"/>
      <c r="DS1998" s="22"/>
      <c r="DT1998" s="22"/>
    </row>
    <row r="1999" spans="1:124" s="21" customFormat="1" x14ac:dyDescent="0.25">
      <c r="A1999" s="20"/>
      <c r="B1999" s="20"/>
      <c r="DS1999" s="22"/>
      <c r="DT1999" s="22"/>
    </row>
    <row r="2000" spans="1:124" s="21" customFormat="1" x14ac:dyDescent="0.25">
      <c r="A2000" s="20"/>
      <c r="B2000" s="20"/>
      <c r="DS2000" s="22"/>
      <c r="DT2000" s="22"/>
    </row>
    <row r="2001" spans="1:124" s="21" customFormat="1" x14ac:dyDescent="0.25">
      <c r="A2001" s="20"/>
      <c r="B2001" s="20"/>
      <c r="DS2001" s="22"/>
      <c r="DT2001" s="22"/>
    </row>
    <row r="2002" spans="1:124" s="21" customFormat="1" x14ac:dyDescent="0.25">
      <c r="A2002" s="20"/>
      <c r="B2002" s="20"/>
      <c r="DS2002" s="22"/>
      <c r="DT2002" s="22"/>
    </row>
    <row r="2003" spans="1:124" s="21" customFormat="1" x14ac:dyDescent="0.25">
      <c r="A2003" s="20"/>
      <c r="B2003" s="20"/>
      <c r="DS2003" s="22"/>
      <c r="DT2003" s="22"/>
    </row>
    <row r="2004" spans="1:124" s="21" customFormat="1" x14ac:dyDescent="0.25">
      <c r="A2004" s="20"/>
      <c r="B2004" s="20"/>
      <c r="DS2004" s="22"/>
      <c r="DT2004" s="22"/>
    </row>
    <row r="2005" spans="1:124" s="21" customFormat="1" x14ac:dyDescent="0.25">
      <c r="A2005" s="20"/>
      <c r="B2005" s="20"/>
      <c r="DS2005" s="22"/>
      <c r="DT2005" s="22"/>
    </row>
    <row r="2006" spans="1:124" s="21" customFormat="1" x14ac:dyDescent="0.25">
      <c r="A2006" s="20"/>
      <c r="B2006" s="20"/>
      <c r="DS2006" s="22"/>
      <c r="DT2006" s="22"/>
    </row>
    <row r="2007" spans="1:124" s="21" customFormat="1" x14ac:dyDescent="0.25">
      <c r="A2007" s="20"/>
      <c r="B2007" s="20"/>
      <c r="DS2007" s="22"/>
      <c r="DT2007" s="22"/>
    </row>
    <row r="2008" spans="1:124" s="21" customFormat="1" x14ac:dyDescent="0.25">
      <c r="A2008" s="20"/>
      <c r="B2008" s="20"/>
      <c r="DS2008" s="22"/>
      <c r="DT2008" s="22"/>
    </row>
    <row r="2009" spans="1:124" s="21" customFormat="1" x14ac:dyDescent="0.25">
      <c r="A2009" s="20"/>
      <c r="B2009" s="20"/>
      <c r="DS2009" s="22"/>
      <c r="DT2009" s="22"/>
    </row>
    <row r="2010" spans="1:124" s="21" customFormat="1" x14ac:dyDescent="0.25">
      <c r="A2010" s="20"/>
      <c r="B2010" s="20"/>
      <c r="DS2010" s="22"/>
      <c r="DT2010" s="22"/>
    </row>
    <row r="2011" spans="1:124" s="21" customFormat="1" x14ac:dyDescent="0.25">
      <c r="A2011" s="20"/>
      <c r="B2011" s="20"/>
      <c r="DS2011" s="22"/>
      <c r="DT2011" s="22"/>
    </row>
    <row r="2012" spans="1:124" s="21" customFormat="1" x14ac:dyDescent="0.25">
      <c r="A2012" s="20"/>
      <c r="B2012" s="20"/>
      <c r="DS2012" s="22"/>
      <c r="DT2012" s="22"/>
    </row>
    <row r="2013" spans="1:124" s="21" customFormat="1" x14ac:dyDescent="0.25">
      <c r="A2013" s="20"/>
      <c r="B2013" s="20"/>
      <c r="DS2013" s="22"/>
      <c r="DT2013" s="22"/>
    </row>
    <row r="2014" spans="1:124" s="21" customFormat="1" x14ac:dyDescent="0.25">
      <c r="A2014" s="20"/>
      <c r="B2014" s="20"/>
      <c r="DS2014" s="22"/>
      <c r="DT2014" s="22"/>
    </row>
    <row r="2015" spans="1:124" s="21" customFormat="1" x14ac:dyDescent="0.25">
      <c r="A2015" s="20"/>
      <c r="B2015" s="20"/>
      <c r="DS2015" s="22"/>
      <c r="DT2015" s="22"/>
    </row>
    <row r="2016" spans="1:124" s="21" customFormat="1" x14ac:dyDescent="0.25">
      <c r="A2016" s="20"/>
      <c r="B2016" s="20"/>
      <c r="DS2016" s="22"/>
      <c r="DT2016" s="22"/>
    </row>
    <row r="2017" spans="1:124" s="21" customFormat="1" x14ac:dyDescent="0.25">
      <c r="A2017" s="20"/>
      <c r="B2017" s="20"/>
      <c r="DS2017" s="22"/>
      <c r="DT2017" s="22"/>
    </row>
    <row r="2018" spans="1:124" s="21" customFormat="1" x14ac:dyDescent="0.25">
      <c r="A2018" s="20"/>
      <c r="B2018" s="20"/>
      <c r="DS2018" s="22"/>
      <c r="DT2018" s="22"/>
    </row>
    <row r="2019" spans="1:124" s="21" customFormat="1" x14ac:dyDescent="0.25">
      <c r="A2019" s="20"/>
      <c r="B2019" s="20"/>
      <c r="DS2019" s="22"/>
      <c r="DT2019" s="22"/>
    </row>
    <row r="2020" spans="1:124" s="21" customFormat="1" x14ac:dyDescent="0.25">
      <c r="A2020" s="20"/>
      <c r="B2020" s="20"/>
      <c r="DS2020" s="22"/>
      <c r="DT2020" s="22"/>
    </row>
    <row r="2021" spans="1:124" s="21" customFormat="1" x14ac:dyDescent="0.25">
      <c r="A2021" s="20"/>
      <c r="B2021" s="20"/>
      <c r="DS2021" s="22"/>
      <c r="DT2021" s="22"/>
    </row>
    <row r="2022" spans="1:124" s="21" customFormat="1" x14ac:dyDescent="0.25">
      <c r="A2022" s="20"/>
      <c r="B2022" s="20"/>
      <c r="DS2022" s="22"/>
      <c r="DT2022" s="22"/>
    </row>
    <row r="2023" spans="1:124" s="21" customFormat="1" x14ac:dyDescent="0.25">
      <c r="A2023" s="20"/>
      <c r="B2023" s="20"/>
      <c r="DS2023" s="22"/>
      <c r="DT2023" s="22"/>
    </row>
    <row r="2024" spans="1:124" s="21" customFormat="1" x14ac:dyDescent="0.25">
      <c r="A2024" s="20"/>
      <c r="B2024" s="20"/>
      <c r="DS2024" s="22"/>
      <c r="DT2024" s="22"/>
    </row>
    <row r="2025" spans="1:124" s="21" customFormat="1" x14ac:dyDescent="0.25">
      <c r="A2025" s="20"/>
      <c r="B2025" s="20"/>
      <c r="DS2025" s="22"/>
      <c r="DT2025" s="22"/>
    </row>
    <row r="2026" spans="1:124" s="21" customFormat="1" x14ac:dyDescent="0.25">
      <c r="A2026" s="20"/>
      <c r="B2026" s="20"/>
      <c r="DS2026" s="22"/>
      <c r="DT2026" s="22"/>
    </row>
    <row r="2027" spans="1:124" s="21" customFormat="1" x14ac:dyDescent="0.25">
      <c r="A2027" s="20"/>
      <c r="B2027" s="20"/>
      <c r="DS2027" s="22"/>
      <c r="DT2027" s="22"/>
    </row>
    <row r="2028" spans="1:124" s="21" customFormat="1" x14ac:dyDescent="0.25">
      <c r="A2028" s="20"/>
      <c r="B2028" s="20"/>
      <c r="DS2028" s="22"/>
      <c r="DT2028" s="22"/>
    </row>
    <row r="2029" spans="1:124" s="21" customFormat="1" x14ac:dyDescent="0.25">
      <c r="A2029" s="20"/>
      <c r="B2029" s="20"/>
      <c r="DS2029" s="22"/>
      <c r="DT2029" s="22"/>
    </row>
    <row r="2030" spans="1:124" s="21" customFormat="1" x14ac:dyDescent="0.25">
      <c r="A2030" s="20"/>
      <c r="B2030" s="20"/>
      <c r="DS2030" s="22"/>
      <c r="DT2030" s="22"/>
    </row>
    <row r="2031" spans="1:124" s="21" customFormat="1" x14ac:dyDescent="0.25">
      <c r="A2031" s="20"/>
      <c r="B2031" s="20"/>
      <c r="DS2031" s="22"/>
      <c r="DT2031" s="22"/>
    </row>
    <row r="2032" spans="1:124" s="21" customFormat="1" x14ac:dyDescent="0.25">
      <c r="A2032" s="20"/>
      <c r="B2032" s="20"/>
      <c r="DS2032" s="22"/>
      <c r="DT2032" s="22"/>
    </row>
    <row r="2033" spans="1:124" s="21" customFormat="1" x14ac:dyDescent="0.25">
      <c r="A2033" s="20"/>
      <c r="B2033" s="20"/>
      <c r="DS2033" s="22"/>
      <c r="DT2033" s="22"/>
    </row>
    <row r="2034" spans="1:124" s="21" customFormat="1" x14ac:dyDescent="0.25">
      <c r="A2034" s="20"/>
      <c r="B2034" s="20"/>
      <c r="DS2034" s="22"/>
      <c r="DT2034" s="22"/>
    </row>
    <row r="2035" spans="1:124" s="21" customFormat="1" x14ac:dyDescent="0.25">
      <c r="A2035" s="20"/>
      <c r="B2035" s="20"/>
      <c r="DS2035" s="22"/>
      <c r="DT2035" s="22"/>
    </row>
    <row r="2036" spans="1:124" s="21" customFormat="1" x14ac:dyDescent="0.25">
      <c r="A2036" s="20"/>
      <c r="B2036" s="20"/>
      <c r="DS2036" s="22"/>
      <c r="DT2036" s="22"/>
    </row>
    <row r="2037" spans="1:124" s="21" customFormat="1" x14ac:dyDescent="0.25">
      <c r="A2037" s="20"/>
      <c r="B2037" s="20"/>
      <c r="DS2037" s="22"/>
      <c r="DT2037" s="22"/>
    </row>
    <row r="2038" spans="1:124" s="21" customFormat="1" x14ac:dyDescent="0.25">
      <c r="A2038" s="20"/>
      <c r="B2038" s="20"/>
      <c r="DS2038" s="22"/>
      <c r="DT2038" s="22"/>
    </row>
    <row r="2039" spans="1:124" s="21" customFormat="1" x14ac:dyDescent="0.25">
      <c r="A2039" s="20"/>
      <c r="B2039" s="20"/>
      <c r="DS2039" s="22"/>
      <c r="DT2039" s="22"/>
    </row>
    <row r="2040" spans="1:124" s="21" customFormat="1" x14ac:dyDescent="0.25">
      <c r="A2040" s="20"/>
      <c r="B2040" s="20"/>
      <c r="DS2040" s="22"/>
      <c r="DT2040" s="22"/>
    </row>
    <row r="2041" spans="1:124" s="21" customFormat="1" x14ac:dyDescent="0.25">
      <c r="A2041" s="20"/>
      <c r="B2041" s="20"/>
      <c r="DS2041" s="22"/>
      <c r="DT2041" s="22"/>
    </row>
    <row r="2042" spans="1:124" s="21" customFormat="1" x14ac:dyDescent="0.25">
      <c r="A2042" s="20"/>
      <c r="B2042" s="20"/>
      <c r="DS2042" s="22"/>
      <c r="DT2042" s="22"/>
    </row>
    <row r="2043" spans="1:124" s="21" customFormat="1" x14ac:dyDescent="0.25">
      <c r="A2043" s="20"/>
      <c r="B2043" s="20"/>
      <c r="DS2043" s="22"/>
      <c r="DT2043" s="22"/>
    </row>
    <row r="2044" spans="1:124" s="21" customFormat="1" x14ac:dyDescent="0.25">
      <c r="A2044" s="20"/>
      <c r="B2044" s="20"/>
      <c r="DS2044" s="22"/>
      <c r="DT2044" s="22"/>
    </row>
    <row r="2045" spans="1:124" s="21" customFormat="1" x14ac:dyDescent="0.25">
      <c r="A2045" s="20"/>
      <c r="B2045" s="20"/>
      <c r="DS2045" s="22"/>
      <c r="DT2045" s="22"/>
    </row>
    <row r="2046" spans="1:124" s="21" customFormat="1" x14ac:dyDescent="0.25">
      <c r="A2046" s="20"/>
      <c r="B2046" s="20"/>
      <c r="DS2046" s="22"/>
      <c r="DT2046" s="22"/>
    </row>
    <row r="2047" spans="1:124" s="21" customFormat="1" x14ac:dyDescent="0.25">
      <c r="A2047" s="20"/>
      <c r="B2047" s="20"/>
      <c r="DS2047" s="22"/>
      <c r="DT2047" s="22"/>
    </row>
    <row r="2048" spans="1:124" s="21" customFormat="1" x14ac:dyDescent="0.25">
      <c r="A2048" s="20"/>
      <c r="B2048" s="20"/>
      <c r="DS2048" s="22"/>
      <c r="DT2048" s="22"/>
    </row>
    <row r="2049" spans="1:124" s="21" customFormat="1" x14ac:dyDescent="0.25">
      <c r="A2049" s="20"/>
      <c r="B2049" s="20"/>
      <c r="DS2049" s="22"/>
      <c r="DT2049" s="22"/>
    </row>
    <row r="2050" spans="1:124" s="21" customFormat="1" x14ac:dyDescent="0.25">
      <c r="A2050" s="20"/>
      <c r="B2050" s="20"/>
      <c r="DS2050" s="22"/>
      <c r="DT2050" s="22"/>
    </row>
    <row r="2051" spans="1:124" s="21" customFormat="1" x14ac:dyDescent="0.25">
      <c r="A2051" s="20"/>
      <c r="B2051" s="20"/>
      <c r="DS2051" s="22"/>
      <c r="DT2051" s="22"/>
    </row>
    <row r="2052" spans="1:124" s="21" customFormat="1" x14ac:dyDescent="0.25">
      <c r="A2052" s="20"/>
      <c r="B2052" s="20"/>
      <c r="DS2052" s="22"/>
      <c r="DT2052" s="22"/>
    </row>
    <row r="2053" spans="1:124" s="21" customFormat="1" x14ac:dyDescent="0.25">
      <c r="A2053" s="20"/>
      <c r="B2053" s="20"/>
      <c r="DS2053" s="22"/>
      <c r="DT2053" s="22"/>
    </row>
    <row r="2054" spans="1:124" s="21" customFormat="1" x14ac:dyDescent="0.25">
      <c r="A2054" s="20"/>
      <c r="B2054" s="20"/>
      <c r="DS2054" s="22"/>
      <c r="DT2054" s="22"/>
    </row>
    <row r="2055" spans="1:124" s="21" customFormat="1" x14ac:dyDescent="0.25">
      <c r="A2055" s="20"/>
      <c r="B2055" s="20"/>
      <c r="DS2055" s="22"/>
      <c r="DT2055" s="22"/>
    </row>
    <row r="2056" spans="1:124" s="21" customFormat="1" x14ac:dyDescent="0.25">
      <c r="A2056" s="20"/>
      <c r="B2056" s="20"/>
      <c r="DS2056" s="22"/>
      <c r="DT2056" s="22"/>
    </row>
    <row r="2057" spans="1:124" s="21" customFormat="1" x14ac:dyDescent="0.25">
      <c r="A2057" s="20"/>
      <c r="B2057" s="20"/>
      <c r="DS2057" s="22"/>
      <c r="DT2057" s="22"/>
    </row>
    <row r="2058" spans="1:124" s="21" customFormat="1" x14ac:dyDescent="0.25">
      <c r="A2058" s="20"/>
      <c r="B2058" s="20"/>
      <c r="DS2058" s="22"/>
      <c r="DT2058" s="22"/>
    </row>
    <row r="2059" spans="1:124" s="21" customFormat="1" x14ac:dyDescent="0.25">
      <c r="A2059" s="20"/>
      <c r="B2059" s="20"/>
      <c r="DS2059" s="22"/>
      <c r="DT2059" s="22"/>
    </row>
    <row r="2060" spans="1:124" s="21" customFormat="1" x14ac:dyDescent="0.25">
      <c r="A2060" s="20"/>
      <c r="B2060" s="20"/>
      <c r="DS2060" s="22"/>
      <c r="DT2060" s="22"/>
    </row>
    <row r="2061" spans="1:124" s="21" customFormat="1" x14ac:dyDescent="0.25">
      <c r="A2061" s="20"/>
      <c r="B2061" s="20"/>
      <c r="DS2061" s="22"/>
      <c r="DT2061" s="22"/>
    </row>
    <row r="2062" spans="1:124" s="21" customFormat="1" x14ac:dyDescent="0.25">
      <c r="A2062" s="20"/>
      <c r="B2062" s="20"/>
      <c r="DS2062" s="22"/>
      <c r="DT2062" s="22"/>
    </row>
    <row r="2063" spans="1:124" s="21" customFormat="1" x14ac:dyDescent="0.25">
      <c r="A2063" s="20"/>
      <c r="B2063" s="20"/>
      <c r="DS2063" s="22"/>
      <c r="DT2063" s="22"/>
    </row>
    <row r="2064" spans="1:124" s="21" customFormat="1" x14ac:dyDescent="0.25">
      <c r="A2064" s="20"/>
      <c r="B2064" s="20"/>
      <c r="DS2064" s="22"/>
      <c r="DT2064" s="22"/>
    </row>
    <row r="2065" spans="1:124" s="21" customFormat="1" x14ac:dyDescent="0.25">
      <c r="A2065" s="20"/>
      <c r="B2065" s="20"/>
      <c r="DS2065" s="22"/>
      <c r="DT2065" s="22"/>
    </row>
    <row r="2066" spans="1:124" s="21" customFormat="1" x14ac:dyDescent="0.25">
      <c r="A2066" s="20"/>
      <c r="B2066" s="20"/>
      <c r="DS2066" s="22"/>
      <c r="DT2066" s="22"/>
    </row>
    <row r="2067" spans="1:124" s="21" customFormat="1" x14ac:dyDescent="0.25">
      <c r="A2067" s="20"/>
      <c r="B2067" s="20"/>
      <c r="DS2067" s="22"/>
      <c r="DT2067" s="22"/>
    </row>
    <row r="2068" spans="1:124" s="21" customFormat="1" x14ac:dyDescent="0.25">
      <c r="A2068" s="20"/>
      <c r="B2068" s="20"/>
      <c r="DS2068" s="22"/>
      <c r="DT2068" s="22"/>
    </row>
    <row r="2069" spans="1:124" s="21" customFormat="1" x14ac:dyDescent="0.25">
      <c r="A2069" s="20"/>
      <c r="B2069" s="20"/>
      <c r="DS2069" s="22"/>
      <c r="DT2069" s="22"/>
    </row>
    <row r="2070" spans="1:124" s="21" customFormat="1" x14ac:dyDescent="0.25">
      <c r="A2070" s="20"/>
      <c r="B2070" s="20"/>
      <c r="DS2070" s="22"/>
      <c r="DT2070" s="22"/>
    </row>
    <row r="2071" spans="1:124" s="21" customFormat="1" x14ac:dyDescent="0.25">
      <c r="A2071" s="20"/>
      <c r="B2071" s="20"/>
      <c r="DS2071" s="22"/>
      <c r="DT2071" s="22"/>
    </row>
    <row r="2072" spans="1:124" s="21" customFormat="1" x14ac:dyDescent="0.25">
      <c r="A2072" s="20"/>
      <c r="B2072" s="20"/>
      <c r="DS2072" s="22"/>
      <c r="DT2072" s="22"/>
    </row>
    <row r="2073" spans="1:124" s="21" customFormat="1" x14ac:dyDescent="0.25">
      <c r="A2073" s="20"/>
      <c r="B2073" s="20"/>
      <c r="DS2073" s="22"/>
      <c r="DT2073" s="22"/>
    </row>
    <row r="2074" spans="1:124" s="21" customFormat="1" x14ac:dyDescent="0.25">
      <c r="A2074" s="20"/>
      <c r="B2074" s="20"/>
      <c r="DS2074" s="22"/>
      <c r="DT2074" s="22"/>
    </row>
    <row r="2075" spans="1:124" s="21" customFormat="1" x14ac:dyDescent="0.25">
      <c r="A2075" s="20"/>
      <c r="B2075" s="20"/>
      <c r="DS2075" s="22"/>
      <c r="DT2075" s="22"/>
    </row>
    <row r="2076" spans="1:124" s="21" customFormat="1" x14ac:dyDescent="0.25">
      <c r="A2076" s="20"/>
      <c r="B2076" s="20"/>
      <c r="DS2076" s="22"/>
      <c r="DT2076" s="22"/>
    </row>
    <row r="2077" spans="1:124" s="21" customFormat="1" x14ac:dyDescent="0.25">
      <c r="A2077" s="20"/>
      <c r="B2077" s="20"/>
      <c r="DS2077" s="22"/>
      <c r="DT2077" s="22"/>
    </row>
    <row r="2078" spans="1:124" s="21" customFormat="1" x14ac:dyDescent="0.25">
      <c r="A2078" s="20"/>
      <c r="B2078" s="20"/>
      <c r="DS2078" s="22"/>
      <c r="DT2078" s="22"/>
    </row>
    <row r="2079" spans="1:124" s="21" customFormat="1" x14ac:dyDescent="0.25">
      <c r="A2079" s="20"/>
      <c r="B2079" s="20"/>
      <c r="DS2079" s="22"/>
      <c r="DT2079" s="22"/>
    </row>
    <row r="2080" spans="1:124" s="21" customFormat="1" x14ac:dyDescent="0.25">
      <c r="A2080" s="20"/>
      <c r="B2080" s="20"/>
      <c r="DS2080" s="22"/>
      <c r="DT2080" s="22"/>
    </row>
    <row r="2081" spans="1:124" s="21" customFormat="1" x14ac:dyDescent="0.25">
      <c r="A2081" s="20"/>
      <c r="B2081" s="20"/>
      <c r="DS2081" s="22"/>
      <c r="DT2081" s="22"/>
    </row>
    <row r="2082" spans="1:124" s="21" customFormat="1" x14ac:dyDescent="0.25">
      <c r="A2082" s="20"/>
      <c r="B2082" s="20"/>
      <c r="DS2082" s="22"/>
      <c r="DT2082" s="22"/>
    </row>
    <row r="2083" spans="1:124" s="21" customFormat="1" x14ac:dyDescent="0.25">
      <c r="A2083" s="20"/>
      <c r="B2083" s="20"/>
      <c r="DS2083" s="22"/>
      <c r="DT2083" s="22"/>
    </row>
    <row r="2084" spans="1:124" s="21" customFormat="1" x14ac:dyDescent="0.25">
      <c r="A2084" s="20"/>
      <c r="B2084" s="20"/>
      <c r="DS2084" s="22"/>
      <c r="DT2084" s="22"/>
    </row>
    <row r="2085" spans="1:124" s="21" customFormat="1" x14ac:dyDescent="0.25">
      <c r="A2085" s="20"/>
      <c r="B2085" s="20"/>
      <c r="DS2085" s="22"/>
      <c r="DT2085" s="22"/>
    </row>
    <row r="2086" spans="1:124" s="21" customFormat="1" x14ac:dyDescent="0.25">
      <c r="A2086" s="20"/>
      <c r="B2086" s="20"/>
      <c r="DS2086" s="22"/>
      <c r="DT2086" s="22"/>
    </row>
    <row r="2087" spans="1:124" s="21" customFormat="1" x14ac:dyDescent="0.25">
      <c r="A2087" s="20"/>
      <c r="B2087" s="20"/>
      <c r="DS2087" s="22"/>
      <c r="DT2087" s="22"/>
    </row>
    <row r="2088" spans="1:124" s="21" customFormat="1" x14ac:dyDescent="0.25">
      <c r="A2088" s="20"/>
      <c r="B2088" s="20"/>
      <c r="DS2088" s="22"/>
      <c r="DT2088" s="22"/>
    </row>
    <row r="2089" spans="1:124" s="21" customFormat="1" x14ac:dyDescent="0.25">
      <c r="A2089" s="20"/>
      <c r="B2089" s="20"/>
      <c r="DS2089" s="22"/>
      <c r="DT2089" s="22"/>
    </row>
    <row r="2090" spans="1:124" s="21" customFormat="1" x14ac:dyDescent="0.25">
      <c r="A2090" s="20"/>
      <c r="B2090" s="20"/>
      <c r="DS2090" s="22"/>
      <c r="DT2090" s="22"/>
    </row>
    <row r="2091" spans="1:124" s="21" customFormat="1" x14ac:dyDescent="0.25">
      <c r="A2091" s="20"/>
      <c r="B2091" s="20"/>
      <c r="DS2091" s="22"/>
      <c r="DT2091" s="22"/>
    </row>
    <row r="2092" spans="1:124" s="21" customFormat="1" x14ac:dyDescent="0.25">
      <c r="A2092" s="20"/>
      <c r="B2092" s="20"/>
      <c r="DS2092" s="22"/>
      <c r="DT2092" s="22"/>
    </row>
    <row r="2093" spans="1:124" s="21" customFormat="1" x14ac:dyDescent="0.25">
      <c r="A2093" s="20"/>
      <c r="B2093" s="20"/>
      <c r="DS2093" s="22"/>
      <c r="DT2093" s="22"/>
    </row>
    <row r="2094" spans="1:124" s="21" customFormat="1" x14ac:dyDescent="0.25">
      <c r="A2094" s="20"/>
      <c r="B2094" s="20"/>
      <c r="DS2094" s="22"/>
      <c r="DT2094" s="22"/>
    </row>
    <row r="2095" spans="1:124" s="21" customFormat="1" x14ac:dyDescent="0.25">
      <c r="A2095" s="20"/>
      <c r="B2095" s="20"/>
      <c r="DS2095" s="22"/>
      <c r="DT2095" s="22"/>
    </row>
    <row r="2096" spans="1:124" s="21" customFormat="1" x14ac:dyDescent="0.25">
      <c r="A2096" s="20"/>
      <c r="B2096" s="20"/>
      <c r="DS2096" s="22"/>
      <c r="DT2096" s="22"/>
    </row>
    <row r="2097" spans="1:124" s="21" customFormat="1" x14ac:dyDescent="0.25">
      <c r="A2097" s="20"/>
      <c r="B2097" s="20"/>
      <c r="DS2097" s="22"/>
      <c r="DT2097" s="22"/>
    </row>
    <row r="2098" spans="1:124" s="21" customFormat="1" x14ac:dyDescent="0.25">
      <c r="A2098" s="20"/>
      <c r="B2098" s="20"/>
      <c r="DS2098" s="22"/>
      <c r="DT2098" s="22"/>
    </row>
    <row r="2099" spans="1:124" s="21" customFormat="1" x14ac:dyDescent="0.25">
      <c r="A2099" s="20"/>
      <c r="B2099" s="20"/>
      <c r="DS2099" s="22"/>
      <c r="DT2099" s="22"/>
    </row>
    <row r="2100" spans="1:124" s="21" customFormat="1" x14ac:dyDescent="0.25">
      <c r="A2100" s="20"/>
      <c r="B2100" s="20"/>
      <c r="DS2100" s="22"/>
      <c r="DT2100" s="22"/>
    </row>
    <row r="2101" spans="1:124" s="21" customFormat="1" x14ac:dyDescent="0.25">
      <c r="A2101" s="20"/>
      <c r="B2101" s="20"/>
      <c r="DS2101" s="22"/>
      <c r="DT2101" s="22"/>
    </row>
    <row r="2102" spans="1:124" s="21" customFormat="1" x14ac:dyDescent="0.25">
      <c r="A2102" s="20"/>
      <c r="B2102" s="20"/>
      <c r="DS2102" s="22"/>
      <c r="DT2102" s="22"/>
    </row>
    <row r="2103" spans="1:124" s="21" customFormat="1" x14ac:dyDescent="0.25">
      <c r="A2103" s="20"/>
      <c r="B2103" s="20"/>
      <c r="DS2103" s="22"/>
      <c r="DT2103" s="22"/>
    </row>
    <row r="2104" spans="1:124" s="21" customFormat="1" x14ac:dyDescent="0.25">
      <c r="A2104" s="20"/>
      <c r="B2104" s="20"/>
      <c r="DS2104" s="22"/>
      <c r="DT2104" s="22"/>
    </row>
    <row r="2105" spans="1:124" s="21" customFormat="1" x14ac:dyDescent="0.25">
      <c r="A2105" s="20"/>
      <c r="B2105" s="20"/>
      <c r="DS2105" s="22"/>
      <c r="DT2105" s="22"/>
    </row>
    <row r="2106" spans="1:124" s="21" customFormat="1" x14ac:dyDescent="0.25">
      <c r="A2106" s="20"/>
      <c r="B2106" s="20"/>
      <c r="DS2106" s="22"/>
      <c r="DT2106" s="22"/>
    </row>
    <row r="2107" spans="1:124" s="21" customFormat="1" x14ac:dyDescent="0.25">
      <c r="A2107" s="20"/>
      <c r="B2107" s="20"/>
      <c r="DS2107" s="22"/>
      <c r="DT2107" s="22"/>
    </row>
    <row r="2108" spans="1:124" s="21" customFormat="1" x14ac:dyDescent="0.25">
      <c r="A2108" s="20"/>
      <c r="B2108" s="20"/>
      <c r="DS2108" s="22"/>
      <c r="DT2108" s="22"/>
    </row>
    <row r="2109" spans="1:124" s="21" customFormat="1" x14ac:dyDescent="0.25">
      <c r="A2109" s="20"/>
      <c r="B2109" s="20"/>
      <c r="DS2109" s="22"/>
      <c r="DT2109" s="22"/>
    </row>
    <row r="2110" spans="1:124" s="21" customFormat="1" x14ac:dyDescent="0.25">
      <c r="A2110" s="20"/>
      <c r="B2110" s="20"/>
      <c r="DS2110" s="22"/>
      <c r="DT2110" s="22"/>
    </row>
    <row r="2111" spans="1:124" s="21" customFormat="1" x14ac:dyDescent="0.25">
      <c r="A2111" s="20"/>
      <c r="B2111" s="20"/>
      <c r="DS2111" s="22"/>
      <c r="DT2111" s="22"/>
    </row>
    <row r="2112" spans="1:124" s="21" customFormat="1" x14ac:dyDescent="0.25">
      <c r="A2112" s="20"/>
      <c r="B2112" s="20"/>
      <c r="DS2112" s="22"/>
      <c r="DT2112" s="22"/>
    </row>
    <row r="2113" spans="1:124" s="21" customFormat="1" x14ac:dyDescent="0.25">
      <c r="A2113" s="20"/>
      <c r="B2113" s="20"/>
      <c r="DS2113" s="22"/>
      <c r="DT2113" s="22"/>
    </row>
    <row r="2114" spans="1:124" s="21" customFormat="1" x14ac:dyDescent="0.25">
      <c r="A2114" s="20"/>
      <c r="B2114" s="20"/>
      <c r="DS2114" s="22"/>
      <c r="DT2114" s="22"/>
    </row>
    <row r="2115" spans="1:124" s="21" customFormat="1" x14ac:dyDescent="0.25">
      <c r="A2115" s="20"/>
      <c r="B2115" s="20"/>
      <c r="DS2115" s="22"/>
      <c r="DT2115" s="22"/>
    </row>
    <row r="2116" spans="1:124" s="21" customFormat="1" x14ac:dyDescent="0.25">
      <c r="A2116" s="20"/>
      <c r="B2116" s="20"/>
      <c r="DS2116" s="22"/>
      <c r="DT2116" s="22"/>
    </row>
    <row r="2117" spans="1:124" s="21" customFormat="1" x14ac:dyDescent="0.25">
      <c r="A2117" s="20"/>
      <c r="B2117" s="20"/>
      <c r="DS2117" s="22"/>
      <c r="DT2117" s="22"/>
    </row>
    <row r="2118" spans="1:124" s="21" customFormat="1" x14ac:dyDescent="0.25">
      <c r="A2118" s="20"/>
      <c r="B2118" s="20"/>
      <c r="DS2118" s="22"/>
      <c r="DT2118" s="22"/>
    </row>
    <row r="2119" spans="1:124" s="21" customFormat="1" x14ac:dyDescent="0.25">
      <c r="A2119" s="20"/>
      <c r="B2119" s="20"/>
      <c r="DS2119" s="22"/>
      <c r="DT2119" s="22"/>
    </row>
    <row r="2120" spans="1:124" s="21" customFormat="1" x14ac:dyDescent="0.25">
      <c r="A2120" s="20"/>
      <c r="B2120" s="20"/>
      <c r="DS2120" s="22"/>
      <c r="DT2120" s="22"/>
    </row>
    <row r="2121" spans="1:124" s="21" customFormat="1" x14ac:dyDescent="0.25">
      <c r="A2121" s="20"/>
      <c r="B2121" s="20"/>
      <c r="DS2121" s="22"/>
      <c r="DT2121" s="22"/>
    </row>
    <row r="2122" spans="1:124" s="21" customFormat="1" x14ac:dyDescent="0.25">
      <c r="A2122" s="20"/>
      <c r="B2122" s="20"/>
      <c r="DS2122" s="22"/>
      <c r="DT2122" s="22"/>
    </row>
    <row r="2123" spans="1:124" s="21" customFormat="1" x14ac:dyDescent="0.25">
      <c r="A2123" s="20"/>
      <c r="B2123" s="20"/>
      <c r="DS2123" s="22"/>
      <c r="DT2123" s="22"/>
    </row>
    <row r="2124" spans="1:124" s="21" customFormat="1" x14ac:dyDescent="0.25">
      <c r="A2124" s="20"/>
      <c r="B2124" s="20"/>
      <c r="DS2124" s="22"/>
      <c r="DT2124" s="22"/>
    </row>
    <row r="2125" spans="1:124" s="21" customFormat="1" x14ac:dyDescent="0.25">
      <c r="A2125" s="20"/>
      <c r="B2125" s="20"/>
      <c r="DS2125" s="22"/>
      <c r="DT2125" s="22"/>
    </row>
    <row r="2126" spans="1:124" s="21" customFormat="1" x14ac:dyDescent="0.25">
      <c r="A2126" s="20"/>
      <c r="B2126" s="20"/>
      <c r="DS2126" s="22"/>
      <c r="DT2126" s="22"/>
    </row>
    <row r="2127" spans="1:124" s="21" customFormat="1" x14ac:dyDescent="0.25">
      <c r="A2127" s="20"/>
      <c r="B2127" s="20"/>
      <c r="DS2127" s="22"/>
      <c r="DT2127" s="22"/>
    </row>
    <row r="2128" spans="1:124" s="21" customFormat="1" x14ac:dyDescent="0.25">
      <c r="A2128" s="20"/>
      <c r="B2128" s="20"/>
      <c r="DS2128" s="22"/>
      <c r="DT2128" s="22"/>
    </row>
    <row r="2129" spans="1:124" s="21" customFormat="1" x14ac:dyDescent="0.25">
      <c r="A2129" s="20"/>
      <c r="B2129" s="20"/>
      <c r="DS2129" s="22"/>
      <c r="DT2129" s="22"/>
    </row>
    <row r="2130" spans="1:124" s="21" customFormat="1" x14ac:dyDescent="0.25">
      <c r="A2130" s="20"/>
      <c r="B2130" s="20"/>
      <c r="DS2130" s="22"/>
      <c r="DT2130" s="22"/>
    </row>
    <row r="2131" spans="1:124" s="21" customFormat="1" x14ac:dyDescent="0.25">
      <c r="A2131" s="20"/>
      <c r="B2131" s="20"/>
      <c r="DS2131" s="22"/>
      <c r="DT2131" s="22"/>
    </row>
    <row r="2132" spans="1:124" s="21" customFormat="1" x14ac:dyDescent="0.25">
      <c r="A2132" s="20"/>
      <c r="B2132" s="20"/>
      <c r="DS2132" s="22"/>
      <c r="DT2132" s="22"/>
    </row>
    <row r="2133" spans="1:124" s="21" customFormat="1" x14ac:dyDescent="0.25">
      <c r="A2133" s="20"/>
      <c r="B2133" s="20"/>
      <c r="DS2133" s="22"/>
      <c r="DT2133" s="22"/>
    </row>
    <row r="2134" spans="1:124" s="21" customFormat="1" x14ac:dyDescent="0.25">
      <c r="A2134" s="20"/>
      <c r="B2134" s="20"/>
      <c r="DS2134" s="22"/>
      <c r="DT2134" s="22"/>
    </row>
    <row r="2135" spans="1:124" s="21" customFormat="1" x14ac:dyDescent="0.25">
      <c r="A2135" s="20"/>
      <c r="B2135" s="20"/>
      <c r="DS2135" s="22"/>
      <c r="DT2135" s="22"/>
    </row>
    <row r="2136" spans="1:124" s="21" customFormat="1" x14ac:dyDescent="0.25">
      <c r="A2136" s="20"/>
      <c r="B2136" s="20"/>
      <c r="DS2136" s="22"/>
      <c r="DT2136" s="22"/>
    </row>
    <row r="2137" spans="1:124" s="21" customFormat="1" x14ac:dyDescent="0.25">
      <c r="A2137" s="20"/>
      <c r="B2137" s="20"/>
      <c r="DS2137" s="22"/>
      <c r="DT2137" s="22"/>
    </row>
    <row r="2138" spans="1:124" s="21" customFormat="1" x14ac:dyDescent="0.25">
      <c r="A2138" s="20"/>
      <c r="B2138" s="20"/>
      <c r="DS2138" s="22"/>
      <c r="DT2138" s="22"/>
    </row>
    <row r="2139" spans="1:124" s="21" customFormat="1" x14ac:dyDescent="0.25">
      <c r="A2139" s="20"/>
      <c r="B2139" s="20"/>
      <c r="DS2139" s="22"/>
      <c r="DT2139" s="22"/>
    </row>
    <row r="2140" spans="1:124" s="21" customFormat="1" x14ac:dyDescent="0.25">
      <c r="A2140" s="20"/>
      <c r="B2140" s="20"/>
      <c r="DS2140" s="22"/>
      <c r="DT2140" s="22"/>
    </row>
    <row r="2141" spans="1:124" s="21" customFormat="1" x14ac:dyDescent="0.25">
      <c r="A2141" s="20"/>
      <c r="B2141" s="20"/>
      <c r="DS2141" s="22"/>
      <c r="DT2141" s="22"/>
    </row>
    <row r="2142" spans="1:124" s="21" customFormat="1" x14ac:dyDescent="0.25">
      <c r="A2142" s="20"/>
      <c r="B2142" s="20"/>
      <c r="DS2142" s="22"/>
      <c r="DT2142" s="22"/>
    </row>
    <row r="2143" spans="1:124" s="21" customFormat="1" x14ac:dyDescent="0.25">
      <c r="A2143" s="20"/>
      <c r="B2143" s="20"/>
      <c r="DS2143" s="22"/>
      <c r="DT2143" s="22"/>
    </row>
    <row r="2144" spans="1:124" s="21" customFormat="1" x14ac:dyDescent="0.25">
      <c r="A2144" s="20"/>
      <c r="B2144" s="20"/>
      <c r="DS2144" s="22"/>
      <c r="DT2144" s="22"/>
    </row>
    <row r="2145" spans="1:124" s="21" customFormat="1" x14ac:dyDescent="0.25">
      <c r="A2145" s="20"/>
      <c r="B2145" s="20"/>
      <c r="DS2145" s="22"/>
      <c r="DT2145" s="22"/>
    </row>
    <row r="2146" spans="1:124" s="21" customFormat="1" x14ac:dyDescent="0.25">
      <c r="A2146" s="20"/>
      <c r="B2146" s="20"/>
      <c r="DS2146" s="22"/>
      <c r="DT2146" s="22"/>
    </row>
    <row r="2147" spans="1:124" s="21" customFormat="1" x14ac:dyDescent="0.25">
      <c r="A2147" s="20"/>
      <c r="B2147" s="20"/>
      <c r="DS2147" s="22"/>
      <c r="DT2147" s="22"/>
    </row>
    <row r="2148" spans="1:124" s="21" customFormat="1" x14ac:dyDescent="0.25">
      <c r="A2148" s="20"/>
      <c r="B2148" s="20"/>
      <c r="DS2148" s="22"/>
      <c r="DT2148" s="22"/>
    </row>
    <row r="2149" spans="1:124" s="21" customFormat="1" x14ac:dyDescent="0.25">
      <c r="A2149" s="20"/>
      <c r="B2149" s="20"/>
      <c r="DS2149" s="22"/>
      <c r="DT2149" s="22"/>
    </row>
    <row r="2150" spans="1:124" s="21" customFormat="1" x14ac:dyDescent="0.25">
      <c r="A2150" s="20"/>
      <c r="B2150" s="20"/>
      <c r="DS2150" s="22"/>
      <c r="DT2150" s="22"/>
    </row>
    <row r="2151" spans="1:124" s="21" customFormat="1" x14ac:dyDescent="0.25">
      <c r="A2151" s="20"/>
      <c r="B2151" s="20"/>
      <c r="DS2151" s="22"/>
      <c r="DT2151" s="22"/>
    </row>
    <row r="2152" spans="1:124" s="21" customFormat="1" x14ac:dyDescent="0.25">
      <c r="A2152" s="20"/>
      <c r="B2152" s="20"/>
      <c r="DS2152" s="22"/>
      <c r="DT2152" s="22"/>
    </row>
    <row r="2153" spans="1:124" s="21" customFormat="1" x14ac:dyDescent="0.25">
      <c r="A2153" s="20"/>
      <c r="B2153" s="20"/>
      <c r="DS2153" s="22"/>
      <c r="DT2153" s="22"/>
    </row>
    <row r="2154" spans="1:124" s="21" customFormat="1" x14ac:dyDescent="0.25">
      <c r="A2154" s="20"/>
      <c r="B2154" s="20"/>
      <c r="DS2154" s="22"/>
      <c r="DT2154" s="22"/>
    </row>
    <row r="2155" spans="1:124" s="21" customFormat="1" x14ac:dyDescent="0.25">
      <c r="A2155" s="20"/>
      <c r="B2155" s="20"/>
      <c r="DS2155" s="22"/>
      <c r="DT2155" s="22"/>
    </row>
    <row r="2156" spans="1:124" s="21" customFormat="1" x14ac:dyDescent="0.25">
      <c r="A2156" s="20"/>
      <c r="B2156" s="20"/>
      <c r="DS2156" s="22"/>
      <c r="DT2156" s="22"/>
    </row>
    <row r="2157" spans="1:124" s="21" customFormat="1" x14ac:dyDescent="0.25">
      <c r="A2157" s="20"/>
      <c r="B2157" s="20"/>
      <c r="DS2157" s="22"/>
      <c r="DT2157" s="22"/>
    </row>
    <row r="2158" spans="1:124" s="21" customFormat="1" x14ac:dyDescent="0.25">
      <c r="A2158" s="20"/>
      <c r="B2158" s="20"/>
      <c r="DS2158" s="22"/>
      <c r="DT2158" s="22"/>
    </row>
    <row r="2159" spans="1:124" s="21" customFormat="1" x14ac:dyDescent="0.25">
      <c r="A2159" s="20"/>
      <c r="B2159" s="20"/>
      <c r="DS2159" s="22"/>
      <c r="DT2159" s="22"/>
    </row>
    <row r="2160" spans="1:124" s="21" customFormat="1" x14ac:dyDescent="0.25">
      <c r="A2160" s="20"/>
      <c r="B2160" s="20"/>
      <c r="DS2160" s="22"/>
      <c r="DT2160" s="22"/>
    </row>
    <row r="2161" spans="1:124" s="21" customFormat="1" x14ac:dyDescent="0.25">
      <c r="A2161" s="20"/>
      <c r="B2161" s="20"/>
      <c r="DS2161" s="22"/>
      <c r="DT2161" s="22"/>
    </row>
    <row r="2162" spans="1:124" s="21" customFormat="1" x14ac:dyDescent="0.25">
      <c r="A2162" s="20"/>
      <c r="B2162" s="20"/>
      <c r="DS2162" s="22"/>
      <c r="DT2162" s="22"/>
    </row>
    <row r="2163" spans="1:124" s="21" customFormat="1" x14ac:dyDescent="0.25">
      <c r="A2163" s="20"/>
      <c r="B2163" s="20"/>
      <c r="DS2163" s="22"/>
      <c r="DT2163" s="22"/>
    </row>
    <row r="2164" spans="1:124" s="21" customFormat="1" x14ac:dyDescent="0.25">
      <c r="A2164" s="20"/>
      <c r="B2164" s="20"/>
      <c r="DS2164" s="22"/>
      <c r="DT2164" s="22"/>
    </row>
    <row r="2165" spans="1:124" s="21" customFormat="1" x14ac:dyDescent="0.25">
      <c r="A2165" s="20"/>
      <c r="B2165" s="20"/>
      <c r="DS2165" s="22"/>
      <c r="DT2165" s="22"/>
    </row>
    <row r="2166" spans="1:124" s="21" customFormat="1" x14ac:dyDescent="0.25">
      <c r="A2166" s="20"/>
      <c r="B2166" s="20"/>
      <c r="DS2166" s="22"/>
      <c r="DT2166" s="22"/>
    </row>
    <row r="2167" spans="1:124" s="21" customFormat="1" x14ac:dyDescent="0.25">
      <c r="A2167" s="20"/>
      <c r="B2167" s="20"/>
      <c r="DS2167" s="22"/>
      <c r="DT2167" s="22"/>
    </row>
    <row r="2168" spans="1:124" s="21" customFormat="1" x14ac:dyDescent="0.25">
      <c r="A2168" s="20"/>
      <c r="B2168" s="20"/>
      <c r="DS2168" s="22"/>
      <c r="DT2168" s="22"/>
    </row>
    <row r="2169" spans="1:124" s="21" customFormat="1" x14ac:dyDescent="0.25">
      <c r="A2169" s="20"/>
      <c r="B2169" s="20"/>
      <c r="DS2169" s="22"/>
      <c r="DT2169" s="22"/>
    </row>
    <row r="2170" spans="1:124" s="21" customFormat="1" x14ac:dyDescent="0.25">
      <c r="A2170" s="20"/>
      <c r="B2170" s="20"/>
      <c r="DS2170" s="22"/>
      <c r="DT2170" s="22"/>
    </row>
    <row r="2171" spans="1:124" s="21" customFormat="1" x14ac:dyDescent="0.25">
      <c r="A2171" s="20"/>
      <c r="B2171" s="20"/>
      <c r="DS2171" s="22"/>
      <c r="DT2171" s="22"/>
    </row>
    <row r="2172" spans="1:124" s="21" customFormat="1" x14ac:dyDescent="0.25">
      <c r="A2172" s="20"/>
      <c r="B2172" s="20"/>
      <c r="DS2172" s="22"/>
      <c r="DT2172" s="22"/>
    </row>
    <row r="2173" spans="1:124" s="21" customFormat="1" x14ac:dyDescent="0.25">
      <c r="A2173" s="20"/>
      <c r="B2173" s="20"/>
      <c r="DS2173" s="22"/>
      <c r="DT2173" s="22"/>
    </row>
    <row r="2174" spans="1:124" s="21" customFormat="1" x14ac:dyDescent="0.25">
      <c r="A2174" s="20"/>
      <c r="B2174" s="20"/>
      <c r="DS2174" s="22"/>
      <c r="DT2174" s="22"/>
    </row>
    <row r="2175" spans="1:124" s="21" customFormat="1" x14ac:dyDescent="0.25">
      <c r="A2175" s="20"/>
      <c r="B2175" s="20"/>
      <c r="DS2175" s="22"/>
      <c r="DT2175" s="22"/>
    </row>
    <row r="2176" spans="1:124" s="21" customFormat="1" x14ac:dyDescent="0.25">
      <c r="A2176" s="20"/>
      <c r="B2176" s="20"/>
      <c r="DS2176" s="22"/>
      <c r="DT2176" s="22"/>
    </row>
    <row r="2177" spans="1:124" s="21" customFormat="1" x14ac:dyDescent="0.25">
      <c r="A2177" s="20"/>
      <c r="B2177" s="20"/>
      <c r="DS2177" s="22"/>
      <c r="DT2177" s="22"/>
    </row>
    <row r="2178" spans="1:124" s="21" customFormat="1" x14ac:dyDescent="0.25">
      <c r="A2178" s="20"/>
      <c r="B2178" s="20"/>
      <c r="DS2178" s="22"/>
      <c r="DT2178" s="22"/>
    </row>
    <row r="2179" spans="1:124" s="21" customFormat="1" x14ac:dyDescent="0.25">
      <c r="A2179" s="20"/>
      <c r="B2179" s="20"/>
      <c r="DS2179" s="22"/>
      <c r="DT2179" s="22"/>
    </row>
    <row r="2180" spans="1:124" s="21" customFormat="1" x14ac:dyDescent="0.25">
      <c r="A2180" s="20"/>
      <c r="B2180" s="20"/>
      <c r="DS2180" s="22"/>
      <c r="DT2180" s="22"/>
    </row>
    <row r="2181" spans="1:124" s="21" customFormat="1" x14ac:dyDescent="0.25">
      <c r="A2181" s="20"/>
      <c r="B2181" s="20"/>
      <c r="DS2181" s="22"/>
      <c r="DT2181" s="22"/>
    </row>
    <row r="2182" spans="1:124" s="21" customFormat="1" x14ac:dyDescent="0.25">
      <c r="A2182" s="20"/>
      <c r="B2182" s="20"/>
      <c r="DS2182" s="22"/>
      <c r="DT2182" s="22"/>
    </row>
    <row r="2183" spans="1:124" s="21" customFormat="1" x14ac:dyDescent="0.25">
      <c r="A2183" s="20"/>
      <c r="B2183" s="20"/>
      <c r="DS2183" s="22"/>
      <c r="DT2183" s="22"/>
    </row>
    <row r="2184" spans="1:124" s="21" customFormat="1" x14ac:dyDescent="0.25">
      <c r="A2184" s="20"/>
      <c r="B2184" s="20"/>
      <c r="DS2184" s="22"/>
      <c r="DT2184" s="22"/>
    </row>
    <row r="2185" spans="1:124" s="21" customFormat="1" x14ac:dyDescent="0.25">
      <c r="A2185" s="20"/>
      <c r="B2185" s="20"/>
      <c r="DS2185" s="22"/>
      <c r="DT2185" s="22"/>
    </row>
    <row r="2186" spans="1:124" s="21" customFormat="1" x14ac:dyDescent="0.25">
      <c r="A2186" s="20"/>
      <c r="B2186" s="20"/>
      <c r="DS2186" s="22"/>
      <c r="DT2186" s="22"/>
    </row>
    <row r="2187" spans="1:124" s="21" customFormat="1" x14ac:dyDescent="0.25">
      <c r="A2187" s="20"/>
      <c r="B2187" s="20"/>
      <c r="DS2187" s="22"/>
      <c r="DT2187" s="22"/>
    </row>
    <row r="2188" spans="1:124" s="21" customFormat="1" x14ac:dyDescent="0.25">
      <c r="A2188" s="20"/>
      <c r="B2188" s="20"/>
      <c r="DS2188" s="22"/>
      <c r="DT2188" s="22"/>
    </row>
    <row r="2189" spans="1:124" s="21" customFormat="1" x14ac:dyDescent="0.25">
      <c r="A2189" s="20"/>
      <c r="B2189" s="20"/>
      <c r="DS2189" s="22"/>
      <c r="DT2189" s="22"/>
    </row>
    <row r="2190" spans="1:124" s="21" customFormat="1" x14ac:dyDescent="0.25">
      <c r="A2190" s="20"/>
      <c r="B2190" s="20"/>
      <c r="DS2190" s="22"/>
      <c r="DT2190" s="22"/>
    </row>
    <row r="2191" spans="1:124" s="21" customFormat="1" x14ac:dyDescent="0.25">
      <c r="A2191" s="20"/>
      <c r="B2191" s="20"/>
      <c r="DS2191" s="22"/>
      <c r="DT2191" s="22"/>
    </row>
    <row r="2192" spans="1:124" s="21" customFormat="1" x14ac:dyDescent="0.25">
      <c r="A2192" s="20"/>
      <c r="B2192" s="20"/>
      <c r="DS2192" s="22"/>
      <c r="DT2192" s="22"/>
    </row>
    <row r="2193" spans="1:124" s="21" customFormat="1" x14ac:dyDescent="0.25">
      <c r="A2193" s="20"/>
      <c r="B2193" s="20"/>
      <c r="DS2193" s="22"/>
      <c r="DT2193" s="22"/>
    </row>
    <row r="2194" spans="1:124" s="21" customFormat="1" x14ac:dyDescent="0.25">
      <c r="A2194" s="20"/>
      <c r="B2194" s="20"/>
      <c r="DS2194" s="22"/>
      <c r="DT2194" s="22"/>
    </row>
    <row r="2195" spans="1:124" s="21" customFormat="1" x14ac:dyDescent="0.25">
      <c r="A2195" s="20"/>
      <c r="B2195" s="20"/>
      <c r="DS2195" s="22"/>
      <c r="DT2195" s="22"/>
    </row>
    <row r="2196" spans="1:124" s="21" customFormat="1" x14ac:dyDescent="0.25">
      <c r="A2196" s="20"/>
      <c r="B2196" s="20"/>
      <c r="DS2196" s="22"/>
      <c r="DT2196" s="22"/>
    </row>
    <row r="2197" spans="1:124" s="21" customFormat="1" x14ac:dyDescent="0.25">
      <c r="A2197" s="20"/>
      <c r="B2197" s="20"/>
      <c r="DS2197" s="22"/>
      <c r="DT2197" s="22"/>
    </row>
    <row r="2198" spans="1:124" s="21" customFormat="1" x14ac:dyDescent="0.25">
      <c r="A2198" s="20"/>
      <c r="B2198" s="20"/>
      <c r="DS2198" s="22"/>
      <c r="DT2198" s="22"/>
    </row>
    <row r="2199" spans="1:124" s="21" customFormat="1" x14ac:dyDescent="0.25">
      <c r="A2199" s="20"/>
      <c r="B2199" s="20"/>
      <c r="DS2199" s="22"/>
      <c r="DT2199" s="22"/>
    </row>
    <row r="2200" spans="1:124" s="21" customFormat="1" x14ac:dyDescent="0.25">
      <c r="A2200" s="20"/>
      <c r="B2200" s="20"/>
      <c r="DS2200" s="22"/>
      <c r="DT2200" s="22"/>
    </row>
    <row r="2201" spans="1:124" s="21" customFormat="1" x14ac:dyDescent="0.25">
      <c r="A2201" s="20"/>
      <c r="B2201" s="20"/>
      <c r="DS2201" s="22"/>
      <c r="DT2201" s="22"/>
    </row>
    <row r="2202" spans="1:124" s="21" customFormat="1" x14ac:dyDescent="0.25">
      <c r="A2202" s="20"/>
      <c r="B2202" s="20"/>
      <c r="DS2202" s="22"/>
      <c r="DT2202" s="22"/>
    </row>
    <row r="2203" spans="1:124" s="21" customFormat="1" x14ac:dyDescent="0.25">
      <c r="A2203" s="20"/>
      <c r="B2203" s="20"/>
      <c r="DS2203" s="22"/>
      <c r="DT2203" s="22"/>
    </row>
    <row r="2204" spans="1:124" s="21" customFormat="1" x14ac:dyDescent="0.25">
      <c r="A2204" s="20"/>
      <c r="B2204" s="20"/>
      <c r="DS2204" s="22"/>
      <c r="DT2204" s="22"/>
    </row>
    <row r="2205" spans="1:124" s="21" customFormat="1" x14ac:dyDescent="0.25">
      <c r="A2205" s="20"/>
      <c r="B2205" s="20"/>
      <c r="DS2205" s="22"/>
      <c r="DT2205" s="22"/>
    </row>
    <row r="2206" spans="1:124" s="21" customFormat="1" x14ac:dyDescent="0.25">
      <c r="A2206" s="20"/>
      <c r="B2206" s="20"/>
      <c r="DS2206" s="22"/>
      <c r="DT2206" s="22"/>
    </row>
    <row r="2207" spans="1:124" s="21" customFormat="1" x14ac:dyDescent="0.25">
      <c r="A2207" s="20"/>
      <c r="B2207" s="20"/>
      <c r="DS2207" s="22"/>
      <c r="DT2207" s="22"/>
    </row>
    <row r="2208" spans="1:124" s="21" customFormat="1" x14ac:dyDescent="0.25">
      <c r="A2208" s="20"/>
      <c r="B2208" s="20"/>
      <c r="DS2208" s="22"/>
      <c r="DT2208" s="22"/>
    </row>
    <row r="2209" spans="1:124" s="21" customFormat="1" x14ac:dyDescent="0.25">
      <c r="A2209" s="20"/>
      <c r="B2209" s="20"/>
      <c r="DS2209" s="22"/>
      <c r="DT2209" s="22"/>
    </row>
    <row r="2210" spans="1:124" s="21" customFormat="1" x14ac:dyDescent="0.25">
      <c r="A2210" s="20"/>
      <c r="B2210" s="20"/>
      <c r="DS2210" s="22"/>
      <c r="DT2210" s="22"/>
    </row>
    <row r="2211" spans="1:124" s="21" customFormat="1" x14ac:dyDescent="0.25">
      <c r="A2211" s="20"/>
      <c r="B2211" s="20"/>
      <c r="DS2211" s="22"/>
      <c r="DT2211" s="22"/>
    </row>
    <row r="2212" spans="1:124" s="21" customFormat="1" x14ac:dyDescent="0.25">
      <c r="A2212" s="20"/>
      <c r="B2212" s="20"/>
      <c r="DS2212" s="22"/>
      <c r="DT2212" s="22"/>
    </row>
    <row r="2213" spans="1:124" s="21" customFormat="1" x14ac:dyDescent="0.25">
      <c r="A2213" s="20"/>
      <c r="B2213" s="20"/>
      <c r="DS2213" s="22"/>
      <c r="DT2213" s="22"/>
    </row>
    <row r="2214" spans="1:124" s="21" customFormat="1" x14ac:dyDescent="0.25">
      <c r="A2214" s="20"/>
      <c r="B2214" s="20"/>
      <c r="DS2214" s="22"/>
      <c r="DT2214" s="22"/>
    </row>
    <row r="2215" spans="1:124" s="21" customFormat="1" x14ac:dyDescent="0.25">
      <c r="A2215" s="20"/>
      <c r="B2215" s="20"/>
      <c r="DS2215" s="22"/>
      <c r="DT2215" s="22"/>
    </row>
    <row r="2216" spans="1:124" s="21" customFormat="1" x14ac:dyDescent="0.25">
      <c r="A2216" s="20"/>
      <c r="B2216" s="20"/>
      <c r="DS2216" s="22"/>
      <c r="DT2216" s="22"/>
    </row>
    <row r="2217" spans="1:124" s="21" customFormat="1" x14ac:dyDescent="0.25">
      <c r="A2217" s="20"/>
      <c r="B2217" s="20"/>
      <c r="DS2217" s="22"/>
      <c r="DT2217" s="22"/>
    </row>
    <row r="2218" spans="1:124" s="21" customFormat="1" x14ac:dyDescent="0.25">
      <c r="A2218" s="20"/>
      <c r="B2218" s="20"/>
      <c r="DS2218" s="22"/>
      <c r="DT2218" s="22"/>
    </row>
    <row r="2219" spans="1:124" s="21" customFormat="1" x14ac:dyDescent="0.25">
      <c r="A2219" s="20"/>
      <c r="B2219" s="20"/>
      <c r="DS2219" s="22"/>
      <c r="DT2219" s="22"/>
    </row>
    <row r="2220" spans="1:124" s="21" customFormat="1" x14ac:dyDescent="0.25">
      <c r="A2220" s="20"/>
      <c r="B2220" s="20"/>
      <c r="DS2220" s="22"/>
      <c r="DT2220" s="22"/>
    </row>
    <row r="2221" spans="1:124" s="21" customFormat="1" x14ac:dyDescent="0.25">
      <c r="A2221" s="20"/>
      <c r="B2221" s="20"/>
      <c r="DS2221" s="22"/>
      <c r="DT2221" s="22"/>
    </row>
    <row r="2222" spans="1:124" s="21" customFormat="1" x14ac:dyDescent="0.25">
      <c r="A2222" s="20"/>
      <c r="B2222" s="20"/>
      <c r="DS2222" s="22"/>
      <c r="DT2222" s="22"/>
    </row>
    <row r="2223" spans="1:124" s="21" customFormat="1" x14ac:dyDescent="0.25">
      <c r="A2223" s="20"/>
      <c r="B2223" s="20"/>
      <c r="DS2223" s="22"/>
      <c r="DT2223" s="22"/>
    </row>
    <row r="2224" spans="1:124" s="21" customFormat="1" x14ac:dyDescent="0.25">
      <c r="A2224" s="20"/>
      <c r="B2224" s="20"/>
      <c r="DS2224" s="22"/>
      <c r="DT2224" s="22"/>
    </row>
    <row r="2225" spans="1:124" s="21" customFormat="1" x14ac:dyDescent="0.25">
      <c r="A2225" s="20"/>
      <c r="B2225" s="20"/>
      <c r="DS2225" s="22"/>
      <c r="DT2225" s="22"/>
    </row>
    <row r="2226" spans="1:124" s="21" customFormat="1" x14ac:dyDescent="0.25">
      <c r="A2226" s="20"/>
      <c r="B2226" s="20"/>
      <c r="DS2226" s="22"/>
      <c r="DT2226" s="22"/>
    </row>
    <row r="2227" spans="1:124" s="21" customFormat="1" x14ac:dyDescent="0.25">
      <c r="A2227" s="20"/>
      <c r="B2227" s="20"/>
      <c r="DS2227" s="22"/>
      <c r="DT2227" s="22"/>
    </row>
    <row r="2228" spans="1:124" s="21" customFormat="1" x14ac:dyDescent="0.25">
      <c r="A2228" s="20"/>
      <c r="B2228" s="20"/>
      <c r="DS2228" s="22"/>
      <c r="DT2228" s="22"/>
    </row>
    <row r="2229" spans="1:124" s="21" customFormat="1" x14ac:dyDescent="0.25">
      <c r="A2229" s="20"/>
      <c r="B2229" s="20"/>
      <c r="DS2229" s="22"/>
      <c r="DT2229" s="22"/>
    </row>
    <row r="2230" spans="1:124" s="21" customFormat="1" x14ac:dyDescent="0.25">
      <c r="A2230" s="20"/>
      <c r="B2230" s="20"/>
      <c r="DS2230" s="22"/>
      <c r="DT2230" s="22"/>
    </row>
    <row r="2231" spans="1:124" s="21" customFormat="1" x14ac:dyDescent="0.25">
      <c r="A2231" s="20"/>
      <c r="B2231" s="20"/>
      <c r="DS2231" s="22"/>
      <c r="DT2231" s="22"/>
    </row>
    <row r="2232" spans="1:124" s="21" customFormat="1" x14ac:dyDescent="0.25">
      <c r="A2232" s="20"/>
      <c r="B2232" s="20"/>
      <c r="DS2232" s="22"/>
      <c r="DT2232" s="22"/>
    </row>
    <row r="2233" spans="1:124" s="21" customFormat="1" x14ac:dyDescent="0.25">
      <c r="A2233" s="20"/>
      <c r="B2233" s="20"/>
      <c r="DS2233" s="22"/>
      <c r="DT2233" s="22"/>
    </row>
    <row r="2234" spans="1:124" s="21" customFormat="1" x14ac:dyDescent="0.25">
      <c r="A2234" s="20"/>
      <c r="B2234" s="20"/>
      <c r="DS2234" s="22"/>
      <c r="DT2234" s="22"/>
    </row>
    <row r="2235" spans="1:124" s="21" customFormat="1" x14ac:dyDescent="0.25">
      <c r="A2235" s="20"/>
      <c r="B2235" s="20"/>
      <c r="DS2235" s="22"/>
      <c r="DT2235" s="22"/>
    </row>
    <row r="2236" spans="1:124" s="21" customFormat="1" x14ac:dyDescent="0.25">
      <c r="A2236" s="20"/>
      <c r="B2236" s="20"/>
      <c r="DS2236" s="22"/>
      <c r="DT2236" s="22"/>
    </row>
    <row r="2237" spans="1:124" s="21" customFormat="1" x14ac:dyDescent="0.25">
      <c r="A2237" s="20"/>
      <c r="B2237" s="20"/>
      <c r="DS2237" s="22"/>
      <c r="DT2237" s="22"/>
    </row>
    <row r="2238" spans="1:124" s="21" customFormat="1" x14ac:dyDescent="0.25">
      <c r="A2238" s="20"/>
      <c r="B2238" s="20"/>
      <c r="DS2238" s="22"/>
      <c r="DT2238" s="22"/>
    </row>
    <row r="2239" spans="1:124" s="21" customFormat="1" x14ac:dyDescent="0.25">
      <c r="A2239" s="20"/>
      <c r="B2239" s="20"/>
      <c r="DS2239" s="22"/>
      <c r="DT2239" s="22"/>
    </row>
    <row r="2240" spans="1:124" s="21" customFormat="1" x14ac:dyDescent="0.25">
      <c r="A2240" s="20"/>
      <c r="B2240" s="20"/>
      <c r="DS2240" s="22"/>
      <c r="DT2240" s="22"/>
    </row>
    <row r="2241" spans="1:124" s="21" customFormat="1" x14ac:dyDescent="0.25">
      <c r="A2241" s="20"/>
      <c r="B2241" s="20"/>
      <c r="DS2241" s="22"/>
      <c r="DT2241" s="22"/>
    </row>
    <row r="2242" spans="1:124" s="21" customFormat="1" x14ac:dyDescent="0.25">
      <c r="A2242" s="20"/>
      <c r="B2242" s="20"/>
      <c r="DS2242" s="22"/>
      <c r="DT2242" s="22"/>
    </row>
    <row r="2243" spans="1:124" s="21" customFormat="1" x14ac:dyDescent="0.25">
      <c r="A2243" s="20"/>
      <c r="B2243" s="20"/>
      <c r="DS2243" s="22"/>
      <c r="DT2243" s="22"/>
    </row>
    <row r="2244" spans="1:124" s="21" customFormat="1" x14ac:dyDescent="0.25">
      <c r="A2244" s="20"/>
      <c r="B2244" s="20"/>
      <c r="DS2244" s="22"/>
      <c r="DT2244" s="22"/>
    </row>
    <row r="2245" spans="1:124" s="21" customFormat="1" x14ac:dyDescent="0.25">
      <c r="A2245" s="20"/>
      <c r="B2245" s="20"/>
      <c r="DS2245" s="22"/>
      <c r="DT2245" s="22"/>
    </row>
    <row r="2246" spans="1:124" s="21" customFormat="1" x14ac:dyDescent="0.25">
      <c r="A2246" s="20"/>
      <c r="B2246" s="20"/>
      <c r="DS2246" s="22"/>
      <c r="DT2246" s="22"/>
    </row>
    <row r="2247" spans="1:124" s="21" customFormat="1" x14ac:dyDescent="0.25">
      <c r="A2247" s="20"/>
      <c r="B2247" s="20"/>
      <c r="DS2247" s="22"/>
      <c r="DT2247" s="22"/>
    </row>
    <row r="2248" spans="1:124" s="21" customFormat="1" x14ac:dyDescent="0.25">
      <c r="A2248" s="20"/>
      <c r="B2248" s="20"/>
      <c r="DS2248" s="22"/>
      <c r="DT2248" s="22"/>
    </row>
    <row r="2249" spans="1:124" s="21" customFormat="1" x14ac:dyDescent="0.25">
      <c r="A2249" s="20"/>
      <c r="B2249" s="20"/>
      <c r="DS2249" s="22"/>
      <c r="DT2249" s="22"/>
    </row>
    <row r="2250" spans="1:124" s="21" customFormat="1" x14ac:dyDescent="0.25">
      <c r="A2250" s="20"/>
      <c r="B2250" s="20"/>
      <c r="DS2250" s="22"/>
      <c r="DT2250" s="22"/>
    </row>
    <row r="2251" spans="1:124" s="21" customFormat="1" x14ac:dyDescent="0.25">
      <c r="A2251" s="20"/>
      <c r="B2251" s="20"/>
      <c r="DS2251" s="22"/>
      <c r="DT2251" s="22"/>
    </row>
    <row r="2252" spans="1:124" s="21" customFormat="1" x14ac:dyDescent="0.25">
      <c r="A2252" s="20"/>
      <c r="B2252" s="20"/>
      <c r="DS2252" s="22"/>
      <c r="DT2252" s="22"/>
    </row>
    <row r="2253" spans="1:124" s="21" customFormat="1" x14ac:dyDescent="0.25">
      <c r="A2253" s="20"/>
      <c r="B2253" s="20"/>
      <c r="DS2253" s="22"/>
      <c r="DT2253" s="22"/>
    </row>
    <row r="2254" spans="1:124" s="21" customFormat="1" x14ac:dyDescent="0.25">
      <c r="A2254" s="20"/>
      <c r="B2254" s="20"/>
      <c r="DS2254" s="22"/>
      <c r="DT2254" s="22"/>
    </row>
    <row r="2255" spans="1:124" s="21" customFormat="1" x14ac:dyDescent="0.25">
      <c r="A2255" s="20"/>
      <c r="B2255" s="20"/>
      <c r="DS2255" s="22"/>
      <c r="DT2255" s="22"/>
    </row>
    <row r="2256" spans="1:124" s="21" customFormat="1" x14ac:dyDescent="0.25">
      <c r="A2256" s="20"/>
      <c r="B2256" s="20"/>
      <c r="DS2256" s="22"/>
      <c r="DT2256" s="22"/>
    </row>
    <row r="2257" spans="1:124" s="21" customFormat="1" x14ac:dyDescent="0.25">
      <c r="A2257" s="20"/>
      <c r="B2257" s="20"/>
      <c r="DS2257" s="22"/>
      <c r="DT2257" s="22"/>
    </row>
    <row r="2258" spans="1:124" s="21" customFormat="1" x14ac:dyDescent="0.25">
      <c r="A2258" s="20"/>
      <c r="B2258" s="20"/>
      <c r="DS2258" s="22"/>
      <c r="DT2258" s="22"/>
    </row>
    <row r="2259" spans="1:124" s="21" customFormat="1" x14ac:dyDescent="0.25">
      <c r="A2259" s="20"/>
      <c r="B2259" s="20"/>
      <c r="DS2259" s="22"/>
      <c r="DT2259" s="22"/>
    </row>
    <row r="2260" spans="1:124" s="21" customFormat="1" x14ac:dyDescent="0.25">
      <c r="A2260" s="20"/>
      <c r="B2260" s="20"/>
      <c r="DS2260" s="22"/>
      <c r="DT2260" s="22"/>
    </row>
    <row r="2261" spans="1:124" s="21" customFormat="1" x14ac:dyDescent="0.25">
      <c r="A2261" s="20"/>
      <c r="B2261" s="20"/>
      <c r="DS2261" s="22"/>
      <c r="DT2261" s="22"/>
    </row>
    <row r="2262" spans="1:124" s="21" customFormat="1" x14ac:dyDescent="0.25">
      <c r="A2262" s="20"/>
      <c r="B2262" s="20"/>
      <c r="DS2262" s="22"/>
      <c r="DT2262" s="22"/>
    </row>
    <row r="2263" spans="1:124" s="21" customFormat="1" x14ac:dyDescent="0.25">
      <c r="A2263" s="20"/>
      <c r="B2263" s="20"/>
      <c r="DS2263" s="22"/>
      <c r="DT2263" s="22"/>
    </row>
    <row r="2264" spans="1:124" s="21" customFormat="1" x14ac:dyDescent="0.25">
      <c r="A2264" s="20"/>
      <c r="B2264" s="20"/>
      <c r="DS2264" s="22"/>
      <c r="DT2264" s="22"/>
    </row>
    <row r="2265" spans="1:124" s="21" customFormat="1" x14ac:dyDescent="0.25">
      <c r="A2265" s="20"/>
      <c r="B2265" s="20"/>
      <c r="DS2265" s="22"/>
      <c r="DT2265" s="22"/>
    </row>
    <row r="2266" spans="1:124" s="21" customFormat="1" x14ac:dyDescent="0.25">
      <c r="A2266" s="20"/>
      <c r="B2266" s="20"/>
      <c r="DS2266" s="22"/>
      <c r="DT2266" s="22"/>
    </row>
    <row r="2267" spans="1:124" s="21" customFormat="1" x14ac:dyDescent="0.25">
      <c r="A2267" s="20"/>
      <c r="B2267" s="20"/>
      <c r="DS2267" s="22"/>
      <c r="DT2267" s="22"/>
    </row>
    <row r="2268" spans="1:124" s="21" customFormat="1" x14ac:dyDescent="0.25">
      <c r="A2268" s="20"/>
      <c r="B2268" s="20"/>
      <c r="DS2268" s="22"/>
      <c r="DT2268" s="22"/>
    </row>
    <row r="2269" spans="1:124" s="21" customFormat="1" x14ac:dyDescent="0.25">
      <c r="A2269" s="20"/>
      <c r="B2269" s="20"/>
      <c r="DS2269" s="22"/>
      <c r="DT2269" s="22"/>
    </row>
    <row r="2270" spans="1:124" s="21" customFormat="1" x14ac:dyDescent="0.25">
      <c r="A2270" s="20"/>
      <c r="B2270" s="20"/>
      <c r="DS2270" s="22"/>
      <c r="DT2270" s="22"/>
    </row>
    <row r="2271" spans="1:124" s="21" customFormat="1" x14ac:dyDescent="0.25">
      <c r="A2271" s="20"/>
      <c r="B2271" s="20"/>
      <c r="DS2271" s="22"/>
      <c r="DT2271" s="22"/>
    </row>
    <row r="2272" spans="1:124" s="21" customFormat="1" x14ac:dyDescent="0.25">
      <c r="A2272" s="20"/>
      <c r="B2272" s="20"/>
      <c r="DS2272" s="22"/>
      <c r="DT2272" s="22"/>
    </row>
    <row r="2273" spans="1:124" s="21" customFormat="1" x14ac:dyDescent="0.25">
      <c r="A2273" s="20"/>
      <c r="B2273" s="20"/>
      <c r="DS2273" s="22"/>
      <c r="DT2273" s="22"/>
    </row>
    <row r="2274" spans="1:124" s="21" customFormat="1" x14ac:dyDescent="0.25">
      <c r="A2274" s="20"/>
      <c r="B2274" s="20"/>
      <c r="DS2274" s="22"/>
      <c r="DT2274" s="22"/>
    </row>
    <row r="2275" spans="1:124" s="21" customFormat="1" x14ac:dyDescent="0.25">
      <c r="A2275" s="20"/>
      <c r="B2275" s="20"/>
      <c r="DS2275" s="22"/>
      <c r="DT2275" s="22"/>
    </row>
    <row r="2276" spans="1:124" s="21" customFormat="1" x14ac:dyDescent="0.25">
      <c r="A2276" s="20"/>
      <c r="B2276" s="20"/>
      <c r="DS2276" s="22"/>
      <c r="DT2276" s="22"/>
    </row>
    <row r="2277" spans="1:124" s="21" customFormat="1" x14ac:dyDescent="0.25">
      <c r="A2277" s="20"/>
      <c r="B2277" s="20"/>
      <c r="DS2277" s="22"/>
      <c r="DT2277" s="22"/>
    </row>
    <row r="2278" spans="1:124" s="21" customFormat="1" x14ac:dyDescent="0.25">
      <c r="A2278" s="20"/>
      <c r="B2278" s="20"/>
      <c r="DS2278" s="22"/>
      <c r="DT2278" s="22"/>
    </row>
    <row r="2279" spans="1:124" s="21" customFormat="1" x14ac:dyDescent="0.25">
      <c r="A2279" s="20"/>
      <c r="B2279" s="20"/>
      <c r="DS2279" s="22"/>
      <c r="DT2279" s="22"/>
    </row>
    <row r="2280" spans="1:124" s="21" customFormat="1" x14ac:dyDescent="0.25">
      <c r="A2280" s="20"/>
      <c r="B2280" s="20"/>
      <c r="DS2280" s="22"/>
      <c r="DT2280" s="22"/>
    </row>
    <row r="2281" spans="1:124" s="21" customFormat="1" x14ac:dyDescent="0.25">
      <c r="A2281" s="20"/>
      <c r="B2281" s="20"/>
      <c r="DS2281" s="22"/>
      <c r="DT2281" s="22"/>
    </row>
    <row r="2282" spans="1:124" s="21" customFormat="1" x14ac:dyDescent="0.25">
      <c r="A2282" s="20"/>
      <c r="B2282" s="20"/>
      <c r="DS2282" s="22"/>
      <c r="DT2282" s="22"/>
    </row>
    <row r="2283" spans="1:124" s="21" customFormat="1" x14ac:dyDescent="0.25">
      <c r="A2283" s="20"/>
      <c r="B2283" s="20"/>
      <c r="DS2283" s="22"/>
      <c r="DT2283" s="22"/>
    </row>
    <row r="2284" spans="1:124" s="21" customFormat="1" x14ac:dyDescent="0.25">
      <c r="A2284" s="20"/>
      <c r="B2284" s="20"/>
      <c r="DS2284" s="22"/>
      <c r="DT2284" s="22"/>
    </row>
    <row r="2285" spans="1:124" s="21" customFormat="1" x14ac:dyDescent="0.25">
      <c r="A2285" s="20"/>
      <c r="B2285" s="20"/>
      <c r="DS2285" s="22"/>
      <c r="DT2285" s="22"/>
    </row>
    <row r="2286" spans="1:124" s="21" customFormat="1" x14ac:dyDescent="0.25">
      <c r="A2286" s="20"/>
      <c r="B2286" s="20"/>
      <c r="DS2286" s="22"/>
      <c r="DT2286" s="22"/>
    </row>
    <row r="2287" spans="1:124" s="21" customFormat="1" x14ac:dyDescent="0.25">
      <c r="A2287" s="20"/>
      <c r="B2287" s="20"/>
      <c r="DS2287" s="22"/>
      <c r="DT2287" s="22"/>
    </row>
    <row r="2288" spans="1:124" s="21" customFormat="1" x14ac:dyDescent="0.25">
      <c r="A2288" s="20"/>
      <c r="B2288" s="20"/>
      <c r="DS2288" s="22"/>
      <c r="DT2288" s="22"/>
    </row>
    <row r="2289" spans="1:124" s="21" customFormat="1" x14ac:dyDescent="0.25">
      <c r="A2289" s="20"/>
      <c r="B2289" s="20"/>
      <c r="DS2289" s="22"/>
      <c r="DT2289" s="22"/>
    </row>
    <row r="2290" spans="1:124" s="21" customFormat="1" x14ac:dyDescent="0.25">
      <c r="A2290" s="20"/>
      <c r="B2290" s="20"/>
      <c r="DS2290" s="22"/>
      <c r="DT2290" s="22"/>
    </row>
    <row r="2291" spans="1:124" s="21" customFormat="1" x14ac:dyDescent="0.25">
      <c r="A2291" s="20"/>
      <c r="B2291" s="20"/>
      <c r="DS2291" s="22"/>
      <c r="DT2291" s="22"/>
    </row>
    <row r="2292" spans="1:124" s="21" customFormat="1" x14ac:dyDescent="0.25">
      <c r="A2292" s="20"/>
      <c r="B2292" s="20"/>
      <c r="DS2292" s="22"/>
      <c r="DT2292" s="22"/>
    </row>
    <row r="2293" spans="1:124" s="21" customFormat="1" x14ac:dyDescent="0.25">
      <c r="A2293" s="20"/>
      <c r="B2293" s="20"/>
      <c r="DS2293" s="22"/>
      <c r="DT2293" s="22"/>
    </row>
    <row r="2294" spans="1:124" s="21" customFormat="1" x14ac:dyDescent="0.25">
      <c r="A2294" s="20"/>
      <c r="B2294" s="20"/>
      <c r="DS2294" s="22"/>
      <c r="DT2294" s="22"/>
    </row>
    <row r="2295" spans="1:124" s="21" customFormat="1" x14ac:dyDescent="0.25">
      <c r="A2295" s="20"/>
      <c r="B2295" s="20"/>
      <c r="DS2295" s="22"/>
      <c r="DT2295" s="22"/>
    </row>
    <row r="2296" spans="1:124" s="21" customFormat="1" x14ac:dyDescent="0.25">
      <c r="A2296" s="20"/>
      <c r="B2296" s="20"/>
      <c r="DS2296" s="22"/>
      <c r="DT2296" s="22"/>
    </row>
    <row r="2297" spans="1:124" s="21" customFormat="1" x14ac:dyDescent="0.25">
      <c r="A2297" s="20"/>
      <c r="B2297" s="20"/>
      <c r="DS2297" s="22"/>
      <c r="DT2297" s="22"/>
    </row>
    <row r="2298" spans="1:124" s="21" customFormat="1" x14ac:dyDescent="0.25">
      <c r="A2298" s="20"/>
      <c r="B2298" s="20"/>
      <c r="DS2298" s="22"/>
      <c r="DT2298" s="22"/>
    </row>
    <row r="2299" spans="1:124" s="21" customFormat="1" x14ac:dyDescent="0.25">
      <c r="A2299" s="20"/>
      <c r="B2299" s="20"/>
      <c r="DS2299" s="22"/>
      <c r="DT2299" s="22"/>
    </row>
    <row r="2300" spans="1:124" s="21" customFormat="1" x14ac:dyDescent="0.25">
      <c r="A2300" s="20"/>
      <c r="B2300" s="20"/>
      <c r="DS2300" s="22"/>
      <c r="DT2300" s="22"/>
    </row>
    <row r="2301" spans="1:124" s="21" customFormat="1" x14ac:dyDescent="0.25">
      <c r="A2301" s="20"/>
      <c r="B2301" s="20"/>
      <c r="DS2301" s="22"/>
      <c r="DT2301" s="22"/>
    </row>
    <row r="2302" spans="1:124" s="21" customFormat="1" x14ac:dyDescent="0.25">
      <c r="A2302" s="20"/>
      <c r="B2302" s="20"/>
      <c r="DS2302" s="22"/>
      <c r="DT2302" s="22"/>
    </row>
    <row r="2303" spans="1:124" s="21" customFormat="1" x14ac:dyDescent="0.25">
      <c r="A2303" s="20"/>
      <c r="B2303" s="20"/>
      <c r="DS2303" s="22"/>
      <c r="DT2303" s="22"/>
    </row>
    <row r="2304" spans="1:124" s="21" customFormat="1" x14ac:dyDescent="0.25">
      <c r="A2304" s="20"/>
      <c r="B2304" s="20"/>
      <c r="DS2304" s="22"/>
      <c r="DT2304" s="22"/>
    </row>
    <row r="2305" spans="1:124" s="21" customFormat="1" x14ac:dyDescent="0.25">
      <c r="A2305" s="20"/>
      <c r="B2305" s="20"/>
      <c r="DS2305" s="22"/>
      <c r="DT2305" s="22"/>
    </row>
    <row r="2306" spans="1:124" s="21" customFormat="1" x14ac:dyDescent="0.25">
      <c r="A2306" s="20"/>
      <c r="B2306" s="20"/>
      <c r="DS2306" s="22"/>
      <c r="DT2306" s="22"/>
    </row>
    <row r="2307" spans="1:124" s="21" customFormat="1" x14ac:dyDescent="0.25">
      <c r="A2307" s="20"/>
      <c r="B2307" s="20"/>
      <c r="DS2307" s="22"/>
      <c r="DT2307" s="22"/>
    </row>
    <row r="2308" spans="1:124" s="21" customFormat="1" x14ac:dyDescent="0.25">
      <c r="A2308" s="20"/>
      <c r="B2308" s="20"/>
      <c r="DS2308" s="22"/>
      <c r="DT2308" s="22"/>
    </row>
    <row r="2309" spans="1:124" s="21" customFormat="1" x14ac:dyDescent="0.25">
      <c r="A2309" s="20"/>
      <c r="B2309" s="20"/>
      <c r="DS2309" s="22"/>
      <c r="DT2309" s="22"/>
    </row>
    <row r="2310" spans="1:124" s="21" customFormat="1" x14ac:dyDescent="0.25">
      <c r="A2310" s="20"/>
      <c r="B2310" s="20"/>
      <c r="DS2310" s="22"/>
      <c r="DT2310" s="22"/>
    </row>
    <row r="2311" spans="1:124" s="21" customFormat="1" x14ac:dyDescent="0.25">
      <c r="A2311" s="20"/>
      <c r="B2311" s="20"/>
      <c r="DS2311" s="22"/>
      <c r="DT2311" s="22"/>
    </row>
    <row r="2312" spans="1:124" s="21" customFormat="1" x14ac:dyDescent="0.25">
      <c r="A2312" s="20"/>
      <c r="B2312" s="20"/>
      <c r="DS2312" s="22"/>
      <c r="DT2312" s="22"/>
    </row>
    <row r="2313" spans="1:124" s="21" customFormat="1" x14ac:dyDescent="0.25">
      <c r="A2313" s="20"/>
      <c r="B2313" s="20"/>
      <c r="DS2313" s="22"/>
      <c r="DT2313" s="22"/>
    </row>
    <row r="2314" spans="1:124" s="21" customFormat="1" x14ac:dyDescent="0.25">
      <c r="A2314" s="20"/>
      <c r="B2314" s="20"/>
      <c r="DS2314" s="22"/>
      <c r="DT2314" s="22"/>
    </row>
    <row r="2315" spans="1:124" s="21" customFormat="1" x14ac:dyDescent="0.25">
      <c r="A2315" s="20"/>
      <c r="B2315" s="20"/>
      <c r="DS2315" s="22"/>
      <c r="DT2315" s="22"/>
    </row>
    <row r="2316" spans="1:124" s="21" customFormat="1" x14ac:dyDescent="0.25">
      <c r="A2316" s="20"/>
      <c r="B2316" s="20"/>
      <c r="DS2316" s="22"/>
      <c r="DT2316" s="22"/>
    </row>
    <row r="2317" spans="1:124" s="21" customFormat="1" x14ac:dyDescent="0.25">
      <c r="A2317" s="20"/>
      <c r="B2317" s="20"/>
      <c r="DS2317" s="22"/>
      <c r="DT2317" s="22"/>
    </row>
    <row r="2318" spans="1:124" s="21" customFormat="1" x14ac:dyDescent="0.25">
      <c r="A2318" s="20"/>
      <c r="B2318" s="20"/>
      <c r="DS2318" s="22"/>
      <c r="DT2318" s="22"/>
    </row>
    <row r="2319" spans="1:124" s="21" customFormat="1" x14ac:dyDescent="0.25">
      <c r="A2319" s="20"/>
      <c r="B2319" s="20"/>
      <c r="DS2319" s="22"/>
      <c r="DT2319" s="22"/>
    </row>
    <row r="2320" spans="1:124" s="21" customFormat="1" x14ac:dyDescent="0.25">
      <c r="A2320" s="20"/>
      <c r="B2320" s="20"/>
      <c r="DS2320" s="22"/>
      <c r="DT2320" s="22"/>
    </row>
    <row r="2321" spans="1:124" s="21" customFormat="1" x14ac:dyDescent="0.25">
      <c r="A2321" s="20"/>
      <c r="B2321" s="20"/>
      <c r="DS2321" s="22"/>
      <c r="DT2321" s="22"/>
    </row>
    <row r="2322" spans="1:124" s="21" customFormat="1" x14ac:dyDescent="0.25">
      <c r="A2322" s="20"/>
      <c r="B2322" s="20"/>
      <c r="DS2322" s="22"/>
      <c r="DT2322" s="22"/>
    </row>
    <row r="2323" spans="1:124" s="21" customFormat="1" x14ac:dyDescent="0.25">
      <c r="A2323" s="20"/>
      <c r="B2323" s="20"/>
      <c r="DS2323" s="22"/>
      <c r="DT2323" s="22"/>
    </row>
    <row r="2324" spans="1:124" s="21" customFormat="1" x14ac:dyDescent="0.25">
      <c r="A2324" s="20"/>
      <c r="B2324" s="20"/>
      <c r="DS2324" s="22"/>
      <c r="DT2324" s="22"/>
    </row>
    <row r="2325" spans="1:124" s="21" customFormat="1" x14ac:dyDescent="0.25">
      <c r="A2325" s="20"/>
      <c r="B2325" s="20"/>
      <c r="DS2325" s="22"/>
      <c r="DT2325" s="22"/>
    </row>
    <row r="2326" spans="1:124" s="21" customFormat="1" x14ac:dyDescent="0.25">
      <c r="A2326" s="20"/>
      <c r="B2326" s="20"/>
      <c r="DS2326" s="22"/>
      <c r="DT2326" s="22"/>
    </row>
    <row r="2327" spans="1:124" s="21" customFormat="1" x14ac:dyDescent="0.25">
      <c r="A2327" s="20"/>
      <c r="B2327" s="20"/>
      <c r="DS2327" s="22"/>
      <c r="DT2327" s="22"/>
    </row>
    <row r="2328" spans="1:124" s="21" customFormat="1" x14ac:dyDescent="0.25">
      <c r="A2328" s="20"/>
      <c r="B2328" s="20"/>
      <c r="DS2328" s="22"/>
      <c r="DT2328" s="22"/>
    </row>
    <row r="2329" spans="1:124" s="21" customFormat="1" x14ac:dyDescent="0.25">
      <c r="A2329" s="20"/>
      <c r="B2329" s="20"/>
      <c r="DS2329" s="22"/>
      <c r="DT2329" s="22"/>
    </row>
    <row r="2330" spans="1:124" s="21" customFormat="1" x14ac:dyDescent="0.25">
      <c r="A2330" s="20"/>
      <c r="B2330" s="20"/>
      <c r="DS2330" s="22"/>
      <c r="DT2330" s="22"/>
    </row>
    <row r="2331" spans="1:124" s="21" customFormat="1" x14ac:dyDescent="0.25">
      <c r="A2331" s="20"/>
      <c r="B2331" s="20"/>
      <c r="DS2331" s="22"/>
      <c r="DT2331" s="22"/>
    </row>
    <row r="2332" spans="1:124" s="21" customFormat="1" x14ac:dyDescent="0.25">
      <c r="A2332" s="20"/>
      <c r="B2332" s="20"/>
      <c r="DS2332" s="22"/>
      <c r="DT2332" s="22"/>
    </row>
    <row r="2333" spans="1:124" s="21" customFormat="1" x14ac:dyDescent="0.25">
      <c r="A2333" s="20"/>
      <c r="B2333" s="20"/>
      <c r="DS2333" s="22"/>
      <c r="DT2333" s="22"/>
    </row>
    <row r="2334" spans="1:124" s="21" customFormat="1" x14ac:dyDescent="0.25">
      <c r="A2334" s="20"/>
      <c r="B2334" s="20"/>
      <c r="DS2334" s="22"/>
      <c r="DT2334" s="22"/>
    </row>
    <row r="2335" spans="1:124" s="21" customFormat="1" x14ac:dyDescent="0.25">
      <c r="A2335" s="20"/>
      <c r="B2335" s="20"/>
      <c r="DS2335" s="22"/>
      <c r="DT2335" s="22"/>
    </row>
    <row r="2336" spans="1:124" s="21" customFormat="1" x14ac:dyDescent="0.25">
      <c r="A2336" s="20"/>
      <c r="B2336" s="20"/>
      <c r="DS2336" s="22"/>
      <c r="DT2336" s="22"/>
    </row>
    <row r="2337" spans="1:124" s="21" customFormat="1" x14ac:dyDescent="0.25">
      <c r="A2337" s="20"/>
      <c r="B2337" s="20"/>
      <c r="DS2337" s="22"/>
      <c r="DT2337" s="22"/>
    </row>
    <row r="2338" spans="1:124" s="21" customFormat="1" x14ac:dyDescent="0.25">
      <c r="A2338" s="20"/>
      <c r="B2338" s="20"/>
      <c r="DS2338" s="22"/>
      <c r="DT2338" s="22"/>
    </row>
    <row r="2339" spans="1:124" s="21" customFormat="1" x14ac:dyDescent="0.25">
      <c r="A2339" s="20"/>
      <c r="B2339" s="20"/>
      <c r="DS2339" s="22"/>
      <c r="DT2339" s="22"/>
    </row>
    <row r="2340" spans="1:124" s="21" customFormat="1" x14ac:dyDescent="0.25">
      <c r="A2340" s="20"/>
      <c r="B2340" s="20"/>
      <c r="DS2340" s="22"/>
      <c r="DT2340" s="22"/>
    </row>
    <row r="2341" spans="1:124" s="21" customFormat="1" x14ac:dyDescent="0.25">
      <c r="A2341" s="20"/>
      <c r="B2341" s="20"/>
      <c r="DS2341" s="22"/>
      <c r="DT2341" s="22"/>
    </row>
    <row r="2342" spans="1:124" s="21" customFormat="1" x14ac:dyDescent="0.25">
      <c r="A2342" s="20"/>
      <c r="B2342" s="20"/>
      <c r="DS2342" s="22"/>
      <c r="DT2342" s="22"/>
    </row>
    <row r="2343" spans="1:124" s="21" customFormat="1" x14ac:dyDescent="0.25">
      <c r="A2343" s="20"/>
      <c r="B2343" s="20"/>
      <c r="DS2343" s="22"/>
      <c r="DT2343" s="22"/>
    </row>
    <row r="2344" spans="1:124" s="21" customFormat="1" x14ac:dyDescent="0.25">
      <c r="A2344" s="20"/>
      <c r="B2344" s="20"/>
      <c r="DS2344" s="22"/>
      <c r="DT2344" s="22"/>
    </row>
    <row r="2345" spans="1:124" s="21" customFormat="1" x14ac:dyDescent="0.25">
      <c r="A2345" s="20"/>
      <c r="B2345" s="20"/>
      <c r="DS2345" s="22"/>
      <c r="DT2345" s="22"/>
    </row>
    <row r="2346" spans="1:124" s="21" customFormat="1" x14ac:dyDescent="0.25">
      <c r="A2346" s="20"/>
      <c r="B2346" s="20"/>
      <c r="DS2346" s="22"/>
      <c r="DT2346" s="22"/>
    </row>
    <row r="2347" spans="1:124" s="21" customFormat="1" x14ac:dyDescent="0.25">
      <c r="A2347" s="20"/>
      <c r="B2347" s="20"/>
      <c r="DS2347" s="22"/>
      <c r="DT2347" s="22"/>
    </row>
    <row r="2348" spans="1:124" s="21" customFormat="1" x14ac:dyDescent="0.25">
      <c r="A2348" s="20"/>
      <c r="B2348" s="20"/>
      <c r="DS2348" s="22"/>
      <c r="DT2348" s="22"/>
    </row>
    <row r="2349" spans="1:124" s="21" customFormat="1" x14ac:dyDescent="0.25">
      <c r="A2349" s="20"/>
      <c r="B2349" s="20"/>
      <c r="DS2349" s="22"/>
      <c r="DT2349" s="22"/>
    </row>
    <row r="2350" spans="1:124" s="21" customFormat="1" x14ac:dyDescent="0.25">
      <c r="A2350" s="20"/>
      <c r="B2350" s="20"/>
      <c r="DS2350" s="22"/>
      <c r="DT2350" s="22"/>
    </row>
    <row r="2351" spans="1:124" s="21" customFormat="1" x14ac:dyDescent="0.25">
      <c r="A2351" s="20"/>
      <c r="B2351" s="20"/>
      <c r="DS2351" s="22"/>
      <c r="DT2351" s="22"/>
    </row>
    <row r="2352" spans="1:124" s="21" customFormat="1" x14ac:dyDescent="0.25">
      <c r="A2352" s="20"/>
      <c r="B2352" s="20"/>
      <c r="DS2352" s="22"/>
      <c r="DT2352" s="22"/>
    </row>
    <row r="2353" spans="1:124" s="21" customFormat="1" x14ac:dyDescent="0.25">
      <c r="A2353" s="20"/>
      <c r="B2353" s="20"/>
      <c r="DS2353" s="22"/>
      <c r="DT2353" s="22"/>
    </row>
    <row r="2354" spans="1:124" s="21" customFormat="1" x14ac:dyDescent="0.25">
      <c r="A2354" s="20"/>
      <c r="B2354" s="20"/>
      <c r="DS2354" s="22"/>
      <c r="DT2354" s="22"/>
    </row>
    <row r="2355" spans="1:124" s="21" customFormat="1" x14ac:dyDescent="0.25">
      <c r="A2355" s="20"/>
      <c r="B2355" s="20"/>
      <c r="DS2355" s="22"/>
      <c r="DT2355" s="22"/>
    </row>
    <row r="2356" spans="1:124" s="21" customFormat="1" x14ac:dyDescent="0.25">
      <c r="A2356" s="20"/>
      <c r="B2356" s="20"/>
      <c r="DS2356" s="22"/>
      <c r="DT2356" s="22"/>
    </row>
    <row r="2357" spans="1:124" s="21" customFormat="1" x14ac:dyDescent="0.25">
      <c r="A2357" s="20"/>
      <c r="B2357" s="20"/>
      <c r="DS2357" s="22"/>
      <c r="DT2357" s="22"/>
    </row>
    <row r="2358" spans="1:124" s="21" customFormat="1" x14ac:dyDescent="0.25">
      <c r="A2358" s="20"/>
      <c r="B2358" s="20"/>
      <c r="DS2358" s="22"/>
      <c r="DT2358" s="22"/>
    </row>
    <row r="2359" spans="1:124" s="21" customFormat="1" x14ac:dyDescent="0.25">
      <c r="A2359" s="20"/>
      <c r="B2359" s="20"/>
      <c r="DS2359" s="22"/>
      <c r="DT2359" s="22"/>
    </row>
    <row r="2360" spans="1:124" s="21" customFormat="1" x14ac:dyDescent="0.25">
      <c r="A2360" s="20"/>
      <c r="B2360" s="20"/>
      <c r="DS2360" s="22"/>
      <c r="DT2360" s="22"/>
    </row>
    <row r="2361" spans="1:124" s="21" customFormat="1" x14ac:dyDescent="0.25">
      <c r="A2361" s="20"/>
      <c r="B2361" s="20"/>
      <c r="DS2361" s="22"/>
      <c r="DT2361" s="22"/>
    </row>
    <row r="2362" spans="1:124" s="21" customFormat="1" x14ac:dyDescent="0.25">
      <c r="A2362" s="20"/>
      <c r="B2362" s="20"/>
      <c r="DS2362" s="22"/>
      <c r="DT2362" s="22"/>
    </row>
    <row r="2363" spans="1:124" s="21" customFormat="1" x14ac:dyDescent="0.25">
      <c r="A2363" s="20"/>
      <c r="B2363" s="20"/>
      <c r="DS2363" s="22"/>
      <c r="DT2363" s="22"/>
    </row>
    <row r="2364" spans="1:124" s="21" customFormat="1" x14ac:dyDescent="0.25">
      <c r="A2364" s="20"/>
      <c r="B2364" s="20"/>
      <c r="DS2364" s="22"/>
      <c r="DT2364" s="22"/>
    </row>
    <row r="2365" spans="1:124" s="21" customFormat="1" x14ac:dyDescent="0.25">
      <c r="A2365" s="20"/>
      <c r="B2365" s="20"/>
      <c r="DS2365" s="22"/>
      <c r="DT2365" s="22"/>
    </row>
    <row r="2366" spans="1:124" s="21" customFormat="1" x14ac:dyDescent="0.25">
      <c r="A2366" s="20"/>
      <c r="B2366" s="20"/>
      <c r="DS2366" s="22"/>
      <c r="DT2366" s="22"/>
    </row>
    <row r="2367" spans="1:124" s="21" customFormat="1" x14ac:dyDescent="0.25">
      <c r="A2367" s="20"/>
      <c r="B2367" s="20"/>
      <c r="DS2367" s="22"/>
      <c r="DT2367" s="22"/>
    </row>
    <row r="2368" spans="1:124" s="21" customFormat="1" x14ac:dyDescent="0.25">
      <c r="A2368" s="20"/>
      <c r="B2368" s="20"/>
      <c r="DS2368" s="22"/>
      <c r="DT2368" s="22"/>
    </row>
    <row r="2369" spans="1:124" s="21" customFormat="1" x14ac:dyDescent="0.25">
      <c r="A2369" s="20"/>
      <c r="B2369" s="20"/>
      <c r="DS2369" s="22"/>
      <c r="DT2369" s="22"/>
    </row>
    <row r="2370" spans="1:124" s="21" customFormat="1" x14ac:dyDescent="0.25">
      <c r="A2370" s="20"/>
      <c r="B2370" s="20"/>
      <c r="DS2370" s="22"/>
      <c r="DT2370" s="22"/>
    </row>
    <row r="2371" spans="1:124" s="21" customFormat="1" x14ac:dyDescent="0.25">
      <c r="A2371" s="20"/>
      <c r="B2371" s="20"/>
      <c r="DS2371" s="22"/>
      <c r="DT2371" s="22"/>
    </row>
    <row r="2372" spans="1:124" s="21" customFormat="1" x14ac:dyDescent="0.25">
      <c r="A2372" s="20"/>
      <c r="B2372" s="20"/>
      <c r="DS2372" s="22"/>
      <c r="DT2372" s="22"/>
    </row>
    <row r="2373" spans="1:124" s="21" customFormat="1" x14ac:dyDescent="0.25">
      <c r="A2373" s="20"/>
      <c r="B2373" s="20"/>
      <c r="DS2373" s="22"/>
      <c r="DT2373" s="22"/>
    </row>
    <row r="2374" spans="1:124" s="21" customFormat="1" x14ac:dyDescent="0.25">
      <c r="A2374" s="20"/>
      <c r="B2374" s="20"/>
      <c r="DS2374" s="22"/>
      <c r="DT2374" s="22"/>
    </row>
    <row r="2375" spans="1:124" s="21" customFormat="1" x14ac:dyDescent="0.25">
      <c r="A2375" s="20"/>
      <c r="B2375" s="20"/>
      <c r="DS2375" s="22"/>
      <c r="DT2375" s="22"/>
    </row>
    <row r="2376" spans="1:124" s="21" customFormat="1" x14ac:dyDescent="0.25">
      <c r="A2376" s="20"/>
      <c r="B2376" s="20"/>
      <c r="DS2376" s="22"/>
      <c r="DT2376" s="22"/>
    </row>
    <row r="2377" spans="1:124" s="21" customFormat="1" x14ac:dyDescent="0.25">
      <c r="A2377" s="20"/>
      <c r="B2377" s="20"/>
      <c r="DS2377" s="22"/>
      <c r="DT2377" s="22"/>
    </row>
    <row r="2378" spans="1:124" s="21" customFormat="1" x14ac:dyDescent="0.25">
      <c r="A2378" s="20"/>
      <c r="B2378" s="20"/>
      <c r="DS2378" s="22"/>
      <c r="DT2378" s="22"/>
    </row>
    <row r="2379" spans="1:124" s="21" customFormat="1" x14ac:dyDescent="0.25">
      <c r="A2379" s="20"/>
      <c r="B2379" s="20"/>
      <c r="DS2379" s="22"/>
      <c r="DT2379" s="22"/>
    </row>
    <row r="2380" spans="1:124" s="21" customFormat="1" x14ac:dyDescent="0.25">
      <c r="A2380" s="20"/>
      <c r="B2380" s="20"/>
      <c r="DS2380" s="22"/>
      <c r="DT2380" s="22"/>
    </row>
    <row r="2381" spans="1:124" s="21" customFormat="1" x14ac:dyDescent="0.25">
      <c r="A2381" s="20"/>
      <c r="B2381" s="20"/>
      <c r="DS2381" s="22"/>
      <c r="DT2381" s="22"/>
    </row>
    <row r="2382" spans="1:124" s="21" customFormat="1" x14ac:dyDescent="0.25">
      <c r="A2382" s="20"/>
      <c r="B2382" s="20"/>
      <c r="DS2382" s="22"/>
      <c r="DT2382" s="22"/>
    </row>
    <row r="2383" spans="1:124" s="21" customFormat="1" x14ac:dyDescent="0.25">
      <c r="A2383" s="20"/>
      <c r="B2383" s="20"/>
      <c r="DS2383" s="22"/>
      <c r="DT2383" s="22"/>
    </row>
    <row r="2384" spans="1:124" s="21" customFormat="1" x14ac:dyDescent="0.25">
      <c r="A2384" s="20"/>
      <c r="B2384" s="20"/>
      <c r="DS2384" s="22"/>
      <c r="DT2384" s="22"/>
    </row>
    <row r="2385" spans="1:124" s="21" customFormat="1" x14ac:dyDescent="0.25">
      <c r="A2385" s="20"/>
      <c r="B2385" s="20"/>
      <c r="DS2385" s="22"/>
      <c r="DT2385" s="22"/>
    </row>
    <row r="2386" spans="1:124" s="21" customFormat="1" x14ac:dyDescent="0.25">
      <c r="A2386" s="20"/>
      <c r="B2386" s="20"/>
      <c r="DS2386" s="22"/>
      <c r="DT2386" s="22"/>
    </row>
    <row r="2387" spans="1:124" s="21" customFormat="1" x14ac:dyDescent="0.25">
      <c r="A2387" s="20"/>
      <c r="B2387" s="20"/>
      <c r="DS2387" s="22"/>
      <c r="DT2387" s="22"/>
    </row>
    <row r="2388" spans="1:124" s="21" customFormat="1" x14ac:dyDescent="0.25">
      <c r="A2388" s="20"/>
      <c r="B2388" s="20"/>
      <c r="DS2388" s="22"/>
      <c r="DT2388" s="22"/>
    </row>
    <row r="2389" spans="1:124" s="21" customFormat="1" x14ac:dyDescent="0.25">
      <c r="A2389" s="20"/>
      <c r="B2389" s="20"/>
      <c r="DS2389" s="22"/>
      <c r="DT2389" s="22"/>
    </row>
    <row r="2390" spans="1:124" s="21" customFormat="1" x14ac:dyDescent="0.25">
      <c r="A2390" s="20"/>
      <c r="B2390" s="20"/>
      <c r="DS2390" s="22"/>
      <c r="DT2390" s="22"/>
    </row>
    <row r="2391" spans="1:124" s="21" customFormat="1" x14ac:dyDescent="0.25">
      <c r="A2391" s="20"/>
      <c r="B2391" s="20"/>
      <c r="DS2391" s="22"/>
      <c r="DT2391" s="22"/>
    </row>
    <row r="2392" spans="1:124" s="21" customFormat="1" x14ac:dyDescent="0.25">
      <c r="A2392" s="20"/>
      <c r="B2392" s="20"/>
      <c r="DS2392" s="22"/>
      <c r="DT2392" s="22"/>
    </row>
    <row r="2393" spans="1:124" s="21" customFormat="1" x14ac:dyDescent="0.25">
      <c r="A2393" s="20"/>
      <c r="B2393" s="20"/>
      <c r="DS2393" s="22"/>
      <c r="DT2393" s="22"/>
    </row>
    <row r="2394" spans="1:124" s="21" customFormat="1" x14ac:dyDescent="0.25">
      <c r="A2394" s="20"/>
      <c r="B2394" s="20"/>
      <c r="DS2394" s="22"/>
      <c r="DT2394" s="22"/>
    </row>
    <row r="2395" spans="1:124" s="21" customFormat="1" x14ac:dyDescent="0.25">
      <c r="A2395" s="20"/>
      <c r="B2395" s="20"/>
      <c r="DS2395" s="22"/>
      <c r="DT2395" s="22"/>
    </row>
    <row r="2396" spans="1:124" s="21" customFormat="1" x14ac:dyDescent="0.25">
      <c r="A2396" s="20"/>
      <c r="B2396" s="20"/>
      <c r="DS2396" s="22"/>
      <c r="DT2396" s="22"/>
    </row>
    <row r="2397" spans="1:124" s="21" customFormat="1" x14ac:dyDescent="0.25">
      <c r="A2397" s="20"/>
      <c r="B2397" s="20"/>
      <c r="DS2397" s="22"/>
      <c r="DT2397" s="22"/>
    </row>
    <row r="2398" spans="1:124" s="21" customFormat="1" x14ac:dyDescent="0.25">
      <c r="A2398" s="20"/>
      <c r="B2398" s="20"/>
      <c r="DS2398" s="22"/>
      <c r="DT2398" s="22"/>
    </row>
    <row r="2399" spans="1:124" s="21" customFormat="1" x14ac:dyDescent="0.25">
      <c r="A2399" s="20"/>
      <c r="B2399" s="20"/>
      <c r="DS2399" s="22"/>
      <c r="DT2399" s="22"/>
    </row>
    <row r="2400" spans="1:124" s="21" customFormat="1" x14ac:dyDescent="0.25">
      <c r="A2400" s="20"/>
      <c r="B2400" s="20"/>
      <c r="DS2400" s="22"/>
      <c r="DT2400" s="22"/>
    </row>
    <row r="2401" spans="1:124" s="21" customFormat="1" x14ac:dyDescent="0.25">
      <c r="A2401" s="20"/>
      <c r="B2401" s="20"/>
      <c r="DS2401" s="22"/>
      <c r="DT2401" s="22"/>
    </row>
    <row r="2402" spans="1:124" s="21" customFormat="1" x14ac:dyDescent="0.25">
      <c r="A2402" s="20"/>
      <c r="B2402" s="20"/>
      <c r="DS2402" s="22"/>
      <c r="DT2402" s="22"/>
    </row>
    <row r="2403" spans="1:124" s="21" customFormat="1" x14ac:dyDescent="0.25">
      <c r="A2403" s="20"/>
      <c r="B2403" s="20"/>
      <c r="DS2403" s="22"/>
      <c r="DT2403" s="22"/>
    </row>
    <row r="2404" spans="1:124" s="21" customFormat="1" x14ac:dyDescent="0.25">
      <c r="A2404" s="20"/>
      <c r="B2404" s="20"/>
      <c r="DS2404" s="22"/>
      <c r="DT2404" s="22"/>
    </row>
    <row r="2405" spans="1:124" s="21" customFormat="1" x14ac:dyDescent="0.25">
      <c r="A2405" s="20"/>
      <c r="B2405" s="20"/>
      <c r="DS2405" s="22"/>
      <c r="DT2405" s="22"/>
    </row>
    <row r="2406" spans="1:124" s="21" customFormat="1" x14ac:dyDescent="0.25">
      <c r="A2406" s="20"/>
      <c r="B2406" s="20"/>
      <c r="DS2406" s="22"/>
      <c r="DT2406" s="22"/>
    </row>
    <row r="2407" spans="1:124" s="21" customFormat="1" x14ac:dyDescent="0.25">
      <c r="A2407" s="20"/>
      <c r="B2407" s="20"/>
      <c r="DS2407" s="22"/>
      <c r="DT2407" s="22"/>
    </row>
    <row r="2408" spans="1:124" s="21" customFormat="1" x14ac:dyDescent="0.25">
      <c r="A2408" s="20"/>
      <c r="B2408" s="20"/>
      <c r="DS2408" s="22"/>
      <c r="DT2408" s="22"/>
    </row>
    <row r="2409" spans="1:124" s="21" customFormat="1" x14ac:dyDescent="0.25">
      <c r="A2409" s="20"/>
      <c r="B2409" s="20"/>
      <c r="DS2409" s="22"/>
      <c r="DT2409" s="22"/>
    </row>
    <row r="2410" spans="1:124" s="21" customFormat="1" x14ac:dyDescent="0.25">
      <c r="A2410" s="20"/>
      <c r="B2410" s="20"/>
      <c r="DS2410" s="22"/>
      <c r="DT2410" s="22"/>
    </row>
    <row r="2411" spans="1:124" s="21" customFormat="1" x14ac:dyDescent="0.25">
      <c r="A2411" s="20"/>
      <c r="B2411" s="20"/>
      <c r="DS2411" s="22"/>
      <c r="DT2411" s="22"/>
    </row>
    <row r="2412" spans="1:124" s="21" customFormat="1" x14ac:dyDescent="0.25">
      <c r="A2412" s="20"/>
      <c r="B2412" s="20"/>
      <c r="DS2412" s="22"/>
      <c r="DT2412" s="22"/>
    </row>
    <row r="2413" spans="1:124" s="21" customFormat="1" x14ac:dyDescent="0.25">
      <c r="A2413" s="20"/>
      <c r="B2413" s="20"/>
      <c r="DS2413" s="22"/>
      <c r="DT2413" s="22"/>
    </row>
    <row r="2414" spans="1:124" s="21" customFormat="1" x14ac:dyDescent="0.25">
      <c r="A2414" s="20"/>
      <c r="B2414" s="20"/>
      <c r="DS2414" s="22"/>
      <c r="DT2414" s="22"/>
    </row>
    <row r="2415" spans="1:124" s="21" customFormat="1" x14ac:dyDescent="0.25">
      <c r="A2415" s="20"/>
      <c r="B2415" s="20"/>
      <c r="DS2415" s="22"/>
      <c r="DT2415" s="22"/>
    </row>
    <row r="2416" spans="1:124" s="21" customFormat="1" x14ac:dyDescent="0.25">
      <c r="A2416" s="20"/>
      <c r="B2416" s="20"/>
      <c r="DS2416" s="22"/>
      <c r="DT2416" s="22"/>
    </row>
    <row r="2417" spans="1:124" s="21" customFormat="1" x14ac:dyDescent="0.25">
      <c r="A2417" s="20"/>
      <c r="B2417" s="20"/>
      <c r="DS2417" s="22"/>
      <c r="DT2417" s="22"/>
    </row>
    <row r="2418" spans="1:124" s="21" customFormat="1" x14ac:dyDescent="0.25">
      <c r="A2418" s="20"/>
      <c r="B2418" s="20"/>
      <c r="DS2418" s="22"/>
      <c r="DT2418" s="22"/>
    </row>
    <row r="2419" spans="1:124" s="21" customFormat="1" x14ac:dyDescent="0.25">
      <c r="A2419" s="20"/>
      <c r="B2419" s="20"/>
      <c r="DS2419" s="22"/>
      <c r="DT2419" s="22"/>
    </row>
    <row r="2420" spans="1:124" s="21" customFormat="1" x14ac:dyDescent="0.25">
      <c r="A2420" s="20"/>
      <c r="B2420" s="20"/>
      <c r="DS2420" s="22"/>
      <c r="DT2420" s="22"/>
    </row>
    <row r="2421" spans="1:124" s="21" customFormat="1" x14ac:dyDescent="0.25">
      <c r="A2421" s="20"/>
      <c r="B2421" s="20"/>
      <c r="DS2421" s="22"/>
      <c r="DT2421" s="22"/>
    </row>
    <row r="2422" spans="1:124" s="21" customFormat="1" x14ac:dyDescent="0.25">
      <c r="A2422" s="20"/>
      <c r="B2422" s="20"/>
      <c r="DS2422" s="22"/>
      <c r="DT2422" s="22"/>
    </row>
    <row r="2423" spans="1:124" s="21" customFormat="1" x14ac:dyDescent="0.25">
      <c r="A2423" s="20"/>
      <c r="B2423" s="20"/>
      <c r="DS2423" s="22"/>
      <c r="DT2423" s="22"/>
    </row>
  </sheetData>
  <mergeCells count="139">
    <mergeCell ref="FK1:FM1"/>
    <mergeCell ref="FK2:FM2"/>
    <mergeCell ref="CW1:CY1"/>
    <mergeCell ref="CZ1:DB1"/>
    <mergeCell ref="DC1:DE1"/>
    <mergeCell ref="DF1:DH1"/>
    <mergeCell ref="CE1:CG1"/>
    <mergeCell ref="CH1:CJ1"/>
    <mergeCell ref="CK1:CM1"/>
    <mergeCell ref="CN1:CP1"/>
    <mergeCell ref="CQ1:CS1"/>
    <mergeCell ref="EM2:EO2"/>
    <mergeCell ref="EP2:ER2"/>
    <mergeCell ref="ED1:EF1"/>
    <mergeCell ref="DI1:DK1"/>
    <mergeCell ref="DL1:DN1"/>
    <mergeCell ref="DO1:DQ1"/>
    <mergeCell ref="DU2:DW2"/>
    <mergeCell ref="DX2:DZ2"/>
    <mergeCell ref="EA2:EC2"/>
    <mergeCell ref="ED2:EF2"/>
    <mergeCell ref="EM1:EO1"/>
    <mergeCell ref="EP1:ER1"/>
    <mergeCell ref="AL1:AN1"/>
    <mergeCell ref="AO1:AQ1"/>
    <mergeCell ref="AU1:AW1"/>
    <mergeCell ref="AX1:AZ1"/>
    <mergeCell ref="BS2:BU2"/>
    <mergeCell ref="BV2:BX2"/>
    <mergeCell ref="BY2:CA2"/>
    <mergeCell ref="CB2:CD2"/>
    <mergeCell ref="CT1:CV1"/>
    <mergeCell ref="BP1:BR1"/>
    <mergeCell ref="BS1:BU1"/>
    <mergeCell ref="BV1:BX1"/>
    <mergeCell ref="BY1:CA1"/>
    <mergeCell ref="CB1:CD1"/>
    <mergeCell ref="BA1:BC1"/>
    <mergeCell ref="BD1:BF1"/>
    <mergeCell ref="BG1:BI1"/>
    <mergeCell ref="BJ1:BL1"/>
    <mergeCell ref="BM1:BO1"/>
    <mergeCell ref="CQ2:CS2"/>
    <mergeCell ref="CT2:CV2"/>
    <mergeCell ref="AL2:AN2"/>
    <mergeCell ref="AO2:AQ2"/>
    <mergeCell ref="AU2:AW2"/>
    <mergeCell ref="AI1:AK1"/>
    <mergeCell ref="B2:D2"/>
    <mergeCell ref="E2:G2"/>
    <mergeCell ref="H2:J2"/>
    <mergeCell ref="K2:M2"/>
    <mergeCell ref="N2:P2"/>
    <mergeCell ref="Q2:S2"/>
    <mergeCell ref="T2:V2"/>
    <mergeCell ref="W2:Y2"/>
    <mergeCell ref="Z2:AB2"/>
    <mergeCell ref="AC1:AE1"/>
    <mergeCell ref="AF1:AH1"/>
    <mergeCell ref="B1:D1"/>
    <mergeCell ref="E1:G1"/>
    <mergeCell ref="H1:J1"/>
    <mergeCell ref="K1:M1"/>
    <mergeCell ref="N1:P1"/>
    <mergeCell ref="Q1:S1"/>
    <mergeCell ref="T1:V1"/>
    <mergeCell ref="W1:Y1"/>
    <mergeCell ref="Z1:AB1"/>
    <mergeCell ref="AC2:AE2"/>
    <mergeCell ref="AF2:AH2"/>
    <mergeCell ref="AI2:AK2"/>
    <mergeCell ref="AX2:AZ2"/>
    <mergeCell ref="BA2:BC2"/>
    <mergeCell ref="EG2:EI2"/>
    <mergeCell ref="EJ2:EL2"/>
    <mergeCell ref="CE2:CG2"/>
    <mergeCell ref="BD2:BF2"/>
    <mergeCell ref="BG2:BI2"/>
    <mergeCell ref="BJ2:BL2"/>
    <mergeCell ref="BM2:BO2"/>
    <mergeCell ref="BP2:BR2"/>
    <mergeCell ref="CH2:CJ2"/>
    <mergeCell ref="CK2:CM2"/>
    <mergeCell ref="CN2:CP2"/>
    <mergeCell ref="CW2:CY2"/>
    <mergeCell ref="CZ2:DB2"/>
    <mergeCell ref="DC2:DE2"/>
    <mergeCell ref="DF2:DH2"/>
    <mergeCell ref="DI2:DK2"/>
    <mergeCell ref="DR1:DT2"/>
    <mergeCell ref="DL2:DN2"/>
    <mergeCell ref="DO2:DQ2"/>
    <mergeCell ref="DU1:DW1"/>
    <mergeCell ref="DX1:DZ1"/>
    <mergeCell ref="EA1:EC1"/>
    <mergeCell ref="HD1:HF2"/>
    <mergeCell ref="GR2:GT2"/>
    <mergeCell ref="GU2:GW2"/>
    <mergeCell ref="GX2:GZ2"/>
    <mergeCell ref="FZ1:GB1"/>
    <mergeCell ref="GC1:GE1"/>
    <mergeCell ref="GF1:GH1"/>
    <mergeCell ref="GI1:GK1"/>
    <mergeCell ref="GO1:GQ1"/>
    <mergeCell ref="GR1:GT1"/>
    <mergeCell ref="GU1:GW1"/>
    <mergeCell ref="GX1:GZ1"/>
    <mergeCell ref="HA1:HC2"/>
    <mergeCell ref="FZ2:GB2"/>
    <mergeCell ref="GC2:GE2"/>
    <mergeCell ref="GF2:GH2"/>
    <mergeCell ref="GI2:GK2"/>
    <mergeCell ref="GO2:GQ2"/>
    <mergeCell ref="GL1:GN1"/>
    <mergeCell ref="GL2:GN2"/>
    <mergeCell ref="A3:A4"/>
    <mergeCell ref="AR1:AT1"/>
    <mergeCell ref="AR2:AT2"/>
    <mergeCell ref="FH1:FJ1"/>
    <mergeCell ref="FN1:FP1"/>
    <mergeCell ref="FQ1:FS1"/>
    <mergeCell ref="FT1:FV1"/>
    <mergeCell ref="FW1:FY1"/>
    <mergeCell ref="ES1:EU1"/>
    <mergeCell ref="EV1:EX2"/>
    <mergeCell ref="EY1:FA1"/>
    <mergeCell ref="FB1:FD1"/>
    <mergeCell ref="FE1:FG1"/>
    <mergeCell ref="ES2:EU2"/>
    <mergeCell ref="EY2:FA2"/>
    <mergeCell ref="FB2:FD2"/>
    <mergeCell ref="FE2:FG2"/>
    <mergeCell ref="FH2:FJ2"/>
    <mergeCell ref="FN2:FP2"/>
    <mergeCell ref="FQ2:FS2"/>
    <mergeCell ref="FT2:FV2"/>
    <mergeCell ref="FW2:FY2"/>
    <mergeCell ref="EG1:EI1"/>
    <mergeCell ref="EJ1:EL1"/>
  </mergeCells>
  <pageMargins left="0.59055118110236227" right="0.39370078740157483" top="1.299212598425197" bottom="0.59055118110236227" header="0.39370078740157483" footer="0.51181102362204722"/>
  <pageSetup paperSize="9" scale="60" orientation="portrait" r:id="rId1"/>
  <headerFooter alignWithMargins="0">
    <oddHeader xml:space="preserve">&amp;C&amp;"Times New Roman,Félkövér"&amp;11Budapest VIII. kerületi &amp;12Önkormányzat 2020. évi költségvetés
 bevételi és kiadási előirányzata címrendenként&amp;R&amp;"Cambria,Dőlt"2. melléklet a /2020. ()
önkormányzati rendelethez
ezer forintban
</oddHeader>
    <oddFooter>&amp;R
&amp;P</oddFooter>
  </headerFooter>
  <colBreaks count="23" manualBreakCount="23">
    <brk id="10" max="68" man="1"/>
    <brk id="19" max="68" man="1"/>
    <brk id="28" max="68" man="1"/>
    <brk id="37" max="68" man="1"/>
    <brk id="46" max="68" man="1"/>
    <brk id="55" max="68" man="1"/>
    <brk id="64" max="68" man="1"/>
    <brk id="73" max="68" man="1"/>
    <brk id="82" max="68" man="1"/>
    <brk id="91" max="69" man="1"/>
    <brk id="100" max="69" man="1"/>
    <brk id="109" max="69" man="1"/>
    <brk id="118" max="69" man="1"/>
    <brk id="124" max="68" man="1"/>
    <brk id="133" max="68" man="1"/>
    <brk id="142" max="68" man="1"/>
    <brk id="151" max="68" man="1"/>
    <brk id="160" max="68" man="1"/>
    <brk id="169" max="69" man="1"/>
    <brk id="178" max="69" man="1"/>
    <brk id="187" max="69" man="1"/>
    <brk id="196" max="69" man="1"/>
    <brk id="205" max="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95"/>
  <sheetViews>
    <sheetView zoomScaleNormal="100" workbookViewId="0">
      <pane xSplit="2" ySplit="2" topLeftCell="Q56" activePane="bottomRight" state="frozen"/>
      <selection pane="topRight" activeCell="C1" sqref="C1"/>
      <selection pane="bottomLeft" activeCell="A3" sqref="A3"/>
      <selection pane="bottomRight" activeCell="I55" sqref="I54:I55"/>
    </sheetView>
  </sheetViews>
  <sheetFormatPr defaultColWidth="10.6640625" defaultRowHeight="13.2" x14ac:dyDescent="0.25"/>
  <cols>
    <col min="1" max="1" width="5.109375" style="9" customWidth="1"/>
    <col min="2" max="2" width="52.109375" style="20" customWidth="1"/>
    <col min="3" max="18" width="15.6640625" style="9" customWidth="1"/>
    <col min="19" max="16384" width="10.6640625" style="9"/>
  </cols>
  <sheetData>
    <row r="1" spans="1:18" s="1" customFormat="1" ht="19.95" customHeight="1" x14ac:dyDescent="0.25">
      <c r="A1" s="702"/>
      <c r="B1" s="702" t="s">
        <v>0</v>
      </c>
      <c r="C1" s="2613" t="s">
        <v>163</v>
      </c>
      <c r="D1" s="2613"/>
      <c r="E1" s="2613"/>
      <c r="F1" s="2613"/>
      <c r="G1" s="2613" t="s">
        <v>164</v>
      </c>
      <c r="H1" s="2613"/>
      <c r="I1" s="2613"/>
      <c r="J1" s="2613"/>
      <c r="K1" s="2613" t="s">
        <v>165</v>
      </c>
      <c r="L1" s="2613"/>
      <c r="M1" s="2613"/>
      <c r="N1" s="2613"/>
      <c r="O1" s="2613" t="s">
        <v>166</v>
      </c>
      <c r="P1" s="2613"/>
      <c r="Q1" s="2613"/>
      <c r="R1" s="2613"/>
    </row>
    <row r="2" spans="1:18" s="3" customFormat="1" ht="79.95" customHeight="1" thickBot="1" x14ac:dyDescent="0.3">
      <c r="A2" s="703" t="s">
        <v>21</v>
      </c>
      <c r="B2" s="30" t="s">
        <v>22</v>
      </c>
      <c r="C2" s="31" t="s">
        <v>167</v>
      </c>
      <c r="D2" s="31" t="s">
        <v>168</v>
      </c>
      <c r="E2" s="31" t="s">
        <v>169</v>
      </c>
      <c r="F2" s="31" t="s">
        <v>170</v>
      </c>
      <c r="G2" s="31" t="s">
        <v>167</v>
      </c>
      <c r="H2" s="31" t="s">
        <v>168</v>
      </c>
      <c r="I2" s="31" t="s">
        <v>169</v>
      </c>
      <c r="J2" s="31" t="s">
        <v>66</v>
      </c>
      <c r="K2" s="31" t="s">
        <v>167</v>
      </c>
      <c r="L2" s="31" t="s">
        <v>168</v>
      </c>
      <c r="M2" s="31" t="s">
        <v>169</v>
      </c>
      <c r="N2" s="31" t="s">
        <v>171</v>
      </c>
      <c r="O2" s="31" t="s">
        <v>167</v>
      </c>
      <c r="P2" s="31" t="s">
        <v>168</v>
      </c>
      <c r="Q2" s="31" t="s">
        <v>169</v>
      </c>
      <c r="R2" s="31" t="s">
        <v>172</v>
      </c>
    </row>
    <row r="3" spans="1:18" s="3" customFormat="1" ht="19.95" customHeight="1" thickBot="1" x14ac:dyDescent="0.3">
      <c r="A3" s="704" t="s">
        <v>83</v>
      </c>
      <c r="B3" s="207" t="s">
        <v>181</v>
      </c>
      <c r="C3" s="245">
        <f>'címrend kötelező'!BS6</f>
        <v>5744697</v>
      </c>
      <c r="D3" s="245">
        <f>'címrend önként'!BS6</f>
        <v>1022617</v>
      </c>
      <c r="E3" s="245">
        <f>'címrend államig'!BS6</f>
        <v>0</v>
      </c>
      <c r="F3" s="245">
        <f>C3+D3+E3</f>
        <v>6767314</v>
      </c>
      <c r="G3" s="245">
        <f>'címrend kötelező'!AZ6</f>
        <v>2057878</v>
      </c>
      <c r="H3" s="245">
        <f>'címrend önként'!AZ6</f>
        <v>94555</v>
      </c>
      <c r="I3" s="245">
        <f>'címrend államig'!AZ6</f>
        <v>270142</v>
      </c>
      <c r="J3" s="245">
        <f>G3+H3+I3</f>
        <v>2422575</v>
      </c>
      <c r="K3" s="245">
        <f>'címrend kötelező'!AP6</f>
        <v>11868970</v>
      </c>
      <c r="L3" s="245">
        <f>'címrend önként'!AP6</f>
        <v>9557003.5999999996</v>
      </c>
      <c r="M3" s="245">
        <f>'címrend államig'!AP6</f>
        <v>266242</v>
      </c>
      <c r="N3" s="245">
        <f>K3+L3+M3</f>
        <v>21692215.600000001</v>
      </c>
      <c r="O3" s="245">
        <f>C3+G3+K3</f>
        <v>19671545</v>
      </c>
      <c r="P3" s="245">
        <f>D3+H3+L3</f>
        <v>10674175.6</v>
      </c>
      <c r="Q3" s="245">
        <f>E3+I3+M3</f>
        <v>536384</v>
      </c>
      <c r="R3" s="245">
        <f>F3+J3+N3</f>
        <v>30882104.600000001</v>
      </c>
    </row>
    <row r="4" spans="1:18" ht="15" customHeight="1" x14ac:dyDescent="0.25">
      <c r="A4" s="705" t="s">
        <v>84</v>
      </c>
      <c r="B4" s="32" t="s">
        <v>85</v>
      </c>
      <c r="C4" s="39">
        <f>'címrend kötelező'!BS7</f>
        <v>5719971</v>
      </c>
      <c r="D4" s="39">
        <f>'címrend önként'!BS7</f>
        <v>970743</v>
      </c>
      <c r="E4" s="39">
        <f>'címrend államig'!BS7</f>
        <v>0</v>
      </c>
      <c r="F4" s="39">
        <f t="shared" ref="F4:F67" si="0">C4+D4+E4</f>
        <v>6690714</v>
      </c>
      <c r="G4" s="39">
        <f>'címrend kötelező'!AZ7</f>
        <v>2003957</v>
      </c>
      <c r="H4" s="39">
        <f>'címrend önként'!AZ7</f>
        <v>94555</v>
      </c>
      <c r="I4" s="39">
        <f>'címrend államig'!AZ7</f>
        <v>270142</v>
      </c>
      <c r="J4" s="39">
        <f t="shared" ref="J4:J67" si="1">G4+H4+I4</f>
        <v>2368654</v>
      </c>
      <c r="K4" s="39">
        <f>'címrend kötelező'!AP7</f>
        <v>5765460</v>
      </c>
      <c r="L4" s="39">
        <f>'címrend önként'!AP7</f>
        <v>2819897.6</v>
      </c>
      <c r="M4" s="39">
        <f>'címrend államig'!AP7</f>
        <v>0</v>
      </c>
      <c r="N4" s="39">
        <f>K4+L4+M4</f>
        <v>8585357.5999999996</v>
      </c>
      <c r="O4" s="39">
        <f t="shared" ref="O4:O67" si="2">C4+G4+K4</f>
        <v>13489388</v>
      </c>
      <c r="P4" s="39">
        <f t="shared" ref="P4:P67" si="3">D4+H4+L4</f>
        <v>3885195.6</v>
      </c>
      <c r="Q4" s="39">
        <f t="shared" ref="Q4:Q67" si="4">E4+I4+M4</f>
        <v>270142</v>
      </c>
      <c r="R4" s="39">
        <f t="shared" ref="R4:R67" si="5">F4+J4+N4</f>
        <v>17644725.600000001</v>
      </c>
    </row>
    <row r="5" spans="1:18" ht="15" customHeight="1" x14ac:dyDescent="0.25">
      <c r="A5" s="706" t="s">
        <v>86</v>
      </c>
      <c r="B5" s="10" t="s">
        <v>87</v>
      </c>
      <c r="C5" s="800">
        <f>'címrend kötelező'!BS8</f>
        <v>3391364</v>
      </c>
      <c r="D5" s="800">
        <f>'címrend önként'!BS8</f>
        <v>607491</v>
      </c>
      <c r="E5" s="800">
        <f>'címrend államig'!BS8</f>
        <v>0</v>
      </c>
      <c r="F5" s="800">
        <f t="shared" si="0"/>
        <v>3998855</v>
      </c>
      <c r="G5" s="800">
        <f>'címrend kötelező'!AZ8</f>
        <v>1345126</v>
      </c>
      <c r="H5" s="800">
        <f>'címrend önként'!AZ8</f>
        <v>55507</v>
      </c>
      <c r="I5" s="800">
        <f>'címrend államig'!AZ8</f>
        <v>207549</v>
      </c>
      <c r="J5" s="800">
        <f t="shared" si="1"/>
        <v>1608182</v>
      </c>
      <c r="K5" s="800">
        <f>'címrend kötelező'!AP8</f>
        <v>48677</v>
      </c>
      <c r="L5" s="800">
        <f>'címrend önként'!AP8</f>
        <v>168652</v>
      </c>
      <c r="M5" s="800">
        <f>'címrend államig'!AP8</f>
        <v>0</v>
      </c>
      <c r="N5" s="800">
        <f t="shared" ref="N5:N67" si="6">K5+L5+M5</f>
        <v>217329</v>
      </c>
      <c r="O5" s="800">
        <f t="shared" si="2"/>
        <v>4785167</v>
      </c>
      <c r="P5" s="800">
        <f t="shared" si="3"/>
        <v>831650</v>
      </c>
      <c r="Q5" s="800">
        <f t="shared" si="4"/>
        <v>207549</v>
      </c>
      <c r="R5" s="800">
        <f t="shared" si="5"/>
        <v>5824366</v>
      </c>
    </row>
    <row r="6" spans="1:18" ht="15" customHeight="1" x14ac:dyDescent="0.25">
      <c r="A6" s="706" t="s">
        <v>88</v>
      </c>
      <c r="B6" s="10" t="s">
        <v>89</v>
      </c>
      <c r="C6" s="800">
        <f>'címrend kötelező'!BS9</f>
        <v>647606</v>
      </c>
      <c r="D6" s="800">
        <f>'címrend önként'!BS9</f>
        <v>128945</v>
      </c>
      <c r="E6" s="800">
        <f>'címrend államig'!BS9</f>
        <v>0</v>
      </c>
      <c r="F6" s="800">
        <f t="shared" si="0"/>
        <v>776551</v>
      </c>
      <c r="G6" s="800">
        <f>'címrend kötelező'!AZ9</f>
        <v>257924</v>
      </c>
      <c r="H6" s="800">
        <f>'címrend önként'!AZ9</f>
        <v>16755</v>
      </c>
      <c r="I6" s="800">
        <f>'címrend államig'!AZ9</f>
        <v>37259</v>
      </c>
      <c r="J6" s="800">
        <f t="shared" si="1"/>
        <v>311938</v>
      </c>
      <c r="K6" s="800">
        <f>'címrend kötelező'!AP9</f>
        <v>8789</v>
      </c>
      <c r="L6" s="800">
        <f>'címrend önként'!AP9</f>
        <v>47149.599999999999</v>
      </c>
      <c r="M6" s="800">
        <f>'címrend államig'!AP9</f>
        <v>0</v>
      </c>
      <c r="N6" s="800">
        <f t="shared" si="6"/>
        <v>55938.6</v>
      </c>
      <c r="O6" s="800">
        <f t="shared" si="2"/>
        <v>914319</v>
      </c>
      <c r="P6" s="800">
        <f t="shared" si="3"/>
        <v>192849.6</v>
      </c>
      <c r="Q6" s="800">
        <f t="shared" si="4"/>
        <v>37259</v>
      </c>
      <c r="R6" s="800">
        <f t="shared" si="5"/>
        <v>1144427.6000000001</v>
      </c>
    </row>
    <row r="7" spans="1:18" ht="15" customHeight="1" x14ac:dyDescent="0.25">
      <c r="A7" s="706" t="s">
        <v>90</v>
      </c>
      <c r="B7" s="10" t="s">
        <v>91</v>
      </c>
      <c r="C7" s="800">
        <f>'címrend kötelező'!BS10</f>
        <v>1679772</v>
      </c>
      <c r="D7" s="800">
        <f>'címrend önként'!BS10</f>
        <v>234307</v>
      </c>
      <c r="E7" s="800">
        <f>'címrend államig'!BS10</f>
        <v>0</v>
      </c>
      <c r="F7" s="800">
        <f t="shared" si="0"/>
        <v>1914079</v>
      </c>
      <c r="G7" s="800">
        <f>'címrend kötelező'!AZ10</f>
        <v>400907</v>
      </c>
      <c r="H7" s="800">
        <f>'címrend önként'!AZ10</f>
        <v>22293</v>
      </c>
      <c r="I7" s="800">
        <f>'címrend államig'!AZ10</f>
        <v>25334</v>
      </c>
      <c r="J7" s="800">
        <f t="shared" si="1"/>
        <v>448534</v>
      </c>
      <c r="K7" s="800">
        <f>'címrend kötelező'!AP10</f>
        <v>4174183</v>
      </c>
      <c r="L7" s="800">
        <f>'címrend önként'!AP10</f>
        <v>1419988</v>
      </c>
      <c r="M7" s="800">
        <f>'címrend államig'!AP10</f>
        <v>0</v>
      </c>
      <c r="N7" s="800">
        <f t="shared" si="6"/>
        <v>5594171</v>
      </c>
      <c r="O7" s="800">
        <f t="shared" si="2"/>
        <v>6254862</v>
      </c>
      <c r="P7" s="800">
        <f t="shared" si="3"/>
        <v>1676588</v>
      </c>
      <c r="Q7" s="800">
        <f t="shared" si="4"/>
        <v>25334</v>
      </c>
      <c r="R7" s="800">
        <f t="shared" si="5"/>
        <v>7956784</v>
      </c>
    </row>
    <row r="8" spans="1:18" ht="15" customHeight="1" x14ac:dyDescent="0.25">
      <c r="A8" s="706" t="s">
        <v>92</v>
      </c>
      <c r="B8" s="10" t="s">
        <v>93</v>
      </c>
      <c r="C8" s="800">
        <f>'címrend kötelező'!BS11</f>
        <v>1229</v>
      </c>
      <c r="D8" s="800">
        <f>'címrend önként'!BS11</f>
        <v>0</v>
      </c>
      <c r="E8" s="800">
        <f>'címrend államig'!BS11</f>
        <v>0</v>
      </c>
      <c r="F8" s="800">
        <f t="shared" si="0"/>
        <v>1229</v>
      </c>
      <c r="G8" s="800">
        <f>'címrend kötelező'!AZ11</f>
        <v>0</v>
      </c>
      <c r="H8" s="800">
        <f>'címrend önként'!AZ11</f>
        <v>0</v>
      </c>
      <c r="I8" s="800">
        <f>'címrend államig'!AZ11</f>
        <v>0</v>
      </c>
      <c r="J8" s="800">
        <f t="shared" si="1"/>
        <v>0</v>
      </c>
      <c r="K8" s="800">
        <f>'címrend kötelező'!AP11</f>
        <v>62000</v>
      </c>
      <c r="L8" s="800">
        <f>'címrend önként'!AP11</f>
        <v>56200</v>
      </c>
      <c r="M8" s="800">
        <f>'címrend államig'!AP11</f>
        <v>0</v>
      </c>
      <c r="N8" s="800">
        <f t="shared" si="6"/>
        <v>118200</v>
      </c>
      <c r="O8" s="800">
        <f t="shared" si="2"/>
        <v>63229</v>
      </c>
      <c r="P8" s="800">
        <f t="shared" si="3"/>
        <v>56200</v>
      </c>
      <c r="Q8" s="800">
        <f t="shared" si="4"/>
        <v>0</v>
      </c>
      <c r="R8" s="800">
        <f t="shared" si="5"/>
        <v>119429</v>
      </c>
    </row>
    <row r="9" spans="1:18" s="13" customFormat="1" ht="15" customHeight="1" x14ac:dyDescent="0.25">
      <c r="A9" s="707" t="s">
        <v>94</v>
      </c>
      <c r="B9" s="12" t="s">
        <v>95</v>
      </c>
      <c r="C9" s="39">
        <f>'címrend kötelező'!BS12</f>
        <v>0</v>
      </c>
      <c r="D9" s="39">
        <f>'címrend önként'!BS12</f>
        <v>0</v>
      </c>
      <c r="E9" s="39">
        <f>'címrend államig'!BS12</f>
        <v>0</v>
      </c>
      <c r="F9" s="39">
        <f t="shared" si="0"/>
        <v>0</v>
      </c>
      <c r="G9" s="39">
        <f>'címrend kötelező'!AZ12</f>
        <v>0</v>
      </c>
      <c r="H9" s="39">
        <f>'címrend önként'!AZ12</f>
        <v>0</v>
      </c>
      <c r="I9" s="39">
        <f>'címrend államig'!AZ12</f>
        <v>0</v>
      </c>
      <c r="J9" s="39">
        <f t="shared" si="1"/>
        <v>0</v>
      </c>
      <c r="K9" s="39">
        <f>'címrend kötelező'!AP12</f>
        <v>1471811</v>
      </c>
      <c r="L9" s="39">
        <f>'címrend önként'!AP12</f>
        <v>1127908</v>
      </c>
      <c r="M9" s="39">
        <f>'címrend államig'!AP12</f>
        <v>0</v>
      </c>
      <c r="N9" s="39">
        <f t="shared" si="6"/>
        <v>2599719</v>
      </c>
      <c r="O9" s="39">
        <f t="shared" si="2"/>
        <v>1471811</v>
      </c>
      <c r="P9" s="39">
        <f t="shared" si="3"/>
        <v>1127908</v>
      </c>
      <c r="Q9" s="39">
        <f t="shared" si="4"/>
        <v>0</v>
      </c>
      <c r="R9" s="39">
        <f t="shared" si="5"/>
        <v>2599719</v>
      </c>
    </row>
    <row r="10" spans="1:18" ht="15" customHeight="1" x14ac:dyDescent="0.25">
      <c r="A10" s="706" t="s">
        <v>96</v>
      </c>
      <c r="B10" s="10" t="s">
        <v>97</v>
      </c>
      <c r="C10" s="800">
        <f>'címrend kötelező'!BS13</f>
        <v>0</v>
      </c>
      <c r="D10" s="800">
        <f>'címrend önként'!BS13</f>
        <v>0</v>
      </c>
      <c r="E10" s="800">
        <f>'címrend államig'!BS13</f>
        <v>0</v>
      </c>
      <c r="F10" s="800">
        <f t="shared" si="0"/>
        <v>0</v>
      </c>
      <c r="G10" s="800">
        <f>'címrend kötelező'!AZ13</f>
        <v>0</v>
      </c>
      <c r="H10" s="800">
        <f>'címrend önként'!AZ13</f>
        <v>0</v>
      </c>
      <c r="I10" s="800">
        <f>'címrend államig'!AZ13</f>
        <v>0</v>
      </c>
      <c r="J10" s="800">
        <f t="shared" si="1"/>
        <v>0</v>
      </c>
      <c r="K10" s="800">
        <f>'címrend kötelező'!AP13</f>
        <v>28717</v>
      </c>
      <c r="L10" s="800">
        <f>'címrend önként'!AP13</f>
        <v>0</v>
      </c>
      <c r="M10" s="800">
        <f>'címrend államig'!AP13</f>
        <v>0</v>
      </c>
      <c r="N10" s="800">
        <f t="shared" si="6"/>
        <v>28717</v>
      </c>
      <c r="O10" s="800">
        <f t="shared" si="2"/>
        <v>28717</v>
      </c>
      <c r="P10" s="800">
        <f t="shared" si="3"/>
        <v>0</v>
      </c>
      <c r="Q10" s="800">
        <f t="shared" si="4"/>
        <v>0</v>
      </c>
      <c r="R10" s="800">
        <f t="shared" si="5"/>
        <v>28717</v>
      </c>
    </row>
    <row r="11" spans="1:18" ht="15" customHeight="1" x14ac:dyDescent="0.25">
      <c r="A11" s="708" t="s">
        <v>98</v>
      </c>
      <c r="B11" s="10" t="s">
        <v>99</v>
      </c>
      <c r="C11" s="800">
        <f>'címrend kötelező'!BS14</f>
        <v>0</v>
      </c>
      <c r="D11" s="800">
        <f>'címrend önként'!BS14</f>
        <v>0</v>
      </c>
      <c r="E11" s="800">
        <f>'címrend államig'!BS14</f>
        <v>0</v>
      </c>
      <c r="F11" s="800">
        <f t="shared" si="0"/>
        <v>0</v>
      </c>
      <c r="G11" s="800">
        <f>'címrend kötelező'!AZ14</f>
        <v>0</v>
      </c>
      <c r="H11" s="800">
        <f>'címrend önként'!AZ14</f>
        <v>0</v>
      </c>
      <c r="I11" s="800">
        <f>'címrend államig'!AZ14</f>
        <v>0</v>
      </c>
      <c r="J11" s="800">
        <f t="shared" si="1"/>
        <v>0</v>
      </c>
      <c r="K11" s="800">
        <f>'címrend kötelező'!AP14</f>
        <v>0</v>
      </c>
      <c r="L11" s="800">
        <f>'címrend önként'!AP14</f>
        <v>0</v>
      </c>
      <c r="M11" s="800">
        <f>'címrend államig'!AP14</f>
        <v>0</v>
      </c>
      <c r="N11" s="800">
        <f t="shared" si="6"/>
        <v>0</v>
      </c>
      <c r="O11" s="800">
        <f t="shared" si="2"/>
        <v>0</v>
      </c>
      <c r="P11" s="800">
        <f t="shared" si="3"/>
        <v>0</v>
      </c>
      <c r="Q11" s="800">
        <f t="shared" si="4"/>
        <v>0</v>
      </c>
      <c r="R11" s="800">
        <f t="shared" si="5"/>
        <v>0</v>
      </c>
    </row>
    <row r="12" spans="1:18" ht="15" customHeight="1" x14ac:dyDescent="0.25">
      <c r="A12" s="28">
        <v>10</v>
      </c>
      <c r="B12" s="10" t="s">
        <v>100</v>
      </c>
      <c r="C12" s="800">
        <f>'címrend kötelező'!BS15</f>
        <v>0</v>
      </c>
      <c r="D12" s="800">
        <f>'címrend önként'!BS15</f>
        <v>0</v>
      </c>
      <c r="E12" s="800">
        <f>'címrend államig'!BS15</f>
        <v>0</v>
      </c>
      <c r="F12" s="800">
        <f t="shared" si="0"/>
        <v>0</v>
      </c>
      <c r="G12" s="800">
        <f>'címrend kötelező'!AZ15</f>
        <v>0</v>
      </c>
      <c r="H12" s="800">
        <f>'címrend önként'!AZ15</f>
        <v>0</v>
      </c>
      <c r="I12" s="800">
        <f>'címrend államig'!AZ15</f>
        <v>0</v>
      </c>
      <c r="J12" s="800">
        <f t="shared" si="1"/>
        <v>0</v>
      </c>
      <c r="K12" s="800">
        <f>'címrend kötelező'!AP15</f>
        <v>140504</v>
      </c>
      <c r="L12" s="800">
        <f>'címrend önként'!AP15</f>
        <v>17520</v>
      </c>
      <c r="M12" s="800">
        <f>'címrend államig'!AP15</f>
        <v>0</v>
      </c>
      <c r="N12" s="800">
        <f t="shared" si="6"/>
        <v>158024</v>
      </c>
      <c r="O12" s="800">
        <f t="shared" si="2"/>
        <v>140504</v>
      </c>
      <c r="P12" s="800">
        <f t="shared" si="3"/>
        <v>17520</v>
      </c>
      <c r="Q12" s="800">
        <f t="shared" si="4"/>
        <v>0</v>
      </c>
      <c r="R12" s="800">
        <f t="shared" si="5"/>
        <v>158024</v>
      </c>
    </row>
    <row r="13" spans="1:18" ht="15" customHeight="1" x14ac:dyDescent="0.25">
      <c r="A13" s="708" t="s">
        <v>101</v>
      </c>
      <c r="B13" s="10" t="s">
        <v>102</v>
      </c>
      <c r="C13" s="800">
        <f>'címrend kötelező'!BS16</f>
        <v>0</v>
      </c>
      <c r="D13" s="800">
        <f>'címrend önként'!BS16</f>
        <v>0</v>
      </c>
      <c r="E13" s="800">
        <f>'címrend államig'!BS16</f>
        <v>0</v>
      </c>
      <c r="F13" s="800">
        <f t="shared" si="0"/>
        <v>0</v>
      </c>
      <c r="G13" s="800">
        <f>'címrend kötelező'!AZ16</f>
        <v>0</v>
      </c>
      <c r="H13" s="800">
        <f>'címrend önként'!AZ16</f>
        <v>0</v>
      </c>
      <c r="I13" s="800">
        <f>'címrend államig'!AZ16</f>
        <v>0</v>
      </c>
      <c r="J13" s="800">
        <f t="shared" si="1"/>
        <v>0</v>
      </c>
      <c r="K13" s="800">
        <f>'címrend kötelező'!AP16</f>
        <v>1105831</v>
      </c>
      <c r="L13" s="800">
        <f>'címrend önként'!AP16</f>
        <v>1022681</v>
      </c>
      <c r="M13" s="800">
        <f>'címrend államig'!AP16</f>
        <v>0</v>
      </c>
      <c r="N13" s="800">
        <f t="shared" si="6"/>
        <v>2128512</v>
      </c>
      <c r="O13" s="800">
        <f t="shared" si="2"/>
        <v>1105831</v>
      </c>
      <c r="P13" s="800">
        <f t="shared" si="3"/>
        <v>1022681</v>
      </c>
      <c r="Q13" s="800">
        <f t="shared" si="4"/>
        <v>0</v>
      </c>
      <c r="R13" s="800">
        <f t="shared" si="5"/>
        <v>2128512</v>
      </c>
    </row>
    <row r="14" spans="1:18" ht="15" customHeight="1" x14ac:dyDescent="0.25">
      <c r="A14" s="28">
        <v>12</v>
      </c>
      <c r="B14" s="10" t="s">
        <v>103</v>
      </c>
      <c r="C14" s="800">
        <f>'címrend kötelező'!BS17</f>
        <v>0</v>
      </c>
      <c r="D14" s="800">
        <f>'címrend önként'!BS17</f>
        <v>0</v>
      </c>
      <c r="E14" s="800">
        <f>'címrend államig'!BS17</f>
        <v>0</v>
      </c>
      <c r="F14" s="800">
        <f t="shared" si="0"/>
        <v>0</v>
      </c>
      <c r="G14" s="800">
        <f>'címrend kötelező'!AZ17</f>
        <v>0</v>
      </c>
      <c r="H14" s="800">
        <f>'címrend önként'!AZ17</f>
        <v>0</v>
      </c>
      <c r="I14" s="800">
        <f>'címrend államig'!AZ17</f>
        <v>0</v>
      </c>
      <c r="J14" s="800">
        <f t="shared" si="1"/>
        <v>0</v>
      </c>
      <c r="K14" s="800">
        <f>'címrend kötelező'!AP17</f>
        <v>196759</v>
      </c>
      <c r="L14" s="800">
        <f>'címrend önként'!AP17</f>
        <v>87707</v>
      </c>
      <c r="M14" s="800">
        <f>'címrend államig'!AP17</f>
        <v>0</v>
      </c>
      <c r="N14" s="800">
        <f t="shared" si="6"/>
        <v>284466</v>
      </c>
      <c r="O14" s="800">
        <f t="shared" si="2"/>
        <v>196759</v>
      </c>
      <c r="P14" s="800">
        <f t="shared" si="3"/>
        <v>87707</v>
      </c>
      <c r="Q14" s="800">
        <f t="shared" si="4"/>
        <v>0</v>
      </c>
      <c r="R14" s="800">
        <f t="shared" si="5"/>
        <v>284466</v>
      </c>
    </row>
    <row r="15" spans="1:18" s="13" customFormat="1" ht="15" customHeight="1" x14ac:dyDescent="0.25">
      <c r="A15" s="484" t="s">
        <v>104</v>
      </c>
      <c r="B15" s="12" t="s">
        <v>105</v>
      </c>
      <c r="C15" s="39">
        <f>'címrend kötelező'!BS18</f>
        <v>24726</v>
      </c>
      <c r="D15" s="39">
        <f>'címrend önként'!BS18</f>
        <v>51874</v>
      </c>
      <c r="E15" s="39">
        <f>'címrend államig'!BS18</f>
        <v>0</v>
      </c>
      <c r="F15" s="39">
        <f t="shared" si="0"/>
        <v>76600</v>
      </c>
      <c r="G15" s="39">
        <f>'címrend kötelező'!AZ18</f>
        <v>53921</v>
      </c>
      <c r="H15" s="39">
        <f>'címrend önként'!AZ18</f>
        <v>0</v>
      </c>
      <c r="I15" s="39">
        <f>'címrend államig'!AZ18</f>
        <v>0</v>
      </c>
      <c r="J15" s="39">
        <f t="shared" si="1"/>
        <v>53921</v>
      </c>
      <c r="K15" s="39">
        <f>'címrend kötelező'!AP18</f>
        <v>163800</v>
      </c>
      <c r="L15" s="39">
        <f>'címrend önként'!AP18</f>
        <v>6024483</v>
      </c>
      <c r="M15" s="39">
        <f>'címrend államig'!AP18</f>
        <v>0</v>
      </c>
      <c r="N15" s="39">
        <f t="shared" si="6"/>
        <v>6188283</v>
      </c>
      <c r="O15" s="39">
        <f t="shared" si="2"/>
        <v>242447</v>
      </c>
      <c r="P15" s="39">
        <f t="shared" si="3"/>
        <v>6076357</v>
      </c>
      <c r="Q15" s="39">
        <f t="shared" si="4"/>
        <v>0</v>
      </c>
      <c r="R15" s="39">
        <f t="shared" si="5"/>
        <v>6318804</v>
      </c>
    </row>
    <row r="16" spans="1:18" ht="15" customHeight="1" x14ac:dyDescent="0.25">
      <c r="A16" s="28">
        <v>14</v>
      </c>
      <c r="B16" s="10" t="s">
        <v>106</v>
      </c>
      <c r="C16" s="800">
        <f>'címrend kötelező'!BS19</f>
        <v>13126</v>
      </c>
      <c r="D16" s="800">
        <f>'címrend önként'!BS19</f>
        <v>51874</v>
      </c>
      <c r="E16" s="800">
        <f>'címrend államig'!BS19</f>
        <v>0</v>
      </c>
      <c r="F16" s="800">
        <f t="shared" si="0"/>
        <v>65000</v>
      </c>
      <c r="G16" s="800">
        <f>'címrend kötelező'!AZ19</f>
        <v>53921</v>
      </c>
      <c r="H16" s="800">
        <f>'címrend önként'!AZ19</f>
        <v>0</v>
      </c>
      <c r="I16" s="800">
        <f>'címrend államig'!AZ19</f>
        <v>0</v>
      </c>
      <c r="J16" s="800">
        <f t="shared" si="1"/>
        <v>53921</v>
      </c>
      <c r="K16" s="800">
        <f>'címrend kötelező'!AP19</f>
        <v>18500</v>
      </c>
      <c r="L16" s="800">
        <f>'címrend önként'!AP19</f>
        <v>2404094</v>
      </c>
      <c r="M16" s="800">
        <f>'címrend államig'!AP19</f>
        <v>0</v>
      </c>
      <c r="N16" s="800">
        <f t="shared" si="6"/>
        <v>2422594</v>
      </c>
      <c r="O16" s="800">
        <f t="shared" si="2"/>
        <v>85547</v>
      </c>
      <c r="P16" s="800">
        <f t="shared" si="3"/>
        <v>2455968</v>
      </c>
      <c r="Q16" s="800">
        <f t="shared" si="4"/>
        <v>0</v>
      </c>
      <c r="R16" s="800">
        <f t="shared" si="5"/>
        <v>2541515</v>
      </c>
    </row>
    <row r="17" spans="1:18" ht="15" customHeight="1" x14ac:dyDescent="0.25">
      <c r="A17" s="708" t="s">
        <v>107</v>
      </c>
      <c r="B17" s="10" t="s">
        <v>108</v>
      </c>
      <c r="C17" s="800">
        <f>'címrend kötelező'!BS20</f>
        <v>11600</v>
      </c>
      <c r="D17" s="800">
        <f>'címrend önként'!BS20</f>
        <v>0</v>
      </c>
      <c r="E17" s="800">
        <f>'címrend államig'!BS20</f>
        <v>0</v>
      </c>
      <c r="F17" s="800">
        <f t="shared" si="0"/>
        <v>11600</v>
      </c>
      <c r="G17" s="800">
        <f>'címrend kötelező'!AZ20</f>
        <v>0</v>
      </c>
      <c r="H17" s="800">
        <f>'címrend önként'!AZ20</f>
        <v>0</v>
      </c>
      <c r="I17" s="800">
        <f>'címrend államig'!AZ20</f>
        <v>0</v>
      </c>
      <c r="J17" s="800">
        <f t="shared" si="1"/>
        <v>0</v>
      </c>
      <c r="K17" s="800">
        <f>'címrend kötelező'!AP20</f>
        <v>0</v>
      </c>
      <c r="L17" s="800">
        <f>'címrend önként'!AP20</f>
        <v>1959599</v>
      </c>
      <c r="M17" s="800">
        <f>'címrend államig'!AP20</f>
        <v>0</v>
      </c>
      <c r="N17" s="800">
        <f t="shared" si="6"/>
        <v>1959599</v>
      </c>
      <c r="O17" s="800">
        <f t="shared" si="2"/>
        <v>11600</v>
      </c>
      <c r="P17" s="800">
        <f t="shared" si="3"/>
        <v>1959599</v>
      </c>
      <c r="Q17" s="800">
        <f t="shared" si="4"/>
        <v>0</v>
      </c>
      <c r="R17" s="800">
        <f t="shared" si="5"/>
        <v>1971199</v>
      </c>
    </row>
    <row r="18" spans="1:18" s="13" customFormat="1" ht="15" customHeight="1" x14ac:dyDescent="0.25">
      <c r="A18" s="709">
        <v>16</v>
      </c>
      <c r="B18" s="12" t="s">
        <v>109</v>
      </c>
      <c r="C18" s="39">
        <f>'címrend kötelező'!BS21</f>
        <v>0</v>
      </c>
      <c r="D18" s="39">
        <f>'címrend önként'!BS21</f>
        <v>0</v>
      </c>
      <c r="E18" s="39">
        <f>'címrend államig'!BS21</f>
        <v>0</v>
      </c>
      <c r="F18" s="39">
        <f t="shared" si="0"/>
        <v>0</v>
      </c>
      <c r="G18" s="39">
        <f>'címrend kötelező'!AZ21</f>
        <v>0</v>
      </c>
      <c r="H18" s="39">
        <f>'címrend önként'!AZ21</f>
        <v>0</v>
      </c>
      <c r="I18" s="39">
        <f>'címrend államig'!AZ21</f>
        <v>0</v>
      </c>
      <c r="J18" s="39">
        <f t="shared" si="1"/>
        <v>0</v>
      </c>
      <c r="K18" s="39">
        <f>'címrend kötelező'!AP21</f>
        <v>145300</v>
      </c>
      <c r="L18" s="39">
        <f>'címrend önként'!AP21</f>
        <v>1660790</v>
      </c>
      <c r="M18" s="39">
        <f>'címrend államig'!AP21</f>
        <v>0</v>
      </c>
      <c r="N18" s="39">
        <f t="shared" si="6"/>
        <v>1806090</v>
      </c>
      <c r="O18" s="39">
        <f t="shared" si="2"/>
        <v>145300</v>
      </c>
      <c r="P18" s="39">
        <f t="shared" si="3"/>
        <v>1660790</v>
      </c>
      <c r="Q18" s="39">
        <f t="shared" si="4"/>
        <v>0</v>
      </c>
      <c r="R18" s="39">
        <f t="shared" si="5"/>
        <v>1806090</v>
      </c>
    </row>
    <row r="19" spans="1:18" ht="15" customHeight="1" x14ac:dyDescent="0.25">
      <c r="A19" s="708" t="s">
        <v>110</v>
      </c>
      <c r="B19" s="10" t="s">
        <v>111</v>
      </c>
      <c r="C19" s="800">
        <f>'címrend kötelező'!BS22</f>
        <v>0</v>
      </c>
      <c r="D19" s="800">
        <f>'címrend önként'!BS22</f>
        <v>0</v>
      </c>
      <c r="E19" s="800">
        <f>'címrend államig'!BS22</f>
        <v>0</v>
      </c>
      <c r="F19" s="800">
        <f t="shared" si="0"/>
        <v>0</v>
      </c>
      <c r="G19" s="800">
        <f>'címrend kötelező'!AZ22</f>
        <v>0</v>
      </c>
      <c r="H19" s="800">
        <f>'címrend önként'!AZ22</f>
        <v>0</v>
      </c>
      <c r="I19" s="800">
        <f>'címrend államig'!AZ22</f>
        <v>0</v>
      </c>
      <c r="J19" s="800">
        <f t="shared" si="1"/>
        <v>0</v>
      </c>
      <c r="K19" s="800">
        <f>'címrend kötelező'!AP22</f>
        <v>0</v>
      </c>
      <c r="L19" s="800">
        <f>'címrend önként'!AP22</f>
        <v>150000</v>
      </c>
      <c r="M19" s="800">
        <f>'címrend államig'!AP22</f>
        <v>0</v>
      </c>
      <c r="N19" s="800">
        <f t="shared" si="6"/>
        <v>150000</v>
      </c>
      <c r="O19" s="800">
        <f t="shared" si="2"/>
        <v>0</v>
      </c>
      <c r="P19" s="800">
        <f t="shared" si="3"/>
        <v>150000</v>
      </c>
      <c r="Q19" s="800">
        <f t="shared" si="4"/>
        <v>0</v>
      </c>
      <c r="R19" s="800">
        <f t="shared" si="5"/>
        <v>150000</v>
      </c>
    </row>
    <row r="20" spans="1:18" ht="15" customHeight="1" x14ac:dyDescent="0.25">
      <c r="A20" s="708" t="s">
        <v>112</v>
      </c>
      <c r="B20" s="10" t="s">
        <v>113</v>
      </c>
      <c r="C20" s="800">
        <f>'címrend kötelező'!BS23</f>
        <v>0</v>
      </c>
      <c r="D20" s="800">
        <f>'címrend önként'!BS23</f>
        <v>0</v>
      </c>
      <c r="E20" s="800">
        <f>'címrend államig'!BS23</f>
        <v>0</v>
      </c>
      <c r="F20" s="800">
        <f t="shared" si="0"/>
        <v>0</v>
      </c>
      <c r="G20" s="800">
        <f>'címrend kötelező'!AZ23</f>
        <v>0</v>
      </c>
      <c r="H20" s="800">
        <f>'címrend önként'!AZ23</f>
        <v>0</v>
      </c>
      <c r="I20" s="800">
        <f>'címrend államig'!AZ23</f>
        <v>0</v>
      </c>
      <c r="J20" s="800">
        <f t="shared" si="1"/>
        <v>0</v>
      </c>
      <c r="K20" s="800">
        <f>'címrend kötelező'!AP23</f>
        <v>15300</v>
      </c>
      <c r="L20" s="800">
        <f>'címrend önként'!AP23</f>
        <v>0</v>
      </c>
      <c r="M20" s="800">
        <f>'címrend államig'!AP23</f>
        <v>0</v>
      </c>
      <c r="N20" s="800">
        <f t="shared" si="6"/>
        <v>15300</v>
      </c>
      <c r="O20" s="800">
        <f t="shared" si="2"/>
        <v>15300</v>
      </c>
      <c r="P20" s="800">
        <f t="shared" si="3"/>
        <v>0</v>
      </c>
      <c r="Q20" s="800">
        <f t="shared" si="4"/>
        <v>0</v>
      </c>
      <c r="R20" s="800">
        <f t="shared" si="5"/>
        <v>15300</v>
      </c>
    </row>
    <row r="21" spans="1:18" ht="15" customHeight="1" x14ac:dyDescent="0.25">
      <c r="A21" s="28">
        <v>19</v>
      </c>
      <c r="B21" s="10" t="s">
        <v>114</v>
      </c>
      <c r="C21" s="800">
        <f>'címrend kötelező'!BS24</f>
        <v>0</v>
      </c>
      <c r="D21" s="800">
        <f>'címrend önként'!BS24</f>
        <v>0</v>
      </c>
      <c r="E21" s="800">
        <f>'címrend államig'!BS24</f>
        <v>0</v>
      </c>
      <c r="F21" s="800">
        <f t="shared" si="0"/>
        <v>0</v>
      </c>
      <c r="G21" s="800">
        <f>'címrend kötelező'!AZ24</f>
        <v>0</v>
      </c>
      <c r="H21" s="800">
        <f>'címrend önként'!AZ24</f>
        <v>0</v>
      </c>
      <c r="I21" s="800">
        <f>'címrend államig'!AZ24</f>
        <v>0</v>
      </c>
      <c r="J21" s="800">
        <f t="shared" si="1"/>
        <v>0</v>
      </c>
      <c r="K21" s="800">
        <f>'címrend kötelező'!AP24</f>
        <v>130000</v>
      </c>
      <c r="L21" s="800">
        <f>'címrend önként'!AP24</f>
        <v>749754</v>
      </c>
      <c r="M21" s="800">
        <f>'címrend államig'!AP24</f>
        <v>0</v>
      </c>
      <c r="N21" s="800">
        <f t="shared" si="6"/>
        <v>879754</v>
      </c>
      <c r="O21" s="800">
        <f t="shared" si="2"/>
        <v>130000</v>
      </c>
      <c r="P21" s="800">
        <f t="shared" si="3"/>
        <v>749754</v>
      </c>
      <c r="Q21" s="800">
        <f t="shared" si="4"/>
        <v>0</v>
      </c>
      <c r="R21" s="800">
        <f t="shared" si="5"/>
        <v>879754</v>
      </c>
    </row>
    <row r="22" spans="1:18" ht="15" customHeight="1" x14ac:dyDescent="0.25">
      <c r="A22" s="708" t="s">
        <v>115</v>
      </c>
      <c r="B22" s="10" t="s">
        <v>29</v>
      </c>
      <c r="C22" s="800">
        <f>'címrend kötelező'!BS25</f>
        <v>0</v>
      </c>
      <c r="D22" s="800">
        <f>'címrend önként'!BS25</f>
        <v>0</v>
      </c>
      <c r="E22" s="800">
        <f>'címrend államig'!BS25</f>
        <v>0</v>
      </c>
      <c r="F22" s="800">
        <f t="shared" si="0"/>
        <v>0</v>
      </c>
      <c r="G22" s="800">
        <f>'címrend kötelező'!AZ25</f>
        <v>0</v>
      </c>
      <c r="H22" s="800">
        <f>'címrend önként'!AZ25</f>
        <v>0</v>
      </c>
      <c r="I22" s="800">
        <f>'címrend államig'!AZ25</f>
        <v>0</v>
      </c>
      <c r="J22" s="800">
        <f t="shared" si="1"/>
        <v>0</v>
      </c>
      <c r="K22" s="800">
        <f>'címrend kötelező'!AP25</f>
        <v>0</v>
      </c>
      <c r="L22" s="800">
        <f>'címrend önként'!AP25</f>
        <v>761036</v>
      </c>
      <c r="M22" s="800">
        <f>'címrend államig'!AP25</f>
        <v>0</v>
      </c>
      <c r="N22" s="800">
        <f t="shared" si="6"/>
        <v>761036</v>
      </c>
      <c r="O22" s="800">
        <f t="shared" si="2"/>
        <v>0</v>
      </c>
      <c r="P22" s="800">
        <f t="shared" si="3"/>
        <v>761036</v>
      </c>
      <c r="Q22" s="800">
        <f t="shared" si="4"/>
        <v>0</v>
      </c>
      <c r="R22" s="800">
        <f t="shared" si="5"/>
        <v>761036</v>
      </c>
    </row>
    <row r="23" spans="1:18" s="13" customFormat="1" ht="15" customHeight="1" thickBot="1" x14ac:dyDescent="0.3">
      <c r="A23" s="710" t="s">
        <v>116</v>
      </c>
      <c r="B23" s="34" t="s">
        <v>117</v>
      </c>
      <c r="C23" s="246">
        <f>'címrend kötelező'!BS26</f>
        <v>5744697</v>
      </c>
      <c r="D23" s="246">
        <f>'címrend önként'!BS26</f>
        <v>1022617</v>
      </c>
      <c r="E23" s="246">
        <f>'címrend államig'!BS26</f>
        <v>0</v>
      </c>
      <c r="F23" s="246">
        <f t="shared" si="0"/>
        <v>6767314</v>
      </c>
      <c r="G23" s="246">
        <f>'címrend kötelező'!AZ26</f>
        <v>2057878</v>
      </c>
      <c r="H23" s="246">
        <f>'címrend önként'!AZ26</f>
        <v>94555</v>
      </c>
      <c r="I23" s="246">
        <f>'címrend államig'!AZ26</f>
        <v>270142</v>
      </c>
      <c r="J23" s="246">
        <f t="shared" si="1"/>
        <v>2422575</v>
      </c>
      <c r="K23" s="246">
        <f>'címrend kötelező'!AP26</f>
        <v>5929260</v>
      </c>
      <c r="L23" s="246">
        <f>'címrend önként'!AP26</f>
        <v>8844380.5999999996</v>
      </c>
      <c r="M23" s="246">
        <f>'címrend államig'!AP26</f>
        <v>0</v>
      </c>
      <c r="N23" s="246">
        <f t="shared" si="6"/>
        <v>14773640.6</v>
      </c>
      <c r="O23" s="246">
        <f t="shared" si="2"/>
        <v>13731835</v>
      </c>
      <c r="P23" s="246">
        <f t="shared" si="3"/>
        <v>9961552.5999999996</v>
      </c>
      <c r="Q23" s="246">
        <f t="shared" si="4"/>
        <v>270142</v>
      </c>
      <c r="R23" s="246">
        <f t="shared" si="5"/>
        <v>23963529.600000001</v>
      </c>
    </row>
    <row r="24" spans="1:18" s="13" customFormat="1" ht="19.95" customHeight="1" thickBot="1" x14ac:dyDescent="0.3">
      <c r="A24" s="711">
        <v>22</v>
      </c>
      <c r="B24" s="33" t="s">
        <v>118</v>
      </c>
      <c r="C24" s="245">
        <f>'címrend kötelező'!BS27</f>
        <v>5744697</v>
      </c>
      <c r="D24" s="245">
        <f>'címrend önként'!BS27</f>
        <v>1022617</v>
      </c>
      <c r="E24" s="245">
        <f>'címrend államig'!BS27</f>
        <v>0</v>
      </c>
      <c r="F24" s="245">
        <f t="shared" si="0"/>
        <v>6767314</v>
      </c>
      <c r="G24" s="245">
        <f>'címrend kötelező'!AZ27</f>
        <v>2057878</v>
      </c>
      <c r="H24" s="245">
        <f>'címrend önként'!AZ27</f>
        <v>94555</v>
      </c>
      <c r="I24" s="245">
        <f>'címrend államig'!AZ27</f>
        <v>270142</v>
      </c>
      <c r="J24" s="245">
        <f t="shared" si="1"/>
        <v>2422575</v>
      </c>
      <c r="K24" s="245">
        <f>'címrend kötelező'!AP27</f>
        <v>15413273.764</v>
      </c>
      <c r="L24" s="245">
        <f>'címrend önként'!AP27</f>
        <v>6278942</v>
      </c>
      <c r="M24" s="245">
        <f>'címrend államig'!AP27</f>
        <v>0</v>
      </c>
      <c r="N24" s="245">
        <f t="shared" si="6"/>
        <v>21692215.763999999</v>
      </c>
      <c r="O24" s="245">
        <f t="shared" si="2"/>
        <v>23215848.763999999</v>
      </c>
      <c r="P24" s="245">
        <f t="shared" si="3"/>
        <v>7396114</v>
      </c>
      <c r="Q24" s="245">
        <f t="shared" si="4"/>
        <v>270142</v>
      </c>
      <c r="R24" s="245">
        <f t="shared" si="5"/>
        <v>30882104.763999999</v>
      </c>
    </row>
    <row r="25" spans="1:18" s="13" customFormat="1" ht="15" customHeight="1" x14ac:dyDescent="0.25">
      <c r="A25" s="705" t="s">
        <v>119</v>
      </c>
      <c r="B25" s="32" t="s">
        <v>120</v>
      </c>
      <c r="C25" s="39">
        <f>'címrend kötelező'!BS28</f>
        <v>1812265</v>
      </c>
      <c r="D25" s="39">
        <f>'címrend önként'!BS28</f>
        <v>55282</v>
      </c>
      <c r="E25" s="39">
        <f>'címrend államig'!BS28</f>
        <v>0</v>
      </c>
      <c r="F25" s="39">
        <f t="shared" si="0"/>
        <v>1867547</v>
      </c>
      <c r="G25" s="39">
        <f>'címrend kötelező'!AZ28</f>
        <v>39000</v>
      </c>
      <c r="H25" s="39">
        <f>'címrend önként'!AZ28</f>
        <v>0</v>
      </c>
      <c r="I25" s="39">
        <f>'címrend államig'!AZ28</f>
        <v>3900</v>
      </c>
      <c r="J25" s="39">
        <f t="shared" si="1"/>
        <v>42900</v>
      </c>
      <c r="K25" s="39">
        <f>'címrend kötelező'!AP28</f>
        <v>14792199.764</v>
      </c>
      <c r="L25" s="39">
        <f>'címrend önként'!AP28</f>
        <v>570108</v>
      </c>
      <c r="M25" s="39">
        <f>'címrend államig'!AP28</f>
        <v>0</v>
      </c>
      <c r="N25" s="39">
        <f t="shared" si="6"/>
        <v>15362307.764</v>
      </c>
      <c r="O25" s="39">
        <f t="shared" si="2"/>
        <v>16643464.764</v>
      </c>
      <c r="P25" s="39">
        <f t="shared" si="3"/>
        <v>625390</v>
      </c>
      <c r="Q25" s="39">
        <f t="shared" si="4"/>
        <v>3900</v>
      </c>
      <c r="R25" s="39">
        <f t="shared" si="5"/>
        <v>17272754.763999999</v>
      </c>
    </row>
    <row r="26" spans="1:18" s="13" customFormat="1" ht="30" customHeight="1" x14ac:dyDescent="0.25">
      <c r="A26" s="709">
        <v>24</v>
      </c>
      <c r="B26" s="5" t="s">
        <v>121</v>
      </c>
      <c r="C26" s="39">
        <f>'címrend kötelező'!BS29</f>
        <v>1596807</v>
      </c>
      <c r="D26" s="39">
        <f>'címrend önként'!BS29</f>
        <v>0</v>
      </c>
      <c r="E26" s="39">
        <f>'címrend államig'!BS29</f>
        <v>0</v>
      </c>
      <c r="F26" s="39">
        <f t="shared" si="0"/>
        <v>1596807</v>
      </c>
      <c r="G26" s="39">
        <f>'címrend kötelező'!AZ29</f>
        <v>0</v>
      </c>
      <c r="H26" s="39">
        <f>'címrend önként'!AZ29</f>
        <v>0</v>
      </c>
      <c r="I26" s="39">
        <f>'címrend államig'!AZ29</f>
        <v>0</v>
      </c>
      <c r="J26" s="39">
        <f t="shared" si="1"/>
        <v>0</v>
      </c>
      <c r="K26" s="39">
        <f>'címrend kötelező'!AP29</f>
        <v>2024372.764</v>
      </c>
      <c r="L26" s="39">
        <f>'címrend önként'!AP29</f>
        <v>9879</v>
      </c>
      <c r="M26" s="39">
        <f>'címrend államig'!AP29</f>
        <v>0</v>
      </c>
      <c r="N26" s="39">
        <f t="shared" si="6"/>
        <v>2034251.764</v>
      </c>
      <c r="O26" s="39">
        <f t="shared" si="2"/>
        <v>3621179.764</v>
      </c>
      <c r="P26" s="39">
        <f t="shared" si="3"/>
        <v>9879</v>
      </c>
      <c r="Q26" s="39">
        <f t="shared" si="4"/>
        <v>0</v>
      </c>
      <c r="R26" s="39">
        <f t="shared" si="5"/>
        <v>3631058.764</v>
      </c>
    </row>
    <row r="27" spans="1:18" ht="15" customHeight="1" x14ac:dyDescent="0.25">
      <c r="A27" s="708" t="s">
        <v>122</v>
      </c>
      <c r="B27" s="16" t="s">
        <v>123</v>
      </c>
      <c r="C27" s="800">
        <f>'címrend kötelező'!BS30</f>
        <v>0</v>
      </c>
      <c r="D27" s="800">
        <f>'címrend önként'!BS30</f>
        <v>0</v>
      </c>
      <c r="E27" s="800">
        <f>'címrend államig'!BS30</f>
        <v>0</v>
      </c>
      <c r="F27" s="800">
        <f t="shared" si="0"/>
        <v>0</v>
      </c>
      <c r="G27" s="800">
        <f>'címrend kötelező'!AZ30</f>
        <v>0</v>
      </c>
      <c r="H27" s="800">
        <f>'címrend önként'!AZ30</f>
        <v>0</v>
      </c>
      <c r="I27" s="800">
        <f>'címrend államig'!AZ30</f>
        <v>0</v>
      </c>
      <c r="J27" s="800">
        <f t="shared" si="1"/>
        <v>0</v>
      </c>
      <c r="K27" s="800">
        <f>'címrend kötelező'!AP30</f>
        <v>2019674.764</v>
      </c>
      <c r="L27" s="800">
        <f>'címrend önként'!AP30</f>
        <v>0</v>
      </c>
      <c r="M27" s="800">
        <f>'címrend államig'!AP30</f>
        <v>0</v>
      </c>
      <c r="N27" s="800">
        <f t="shared" si="6"/>
        <v>2019674.764</v>
      </c>
      <c r="O27" s="800">
        <f t="shared" si="2"/>
        <v>2019674.764</v>
      </c>
      <c r="P27" s="800">
        <f t="shared" si="3"/>
        <v>0</v>
      </c>
      <c r="Q27" s="800">
        <f t="shared" si="4"/>
        <v>0</v>
      </c>
      <c r="R27" s="800">
        <f t="shared" si="5"/>
        <v>2019674.764</v>
      </c>
    </row>
    <row r="28" spans="1:18" ht="15" customHeight="1" x14ac:dyDescent="0.25">
      <c r="A28" s="28">
        <v>26</v>
      </c>
      <c r="B28" s="16" t="s">
        <v>124</v>
      </c>
      <c r="C28" s="800">
        <f>'címrend kötelező'!BS31</f>
        <v>0</v>
      </c>
      <c r="D28" s="800">
        <f>'címrend önként'!BS31</f>
        <v>0</v>
      </c>
      <c r="E28" s="800">
        <f>'címrend államig'!BS31</f>
        <v>0</v>
      </c>
      <c r="F28" s="800">
        <f t="shared" si="0"/>
        <v>0</v>
      </c>
      <c r="G28" s="800">
        <f>'címrend kötelező'!AZ31</f>
        <v>0</v>
      </c>
      <c r="H28" s="800">
        <f>'címrend önként'!AZ31</f>
        <v>0</v>
      </c>
      <c r="I28" s="800">
        <f>'címrend államig'!AZ31</f>
        <v>0</v>
      </c>
      <c r="J28" s="800">
        <f t="shared" si="1"/>
        <v>0</v>
      </c>
      <c r="K28" s="800">
        <f>'címrend kötelező'!AP31</f>
        <v>0</v>
      </c>
      <c r="L28" s="800">
        <f>'címrend önként'!AP31</f>
        <v>0</v>
      </c>
      <c r="M28" s="800">
        <f>'címrend államig'!AP31</f>
        <v>0</v>
      </c>
      <c r="N28" s="800">
        <f t="shared" si="6"/>
        <v>0</v>
      </c>
      <c r="O28" s="800">
        <f t="shared" si="2"/>
        <v>0</v>
      </c>
      <c r="P28" s="800">
        <f t="shared" si="3"/>
        <v>0</v>
      </c>
      <c r="Q28" s="800">
        <f t="shared" si="4"/>
        <v>0</v>
      </c>
      <c r="R28" s="800">
        <f t="shared" si="5"/>
        <v>0</v>
      </c>
    </row>
    <row r="29" spans="1:18" ht="15" customHeight="1" x14ac:dyDescent="0.25">
      <c r="A29" s="708" t="s">
        <v>125</v>
      </c>
      <c r="B29" s="16" t="s">
        <v>126</v>
      </c>
      <c r="C29" s="800">
        <f>'címrend kötelező'!BS32</f>
        <v>0</v>
      </c>
      <c r="D29" s="800">
        <f>'címrend önként'!BS32</f>
        <v>0</v>
      </c>
      <c r="E29" s="800">
        <f>'címrend államig'!BS32</f>
        <v>0</v>
      </c>
      <c r="F29" s="800">
        <f t="shared" si="0"/>
        <v>0</v>
      </c>
      <c r="G29" s="800">
        <f>'címrend kötelező'!AZ32</f>
        <v>0</v>
      </c>
      <c r="H29" s="800">
        <f>'címrend önként'!AZ32</f>
        <v>0</v>
      </c>
      <c r="I29" s="800">
        <f>'címrend államig'!AZ32</f>
        <v>0</v>
      </c>
      <c r="J29" s="800">
        <f t="shared" si="1"/>
        <v>0</v>
      </c>
      <c r="K29" s="800">
        <f>'címrend kötelező'!AP32</f>
        <v>0</v>
      </c>
      <c r="L29" s="800">
        <f>'címrend önként'!AP32</f>
        <v>0</v>
      </c>
      <c r="M29" s="800">
        <f>'címrend államig'!AP32</f>
        <v>0</v>
      </c>
      <c r="N29" s="800">
        <f t="shared" si="6"/>
        <v>0</v>
      </c>
      <c r="O29" s="800">
        <f t="shared" si="2"/>
        <v>0</v>
      </c>
      <c r="P29" s="800">
        <f t="shared" si="3"/>
        <v>0</v>
      </c>
      <c r="Q29" s="800">
        <f t="shared" si="4"/>
        <v>0</v>
      </c>
      <c r="R29" s="800">
        <f t="shared" si="5"/>
        <v>0</v>
      </c>
    </row>
    <row r="30" spans="1:18" ht="15" customHeight="1" x14ac:dyDescent="0.25">
      <c r="A30" s="708" t="s">
        <v>127</v>
      </c>
      <c r="B30" s="16" t="s">
        <v>128</v>
      </c>
      <c r="C30" s="800">
        <f>'címrend kötelező'!BS33</f>
        <v>0</v>
      </c>
      <c r="D30" s="800">
        <f>'címrend önként'!BS33</f>
        <v>0</v>
      </c>
      <c r="E30" s="800">
        <f>'címrend államig'!BS33</f>
        <v>0</v>
      </c>
      <c r="F30" s="800">
        <f t="shared" si="0"/>
        <v>0</v>
      </c>
      <c r="G30" s="800">
        <f>'címrend kötelező'!AZ33</f>
        <v>0</v>
      </c>
      <c r="H30" s="800">
        <f>'címrend önként'!AZ33</f>
        <v>0</v>
      </c>
      <c r="I30" s="800">
        <f>'címrend államig'!AZ33</f>
        <v>0</v>
      </c>
      <c r="J30" s="800">
        <f t="shared" si="1"/>
        <v>0</v>
      </c>
      <c r="K30" s="800">
        <f>'címrend kötelező'!AP33</f>
        <v>0</v>
      </c>
      <c r="L30" s="800">
        <f>'címrend önként'!AP33</f>
        <v>0</v>
      </c>
      <c r="M30" s="800">
        <f>'címrend államig'!AP33</f>
        <v>0</v>
      </c>
      <c r="N30" s="800">
        <f t="shared" si="6"/>
        <v>0</v>
      </c>
      <c r="O30" s="800">
        <f t="shared" si="2"/>
        <v>0</v>
      </c>
      <c r="P30" s="800">
        <f t="shared" si="3"/>
        <v>0</v>
      </c>
      <c r="Q30" s="800">
        <f t="shared" si="4"/>
        <v>0</v>
      </c>
      <c r="R30" s="800">
        <f t="shared" si="5"/>
        <v>0</v>
      </c>
    </row>
    <row r="31" spans="1:18" ht="15" customHeight="1" x14ac:dyDescent="0.25">
      <c r="A31" s="708" t="s">
        <v>129</v>
      </c>
      <c r="B31" s="16" t="s">
        <v>130</v>
      </c>
      <c r="C31" s="800">
        <f>'címrend kötelező'!BS34</f>
        <v>1596807</v>
      </c>
      <c r="D31" s="800">
        <f>'címrend önként'!BS34</f>
        <v>0</v>
      </c>
      <c r="E31" s="800">
        <f>'címrend államig'!BS34</f>
        <v>0</v>
      </c>
      <c r="F31" s="800">
        <f t="shared" si="0"/>
        <v>1596807</v>
      </c>
      <c r="G31" s="800">
        <f>'címrend kötelező'!AZ34</f>
        <v>0</v>
      </c>
      <c r="H31" s="800">
        <f>'címrend önként'!AZ34</f>
        <v>0</v>
      </c>
      <c r="I31" s="800">
        <f>'címrend államig'!AZ34</f>
        <v>0</v>
      </c>
      <c r="J31" s="800">
        <f t="shared" si="1"/>
        <v>0</v>
      </c>
      <c r="K31" s="800">
        <f>'címrend kötelező'!AP34</f>
        <v>4698</v>
      </c>
      <c r="L31" s="800">
        <f>'címrend önként'!AP34</f>
        <v>9879</v>
      </c>
      <c r="M31" s="800">
        <f>'címrend államig'!AP34</f>
        <v>0</v>
      </c>
      <c r="N31" s="800">
        <f t="shared" si="6"/>
        <v>14577</v>
      </c>
      <c r="O31" s="800">
        <f t="shared" si="2"/>
        <v>1601505</v>
      </c>
      <c r="P31" s="800">
        <f t="shared" si="3"/>
        <v>9879</v>
      </c>
      <c r="Q31" s="800">
        <f t="shared" si="4"/>
        <v>0</v>
      </c>
      <c r="R31" s="800">
        <f t="shared" si="5"/>
        <v>1611384</v>
      </c>
    </row>
    <row r="32" spans="1:18" ht="15" customHeight="1" x14ac:dyDescent="0.25">
      <c r="A32" s="28">
        <v>30</v>
      </c>
      <c r="B32" s="16" t="s">
        <v>131</v>
      </c>
      <c r="C32" s="800">
        <f>'címrend kötelező'!BS35</f>
        <v>0</v>
      </c>
      <c r="D32" s="800">
        <f>'címrend önként'!BS35</f>
        <v>0</v>
      </c>
      <c r="E32" s="800">
        <f>'címrend államig'!BS35</f>
        <v>0</v>
      </c>
      <c r="F32" s="800">
        <f t="shared" si="0"/>
        <v>0</v>
      </c>
      <c r="G32" s="800">
        <f>'címrend kötelező'!AZ35</f>
        <v>35000</v>
      </c>
      <c r="H32" s="800">
        <f>'címrend önként'!AZ35</f>
        <v>0</v>
      </c>
      <c r="I32" s="800">
        <f>'címrend államig'!AZ35</f>
        <v>2300</v>
      </c>
      <c r="J32" s="800">
        <f t="shared" si="1"/>
        <v>37300</v>
      </c>
      <c r="K32" s="800">
        <f>'címrend kötelező'!AP35</f>
        <v>8835936</v>
      </c>
      <c r="L32" s="800">
        <f>'címrend önként'!AP35</f>
        <v>0</v>
      </c>
      <c r="M32" s="800">
        <f>'címrend államig'!AP35</f>
        <v>0</v>
      </c>
      <c r="N32" s="800">
        <f t="shared" si="6"/>
        <v>8835936</v>
      </c>
      <c r="O32" s="800">
        <f t="shared" si="2"/>
        <v>8870936</v>
      </c>
      <c r="P32" s="800">
        <f t="shared" si="3"/>
        <v>0</v>
      </c>
      <c r="Q32" s="800">
        <f t="shared" si="4"/>
        <v>2300</v>
      </c>
      <c r="R32" s="800">
        <f t="shared" si="5"/>
        <v>8873236</v>
      </c>
    </row>
    <row r="33" spans="1:18" ht="15" customHeight="1" x14ac:dyDescent="0.25">
      <c r="A33" s="708" t="s">
        <v>132</v>
      </c>
      <c r="B33" s="16" t="s">
        <v>133</v>
      </c>
      <c r="C33" s="800">
        <f>'címrend kötelező'!BS36</f>
        <v>215458</v>
      </c>
      <c r="D33" s="800">
        <f>'címrend önként'!BS36</f>
        <v>44418</v>
      </c>
      <c r="E33" s="800">
        <f>'címrend államig'!BS36</f>
        <v>0</v>
      </c>
      <c r="F33" s="800">
        <f t="shared" si="0"/>
        <v>259876</v>
      </c>
      <c r="G33" s="800">
        <f>'címrend kötelező'!AZ36</f>
        <v>4000</v>
      </c>
      <c r="H33" s="800">
        <f>'címrend önként'!AZ36</f>
        <v>0</v>
      </c>
      <c r="I33" s="800">
        <f>'címrend államig'!AZ36</f>
        <v>1600</v>
      </c>
      <c r="J33" s="800">
        <f t="shared" si="1"/>
        <v>5600</v>
      </c>
      <c r="K33" s="800">
        <f>'címrend kötelező'!AP36</f>
        <v>3796891</v>
      </c>
      <c r="L33" s="800">
        <f>'címrend önként'!AP36</f>
        <v>460229</v>
      </c>
      <c r="M33" s="800">
        <f>'címrend államig'!AP36</f>
        <v>0</v>
      </c>
      <c r="N33" s="800">
        <f t="shared" si="6"/>
        <v>4257120</v>
      </c>
      <c r="O33" s="800">
        <f t="shared" si="2"/>
        <v>4016349</v>
      </c>
      <c r="P33" s="800">
        <f t="shared" si="3"/>
        <v>504647</v>
      </c>
      <c r="Q33" s="800">
        <f t="shared" si="4"/>
        <v>1600</v>
      </c>
      <c r="R33" s="800">
        <f t="shared" si="5"/>
        <v>4522596</v>
      </c>
    </row>
    <row r="34" spans="1:18" s="13" customFormat="1" ht="15" customHeight="1" x14ac:dyDescent="0.25">
      <c r="A34" s="709">
        <v>32</v>
      </c>
      <c r="B34" s="5" t="s">
        <v>134</v>
      </c>
      <c r="C34" s="39">
        <f>'címrend kötelező'!BS37</f>
        <v>0</v>
      </c>
      <c r="D34" s="39">
        <f>'címrend önként'!BS37</f>
        <v>10864</v>
      </c>
      <c r="E34" s="39">
        <f>'címrend államig'!BS37</f>
        <v>0</v>
      </c>
      <c r="F34" s="39">
        <f t="shared" si="0"/>
        <v>10864</v>
      </c>
      <c r="G34" s="39">
        <f>'címrend kötelező'!AZ37</f>
        <v>0</v>
      </c>
      <c r="H34" s="39">
        <f>'címrend önként'!AZ37</f>
        <v>0</v>
      </c>
      <c r="I34" s="39">
        <f>'címrend államig'!AZ37</f>
        <v>0</v>
      </c>
      <c r="J34" s="39">
        <f t="shared" si="1"/>
        <v>0</v>
      </c>
      <c r="K34" s="39">
        <f>'címrend kötelező'!AP37</f>
        <v>135000</v>
      </c>
      <c r="L34" s="39">
        <f>'címrend önként'!AP37</f>
        <v>100000</v>
      </c>
      <c r="M34" s="39">
        <f>'címrend államig'!AP37</f>
        <v>0</v>
      </c>
      <c r="N34" s="39">
        <f t="shared" si="6"/>
        <v>235000</v>
      </c>
      <c r="O34" s="39">
        <f t="shared" si="2"/>
        <v>135000</v>
      </c>
      <c r="P34" s="39">
        <f t="shared" si="3"/>
        <v>110864</v>
      </c>
      <c r="Q34" s="39">
        <f t="shared" si="4"/>
        <v>0</v>
      </c>
      <c r="R34" s="39">
        <f t="shared" si="5"/>
        <v>245864</v>
      </c>
    </row>
    <row r="35" spans="1:18" ht="15" customHeight="1" x14ac:dyDescent="0.25">
      <c r="A35" s="28">
        <v>33</v>
      </c>
      <c r="B35" s="16" t="s">
        <v>135</v>
      </c>
      <c r="C35" s="800">
        <f>'címrend kötelező'!BS38</f>
        <v>0</v>
      </c>
      <c r="D35" s="800">
        <f>'címrend önként'!BS38</f>
        <v>0</v>
      </c>
      <c r="E35" s="800">
        <f>'címrend államig'!BS38</f>
        <v>0</v>
      </c>
      <c r="F35" s="800">
        <f t="shared" si="0"/>
        <v>0</v>
      </c>
      <c r="G35" s="800">
        <f>'címrend kötelező'!AZ38</f>
        <v>0</v>
      </c>
      <c r="H35" s="800">
        <f>'címrend önként'!AZ38</f>
        <v>0</v>
      </c>
      <c r="I35" s="800">
        <f>'címrend államig'!AZ38</f>
        <v>0</v>
      </c>
      <c r="J35" s="800">
        <f t="shared" si="1"/>
        <v>0</v>
      </c>
      <c r="K35" s="800">
        <f>'címrend kötelező'!AP38</f>
        <v>0</v>
      </c>
      <c r="L35" s="800">
        <f>'címrend önként'!AP38</f>
        <v>0</v>
      </c>
      <c r="M35" s="800">
        <f>'címrend államig'!AP38</f>
        <v>0</v>
      </c>
      <c r="N35" s="800">
        <f t="shared" si="6"/>
        <v>0</v>
      </c>
      <c r="O35" s="800">
        <f t="shared" si="2"/>
        <v>0</v>
      </c>
      <c r="P35" s="800">
        <f t="shared" si="3"/>
        <v>0</v>
      </c>
      <c r="Q35" s="800">
        <f t="shared" si="4"/>
        <v>0</v>
      </c>
      <c r="R35" s="800">
        <f t="shared" si="5"/>
        <v>0</v>
      </c>
    </row>
    <row r="36" spans="1:18" ht="15" customHeight="1" x14ac:dyDescent="0.25">
      <c r="A36" s="28">
        <v>34</v>
      </c>
      <c r="B36" s="16" t="s">
        <v>136</v>
      </c>
      <c r="C36" s="800">
        <f>'címrend kötelező'!BS39</f>
        <v>0</v>
      </c>
      <c r="D36" s="800">
        <f>'címrend önként'!BS39</f>
        <v>10864</v>
      </c>
      <c r="E36" s="800">
        <f>'címrend államig'!BS39</f>
        <v>0</v>
      </c>
      <c r="F36" s="800">
        <f t="shared" si="0"/>
        <v>10864</v>
      </c>
      <c r="G36" s="800">
        <f>'címrend kötelező'!AZ39</f>
        <v>0</v>
      </c>
      <c r="H36" s="800">
        <f>'címrend önként'!AZ39</f>
        <v>0</v>
      </c>
      <c r="I36" s="800">
        <f>'címrend államig'!AZ39</f>
        <v>0</v>
      </c>
      <c r="J36" s="800">
        <f t="shared" si="1"/>
        <v>0</v>
      </c>
      <c r="K36" s="800">
        <f>'címrend kötelező'!AP39</f>
        <v>135000</v>
      </c>
      <c r="L36" s="800">
        <f>'címrend önként'!AP39</f>
        <v>100000</v>
      </c>
      <c r="M36" s="800">
        <f>'címrend államig'!AP39</f>
        <v>0</v>
      </c>
      <c r="N36" s="800">
        <f t="shared" si="6"/>
        <v>235000</v>
      </c>
      <c r="O36" s="800">
        <f t="shared" si="2"/>
        <v>135000</v>
      </c>
      <c r="P36" s="800">
        <f t="shared" si="3"/>
        <v>110864</v>
      </c>
      <c r="Q36" s="800">
        <f t="shared" si="4"/>
        <v>0</v>
      </c>
      <c r="R36" s="800">
        <f t="shared" si="5"/>
        <v>245864</v>
      </c>
    </row>
    <row r="37" spans="1:18" s="13" customFormat="1" ht="15" customHeight="1" x14ac:dyDescent="0.25">
      <c r="A37" s="485">
        <v>35</v>
      </c>
      <c r="B37" s="5" t="s">
        <v>1130</v>
      </c>
      <c r="C37" s="39">
        <f>'címrend kötelező'!BS40</f>
        <v>0</v>
      </c>
      <c r="D37" s="39">
        <f>'címrend önként'!BS40</f>
        <v>0</v>
      </c>
      <c r="E37" s="39">
        <f>'címrend államig'!BS40</f>
        <v>0</v>
      </c>
      <c r="F37" s="39">
        <f t="shared" si="0"/>
        <v>0</v>
      </c>
      <c r="G37" s="39">
        <f>'címrend kötelező'!AZ40</f>
        <v>0</v>
      </c>
      <c r="H37" s="39">
        <f>'címrend önként'!AZ40</f>
        <v>0</v>
      </c>
      <c r="I37" s="39">
        <f>'címrend államig'!AZ40</f>
        <v>0</v>
      </c>
      <c r="J37" s="39">
        <f t="shared" si="1"/>
        <v>0</v>
      </c>
      <c r="K37" s="39">
        <f>'címrend kötelező'!AP40</f>
        <v>0</v>
      </c>
      <c r="L37" s="39">
        <f>'címrend önként'!AP40</f>
        <v>1142150</v>
      </c>
      <c r="M37" s="39">
        <f>'címrend államig'!AP40</f>
        <v>0</v>
      </c>
      <c r="N37" s="39">
        <f t="shared" si="6"/>
        <v>1142150</v>
      </c>
      <c r="O37" s="39">
        <f t="shared" si="2"/>
        <v>0</v>
      </c>
      <c r="P37" s="39">
        <f t="shared" si="3"/>
        <v>1142150</v>
      </c>
      <c r="Q37" s="39">
        <f t="shared" si="4"/>
        <v>0</v>
      </c>
      <c r="R37" s="39">
        <f t="shared" si="5"/>
        <v>1142150</v>
      </c>
    </row>
    <row r="38" spans="1:18" s="13" customFormat="1" ht="15" customHeight="1" x14ac:dyDescent="0.25">
      <c r="A38" s="712" t="s">
        <v>137</v>
      </c>
      <c r="B38" s="5" t="s">
        <v>1129</v>
      </c>
      <c r="C38" s="39">
        <f>'címrend kötelező'!BS41</f>
        <v>0</v>
      </c>
      <c r="D38" s="39">
        <f>'címrend önként'!BS41</f>
        <v>0</v>
      </c>
      <c r="E38" s="39">
        <f>'címrend államig'!BS41</f>
        <v>0</v>
      </c>
      <c r="F38" s="39">
        <f t="shared" si="0"/>
        <v>0</v>
      </c>
      <c r="G38" s="39">
        <f>'címrend kötelező'!AZ41</f>
        <v>0</v>
      </c>
      <c r="H38" s="39">
        <f>'címrend önként'!AZ41</f>
        <v>0</v>
      </c>
      <c r="I38" s="39">
        <f>'címrend államig'!AZ41</f>
        <v>0</v>
      </c>
      <c r="J38" s="39">
        <f t="shared" si="1"/>
        <v>0</v>
      </c>
      <c r="K38" s="39">
        <f>'címrend kötelező'!AP41</f>
        <v>0</v>
      </c>
      <c r="L38" s="39">
        <f>'címrend önként'!AP41</f>
        <v>0</v>
      </c>
      <c r="M38" s="39">
        <f>'címrend államig'!AP41</f>
        <v>0</v>
      </c>
      <c r="N38" s="39">
        <f t="shared" si="6"/>
        <v>0</v>
      </c>
      <c r="O38" s="39">
        <f t="shared" si="2"/>
        <v>0</v>
      </c>
      <c r="P38" s="39">
        <f t="shared" si="3"/>
        <v>0</v>
      </c>
      <c r="Q38" s="39">
        <f t="shared" si="4"/>
        <v>0</v>
      </c>
      <c r="R38" s="39">
        <f t="shared" si="5"/>
        <v>0</v>
      </c>
    </row>
    <row r="39" spans="1:18" ht="15" customHeight="1" x14ac:dyDescent="0.25">
      <c r="A39" s="28">
        <v>37</v>
      </c>
      <c r="B39" s="16" t="s">
        <v>138</v>
      </c>
      <c r="C39" s="800">
        <f>'címrend kötelező'!BS42</f>
        <v>0</v>
      </c>
      <c r="D39" s="800">
        <f>'címrend önként'!BS42</f>
        <v>0</v>
      </c>
      <c r="E39" s="800">
        <f>'címrend államig'!BS42</f>
        <v>0</v>
      </c>
      <c r="F39" s="800">
        <f t="shared" si="0"/>
        <v>0</v>
      </c>
      <c r="G39" s="800">
        <f>'címrend kötelező'!AZ42</f>
        <v>0</v>
      </c>
      <c r="H39" s="800">
        <f>'címrend önként'!AZ42</f>
        <v>0</v>
      </c>
      <c r="I39" s="800">
        <f>'címrend államig'!AZ42</f>
        <v>0</v>
      </c>
      <c r="J39" s="800">
        <f t="shared" si="1"/>
        <v>0</v>
      </c>
      <c r="K39" s="800">
        <f>'címrend kötelező'!AP42</f>
        <v>0</v>
      </c>
      <c r="L39" s="800">
        <f>'címrend önként'!AP42</f>
        <v>0</v>
      </c>
      <c r="M39" s="800">
        <f>'címrend államig'!AP42</f>
        <v>0</v>
      </c>
      <c r="N39" s="800">
        <f t="shared" si="6"/>
        <v>0</v>
      </c>
      <c r="O39" s="800">
        <f t="shared" si="2"/>
        <v>0</v>
      </c>
      <c r="P39" s="800">
        <f t="shared" si="3"/>
        <v>0</v>
      </c>
      <c r="Q39" s="800">
        <f t="shared" si="4"/>
        <v>0</v>
      </c>
      <c r="R39" s="800">
        <f t="shared" si="5"/>
        <v>0</v>
      </c>
    </row>
    <row r="40" spans="1:18" ht="15" customHeight="1" x14ac:dyDescent="0.25">
      <c r="A40" s="708" t="s">
        <v>298</v>
      </c>
      <c r="B40" s="16" t="s">
        <v>140</v>
      </c>
      <c r="C40" s="800">
        <f>'címrend kötelező'!BS43</f>
        <v>0</v>
      </c>
      <c r="D40" s="800">
        <f>'címrend önként'!BS43</f>
        <v>0</v>
      </c>
      <c r="E40" s="800">
        <f>'címrend államig'!BS43</f>
        <v>0</v>
      </c>
      <c r="F40" s="800">
        <f t="shared" si="0"/>
        <v>0</v>
      </c>
      <c r="G40" s="800">
        <f>'címrend kötelező'!AZ43</f>
        <v>0</v>
      </c>
      <c r="H40" s="800">
        <f>'címrend önként'!AZ43</f>
        <v>0</v>
      </c>
      <c r="I40" s="800">
        <f>'címrend államig'!AZ43</f>
        <v>0</v>
      </c>
      <c r="J40" s="800">
        <f t="shared" si="1"/>
        <v>0</v>
      </c>
      <c r="K40" s="800">
        <f>'címrend kötelező'!AP43</f>
        <v>0</v>
      </c>
      <c r="L40" s="800">
        <f>'címrend önként'!AP43</f>
        <v>0</v>
      </c>
      <c r="M40" s="800">
        <f>'címrend államig'!AP43</f>
        <v>0</v>
      </c>
      <c r="N40" s="800">
        <f t="shared" si="6"/>
        <v>0</v>
      </c>
      <c r="O40" s="800">
        <f t="shared" si="2"/>
        <v>0</v>
      </c>
      <c r="P40" s="800">
        <f t="shared" si="3"/>
        <v>0</v>
      </c>
      <c r="Q40" s="800">
        <f t="shared" si="4"/>
        <v>0</v>
      </c>
      <c r="R40" s="800">
        <f t="shared" si="5"/>
        <v>0</v>
      </c>
    </row>
    <row r="41" spans="1:18" ht="15" customHeight="1" x14ac:dyDescent="0.25">
      <c r="A41" s="28">
        <v>39</v>
      </c>
      <c r="B41" s="16" t="s">
        <v>141</v>
      </c>
      <c r="C41" s="481">
        <f>'címrend kötelező'!BS44</f>
        <v>0</v>
      </c>
      <c r="D41" s="481">
        <f>'címrend önként'!BS44</f>
        <v>0</v>
      </c>
      <c r="E41" s="481">
        <f>'címrend államig'!BS44</f>
        <v>0</v>
      </c>
      <c r="F41" s="481">
        <f t="shared" si="0"/>
        <v>0</v>
      </c>
      <c r="G41" s="481">
        <f>'címrend kötelező'!AZ44</f>
        <v>0</v>
      </c>
      <c r="H41" s="481">
        <f>'címrend önként'!AZ44</f>
        <v>0</v>
      </c>
      <c r="I41" s="481">
        <f>'címrend államig'!AZ44</f>
        <v>0</v>
      </c>
      <c r="J41" s="481">
        <f t="shared" si="1"/>
        <v>0</v>
      </c>
      <c r="K41" s="481">
        <f>'címrend kötelező'!AP44</f>
        <v>0</v>
      </c>
      <c r="L41" s="481">
        <f>'címrend önként'!AP44</f>
        <v>0</v>
      </c>
      <c r="M41" s="481">
        <f>'címrend államig'!AP44</f>
        <v>0</v>
      </c>
      <c r="N41" s="481">
        <f t="shared" si="6"/>
        <v>0</v>
      </c>
      <c r="O41" s="481">
        <f t="shared" si="2"/>
        <v>0</v>
      </c>
      <c r="P41" s="481">
        <f t="shared" si="3"/>
        <v>0</v>
      </c>
      <c r="Q41" s="481">
        <f t="shared" si="4"/>
        <v>0</v>
      </c>
      <c r="R41" s="481">
        <f t="shared" si="5"/>
        <v>0</v>
      </c>
    </row>
    <row r="42" spans="1:18" ht="15" customHeight="1" x14ac:dyDescent="0.25">
      <c r="A42" s="708" t="s">
        <v>299</v>
      </c>
      <c r="B42" s="16" t="s">
        <v>143</v>
      </c>
      <c r="C42" s="481">
        <f>'címrend kötelező'!BS45</f>
        <v>0</v>
      </c>
      <c r="D42" s="481">
        <f>'címrend önként'!BS45</f>
        <v>0</v>
      </c>
      <c r="E42" s="481">
        <f>'címrend államig'!BS45</f>
        <v>0</v>
      </c>
      <c r="F42" s="481">
        <f t="shared" si="0"/>
        <v>0</v>
      </c>
      <c r="G42" s="481">
        <f>'címrend kötelező'!AZ45</f>
        <v>0</v>
      </c>
      <c r="H42" s="481">
        <f>'címrend önként'!AZ45</f>
        <v>0</v>
      </c>
      <c r="I42" s="481">
        <f>'címrend államig'!AZ45</f>
        <v>0</v>
      </c>
      <c r="J42" s="481">
        <f t="shared" si="1"/>
        <v>0</v>
      </c>
      <c r="K42" s="481">
        <f>'címrend kötelező'!AP45</f>
        <v>0</v>
      </c>
      <c r="L42" s="481">
        <f>'címrend önként'!AP45</f>
        <v>0</v>
      </c>
      <c r="M42" s="481">
        <f>'címrend államig'!AP45</f>
        <v>0</v>
      </c>
      <c r="N42" s="481">
        <f t="shared" si="6"/>
        <v>0</v>
      </c>
      <c r="O42" s="481">
        <f t="shared" si="2"/>
        <v>0</v>
      </c>
      <c r="P42" s="481">
        <f t="shared" si="3"/>
        <v>0</v>
      </c>
      <c r="Q42" s="481">
        <f t="shared" si="4"/>
        <v>0</v>
      </c>
      <c r="R42" s="481">
        <f t="shared" si="5"/>
        <v>0</v>
      </c>
    </row>
    <row r="43" spans="1:18" ht="15" customHeight="1" x14ac:dyDescent="0.25">
      <c r="A43" s="28">
        <v>41</v>
      </c>
      <c r="B43" s="16" t="s">
        <v>144</v>
      </c>
      <c r="C43" s="800">
        <f>'címrend kötelező'!BS46</f>
        <v>0</v>
      </c>
      <c r="D43" s="800">
        <f>'címrend önként'!BS46</f>
        <v>0</v>
      </c>
      <c r="E43" s="800">
        <f>'címrend államig'!BS46</f>
        <v>0</v>
      </c>
      <c r="F43" s="800">
        <f t="shared" si="0"/>
        <v>0</v>
      </c>
      <c r="G43" s="800">
        <f>'címrend kötelező'!AZ46</f>
        <v>0</v>
      </c>
      <c r="H43" s="800">
        <f>'címrend önként'!AZ46</f>
        <v>0</v>
      </c>
      <c r="I43" s="800">
        <f>'címrend államig'!AZ46</f>
        <v>0</v>
      </c>
      <c r="J43" s="800">
        <f t="shared" si="1"/>
        <v>0</v>
      </c>
      <c r="K43" s="800">
        <f>'címrend kötelező'!AP46</f>
        <v>0</v>
      </c>
      <c r="L43" s="800">
        <f>'címrend önként'!AP46</f>
        <v>791850</v>
      </c>
      <c r="M43" s="800">
        <f>'címrend államig'!AP46</f>
        <v>0</v>
      </c>
      <c r="N43" s="800">
        <f t="shared" si="6"/>
        <v>791850</v>
      </c>
      <c r="O43" s="800">
        <f t="shared" si="2"/>
        <v>0</v>
      </c>
      <c r="P43" s="800">
        <f t="shared" si="3"/>
        <v>791850</v>
      </c>
      <c r="Q43" s="800">
        <f t="shared" si="4"/>
        <v>0</v>
      </c>
      <c r="R43" s="800">
        <f t="shared" si="5"/>
        <v>791850</v>
      </c>
    </row>
    <row r="44" spans="1:18" ht="15" customHeight="1" x14ac:dyDescent="0.25">
      <c r="A44" s="708" t="s">
        <v>300</v>
      </c>
      <c r="B44" s="16" t="s">
        <v>146</v>
      </c>
      <c r="C44" s="800">
        <f>'címrend kötelező'!BS47</f>
        <v>0</v>
      </c>
      <c r="D44" s="800">
        <f>'címrend önként'!BS47</f>
        <v>0</v>
      </c>
      <c r="E44" s="800">
        <f>'címrend államig'!BS47</f>
        <v>0</v>
      </c>
      <c r="F44" s="800">
        <f t="shared" si="0"/>
        <v>0</v>
      </c>
      <c r="G44" s="800">
        <f>'címrend kötelező'!AZ47</f>
        <v>0</v>
      </c>
      <c r="H44" s="800">
        <f>'címrend önként'!AZ47</f>
        <v>0</v>
      </c>
      <c r="I44" s="800">
        <f>'címrend államig'!AZ47</f>
        <v>0</v>
      </c>
      <c r="J44" s="800">
        <f t="shared" si="1"/>
        <v>0</v>
      </c>
      <c r="K44" s="800">
        <f>'címrend kötelező'!AP47</f>
        <v>0</v>
      </c>
      <c r="L44" s="800">
        <f>'címrend önként'!AP47</f>
        <v>0</v>
      </c>
      <c r="M44" s="800">
        <f>'címrend államig'!AP47</f>
        <v>0</v>
      </c>
      <c r="N44" s="800">
        <f t="shared" si="6"/>
        <v>0</v>
      </c>
      <c r="O44" s="800">
        <f t="shared" si="2"/>
        <v>0</v>
      </c>
      <c r="P44" s="800">
        <f t="shared" si="3"/>
        <v>0</v>
      </c>
      <c r="Q44" s="800">
        <f t="shared" si="4"/>
        <v>0</v>
      </c>
      <c r="R44" s="800">
        <f t="shared" si="5"/>
        <v>0</v>
      </c>
    </row>
    <row r="45" spans="1:18" ht="15" customHeight="1" x14ac:dyDescent="0.25">
      <c r="A45" s="28">
        <v>43</v>
      </c>
      <c r="B45" s="16" t="s">
        <v>147</v>
      </c>
      <c r="C45" s="800">
        <f>'címrend kötelező'!BS48</f>
        <v>0</v>
      </c>
      <c r="D45" s="800">
        <f>'címrend önként'!BS48</f>
        <v>0</v>
      </c>
      <c r="E45" s="800">
        <f>'címrend államig'!BS48</f>
        <v>0</v>
      </c>
      <c r="F45" s="800">
        <f t="shared" si="0"/>
        <v>0</v>
      </c>
      <c r="G45" s="800">
        <f>'címrend kötelező'!AZ48</f>
        <v>0</v>
      </c>
      <c r="H45" s="800">
        <f>'címrend önként'!AZ48</f>
        <v>0</v>
      </c>
      <c r="I45" s="800">
        <f>'címrend államig'!AZ48</f>
        <v>0</v>
      </c>
      <c r="J45" s="800">
        <f t="shared" si="1"/>
        <v>0</v>
      </c>
      <c r="K45" s="800">
        <f>'címrend kötelező'!AP48</f>
        <v>0</v>
      </c>
      <c r="L45" s="800">
        <f>'címrend önként'!AP48</f>
        <v>0</v>
      </c>
      <c r="M45" s="800">
        <f>'címrend államig'!AP48</f>
        <v>0</v>
      </c>
      <c r="N45" s="800">
        <f t="shared" si="6"/>
        <v>0</v>
      </c>
      <c r="O45" s="800">
        <f t="shared" si="2"/>
        <v>0</v>
      </c>
      <c r="P45" s="800">
        <f t="shared" si="3"/>
        <v>0</v>
      </c>
      <c r="Q45" s="800">
        <f t="shared" si="4"/>
        <v>0</v>
      </c>
      <c r="R45" s="800">
        <f t="shared" si="5"/>
        <v>0</v>
      </c>
    </row>
    <row r="46" spans="1:18" s="13" customFormat="1" ht="15" customHeight="1" x14ac:dyDescent="0.25">
      <c r="A46" s="712" t="s">
        <v>301</v>
      </c>
      <c r="B46" s="5" t="s">
        <v>798</v>
      </c>
      <c r="C46" s="39">
        <f>'címrend kötelező'!BS49</f>
        <v>0</v>
      </c>
      <c r="D46" s="39">
        <f>'címrend önként'!BS49</f>
        <v>0</v>
      </c>
      <c r="E46" s="39">
        <f>'címrend államig'!BS49</f>
        <v>0</v>
      </c>
      <c r="F46" s="39">
        <f t="shared" si="0"/>
        <v>0</v>
      </c>
      <c r="G46" s="39">
        <f>'címrend kötelező'!AZ49</f>
        <v>0</v>
      </c>
      <c r="H46" s="39">
        <f>'címrend önként'!AZ49</f>
        <v>0</v>
      </c>
      <c r="I46" s="39">
        <f>'címrend államig'!AZ49</f>
        <v>0</v>
      </c>
      <c r="J46" s="39">
        <f t="shared" si="1"/>
        <v>0</v>
      </c>
      <c r="K46" s="39">
        <f>'címrend kötelező'!AP49</f>
        <v>0</v>
      </c>
      <c r="L46" s="39">
        <f>'címrend önként'!AP49</f>
        <v>350300</v>
      </c>
      <c r="M46" s="39">
        <f>'címrend államig'!AP49</f>
        <v>0</v>
      </c>
      <c r="N46" s="39">
        <f t="shared" si="6"/>
        <v>350300</v>
      </c>
      <c r="O46" s="39">
        <f t="shared" si="2"/>
        <v>0</v>
      </c>
      <c r="P46" s="39">
        <f t="shared" si="3"/>
        <v>350300</v>
      </c>
      <c r="Q46" s="39">
        <f t="shared" si="4"/>
        <v>0</v>
      </c>
      <c r="R46" s="39">
        <f t="shared" si="5"/>
        <v>350300</v>
      </c>
    </row>
    <row r="47" spans="1:18" ht="15" customHeight="1" x14ac:dyDescent="0.25">
      <c r="A47" s="28">
        <v>45</v>
      </c>
      <c r="B47" s="16" t="s">
        <v>149</v>
      </c>
      <c r="C47" s="800">
        <f>'címrend kötelező'!BS50</f>
        <v>0</v>
      </c>
      <c r="D47" s="800">
        <f>'címrend önként'!BS50</f>
        <v>0</v>
      </c>
      <c r="E47" s="800">
        <f>'címrend államig'!BS50</f>
        <v>0</v>
      </c>
      <c r="F47" s="800">
        <f t="shared" si="0"/>
        <v>0</v>
      </c>
      <c r="G47" s="800">
        <f>'címrend kötelező'!AZ50</f>
        <v>0</v>
      </c>
      <c r="H47" s="800">
        <f>'címrend önként'!AZ50</f>
        <v>0</v>
      </c>
      <c r="I47" s="800">
        <f>'címrend államig'!AZ50</f>
        <v>0</v>
      </c>
      <c r="J47" s="800">
        <f t="shared" si="1"/>
        <v>0</v>
      </c>
      <c r="K47" s="800">
        <f>'címrend kötelező'!AP50</f>
        <v>0</v>
      </c>
      <c r="L47" s="800">
        <f>'címrend önként'!AP50</f>
        <v>350300</v>
      </c>
      <c r="M47" s="800">
        <f>'címrend államig'!AP50</f>
        <v>0</v>
      </c>
      <c r="N47" s="800">
        <f t="shared" si="6"/>
        <v>350300</v>
      </c>
      <c r="O47" s="800">
        <f t="shared" si="2"/>
        <v>0</v>
      </c>
      <c r="P47" s="800">
        <f t="shared" si="3"/>
        <v>350300</v>
      </c>
      <c r="Q47" s="800">
        <f t="shared" si="4"/>
        <v>0</v>
      </c>
      <c r="R47" s="800">
        <f t="shared" si="5"/>
        <v>350300</v>
      </c>
    </row>
    <row r="48" spans="1:18" ht="15" customHeight="1" x14ac:dyDescent="0.25">
      <c r="A48" s="708" t="s">
        <v>151</v>
      </c>
      <c r="B48" s="16" t="s">
        <v>150</v>
      </c>
      <c r="C48" s="800">
        <f>'címrend kötelező'!BS51</f>
        <v>0</v>
      </c>
      <c r="D48" s="800">
        <f>'címrend önként'!BS51</f>
        <v>0</v>
      </c>
      <c r="E48" s="800">
        <f>'címrend államig'!BS51</f>
        <v>0</v>
      </c>
      <c r="F48" s="800">
        <f t="shared" si="0"/>
        <v>0</v>
      </c>
      <c r="G48" s="800">
        <f>'címrend kötelező'!AZ51</f>
        <v>0</v>
      </c>
      <c r="H48" s="800">
        <f>'címrend önként'!AZ51</f>
        <v>0</v>
      </c>
      <c r="I48" s="800">
        <f>'címrend államig'!AZ51</f>
        <v>0</v>
      </c>
      <c r="J48" s="800">
        <f t="shared" si="1"/>
        <v>0</v>
      </c>
      <c r="K48" s="800">
        <f>'címrend kötelező'!AP51</f>
        <v>0</v>
      </c>
      <c r="L48" s="800">
        <f>'címrend önként'!AP51</f>
        <v>0</v>
      </c>
      <c r="M48" s="800">
        <f>'címrend államig'!AP51</f>
        <v>0</v>
      </c>
      <c r="N48" s="800">
        <f t="shared" si="6"/>
        <v>0</v>
      </c>
      <c r="O48" s="800">
        <f t="shared" si="2"/>
        <v>0</v>
      </c>
      <c r="P48" s="800">
        <f t="shared" si="3"/>
        <v>0</v>
      </c>
      <c r="Q48" s="800">
        <f t="shared" si="4"/>
        <v>0</v>
      </c>
      <c r="R48" s="800">
        <f t="shared" si="5"/>
        <v>0</v>
      </c>
    </row>
    <row r="49" spans="1:18" s="13" customFormat="1" ht="15" customHeight="1" x14ac:dyDescent="0.25">
      <c r="A49" s="713" t="s">
        <v>302</v>
      </c>
      <c r="B49" s="5" t="s">
        <v>152</v>
      </c>
      <c r="C49" s="39">
        <f>'címrend kötelező'!BS52</f>
        <v>1812265</v>
      </c>
      <c r="D49" s="39">
        <f>'címrend önként'!BS52</f>
        <v>55282</v>
      </c>
      <c r="E49" s="39">
        <f>'címrend államig'!BS52</f>
        <v>0</v>
      </c>
      <c r="F49" s="39">
        <f t="shared" si="0"/>
        <v>1867547</v>
      </c>
      <c r="G49" s="39">
        <f>'címrend kötelező'!AZ52</f>
        <v>39000</v>
      </c>
      <c r="H49" s="39">
        <f>'címrend önként'!AZ52</f>
        <v>0</v>
      </c>
      <c r="I49" s="39">
        <f>'címrend államig'!AZ52</f>
        <v>3900</v>
      </c>
      <c r="J49" s="39">
        <f t="shared" si="1"/>
        <v>42900</v>
      </c>
      <c r="K49" s="39">
        <f>'címrend kötelező'!AP52</f>
        <v>14792199.764</v>
      </c>
      <c r="L49" s="39">
        <f>'címrend önként'!AP52</f>
        <v>1712258</v>
      </c>
      <c r="M49" s="39">
        <f>'címrend államig'!AP52</f>
        <v>0</v>
      </c>
      <c r="N49" s="39">
        <f t="shared" si="6"/>
        <v>16504457.764</v>
      </c>
      <c r="O49" s="39">
        <f t="shared" si="2"/>
        <v>16643464.764</v>
      </c>
      <c r="P49" s="39">
        <f t="shared" si="3"/>
        <v>1767540</v>
      </c>
      <c r="Q49" s="39">
        <f t="shared" si="4"/>
        <v>3900</v>
      </c>
      <c r="R49" s="39">
        <f t="shared" si="5"/>
        <v>18414904.763999999</v>
      </c>
    </row>
    <row r="50" spans="1:18" s="13" customFormat="1" ht="15" customHeight="1" x14ac:dyDescent="0.25">
      <c r="A50" s="484" t="s">
        <v>331</v>
      </c>
      <c r="B50" s="5" t="s">
        <v>799</v>
      </c>
      <c r="C50" s="39">
        <f>'címrend kötelező'!BS53</f>
        <v>0</v>
      </c>
      <c r="D50" s="39">
        <f>'címrend önként'!BS53</f>
        <v>0</v>
      </c>
      <c r="E50" s="39">
        <f>'címrend államig'!BS53</f>
        <v>0</v>
      </c>
      <c r="F50" s="39">
        <f t="shared" si="0"/>
        <v>0</v>
      </c>
      <c r="G50" s="39">
        <f>'címrend kötelező'!AZ53</f>
        <v>0</v>
      </c>
      <c r="H50" s="39">
        <f>'címrend önként'!AZ53</f>
        <v>0</v>
      </c>
      <c r="I50" s="39">
        <f>'címrend államig'!AZ53</f>
        <v>0</v>
      </c>
      <c r="J50" s="39">
        <f t="shared" si="1"/>
        <v>0</v>
      </c>
      <c r="K50" s="39">
        <f>'címrend kötelező'!AP53</f>
        <v>5939710</v>
      </c>
      <c r="L50" s="39">
        <f>'címrend önként'!AP53</f>
        <v>712623</v>
      </c>
      <c r="M50" s="39">
        <f>'címrend államig'!AP53</f>
        <v>266242</v>
      </c>
      <c r="N50" s="39">
        <f t="shared" si="6"/>
        <v>6918575</v>
      </c>
      <c r="O50" s="39">
        <f t="shared" si="2"/>
        <v>5939710</v>
      </c>
      <c r="P50" s="39">
        <f t="shared" si="3"/>
        <v>712623</v>
      </c>
      <c r="Q50" s="39">
        <f t="shared" si="4"/>
        <v>266242</v>
      </c>
      <c r="R50" s="39">
        <f t="shared" si="5"/>
        <v>6918575</v>
      </c>
    </row>
    <row r="51" spans="1:18" s="13" customFormat="1" ht="15" customHeight="1" x14ac:dyDescent="0.25">
      <c r="A51" s="709">
        <v>49</v>
      </c>
      <c r="B51" s="5" t="s">
        <v>800</v>
      </c>
      <c r="C51" s="39">
        <f>'címrend kötelező'!BS54</f>
        <v>0</v>
      </c>
      <c r="D51" s="39">
        <f>'címrend önként'!BS54</f>
        <v>0</v>
      </c>
      <c r="E51" s="39">
        <f>'címrend államig'!BS54</f>
        <v>0</v>
      </c>
      <c r="F51" s="39">
        <f t="shared" si="0"/>
        <v>0</v>
      </c>
      <c r="G51" s="39">
        <f>'címrend kötelező'!AZ54</f>
        <v>0</v>
      </c>
      <c r="H51" s="39">
        <f>'címrend önként'!AZ54</f>
        <v>0</v>
      </c>
      <c r="I51" s="39">
        <f>'címrend államig'!AZ54</f>
        <v>0</v>
      </c>
      <c r="J51" s="39">
        <f t="shared" si="1"/>
        <v>0</v>
      </c>
      <c r="K51" s="39">
        <f>'címrend kötelező'!AP54</f>
        <v>5872663</v>
      </c>
      <c r="L51" s="39">
        <f>'címrend önként'!AP54</f>
        <v>710749</v>
      </c>
      <c r="M51" s="39">
        <f>'címrend államig'!AP54</f>
        <v>266242</v>
      </c>
      <c r="N51" s="39">
        <f t="shared" si="6"/>
        <v>6849654</v>
      </c>
      <c r="O51" s="39">
        <f t="shared" si="2"/>
        <v>5872663</v>
      </c>
      <c r="P51" s="39">
        <f t="shared" si="3"/>
        <v>710749</v>
      </c>
      <c r="Q51" s="39">
        <f t="shared" si="4"/>
        <v>266242</v>
      </c>
      <c r="R51" s="39">
        <f t="shared" si="5"/>
        <v>6849654</v>
      </c>
    </row>
    <row r="52" spans="1:18" s="13" customFormat="1" ht="15" customHeight="1" x14ac:dyDescent="0.25">
      <c r="A52" s="708" t="s">
        <v>303</v>
      </c>
      <c r="B52" s="16" t="s">
        <v>153</v>
      </c>
      <c r="C52" s="800">
        <f>'címrend kötelező'!BS55</f>
        <v>0</v>
      </c>
      <c r="D52" s="800">
        <f>'címrend önként'!BS55</f>
        <v>0</v>
      </c>
      <c r="E52" s="800">
        <f>'címrend államig'!BS55</f>
        <v>0</v>
      </c>
      <c r="F52" s="800">
        <f t="shared" si="0"/>
        <v>0</v>
      </c>
      <c r="G52" s="800">
        <f>'címrend kötelező'!AZ55</f>
        <v>0</v>
      </c>
      <c r="H52" s="800">
        <f>'címrend önként'!AZ55</f>
        <v>0</v>
      </c>
      <c r="I52" s="800">
        <f>'címrend államig'!AZ55</f>
        <v>0</v>
      </c>
      <c r="J52" s="800">
        <f t="shared" si="1"/>
        <v>0</v>
      </c>
      <c r="K52" s="800">
        <f>'címrend kötelező'!AP55</f>
        <v>0</v>
      </c>
      <c r="L52" s="800">
        <f>'címrend önként'!AP55</f>
        <v>0</v>
      </c>
      <c r="M52" s="800">
        <f>'címrend államig'!AP55</f>
        <v>0</v>
      </c>
      <c r="N52" s="800">
        <f t="shared" si="6"/>
        <v>0</v>
      </c>
      <c r="O52" s="800">
        <f t="shared" si="2"/>
        <v>0</v>
      </c>
      <c r="P52" s="800">
        <f t="shared" si="3"/>
        <v>0</v>
      </c>
      <c r="Q52" s="800">
        <f t="shared" si="4"/>
        <v>0</v>
      </c>
      <c r="R52" s="800">
        <f t="shared" si="5"/>
        <v>0</v>
      </c>
    </row>
    <row r="53" spans="1:18" s="13" customFormat="1" ht="15" customHeight="1" x14ac:dyDescent="0.25">
      <c r="A53" s="28">
        <v>51</v>
      </c>
      <c r="B53" s="16" t="s">
        <v>154</v>
      </c>
      <c r="C53" s="800">
        <f>'címrend kötelező'!BS56</f>
        <v>0</v>
      </c>
      <c r="D53" s="800">
        <f>'címrend önként'!BS56</f>
        <v>0</v>
      </c>
      <c r="E53" s="800">
        <f>'címrend államig'!BS56</f>
        <v>0</v>
      </c>
      <c r="F53" s="800">
        <f t="shared" si="0"/>
        <v>0</v>
      </c>
      <c r="G53" s="800">
        <f>'címrend kötelező'!AZ56</f>
        <v>0</v>
      </c>
      <c r="H53" s="800">
        <f>'címrend önként'!AZ56</f>
        <v>0</v>
      </c>
      <c r="I53" s="800">
        <f>'címrend államig'!AZ56</f>
        <v>0</v>
      </c>
      <c r="J53" s="800">
        <f t="shared" si="1"/>
        <v>0</v>
      </c>
      <c r="K53" s="800">
        <f>'címrend kötelező'!AP56</f>
        <v>0</v>
      </c>
      <c r="L53" s="800">
        <f>'címrend önként'!AP56</f>
        <v>0</v>
      </c>
      <c r="M53" s="800">
        <f>'címrend államig'!AP56</f>
        <v>0</v>
      </c>
      <c r="N53" s="800">
        <f t="shared" si="6"/>
        <v>0</v>
      </c>
      <c r="O53" s="800">
        <f t="shared" si="2"/>
        <v>0</v>
      </c>
      <c r="P53" s="800">
        <f t="shared" si="3"/>
        <v>0</v>
      </c>
      <c r="Q53" s="800">
        <f t="shared" si="4"/>
        <v>0</v>
      </c>
      <c r="R53" s="800">
        <f t="shared" si="5"/>
        <v>0</v>
      </c>
    </row>
    <row r="54" spans="1:18" ht="15" customHeight="1" x14ac:dyDescent="0.25">
      <c r="A54" s="708" t="s">
        <v>304</v>
      </c>
      <c r="B54" s="18" t="s">
        <v>155</v>
      </c>
      <c r="C54" s="800">
        <f>'címrend kötelező'!BS57</f>
        <v>0</v>
      </c>
      <c r="D54" s="800">
        <f>'címrend önként'!BS57</f>
        <v>0</v>
      </c>
      <c r="E54" s="800">
        <f>'címrend államig'!BS57</f>
        <v>0</v>
      </c>
      <c r="F54" s="800">
        <f t="shared" si="0"/>
        <v>0</v>
      </c>
      <c r="G54" s="800">
        <f>'címrend kötelező'!AZ57</f>
        <v>0</v>
      </c>
      <c r="H54" s="800">
        <f>'címrend önként'!AZ57</f>
        <v>0</v>
      </c>
      <c r="I54" s="800">
        <f>'címrend államig'!AZ57</f>
        <v>0</v>
      </c>
      <c r="J54" s="800">
        <f t="shared" si="1"/>
        <v>0</v>
      </c>
      <c r="K54" s="800">
        <f>'címrend kötelező'!AP57</f>
        <v>5872663</v>
      </c>
      <c r="L54" s="800">
        <f>'címrend önként'!AP57</f>
        <v>710749</v>
      </c>
      <c r="M54" s="800">
        <f>'címrend államig'!AP57</f>
        <v>266242</v>
      </c>
      <c r="N54" s="800">
        <f t="shared" si="6"/>
        <v>6849654</v>
      </c>
      <c r="O54" s="800">
        <f t="shared" si="2"/>
        <v>5872663</v>
      </c>
      <c r="P54" s="800">
        <f t="shared" si="3"/>
        <v>710749</v>
      </c>
      <c r="Q54" s="800">
        <f t="shared" si="4"/>
        <v>266242</v>
      </c>
      <c r="R54" s="800">
        <f t="shared" si="5"/>
        <v>6849654</v>
      </c>
    </row>
    <row r="55" spans="1:18" s="13" customFormat="1" ht="15" customHeight="1" x14ac:dyDescent="0.25">
      <c r="A55" s="709">
        <v>53</v>
      </c>
      <c r="B55" s="5" t="s">
        <v>801</v>
      </c>
      <c r="C55" s="39">
        <f>'címrend kötelező'!BS58</f>
        <v>0</v>
      </c>
      <c r="D55" s="39">
        <f>'címrend önként'!BS58</f>
        <v>0</v>
      </c>
      <c r="E55" s="39">
        <f>'címrend államig'!BS58</f>
        <v>0</v>
      </c>
      <c r="F55" s="39">
        <f t="shared" si="0"/>
        <v>0</v>
      </c>
      <c r="G55" s="39">
        <f>'címrend kötelező'!AZ58</f>
        <v>0</v>
      </c>
      <c r="H55" s="39">
        <f>'címrend önként'!AZ58</f>
        <v>0</v>
      </c>
      <c r="I55" s="39">
        <f>'címrend államig'!AZ58</f>
        <v>0</v>
      </c>
      <c r="J55" s="39">
        <f t="shared" si="1"/>
        <v>0</v>
      </c>
      <c r="K55" s="39">
        <f>'címrend kötelező'!AP58</f>
        <v>67047</v>
      </c>
      <c r="L55" s="39">
        <f>'címrend önként'!AP58</f>
        <v>1874</v>
      </c>
      <c r="M55" s="39">
        <f>'címrend államig'!AP58</f>
        <v>0</v>
      </c>
      <c r="N55" s="39">
        <f t="shared" si="6"/>
        <v>68921</v>
      </c>
      <c r="O55" s="39">
        <f t="shared" si="2"/>
        <v>67047</v>
      </c>
      <c r="P55" s="39">
        <f t="shared" si="3"/>
        <v>1874</v>
      </c>
      <c r="Q55" s="39">
        <f t="shared" si="4"/>
        <v>0</v>
      </c>
      <c r="R55" s="39">
        <f t="shared" si="5"/>
        <v>68921</v>
      </c>
    </row>
    <row r="56" spans="1:18" ht="15" customHeight="1" x14ac:dyDescent="0.25">
      <c r="A56" s="708" t="s">
        <v>305</v>
      </c>
      <c r="B56" s="18" t="s">
        <v>156</v>
      </c>
      <c r="C56" s="800">
        <f>'címrend kötelező'!BS59</f>
        <v>0</v>
      </c>
      <c r="D56" s="800">
        <f>'címrend önként'!BS59</f>
        <v>0</v>
      </c>
      <c r="E56" s="800">
        <f>'címrend államig'!BS59</f>
        <v>0</v>
      </c>
      <c r="F56" s="800">
        <f t="shared" si="0"/>
        <v>0</v>
      </c>
      <c r="G56" s="800">
        <f>'címrend kötelező'!AZ59</f>
        <v>0</v>
      </c>
      <c r="H56" s="800">
        <f>'címrend önként'!AZ59</f>
        <v>0</v>
      </c>
      <c r="I56" s="800">
        <f>'címrend államig'!AZ59</f>
        <v>0</v>
      </c>
      <c r="J56" s="800">
        <f t="shared" si="1"/>
        <v>0</v>
      </c>
      <c r="K56" s="800">
        <f>'címrend kötelező'!AP59</f>
        <v>67047</v>
      </c>
      <c r="L56" s="800">
        <f>'címrend önként'!AP59</f>
        <v>1874</v>
      </c>
      <c r="M56" s="800">
        <f>'címrend államig'!AP59</f>
        <v>0</v>
      </c>
      <c r="N56" s="800">
        <f t="shared" si="6"/>
        <v>68921</v>
      </c>
      <c r="O56" s="800">
        <f t="shared" si="2"/>
        <v>67047</v>
      </c>
      <c r="P56" s="800">
        <f t="shared" si="3"/>
        <v>1874</v>
      </c>
      <c r="Q56" s="800">
        <f t="shared" si="4"/>
        <v>0</v>
      </c>
      <c r="R56" s="800">
        <f t="shared" si="5"/>
        <v>68921</v>
      </c>
    </row>
    <row r="57" spans="1:18" ht="15" customHeight="1" x14ac:dyDescent="0.25">
      <c r="A57" s="28">
        <v>55</v>
      </c>
      <c r="B57" s="16" t="s">
        <v>157</v>
      </c>
      <c r="C57" s="800">
        <f>'címrend kötelező'!BS60</f>
        <v>0</v>
      </c>
      <c r="D57" s="800">
        <f>'címrend önként'!BS60</f>
        <v>0</v>
      </c>
      <c r="E57" s="800">
        <f>'címrend államig'!BS60</f>
        <v>0</v>
      </c>
      <c r="F57" s="800">
        <f t="shared" si="0"/>
        <v>0</v>
      </c>
      <c r="G57" s="800">
        <f>'címrend kötelező'!AZ60</f>
        <v>0</v>
      </c>
      <c r="H57" s="800">
        <f>'címrend önként'!AZ60</f>
        <v>0</v>
      </c>
      <c r="I57" s="800">
        <f>'címrend államig'!AZ60</f>
        <v>0</v>
      </c>
      <c r="J57" s="800">
        <f t="shared" si="1"/>
        <v>0</v>
      </c>
      <c r="K57" s="800">
        <f>'címrend kötelező'!AP60</f>
        <v>0</v>
      </c>
      <c r="L57" s="800">
        <f>'címrend önként'!AP60</f>
        <v>0</v>
      </c>
      <c r="M57" s="800">
        <f>'címrend államig'!AP60</f>
        <v>0</v>
      </c>
      <c r="N57" s="800">
        <f t="shared" si="6"/>
        <v>0</v>
      </c>
      <c r="O57" s="800">
        <f t="shared" si="2"/>
        <v>0</v>
      </c>
      <c r="P57" s="800">
        <f t="shared" si="3"/>
        <v>0</v>
      </c>
      <c r="Q57" s="800">
        <f t="shared" si="4"/>
        <v>0</v>
      </c>
      <c r="R57" s="800">
        <f t="shared" si="5"/>
        <v>0</v>
      </c>
    </row>
    <row r="58" spans="1:18" s="13" customFormat="1" ht="15" customHeight="1" x14ac:dyDescent="0.25">
      <c r="A58" s="485">
        <v>56</v>
      </c>
      <c r="B58" s="5" t="s">
        <v>802</v>
      </c>
      <c r="C58" s="39">
        <f>'címrend kötelező'!BS61</f>
        <v>3932432</v>
      </c>
      <c r="D58" s="39">
        <f>'címrend önként'!BS61</f>
        <v>967335</v>
      </c>
      <c r="E58" s="39">
        <f>'címrend államig'!BS61</f>
        <v>0</v>
      </c>
      <c r="F58" s="39">
        <f t="shared" si="0"/>
        <v>4899767</v>
      </c>
      <c r="G58" s="39">
        <f>'címrend kötelező'!AZ61</f>
        <v>2018878</v>
      </c>
      <c r="H58" s="39">
        <f>'címrend önként'!AZ61</f>
        <v>94555</v>
      </c>
      <c r="I58" s="39">
        <f>'címrend államig'!AZ61</f>
        <v>266242</v>
      </c>
      <c r="J58" s="39">
        <f t="shared" si="1"/>
        <v>2379675</v>
      </c>
      <c r="K58" s="39">
        <f>'címrend kötelező'!AP61</f>
        <v>621074</v>
      </c>
      <c r="L58" s="39">
        <f>'címrend önként'!AP61</f>
        <v>4566684</v>
      </c>
      <c r="M58" s="39">
        <f>'címrend államig'!AP61</f>
        <v>0</v>
      </c>
      <c r="N58" s="39">
        <f t="shared" si="6"/>
        <v>5187758</v>
      </c>
      <c r="O58" s="39">
        <f t="shared" si="2"/>
        <v>6572384</v>
      </c>
      <c r="P58" s="39">
        <f t="shared" si="3"/>
        <v>5628574</v>
      </c>
      <c r="Q58" s="39">
        <f t="shared" si="4"/>
        <v>266242</v>
      </c>
      <c r="R58" s="39">
        <f t="shared" si="5"/>
        <v>12467200</v>
      </c>
    </row>
    <row r="59" spans="1:18" s="13" customFormat="1" ht="15" customHeight="1" x14ac:dyDescent="0.25">
      <c r="A59" s="709">
        <v>57</v>
      </c>
      <c r="B59" s="5" t="s">
        <v>803</v>
      </c>
      <c r="C59" s="39">
        <f>'címrend kötelező'!BS62</f>
        <v>3907706</v>
      </c>
      <c r="D59" s="39">
        <f>'címrend önként'!BS62</f>
        <v>915461</v>
      </c>
      <c r="E59" s="39">
        <f>'címrend államig'!BS62</f>
        <v>0</v>
      </c>
      <c r="F59" s="39">
        <f t="shared" si="0"/>
        <v>4823167</v>
      </c>
      <c r="G59" s="39">
        <f>'címrend kötelező'!AZ62</f>
        <v>1964957</v>
      </c>
      <c r="H59" s="39">
        <f>'címrend önként'!AZ62</f>
        <v>94555</v>
      </c>
      <c r="I59" s="39">
        <f>'címrend államig'!AZ62</f>
        <v>266242</v>
      </c>
      <c r="J59" s="39">
        <f t="shared" si="1"/>
        <v>2325754</v>
      </c>
      <c r="K59" s="39">
        <f>'címrend kötelező'!AP62</f>
        <v>621074</v>
      </c>
      <c r="L59" s="39">
        <f>'címrend önként'!AP62</f>
        <v>167891</v>
      </c>
      <c r="M59" s="39">
        <f>'címrend államig'!AP62</f>
        <v>0</v>
      </c>
      <c r="N59" s="39">
        <f t="shared" si="6"/>
        <v>788965</v>
      </c>
      <c r="O59" s="39">
        <f t="shared" si="2"/>
        <v>6493737</v>
      </c>
      <c r="P59" s="39">
        <f t="shared" si="3"/>
        <v>1177907</v>
      </c>
      <c r="Q59" s="39">
        <f t="shared" si="4"/>
        <v>266242</v>
      </c>
      <c r="R59" s="39">
        <f t="shared" si="5"/>
        <v>7937886</v>
      </c>
    </row>
    <row r="60" spans="1:18" ht="15" customHeight="1" x14ac:dyDescent="0.25">
      <c r="A60" s="708" t="s">
        <v>306</v>
      </c>
      <c r="B60" s="18" t="s">
        <v>158</v>
      </c>
      <c r="C60" s="800">
        <f>'címrend kötelező'!BS63</f>
        <v>3907706</v>
      </c>
      <c r="D60" s="800">
        <f>'címrend önként'!BS63</f>
        <v>616194</v>
      </c>
      <c r="E60" s="800">
        <f>'címrend államig'!BS63</f>
        <v>0</v>
      </c>
      <c r="F60" s="800">
        <f t="shared" si="0"/>
        <v>4523900</v>
      </c>
      <c r="G60" s="905">
        <f>'címrend kötelező'!AZ63</f>
        <v>1964957</v>
      </c>
      <c r="H60" s="905">
        <f>'címrend önként'!AZ63</f>
        <v>94555</v>
      </c>
      <c r="I60" s="905">
        <f>'címrend államig'!AZ63</f>
        <v>266242</v>
      </c>
      <c r="J60" s="905">
        <f t="shared" si="1"/>
        <v>2325754</v>
      </c>
      <c r="K60" s="800">
        <f>'címrend kötelező'!AP63</f>
        <v>0</v>
      </c>
      <c r="L60" s="800">
        <f>'címrend önként'!AP63</f>
        <v>0</v>
      </c>
      <c r="M60" s="800">
        <f>'címrend államig'!AP63</f>
        <v>0</v>
      </c>
      <c r="N60" s="800">
        <f t="shared" si="6"/>
        <v>0</v>
      </c>
      <c r="O60" s="800">
        <f t="shared" si="2"/>
        <v>5872663</v>
      </c>
      <c r="P60" s="800">
        <f t="shared" si="3"/>
        <v>710749</v>
      </c>
      <c r="Q60" s="800">
        <f t="shared" si="4"/>
        <v>266242</v>
      </c>
      <c r="R60" s="800">
        <f t="shared" si="5"/>
        <v>6849654</v>
      </c>
    </row>
    <row r="61" spans="1:18" ht="15" customHeight="1" x14ac:dyDescent="0.25">
      <c r="A61" s="28">
        <v>59</v>
      </c>
      <c r="B61" s="16" t="s">
        <v>159</v>
      </c>
      <c r="C61" s="800">
        <f>'címrend kötelező'!BS64</f>
        <v>0</v>
      </c>
      <c r="D61" s="800">
        <f>'címrend önként'!BS64</f>
        <v>0</v>
      </c>
      <c r="E61" s="800">
        <f>'címrend államig'!BS64</f>
        <v>0</v>
      </c>
      <c r="F61" s="800">
        <f t="shared" si="0"/>
        <v>0</v>
      </c>
      <c r="G61" s="800">
        <f>'címrend kötelező'!AZ64</f>
        <v>0</v>
      </c>
      <c r="H61" s="800">
        <f>'címrend önként'!AZ64</f>
        <v>0</v>
      </c>
      <c r="I61" s="800">
        <f>'címrend államig'!AZ64</f>
        <v>0</v>
      </c>
      <c r="J61" s="800">
        <f t="shared" si="1"/>
        <v>0</v>
      </c>
      <c r="K61" s="800">
        <f>'címrend kötelező'!AP64</f>
        <v>0</v>
      </c>
      <c r="L61" s="800">
        <f>'címrend önként'!AP64</f>
        <v>0</v>
      </c>
      <c r="M61" s="800">
        <f>'címrend államig'!AP64</f>
        <v>0</v>
      </c>
      <c r="N61" s="800">
        <f t="shared" si="6"/>
        <v>0</v>
      </c>
      <c r="O61" s="800">
        <f t="shared" si="2"/>
        <v>0</v>
      </c>
      <c r="P61" s="800">
        <f t="shared" si="3"/>
        <v>0</v>
      </c>
      <c r="Q61" s="800">
        <f t="shared" si="4"/>
        <v>0</v>
      </c>
      <c r="R61" s="800">
        <f t="shared" si="5"/>
        <v>0</v>
      </c>
    </row>
    <row r="62" spans="1:18" ht="15" customHeight="1" x14ac:dyDescent="0.25">
      <c r="A62" s="708" t="s">
        <v>307</v>
      </c>
      <c r="B62" s="16" t="s">
        <v>160</v>
      </c>
      <c r="C62" s="800">
        <f>'címrend kötelező'!BS65</f>
        <v>0</v>
      </c>
      <c r="D62" s="800">
        <f>'címrend önként'!BS65</f>
        <v>0</v>
      </c>
      <c r="E62" s="800">
        <f>'címrend államig'!BS65</f>
        <v>0</v>
      </c>
      <c r="F62" s="800">
        <f t="shared" si="0"/>
        <v>0</v>
      </c>
      <c r="G62" s="800">
        <f>'címrend kötelező'!AZ65</f>
        <v>0</v>
      </c>
      <c r="H62" s="800">
        <f>'címrend önként'!AZ65</f>
        <v>0</v>
      </c>
      <c r="I62" s="800">
        <f>'címrend államig'!AZ65</f>
        <v>0</v>
      </c>
      <c r="J62" s="800">
        <f t="shared" si="1"/>
        <v>0</v>
      </c>
      <c r="K62" s="800">
        <f>'címrend kötelező'!AP65</f>
        <v>0</v>
      </c>
      <c r="L62" s="800">
        <f>'címrend önként'!AP65</f>
        <v>0</v>
      </c>
      <c r="M62" s="800">
        <f>'címrend államig'!AP65</f>
        <v>0</v>
      </c>
      <c r="N62" s="800">
        <f t="shared" si="6"/>
        <v>0</v>
      </c>
      <c r="O62" s="800">
        <f t="shared" si="2"/>
        <v>0</v>
      </c>
      <c r="P62" s="800">
        <f t="shared" si="3"/>
        <v>0</v>
      </c>
      <c r="Q62" s="800">
        <f t="shared" si="4"/>
        <v>0</v>
      </c>
      <c r="R62" s="800">
        <f t="shared" si="5"/>
        <v>0</v>
      </c>
    </row>
    <row r="63" spans="1:18" ht="15" customHeight="1" x14ac:dyDescent="0.25">
      <c r="A63" s="28">
        <v>61</v>
      </c>
      <c r="B63" s="16" t="s">
        <v>161</v>
      </c>
      <c r="C63" s="800">
        <f>'címrend kötelező'!BS66</f>
        <v>0</v>
      </c>
      <c r="D63" s="800">
        <f>'címrend önként'!BS66</f>
        <v>299267</v>
      </c>
      <c r="E63" s="800">
        <f>'címrend államig'!BS66</f>
        <v>0</v>
      </c>
      <c r="F63" s="800">
        <f t="shared" si="0"/>
        <v>299267</v>
      </c>
      <c r="G63" s="800">
        <f>'címrend kötelező'!AZ66</f>
        <v>0</v>
      </c>
      <c r="H63" s="800">
        <f>'címrend önként'!AZ66</f>
        <v>0</v>
      </c>
      <c r="I63" s="800">
        <f>'címrend államig'!AZ66</f>
        <v>0</v>
      </c>
      <c r="J63" s="800">
        <f t="shared" si="1"/>
        <v>0</v>
      </c>
      <c r="K63" s="800">
        <f>'címrend kötelező'!AP66</f>
        <v>621074</v>
      </c>
      <c r="L63" s="800">
        <f>'címrend önként'!AP66</f>
        <v>167891</v>
      </c>
      <c r="M63" s="800">
        <f>'címrend államig'!AP66</f>
        <v>0</v>
      </c>
      <c r="N63" s="800">
        <f t="shared" si="6"/>
        <v>788965</v>
      </c>
      <c r="O63" s="800">
        <f t="shared" si="2"/>
        <v>621074</v>
      </c>
      <c r="P63" s="800">
        <f t="shared" si="3"/>
        <v>467158</v>
      </c>
      <c r="Q63" s="800">
        <f t="shared" si="4"/>
        <v>0</v>
      </c>
      <c r="R63" s="800">
        <f t="shared" si="5"/>
        <v>1088232</v>
      </c>
    </row>
    <row r="64" spans="1:18" s="13" customFormat="1" ht="15" customHeight="1" x14ac:dyDescent="0.25">
      <c r="A64" s="709">
        <v>62</v>
      </c>
      <c r="B64" s="5" t="s">
        <v>804</v>
      </c>
      <c r="C64" s="39">
        <f>'címrend kötelező'!BS67</f>
        <v>24726</v>
      </c>
      <c r="D64" s="39">
        <f>'címrend önként'!BS67</f>
        <v>51874</v>
      </c>
      <c r="E64" s="39">
        <f>'címrend államig'!BS67</f>
        <v>0</v>
      </c>
      <c r="F64" s="39">
        <f t="shared" si="0"/>
        <v>76600</v>
      </c>
      <c r="G64" s="39">
        <f>'címrend kötelező'!AZ67</f>
        <v>53921</v>
      </c>
      <c r="H64" s="39">
        <f>'címrend önként'!AZ67</f>
        <v>0</v>
      </c>
      <c r="I64" s="39">
        <f>'címrend államig'!AZ67</f>
        <v>0</v>
      </c>
      <c r="J64" s="39">
        <f t="shared" si="1"/>
        <v>53921</v>
      </c>
      <c r="K64" s="39">
        <f>'címrend kötelező'!AP67</f>
        <v>0</v>
      </c>
      <c r="L64" s="39">
        <f>'címrend önként'!AP67</f>
        <v>4398793</v>
      </c>
      <c r="M64" s="39">
        <f>'címrend államig'!AP67</f>
        <v>0</v>
      </c>
      <c r="N64" s="39">
        <f t="shared" si="6"/>
        <v>4398793</v>
      </c>
      <c r="O64" s="39">
        <f t="shared" si="2"/>
        <v>78647</v>
      </c>
      <c r="P64" s="39">
        <f t="shared" si="3"/>
        <v>4450667</v>
      </c>
      <c r="Q64" s="39">
        <f t="shared" si="4"/>
        <v>0</v>
      </c>
      <c r="R64" s="39">
        <f t="shared" si="5"/>
        <v>4529314</v>
      </c>
    </row>
    <row r="65" spans="1:18" ht="15" customHeight="1" x14ac:dyDescent="0.25">
      <c r="A65" s="708" t="s">
        <v>308</v>
      </c>
      <c r="B65" s="18" t="s">
        <v>158</v>
      </c>
      <c r="C65" s="800">
        <f>'címrend kötelező'!BS68</f>
        <v>13126</v>
      </c>
      <c r="D65" s="800">
        <f>'címrend önként'!BS68</f>
        <v>1874</v>
      </c>
      <c r="E65" s="800">
        <f>'címrend államig'!BS68</f>
        <v>0</v>
      </c>
      <c r="F65" s="800">
        <f t="shared" si="0"/>
        <v>15000</v>
      </c>
      <c r="G65" s="905">
        <f>'címrend kötelező'!AZ68</f>
        <v>53921</v>
      </c>
      <c r="H65" s="905">
        <f>'címrend önként'!AZ68</f>
        <v>0</v>
      </c>
      <c r="I65" s="905">
        <f>'címrend államig'!AZ68</f>
        <v>0</v>
      </c>
      <c r="J65" s="905">
        <f t="shared" si="1"/>
        <v>53921</v>
      </c>
      <c r="K65" s="800">
        <f>'címrend kötelező'!AP68</f>
        <v>0</v>
      </c>
      <c r="L65" s="800">
        <f>'címrend önként'!AP68</f>
        <v>0</v>
      </c>
      <c r="M65" s="800">
        <f>'címrend államig'!AP68</f>
        <v>0</v>
      </c>
      <c r="N65" s="800">
        <f t="shared" si="6"/>
        <v>0</v>
      </c>
      <c r="O65" s="800">
        <f t="shared" si="2"/>
        <v>67047</v>
      </c>
      <c r="P65" s="800">
        <f t="shared" si="3"/>
        <v>1874</v>
      </c>
      <c r="Q65" s="800">
        <f t="shared" si="4"/>
        <v>0</v>
      </c>
      <c r="R65" s="800">
        <f t="shared" si="5"/>
        <v>68921</v>
      </c>
    </row>
    <row r="66" spans="1:18" ht="15" customHeight="1" x14ac:dyDescent="0.25">
      <c r="A66" s="708" t="s">
        <v>332</v>
      </c>
      <c r="B66" s="18" t="s">
        <v>160</v>
      </c>
      <c r="C66" s="800"/>
      <c r="D66" s="800"/>
      <c r="E66" s="800"/>
      <c r="F66" s="800"/>
      <c r="G66" s="800"/>
      <c r="H66" s="800"/>
      <c r="I66" s="800"/>
      <c r="J66" s="800"/>
      <c r="K66" s="800"/>
      <c r="L66" s="800">
        <f>'címrend önként'!AP69</f>
        <v>0</v>
      </c>
      <c r="M66" s="800"/>
      <c r="N66" s="800">
        <f t="shared" si="6"/>
        <v>0</v>
      </c>
      <c r="O66" s="800"/>
      <c r="P66" s="800"/>
      <c r="Q66" s="800"/>
      <c r="R66" s="800">
        <f t="shared" si="5"/>
        <v>0</v>
      </c>
    </row>
    <row r="67" spans="1:18" ht="15" customHeight="1" x14ac:dyDescent="0.25">
      <c r="A67" s="28">
        <v>65</v>
      </c>
      <c r="B67" s="16" t="s">
        <v>161</v>
      </c>
      <c r="C67" s="481">
        <f>'címrend kötelező'!BS70</f>
        <v>11600</v>
      </c>
      <c r="D67" s="481">
        <f>'címrend önként'!BS70</f>
        <v>50000</v>
      </c>
      <c r="E67" s="481">
        <f>'címrend államig'!BS70</f>
        <v>0</v>
      </c>
      <c r="F67" s="481">
        <f t="shared" si="0"/>
        <v>61600</v>
      </c>
      <c r="G67" s="481">
        <f>'címrend kötelező'!AZ70</f>
        <v>0</v>
      </c>
      <c r="H67" s="481">
        <f>'címrend önként'!AZ70</f>
        <v>0</v>
      </c>
      <c r="I67" s="481">
        <f>'címrend államig'!AZ70</f>
        <v>0</v>
      </c>
      <c r="J67" s="481">
        <f t="shared" si="1"/>
        <v>0</v>
      </c>
      <c r="K67" s="481">
        <f>'címrend kötelező'!AP70</f>
        <v>0</v>
      </c>
      <c r="L67" s="481">
        <f>'címrend önként'!AP70</f>
        <v>4398793</v>
      </c>
      <c r="M67" s="481">
        <f>'címrend államig'!AP70</f>
        <v>0</v>
      </c>
      <c r="N67" s="481">
        <f t="shared" si="6"/>
        <v>4398793</v>
      </c>
      <c r="O67" s="481">
        <f t="shared" si="2"/>
        <v>11600</v>
      </c>
      <c r="P67" s="481">
        <f t="shared" si="3"/>
        <v>4448793</v>
      </c>
      <c r="Q67" s="481">
        <f t="shared" si="4"/>
        <v>0</v>
      </c>
      <c r="R67" s="481">
        <f t="shared" si="5"/>
        <v>4460393</v>
      </c>
    </row>
    <row r="79" spans="1:18" s="23" customFormat="1" x14ac:dyDescent="0.25">
      <c r="B79" s="24"/>
    </row>
    <row r="84" spans="2:2" s="23" customFormat="1" x14ac:dyDescent="0.25">
      <c r="B84" s="24"/>
    </row>
    <row r="85" spans="2:2" s="23" customFormat="1" x14ac:dyDescent="0.25">
      <c r="B85" s="24"/>
    </row>
    <row r="95" spans="2:2" s="23" customFormat="1" x14ac:dyDescent="0.25">
      <c r="B95" s="24"/>
    </row>
  </sheetData>
  <mergeCells count="4">
    <mergeCell ref="C1:F1"/>
    <mergeCell ref="G1:J1"/>
    <mergeCell ref="K1:N1"/>
    <mergeCell ref="O1:R1"/>
  </mergeCells>
  <printOptions horizontalCentered="1"/>
  <pageMargins left="0.78740157480314965" right="0.78740157480314965" top="0.98425196850393704" bottom="0.98425196850393704" header="0.51181102362204722" footer="0.51181102362204722"/>
  <pageSetup paperSize="9" scale="65" fitToWidth="0" fitToHeight="0" orientation="landscape" r:id="rId1"/>
  <headerFooter alignWithMargins="0">
    <oddHeader xml:space="preserve">&amp;C&amp;"Times New Roman,Félkövér"&amp;12Budapest VIII. kerületi Önkormányzat 2020. évi költségvetés
 bevételi és kiadási előirányzata 
összesen&amp;R&amp;"Times New Roman,Dőlt"3. melléklet a /2020. ()
önk.rendelethez
ezer forintban&amp;"MS Sans Serif,Normál"
</oddHeader>
    <oddFooter>&amp;R
&amp;P</oddFooter>
  </headerFooter>
  <rowBreaks count="1" manualBreakCount="1">
    <brk id="41" max="17" man="1"/>
  </rowBreaks>
  <colBreaks count="1" manualBreakCount="1">
    <brk id="10"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P95"/>
  <sheetViews>
    <sheetView zoomScaleNormal="100" zoomScaleSheetLayoutView="80" workbookViewId="0">
      <pane xSplit="2" ySplit="2" topLeftCell="J69" activePane="bottomRight" state="frozen"/>
      <selection pane="topRight" activeCell="C1" sqref="C1"/>
      <selection pane="bottomLeft" activeCell="A3" sqref="A3"/>
      <selection pane="bottomRight" activeCell="N65" sqref="N65"/>
    </sheetView>
  </sheetViews>
  <sheetFormatPr defaultColWidth="10.6640625" defaultRowHeight="13.2" x14ac:dyDescent="0.25"/>
  <cols>
    <col min="1" max="1" width="5.109375" style="624" customWidth="1"/>
    <col min="2" max="2" width="52.109375" style="20" customWidth="1"/>
    <col min="3" max="3" width="12.6640625" style="9" customWidth="1"/>
    <col min="4" max="4" width="12.6640625" style="611" customWidth="1"/>
    <col min="5" max="14" width="12.6640625" style="9" customWidth="1"/>
    <col min="15" max="16" width="13.6640625" style="9" customWidth="1"/>
    <col min="17" max="16384" width="10.6640625" style="9"/>
  </cols>
  <sheetData>
    <row r="1" spans="1:16" s="1" customFormat="1" ht="19.95" customHeight="1" x14ac:dyDescent="0.25">
      <c r="A1" s="617"/>
      <c r="B1" s="478" t="s">
        <v>0</v>
      </c>
      <c r="C1" s="2613" t="s">
        <v>163</v>
      </c>
      <c r="D1" s="2613"/>
      <c r="E1" s="2613"/>
      <c r="F1" s="2613" t="s">
        <v>164</v>
      </c>
      <c r="G1" s="2613"/>
      <c r="H1" s="2613"/>
      <c r="I1" s="2613" t="s">
        <v>165</v>
      </c>
      <c r="J1" s="2613"/>
      <c r="K1" s="2613"/>
      <c r="L1" s="2613" t="s">
        <v>172</v>
      </c>
      <c r="M1" s="2613"/>
      <c r="N1" s="2613"/>
      <c r="O1" s="2614" t="s">
        <v>1220</v>
      </c>
      <c r="P1" s="2614" t="s">
        <v>1221</v>
      </c>
    </row>
    <row r="2" spans="1:16" s="3" customFormat="1" ht="49.95" customHeight="1" x14ac:dyDescent="0.25">
      <c r="A2" s="616" t="s">
        <v>21</v>
      </c>
      <c r="B2" s="479" t="s">
        <v>22</v>
      </c>
      <c r="C2" s="480" t="s">
        <v>1219</v>
      </c>
      <c r="D2" s="610" t="s">
        <v>1218</v>
      </c>
      <c r="E2" s="480" t="s">
        <v>1217</v>
      </c>
      <c r="F2" s="941" t="s">
        <v>1219</v>
      </c>
      <c r="G2" s="610" t="s">
        <v>1218</v>
      </c>
      <c r="H2" s="941" t="s">
        <v>1217</v>
      </c>
      <c r="I2" s="941" t="s">
        <v>1219</v>
      </c>
      <c r="J2" s="610" t="s">
        <v>1218</v>
      </c>
      <c r="K2" s="941" t="s">
        <v>1217</v>
      </c>
      <c r="L2" s="941" t="s">
        <v>1219</v>
      </c>
      <c r="M2" s="610" t="s">
        <v>1218</v>
      </c>
      <c r="N2" s="941" t="s">
        <v>1217</v>
      </c>
      <c r="O2" s="2614"/>
      <c r="P2" s="2614"/>
    </row>
    <row r="3" spans="1:16" s="3" customFormat="1" ht="19.95" customHeight="1" x14ac:dyDescent="0.25">
      <c r="A3" s="620" t="s">
        <v>83</v>
      </c>
      <c r="B3" s="15" t="s">
        <v>857</v>
      </c>
      <c r="C3" s="725">
        <f>SUM(C23+C50)</f>
        <v>6666105</v>
      </c>
      <c r="D3" s="725">
        <f>SUM(D23+D50)</f>
        <v>6804301</v>
      </c>
      <c r="E3" s="482">
        <f>címrendösszesen!HB6</f>
        <v>6767314</v>
      </c>
      <c r="F3" s="482">
        <f>SUM(F23+F50)</f>
        <v>2609845</v>
      </c>
      <c r="G3" s="482">
        <f>SUM(G23+G50)</f>
        <v>2541919</v>
      </c>
      <c r="H3" s="482">
        <f>címrendösszesen!EW6</f>
        <v>2422575</v>
      </c>
      <c r="I3" s="482">
        <f>SUM(I23+I50)</f>
        <v>23619735</v>
      </c>
      <c r="J3" s="482">
        <f>SUM(J23+J50)</f>
        <v>20439123</v>
      </c>
      <c r="K3" s="482">
        <f>címrendösszesen!DS6</f>
        <v>21692215.600000001</v>
      </c>
      <c r="L3" s="482">
        <f>C3+F3+I3</f>
        <v>32895685</v>
      </c>
      <c r="M3" s="482">
        <f>D3+G3+J3</f>
        <v>29785343</v>
      </c>
      <c r="N3" s="482">
        <f>E3+H3+K3</f>
        <v>30882104.600000001</v>
      </c>
      <c r="O3" s="483">
        <f>N3/M3*100</f>
        <v>103.68221913711049</v>
      </c>
      <c r="P3" s="483">
        <f>N3/L3*100</f>
        <v>93.878892018816458</v>
      </c>
    </row>
    <row r="4" spans="1:16" ht="13.95" customHeight="1" x14ac:dyDescent="0.25">
      <c r="A4" s="484" t="s">
        <v>84</v>
      </c>
      <c r="B4" s="5" t="s">
        <v>85</v>
      </c>
      <c r="C4" s="726">
        <f>SUM(C5:C9)</f>
        <v>6368620</v>
      </c>
      <c r="D4" s="726">
        <f>SUM(D5:D9)</f>
        <v>6480411</v>
      </c>
      <c r="E4" s="482">
        <f>címrendösszesen!HB7</f>
        <v>6690714</v>
      </c>
      <c r="F4" s="190">
        <f>SUM(F5:F9)</f>
        <v>2567078</v>
      </c>
      <c r="G4" s="190">
        <f>SUM(G5:G9)</f>
        <v>2505897</v>
      </c>
      <c r="H4" s="482">
        <f>címrendösszesen!EW7</f>
        <v>2368654</v>
      </c>
      <c r="I4" s="190">
        <f>SUM(I5:I9)</f>
        <v>8143799</v>
      </c>
      <c r="J4" s="190">
        <f>SUM(J5:J9)</f>
        <v>8339605</v>
      </c>
      <c r="K4" s="482">
        <f>címrendösszesen!DS7</f>
        <v>8585357.5999999996</v>
      </c>
      <c r="L4" s="482">
        <f t="shared" ref="L4:L67" si="0">C4+F4+I4</f>
        <v>17079497</v>
      </c>
      <c r="M4" s="482">
        <f t="shared" ref="M4:M67" si="1">D4+G4+J4</f>
        <v>17325913</v>
      </c>
      <c r="N4" s="482">
        <f t="shared" ref="N4:N67" si="2">E4+H4+K4</f>
        <v>17644725.600000001</v>
      </c>
      <c r="O4" s="483">
        <f t="shared" ref="O4:O64" si="3">N4/M4*100</f>
        <v>101.84009119750286</v>
      </c>
      <c r="P4" s="483">
        <f t="shared" ref="P4:P64" si="4">N4/L4*100</f>
        <v>103.30939839738842</v>
      </c>
    </row>
    <row r="5" spans="1:16" ht="13.95" customHeight="1" x14ac:dyDescent="0.25">
      <c r="A5" s="621" t="s">
        <v>86</v>
      </c>
      <c r="B5" s="10" t="s">
        <v>87</v>
      </c>
      <c r="C5" s="481">
        <v>3500355</v>
      </c>
      <c r="D5" s="626">
        <v>3650203</v>
      </c>
      <c r="E5" s="481">
        <f>címrendösszesen!HB8</f>
        <v>3998855</v>
      </c>
      <c r="F5" s="481">
        <v>1394974</v>
      </c>
      <c r="G5" s="29">
        <v>1476542</v>
      </c>
      <c r="H5" s="481">
        <f>címrendösszesen!EW8</f>
        <v>1608182</v>
      </c>
      <c r="I5" s="731">
        <v>165358</v>
      </c>
      <c r="J5" s="328">
        <v>167659</v>
      </c>
      <c r="K5" s="481">
        <f>címrendösszesen!DS8</f>
        <v>217329</v>
      </c>
      <c r="L5" s="481">
        <f t="shared" si="0"/>
        <v>5060687</v>
      </c>
      <c r="M5" s="481">
        <f t="shared" si="1"/>
        <v>5294404</v>
      </c>
      <c r="N5" s="481">
        <f t="shared" si="2"/>
        <v>5824366</v>
      </c>
      <c r="O5" s="483">
        <f t="shared" si="3"/>
        <v>110.00985191156549</v>
      </c>
      <c r="P5" s="483">
        <f t="shared" si="4"/>
        <v>115.09042151786902</v>
      </c>
    </row>
    <row r="6" spans="1:16" ht="13.95" customHeight="1" x14ac:dyDescent="0.25">
      <c r="A6" s="621" t="s">
        <v>88</v>
      </c>
      <c r="B6" s="10" t="s">
        <v>89</v>
      </c>
      <c r="C6" s="481">
        <v>755264</v>
      </c>
      <c r="D6" s="626">
        <v>742824</v>
      </c>
      <c r="E6" s="481">
        <f>címrendösszesen!HB9</f>
        <v>776551</v>
      </c>
      <c r="F6" s="481">
        <v>298878</v>
      </c>
      <c r="G6" s="29">
        <v>311466</v>
      </c>
      <c r="H6" s="481">
        <f>címrendösszesen!EW9</f>
        <v>311938</v>
      </c>
      <c r="I6" s="731">
        <v>36707</v>
      </c>
      <c r="J6" s="328">
        <v>38649</v>
      </c>
      <c r="K6" s="481">
        <f>címrendösszesen!DS9</f>
        <v>55938.6</v>
      </c>
      <c r="L6" s="481">
        <f t="shared" si="0"/>
        <v>1090849</v>
      </c>
      <c r="M6" s="481">
        <f t="shared" si="1"/>
        <v>1092939</v>
      </c>
      <c r="N6" s="481">
        <f t="shared" si="2"/>
        <v>1144427.6000000001</v>
      </c>
      <c r="O6" s="483">
        <f t="shared" si="3"/>
        <v>104.71102229859125</v>
      </c>
      <c r="P6" s="483">
        <f t="shared" si="4"/>
        <v>104.91164221629209</v>
      </c>
    </row>
    <row r="7" spans="1:16" ht="13.95" customHeight="1" x14ac:dyDescent="0.25">
      <c r="A7" s="621" t="s">
        <v>90</v>
      </c>
      <c r="B7" s="10" t="s">
        <v>91</v>
      </c>
      <c r="C7" s="481">
        <v>1715513</v>
      </c>
      <c r="D7" s="626">
        <v>1858993</v>
      </c>
      <c r="E7" s="481">
        <f>címrendösszesen!HB10</f>
        <v>1914079</v>
      </c>
      <c r="F7" s="481">
        <v>418864</v>
      </c>
      <c r="G7" s="29">
        <v>362413</v>
      </c>
      <c r="H7" s="481">
        <f>címrendösszesen!EW10</f>
        <v>448534</v>
      </c>
      <c r="I7" s="731">
        <v>4512865</v>
      </c>
      <c r="J7" s="328">
        <v>4747614</v>
      </c>
      <c r="K7" s="481">
        <f>címrendösszesen!DS10</f>
        <v>5594171</v>
      </c>
      <c r="L7" s="481">
        <f t="shared" si="0"/>
        <v>6647242</v>
      </c>
      <c r="M7" s="481">
        <f t="shared" si="1"/>
        <v>6969020</v>
      </c>
      <c r="N7" s="481">
        <f t="shared" si="2"/>
        <v>7956784</v>
      </c>
      <c r="O7" s="483">
        <f t="shared" si="3"/>
        <v>114.1736427790421</v>
      </c>
      <c r="P7" s="483">
        <f t="shared" si="4"/>
        <v>119.70053143845223</v>
      </c>
    </row>
    <row r="8" spans="1:16" ht="13.95" customHeight="1" x14ac:dyDescent="0.25">
      <c r="A8" s="621" t="s">
        <v>92</v>
      </c>
      <c r="B8" s="10" t="s">
        <v>93</v>
      </c>
      <c r="C8" s="481">
        <v>710</v>
      </c>
      <c r="D8" s="626">
        <v>604</v>
      </c>
      <c r="E8" s="481">
        <f>címrendösszesen!HB11</f>
        <v>1229</v>
      </c>
      <c r="F8" s="481">
        <v>0</v>
      </c>
      <c r="G8" s="29"/>
      <c r="H8" s="481">
        <f>címrendösszesen!EW11</f>
        <v>0</v>
      </c>
      <c r="I8" s="481">
        <v>117155</v>
      </c>
      <c r="J8" s="29">
        <v>94449</v>
      </c>
      <c r="K8" s="481">
        <f>címrendösszesen!DS11</f>
        <v>118200</v>
      </c>
      <c r="L8" s="481">
        <f t="shared" si="0"/>
        <v>117865</v>
      </c>
      <c r="M8" s="481">
        <f t="shared" si="1"/>
        <v>95053</v>
      </c>
      <c r="N8" s="481">
        <f t="shared" si="2"/>
        <v>119429</v>
      </c>
      <c r="O8" s="483">
        <f t="shared" si="3"/>
        <v>125.64464035853682</v>
      </c>
      <c r="P8" s="483">
        <f t="shared" si="4"/>
        <v>101.32694184024096</v>
      </c>
    </row>
    <row r="9" spans="1:16" s="13" customFormat="1" ht="13.95" customHeight="1" x14ac:dyDescent="0.25">
      <c r="A9" s="620" t="s">
        <v>94</v>
      </c>
      <c r="B9" s="12" t="s">
        <v>95</v>
      </c>
      <c r="C9" s="726">
        <f>SUM(C10:C14)</f>
        <v>396778</v>
      </c>
      <c r="D9" s="726">
        <f>SUM(D10:D14)</f>
        <v>227787</v>
      </c>
      <c r="E9" s="482">
        <f>címrendösszesen!HB12</f>
        <v>0</v>
      </c>
      <c r="F9" s="190">
        <f>SUM(F10:F14)</f>
        <v>454362</v>
      </c>
      <c r="G9" s="190">
        <f>SUM(G10:G14)</f>
        <v>355476</v>
      </c>
      <c r="H9" s="482">
        <f>címrendösszesen!EW12</f>
        <v>0</v>
      </c>
      <c r="I9" s="190">
        <f>SUM(I10:I14)</f>
        <v>3311714</v>
      </c>
      <c r="J9" s="190">
        <f>SUM(J10:J14)</f>
        <v>3291234</v>
      </c>
      <c r="K9" s="482">
        <f>címrendösszesen!DS12</f>
        <v>2599719</v>
      </c>
      <c r="L9" s="482">
        <f t="shared" si="0"/>
        <v>4162854</v>
      </c>
      <c r="M9" s="482">
        <f t="shared" si="1"/>
        <v>3874497</v>
      </c>
      <c r="N9" s="482">
        <f t="shared" si="2"/>
        <v>2599719</v>
      </c>
      <c r="O9" s="483">
        <f t="shared" si="3"/>
        <v>67.098232364097839</v>
      </c>
      <c r="P9" s="483">
        <f t="shared" si="4"/>
        <v>62.450400614578363</v>
      </c>
    </row>
    <row r="10" spans="1:16" ht="13.95" customHeight="1" x14ac:dyDescent="0.25">
      <c r="A10" s="621" t="s">
        <v>96</v>
      </c>
      <c r="B10" s="10" t="s">
        <v>97</v>
      </c>
      <c r="C10" s="481">
        <v>391574</v>
      </c>
      <c r="D10" s="626">
        <v>227787</v>
      </c>
      <c r="E10" s="481">
        <f>címrendösszesen!HB13</f>
        <v>0</v>
      </c>
      <c r="F10" s="481">
        <v>454362</v>
      </c>
      <c r="G10" s="29">
        <v>355476</v>
      </c>
      <c r="H10" s="481">
        <f>címrendösszesen!EW13</f>
        <v>0</v>
      </c>
      <c r="I10" s="481">
        <v>857624</v>
      </c>
      <c r="J10" s="29">
        <v>450543</v>
      </c>
      <c r="K10" s="481">
        <f>címrendösszesen!DS13</f>
        <v>28717</v>
      </c>
      <c r="L10" s="481">
        <f t="shared" si="0"/>
        <v>1703560</v>
      </c>
      <c r="M10" s="481">
        <f t="shared" si="1"/>
        <v>1033806</v>
      </c>
      <c r="N10" s="481">
        <f t="shared" si="2"/>
        <v>28717</v>
      </c>
      <c r="O10" s="483">
        <f t="shared" si="3"/>
        <v>2.7777938994356774</v>
      </c>
      <c r="P10" s="483">
        <f t="shared" si="4"/>
        <v>1.6857052290497547</v>
      </c>
    </row>
    <row r="11" spans="1:16" ht="13.95" customHeight="1" x14ac:dyDescent="0.25">
      <c r="A11" s="622" t="s">
        <v>98</v>
      </c>
      <c r="B11" s="10" t="s">
        <v>99</v>
      </c>
      <c r="C11" s="481">
        <v>0</v>
      </c>
      <c r="D11" s="626"/>
      <c r="E11" s="481">
        <f>címrendösszesen!HB14</f>
        <v>0</v>
      </c>
      <c r="F11" s="481">
        <v>0</v>
      </c>
      <c r="G11" s="29"/>
      <c r="H11" s="481">
        <f>címrendösszesen!EW14</f>
        <v>0</v>
      </c>
      <c r="I11" s="481">
        <v>0</v>
      </c>
      <c r="J11" s="29"/>
      <c r="K11" s="481">
        <f>címrendösszesen!DS14</f>
        <v>0</v>
      </c>
      <c r="L11" s="481">
        <f t="shared" si="0"/>
        <v>0</v>
      </c>
      <c r="M11" s="481">
        <f t="shared" si="1"/>
        <v>0</v>
      </c>
      <c r="N11" s="481">
        <f t="shared" si="2"/>
        <v>0</v>
      </c>
      <c r="O11" s="483"/>
      <c r="P11" s="483"/>
    </row>
    <row r="12" spans="1:16" ht="13.95" customHeight="1" x14ac:dyDescent="0.25">
      <c r="A12" s="623">
        <v>10</v>
      </c>
      <c r="B12" s="10" t="s">
        <v>100</v>
      </c>
      <c r="C12" s="481">
        <v>5204</v>
      </c>
      <c r="D12" s="626"/>
      <c r="E12" s="481">
        <f>címrendösszesen!HB15</f>
        <v>0</v>
      </c>
      <c r="F12" s="481">
        <v>0</v>
      </c>
      <c r="G12" s="29"/>
      <c r="H12" s="481">
        <f>címrendösszesen!EW15</f>
        <v>0</v>
      </c>
      <c r="I12" s="481">
        <v>124794</v>
      </c>
      <c r="J12" s="29">
        <v>157801</v>
      </c>
      <c r="K12" s="481">
        <f>címrendösszesen!DS15</f>
        <v>158024</v>
      </c>
      <c r="L12" s="481">
        <f t="shared" si="0"/>
        <v>129998</v>
      </c>
      <c r="M12" s="481">
        <f t="shared" si="1"/>
        <v>157801</v>
      </c>
      <c r="N12" s="481">
        <f t="shared" si="2"/>
        <v>158024</v>
      </c>
      <c r="O12" s="483">
        <f t="shared" si="3"/>
        <v>100.14131722866142</v>
      </c>
      <c r="P12" s="483">
        <f t="shared" si="4"/>
        <v>121.55879321220327</v>
      </c>
    </row>
    <row r="13" spans="1:16" ht="13.95" customHeight="1" x14ac:dyDescent="0.25">
      <c r="A13" s="622" t="s">
        <v>101</v>
      </c>
      <c r="B13" s="10" t="s">
        <v>102</v>
      </c>
      <c r="C13" s="481">
        <v>0</v>
      </c>
      <c r="D13" s="626"/>
      <c r="E13" s="481">
        <f>címrendösszesen!HB16</f>
        <v>0</v>
      </c>
      <c r="F13" s="481">
        <v>0</v>
      </c>
      <c r="G13" s="29"/>
      <c r="H13" s="481">
        <f>címrendösszesen!EW16</f>
        <v>0</v>
      </c>
      <c r="I13" s="481">
        <v>2329296</v>
      </c>
      <c r="J13" s="29">
        <v>2682890</v>
      </c>
      <c r="K13" s="481">
        <f>címrendösszesen!DS16</f>
        <v>2128512</v>
      </c>
      <c r="L13" s="481">
        <f t="shared" si="0"/>
        <v>2329296</v>
      </c>
      <c r="M13" s="481">
        <f t="shared" si="1"/>
        <v>2682890</v>
      </c>
      <c r="N13" s="481">
        <f t="shared" si="2"/>
        <v>2128512</v>
      </c>
      <c r="O13" s="483">
        <f t="shared" si="3"/>
        <v>79.33653634699894</v>
      </c>
      <c r="P13" s="483">
        <f t="shared" si="4"/>
        <v>91.380056463412117</v>
      </c>
    </row>
    <row r="14" spans="1:16" ht="13.95" customHeight="1" x14ac:dyDescent="0.25">
      <c r="A14" s="623">
        <v>12</v>
      </c>
      <c r="B14" s="10" t="s">
        <v>103</v>
      </c>
      <c r="C14" s="481">
        <v>0</v>
      </c>
      <c r="D14" s="626"/>
      <c r="E14" s="481">
        <f>címrendösszesen!HB17</f>
        <v>0</v>
      </c>
      <c r="F14" s="481">
        <v>0</v>
      </c>
      <c r="G14" s="29"/>
      <c r="H14" s="481">
        <f>címrendösszesen!EW17</f>
        <v>0</v>
      </c>
      <c r="I14" s="481">
        <v>0</v>
      </c>
      <c r="J14" s="29"/>
      <c r="K14" s="481">
        <f>címrendösszesen!DS17</f>
        <v>284466</v>
      </c>
      <c r="L14" s="481">
        <f t="shared" si="0"/>
        <v>0</v>
      </c>
      <c r="M14" s="481">
        <f t="shared" si="1"/>
        <v>0</v>
      </c>
      <c r="N14" s="481">
        <f t="shared" si="2"/>
        <v>284466</v>
      </c>
      <c r="O14" s="483"/>
      <c r="P14" s="483"/>
    </row>
    <row r="15" spans="1:16" s="13" customFormat="1" ht="13.95" customHeight="1" x14ac:dyDescent="0.25">
      <c r="A15" s="484" t="s">
        <v>104</v>
      </c>
      <c r="B15" s="12" t="s">
        <v>105</v>
      </c>
      <c r="C15" s="726">
        <f>SUM(C16:C18)</f>
        <v>297485</v>
      </c>
      <c r="D15" s="726">
        <f>SUM(D16:D18)</f>
        <v>323890</v>
      </c>
      <c r="E15" s="482">
        <f>címrendösszesen!HB18</f>
        <v>76600</v>
      </c>
      <c r="F15" s="190">
        <f>SUM(F16:F18)</f>
        <v>42767</v>
      </c>
      <c r="G15" s="190">
        <f>SUM(G16:G18)</f>
        <v>36022</v>
      </c>
      <c r="H15" s="482">
        <f>címrendösszesen!EW18</f>
        <v>53921</v>
      </c>
      <c r="I15" s="190">
        <f>SUM(I16:I18)</f>
        <v>2862729</v>
      </c>
      <c r="J15" s="190">
        <f>SUM(J16:J18)</f>
        <v>4770744</v>
      </c>
      <c r="K15" s="482">
        <f>címrendösszesen!DS18</f>
        <v>6188283</v>
      </c>
      <c r="L15" s="482">
        <f t="shared" si="0"/>
        <v>3202981</v>
      </c>
      <c r="M15" s="482">
        <f t="shared" si="1"/>
        <v>5130656</v>
      </c>
      <c r="N15" s="482">
        <f t="shared" si="2"/>
        <v>6318804</v>
      </c>
      <c r="O15" s="483">
        <f t="shared" si="3"/>
        <v>123.15781841542291</v>
      </c>
      <c r="P15" s="483">
        <f t="shared" si="4"/>
        <v>197.27884742369685</v>
      </c>
    </row>
    <row r="16" spans="1:16" ht="13.95" customHeight="1" x14ac:dyDescent="0.25">
      <c r="A16" s="623">
        <v>14</v>
      </c>
      <c r="B16" s="10" t="s">
        <v>106</v>
      </c>
      <c r="C16" s="481">
        <v>204325</v>
      </c>
      <c r="D16" s="626">
        <v>98297</v>
      </c>
      <c r="E16" s="481">
        <f>címrendösszesen!HB19</f>
        <v>65000</v>
      </c>
      <c r="F16" s="481">
        <v>42767</v>
      </c>
      <c r="G16" s="29">
        <v>36022</v>
      </c>
      <c r="H16" s="481">
        <f>címrendösszesen!EW19</f>
        <v>53921</v>
      </c>
      <c r="I16" s="731">
        <v>805739</v>
      </c>
      <c r="J16" s="328">
        <v>262474</v>
      </c>
      <c r="K16" s="481">
        <f>címrendösszesen!DS19</f>
        <v>2422594</v>
      </c>
      <c r="L16" s="481">
        <f t="shared" si="0"/>
        <v>1052831</v>
      </c>
      <c r="M16" s="481">
        <f t="shared" si="1"/>
        <v>396793</v>
      </c>
      <c r="N16" s="481">
        <f t="shared" si="2"/>
        <v>2541515</v>
      </c>
      <c r="O16" s="483">
        <f t="shared" si="3"/>
        <v>640.51407156880293</v>
      </c>
      <c r="P16" s="483">
        <f t="shared" si="4"/>
        <v>241.39819211250432</v>
      </c>
    </row>
    <row r="17" spans="1:16" ht="13.95" customHeight="1" x14ac:dyDescent="0.25">
      <c r="A17" s="622" t="s">
        <v>107</v>
      </c>
      <c r="B17" s="10" t="s">
        <v>108</v>
      </c>
      <c r="C17" s="481">
        <v>93160</v>
      </c>
      <c r="D17" s="626">
        <v>225593</v>
      </c>
      <c r="E17" s="481">
        <f>címrendösszesen!HB20</f>
        <v>11600</v>
      </c>
      <c r="F17" s="481">
        <v>0</v>
      </c>
      <c r="G17" s="29"/>
      <c r="H17" s="481">
        <f>címrendösszesen!EW20</f>
        <v>0</v>
      </c>
      <c r="I17" s="731">
        <v>710770</v>
      </c>
      <c r="J17" s="328">
        <v>1897116</v>
      </c>
      <c r="K17" s="481">
        <f>címrendösszesen!DS20</f>
        <v>1959599</v>
      </c>
      <c r="L17" s="481">
        <f t="shared" si="0"/>
        <v>803930</v>
      </c>
      <c r="M17" s="481">
        <f t="shared" si="1"/>
        <v>2122709</v>
      </c>
      <c r="N17" s="481">
        <f t="shared" si="2"/>
        <v>1971199</v>
      </c>
      <c r="O17" s="483">
        <f t="shared" si="3"/>
        <v>92.862422498797528</v>
      </c>
      <c r="P17" s="483">
        <f t="shared" si="4"/>
        <v>245.19535282922641</v>
      </c>
    </row>
    <row r="18" spans="1:16" s="13" customFormat="1" ht="13.95" customHeight="1" x14ac:dyDescent="0.25">
      <c r="A18" s="485">
        <v>16</v>
      </c>
      <c r="B18" s="12" t="s">
        <v>109</v>
      </c>
      <c r="C18" s="726">
        <f>SUM(C19:C22)</f>
        <v>0</v>
      </c>
      <c r="D18" s="726">
        <f>SUM(D19:D22)</f>
        <v>0</v>
      </c>
      <c r="E18" s="482">
        <f>címrendösszesen!HB21</f>
        <v>0</v>
      </c>
      <c r="F18" s="190">
        <f>SUM(F19:F22)</f>
        <v>0</v>
      </c>
      <c r="G18" s="190">
        <f>SUM(G19:G22)</f>
        <v>0</v>
      </c>
      <c r="H18" s="482">
        <f>címrendösszesen!EW21</f>
        <v>0</v>
      </c>
      <c r="I18" s="190">
        <f>SUM(I19:I22)</f>
        <v>1346220</v>
      </c>
      <c r="J18" s="732">
        <f>SUM(J19:J22)</f>
        <v>2611154</v>
      </c>
      <c r="K18" s="482">
        <f>címrendösszesen!DS21</f>
        <v>1806090</v>
      </c>
      <c r="L18" s="482">
        <f t="shared" si="0"/>
        <v>1346220</v>
      </c>
      <c r="M18" s="482">
        <f t="shared" si="1"/>
        <v>2611154</v>
      </c>
      <c r="N18" s="482">
        <f t="shared" si="2"/>
        <v>1806090</v>
      </c>
      <c r="O18" s="483">
        <f t="shared" si="3"/>
        <v>69.168268129723486</v>
      </c>
      <c r="P18" s="483">
        <f t="shared" si="4"/>
        <v>134.16009270401571</v>
      </c>
    </row>
    <row r="19" spans="1:16" ht="13.95" customHeight="1" x14ac:dyDescent="0.25">
      <c r="A19" s="622" t="s">
        <v>110</v>
      </c>
      <c r="B19" s="10" t="s">
        <v>111</v>
      </c>
      <c r="C19" s="481">
        <v>0</v>
      </c>
      <c r="D19" s="626"/>
      <c r="E19" s="481">
        <f>címrendösszesen!HB22</f>
        <v>0</v>
      </c>
      <c r="F19" s="481">
        <v>0</v>
      </c>
      <c r="G19" s="29"/>
      <c r="H19" s="481">
        <f>címrendösszesen!EW22</f>
        <v>0</v>
      </c>
      <c r="I19" s="481">
        <v>509692</v>
      </c>
      <c r="J19" s="328">
        <v>526774</v>
      </c>
      <c r="K19" s="481">
        <f>címrendösszesen!DS22</f>
        <v>150000</v>
      </c>
      <c r="L19" s="481">
        <f t="shared" si="0"/>
        <v>509692</v>
      </c>
      <c r="M19" s="481">
        <f t="shared" si="1"/>
        <v>526774</v>
      </c>
      <c r="N19" s="481">
        <f t="shared" si="2"/>
        <v>150000</v>
      </c>
      <c r="O19" s="483">
        <f t="shared" si="3"/>
        <v>28.475209482624425</v>
      </c>
      <c r="P19" s="483">
        <f t="shared" si="4"/>
        <v>29.429537838537783</v>
      </c>
    </row>
    <row r="20" spans="1:16" ht="13.95" customHeight="1" x14ac:dyDescent="0.25">
      <c r="A20" s="622" t="s">
        <v>112</v>
      </c>
      <c r="B20" s="10" t="s">
        <v>113</v>
      </c>
      <c r="C20" s="481">
        <v>0</v>
      </c>
      <c r="D20" s="626"/>
      <c r="E20" s="481">
        <f>címrendösszesen!HB23</f>
        <v>0</v>
      </c>
      <c r="F20" s="481">
        <v>0</v>
      </c>
      <c r="G20" s="29"/>
      <c r="H20" s="481">
        <f>címrendösszesen!EW23</f>
        <v>0</v>
      </c>
      <c r="I20" s="731">
        <v>20250</v>
      </c>
      <c r="J20" s="328">
        <v>231553</v>
      </c>
      <c r="K20" s="481">
        <f>címrendösszesen!DS23</f>
        <v>15300</v>
      </c>
      <c r="L20" s="481">
        <f t="shared" si="0"/>
        <v>20250</v>
      </c>
      <c r="M20" s="481">
        <f t="shared" si="1"/>
        <v>231553</v>
      </c>
      <c r="N20" s="481">
        <f t="shared" si="2"/>
        <v>15300</v>
      </c>
      <c r="O20" s="483">
        <f t="shared" si="3"/>
        <v>6.6075585287169671</v>
      </c>
      <c r="P20" s="483">
        <f t="shared" si="4"/>
        <v>75.555555555555557</v>
      </c>
    </row>
    <row r="21" spans="1:16" ht="13.95" customHeight="1" x14ac:dyDescent="0.25">
      <c r="A21" s="623">
        <v>19</v>
      </c>
      <c r="B21" s="10" t="s">
        <v>114</v>
      </c>
      <c r="C21" s="481">
        <v>0</v>
      </c>
      <c r="D21" s="626"/>
      <c r="E21" s="481">
        <f>címrendösszesen!HB24</f>
        <v>0</v>
      </c>
      <c r="F21" s="481">
        <v>0</v>
      </c>
      <c r="G21" s="29"/>
      <c r="H21" s="481">
        <f>címrendösszesen!EW24</f>
        <v>0</v>
      </c>
      <c r="I21" s="731">
        <v>816278</v>
      </c>
      <c r="J21" s="328">
        <v>1852827</v>
      </c>
      <c r="K21" s="481">
        <f>címrendösszesen!DS24</f>
        <v>879754</v>
      </c>
      <c r="L21" s="481">
        <f t="shared" si="0"/>
        <v>816278</v>
      </c>
      <c r="M21" s="481">
        <f t="shared" si="1"/>
        <v>1852827</v>
      </c>
      <c r="N21" s="481">
        <f t="shared" si="2"/>
        <v>879754</v>
      </c>
      <c r="O21" s="483">
        <f t="shared" si="3"/>
        <v>47.481713079526585</v>
      </c>
      <c r="P21" s="483">
        <f t="shared" si="4"/>
        <v>107.7762722993882</v>
      </c>
    </row>
    <row r="22" spans="1:16" ht="13.95" customHeight="1" x14ac:dyDescent="0.25">
      <c r="A22" s="622" t="s">
        <v>115</v>
      </c>
      <c r="B22" s="10" t="s">
        <v>29</v>
      </c>
      <c r="C22" s="481">
        <v>0</v>
      </c>
      <c r="D22" s="626"/>
      <c r="E22" s="481">
        <f>címrendösszesen!HB25</f>
        <v>0</v>
      </c>
      <c r="F22" s="481">
        <v>0</v>
      </c>
      <c r="G22" s="29"/>
      <c r="H22" s="481">
        <f>címrendösszesen!EW25</f>
        <v>0</v>
      </c>
      <c r="I22" s="481">
        <v>0</v>
      </c>
      <c r="J22" s="328"/>
      <c r="K22" s="481">
        <f>címrendösszesen!DS25</f>
        <v>761036</v>
      </c>
      <c r="L22" s="481">
        <f t="shared" si="0"/>
        <v>0</v>
      </c>
      <c r="M22" s="481">
        <f t="shared" si="1"/>
        <v>0</v>
      </c>
      <c r="N22" s="481">
        <f t="shared" si="2"/>
        <v>761036</v>
      </c>
      <c r="O22" s="483"/>
      <c r="P22" s="483"/>
    </row>
    <row r="23" spans="1:16" s="13" customFormat="1" ht="13.95" customHeight="1" x14ac:dyDescent="0.25">
      <c r="A23" s="484" t="s">
        <v>116</v>
      </c>
      <c r="B23" s="5" t="s">
        <v>117</v>
      </c>
      <c r="C23" s="726">
        <f>SUM(C4+C15)</f>
        <v>6666105</v>
      </c>
      <c r="D23" s="726">
        <f>SUM(D4+D15)</f>
        <v>6804301</v>
      </c>
      <c r="E23" s="482">
        <f>címrendösszesen!HB26</f>
        <v>6767314</v>
      </c>
      <c r="F23" s="190">
        <f>SUM(F4+F15)</f>
        <v>2609845</v>
      </c>
      <c r="G23" s="190">
        <f>SUM(G4+G15)</f>
        <v>2541919</v>
      </c>
      <c r="H23" s="482">
        <f>címrendösszesen!EW26</f>
        <v>2422575</v>
      </c>
      <c r="I23" s="190">
        <f>SUM(I4+I15)</f>
        <v>11006528</v>
      </c>
      <c r="J23" s="732">
        <f>SUM(J4+J15)</f>
        <v>13110349</v>
      </c>
      <c r="K23" s="482">
        <f>címrendösszesen!DS26</f>
        <v>14773640.6</v>
      </c>
      <c r="L23" s="482">
        <f t="shared" si="0"/>
        <v>20282478</v>
      </c>
      <c r="M23" s="482">
        <f t="shared" si="1"/>
        <v>22456569</v>
      </c>
      <c r="N23" s="482">
        <f t="shared" si="2"/>
        <v>23963529.600000001</v>
      </c>
      <c r="O23" s="483">
        <f t="shared" si="3"/>
        <v>106.71055582889799</v>
      </c>
      <c r="P23" s="483">
        <f t="shared" si="4"/>
        <v>118.14892440657401</v>
      </c>
    </row>
    <row r="24" spans="1:16" s="13" customFormat="1" ht="13.95" customHeight="1" x14ac:dyDescent="0.25">
      <c r="A24" s="485">
        <v>22</v>
      </c>
      <c r="B24" s="15" t="s">
        <v>1127</v>
      </c>
      <c r="C24" s="726">
        <f>SUM(C49+C58)</f>
        <v>7594321</v>
      </c>
      <c r="D24" s="726">
        <f>SUM(D49+D58)</f>
        <v>7719103</v>
      </c>
      <c r="E24" s="482">
        <f>címrendösszesen!HB27</f>
        <v>6767314</v>
      </c>
      <c r="F24" s="190">
        <f>SUM(F49+F58)</f>
        <v>2637257</v>
      </c>
      <c r="G24" s="190">
        <f>SUM(G49+G58)</f>
        <v>3083518</v>
      </c>
      <c r="H24" s="482">
        <f>címrendösszesen!EW27</f>
        <v>2422575</v>
      </c>
      <c r="I24" s="190">
        <f>SUM(I49+I58)</f>
        <v>29967923</v>
      </c>
      <c r="J24" s="732">
        <f>SUM(J49+J58)</f>
        <v>26220658</v>
      </c>
      <c r="K24" s="482">
        <f>címrendösszesen!DS27</f>
        <v>21692215.763999999</v>
      </c>
      <c r="L24" s="482">
        <f t="shared" si="0"/>
        <v>40199501</v>
      </c>
      <c r="M24" s="482">
        <f t="shared" si="1"/>
        <v>37023279</v>
      </c>
      <c r="N24" s="482">
        <f t="shared" si="2"/>
        <v>30882104.763999999</v>
      </c>
      <c r="O24" s="483">
        <f t="shared" si="3"/>
        <v>83.41266791631287</v>
      </c>
      <c r="P24" s="483">
        <f t="shared" si="4"/>
        <v>76.82210971723255</v>
      </c>
    </row>
    <row r="25" spans="1:16" s="13" customFormat="1" ht="13.95" customHeight="1" x14ac:dyDescent="0.25">
      <c r="A25" s="484" t="s">
        <v>119</v>
      </c>
      <c r="B25" s="5" t="s">
        <v>120</v>
      </c>
      <c r="C25" s="726">
        <f>SUM(C26+C32+C33+C34)</f>
        <v>2567924</v>
      </c>
      <c r="D25" s="726">
        <f>SUM(D26+D32+D33+D34)</f>
        <v>2016056</v>
      </c>
      <c r="E25" s="482">
        <f>címrendösszesen!HB28</f>
        <v>1867547</v>
      </c>
      <c r="F25" s="190">
        <f>SUM(F26+F32+F33+F34)</f>
        <v>565382</v>
      </c>
      <c r="G25" s="190">
        <f>SUM(G26+G32+G33+G34)</f>
        <v>512994</v>
      </c>
      <c r="H25" s="482">
        <f>címrendösszesen!EW28</f>
        <v>42900</v>
      </c>
      <c r="I25" s="190">
        <f>SUM(I26+I32+I33+I34)</f>
        <v>15166996</v>
      </c>
      <c r="J25" s="732">
        <f>SUM(J26+J32+J33+J34)</f>
        <v>16498376</v>
      </c>
      <c r="K25" s="482">
        <f>címrendösszesen!DS28</f>
        <v>15362307.764</v>
      </c>
      <c r="L25" s="482">
        <f t="shared" si="0"/>
        <v>18300302</v>
      </c>
      <c r="M25" s="482">
        <f t="shared" si="1"/>
        <v>19027426</v>
      </c>
      <c r="N25" s="482">
        <f t="shared" si="2"/>
        <v>17272754.763999999</v>
      </c>
      <c r="O25" s="483">
        <f t="shared" si="3"/>
        <v>90.778199657694103</v>
      </c>
      <c r="P25" s="483">
        <f t="shared" si="4"/>
        <v>94.385080442934751</v>
      </c>
    </row>
    <row r="26" spans="1:16" s="615" customFormat="1" ht="30" customHeight="1" x14ac:dyDescent="0.25">
      <c r="A26" s="486">
        <v>24</v>
      </c>
      <c r="B26" s="5" t="s">
        <v>121</v>
      </c>
      <c r="C26" s="727">
        <f>SUM(C27:C31)</f>
        <v>2275874</v>
      </c>
      <c r="D26" s="727">
        <f>SUM(D27:D31)</f>
        <v>1716530</v>
      </c>
      <c r="E26" s="613">
        <f>címrendösszesen!HB29</f>
        <v>1596807</v>
      </c>
      <c r="F26" s="728">
        <f>SUM(F27:F31)</f>
        <v>533920</v>
      </c>
      <c r="G26" s="728">
        <f>SUM(G27:G31)</f>
        <v>451408</v>
      </c>
      <c r="H26" s="613">
        <f>címrendösszesen!EW29</f>
        <v>0</v>
      </c>
      <c r="I26" s="728">
        <f>SUM(I27:I31)</f>
        <v>3211648</v>
      </c>
      <c r="J26" s="733">
        <f>SUM(J27:J31)</f>
        <v>2969944</v>
      </c>
      <c r="K26" s="613">
        <f>címrendösszesen!DS29</f>
        <v>2034251.764</v>
      </c>
      <c r="L26" s="613">
        <f t="shared" si="0"/>
        <v>6021442</v>
      </c>
      <c r="M26" s="613">
        <f t="shared" si="1"/>
        <v>5137882</v>
      </c>
      <c r="N26" s="613">
        <f t="shared" si="2"/>
        <v>3631058.764</v>
      </c>
      <c r="O26" s="614">
        <f t="shared" si="3"/>
        <v>70.672287997272036</v>
      </c>
      <c r="P26" s="614">
        <f t="shared" si="4"/>
        <v>60.302146296518345</v>
      </c>
    </row>
    <row r="27" spans="1:16" ht="13.95" customHeight="1" x14ac:dyDescent="0.25">
      <c r="A27" s="622" t="s">
        <v>122</v>
      </c>
      <c r="B27" s="16" t="s">
        <v>123</v>
      </c>
      <c r="C27" s="481">
        <v>0</v>
      </c>
      <c r="D27" s="626"/>
      <c r="E27" s="481">
        <f>címrendösszesen!HB30</f>
        <v>0</v>
      </c>
      <c r="F27" s="481">
        <v>0</v>
      </c>
      <c r="G27" s="29"/>
      <c r="H27" s="481">
        <f>címrendösszesen!EW30</f>
        <v>0</v>
      </c>
      <c r="I27" s="481">
        <v>2083642</v>
      </c>
      <c r="J27" s="328">
        <v>2367597</v>
      </c>
      <c r="K27" s="481">
        <f>címrendösszesen!DS30</f>
        <v>2019674.764</v>
      </c>
      <c r="L27" s="481">
        <f t="shared" si="0"/>
        <v>2083642</v>
      </c>
      <c r="M27" s="481">
        <f t="shared" si="1"/>
        <v>2367597</v>
      </c>
      <c r="N27" s="481">
        <f t="shared" si="2"/>
        <v>2019674.764</v>
      </c>
      <c r="O27" s="483">
        <f t="shared" si="3"/>
        <v>85.304837098543373</v>
      </c>
      <c r="P27" s="483">
        <f t="shared" si="4"/>
        <v>96.93002751912276</v>
      </c>
    </row>
    <row r="28" spans="1:16" ht="13.95" customHeight="1" x14ac:dyDescent="0.25">
      <c r="A28" s="623">
        <v>26</v>
      </c>
      <c r="B28" s="16" t="s">
        <v>124</v>
      </c>
      <c r="C28" s="481">
        <v>0</v>
      </c>
      <c r="D28" s="626"/>
      <c r="E28" s="481">
        <f>címrendösszesen!HB31</f>
        <v>0</v>
      </c>
      <c r="F28" s="481">
        <v>0</v>
      </c>
      <c r="G28" s="29"/>
      <c r="H28" s="481">
        <f>címrendösszesen!EW31</f>
        <v>0</v>
      </c>
      <c r="I28" s="731">
        <v>845936</v>
      </c>
      <c r="J28" s="328">
        <v>583263</v>
      </c>
      <c r="K28" s="481">
        <f>címrendösszesen!DS31</f>
        <v>0</v>
      </c>
      <c r="L28" s="481">
        <f t="shared" si="0"/>
        <v>845936</v>
      </c>
      <c r="M28" s="481">
        <f t="shared" si="1"/>
        <v>583263</v>
      </c>
      <c r="N28" s="481">
        <f t="shared" si="2"/>
        <v>0</v>
      </c>
      <c r="O28" s="483">
        <f t="shared" si="3"/>
        <v>0</v>
      </c>
      <c r="P28" s="483">
        <f t="shared" si="4"/>
        <v>0</v>
      </c>
    </row>
    <row r="29" spans="1:16" ht="13.95" customHeight="1" x14ac:dyDescent="0.25">
      <c r="A29" s="622" t="s">
        <v>125</v>
      </c>
      <c r="B29" s="16" t="s">
        <v>126</v>
      </c>
      <c r="C29" s="481">
        <v>0</v>
      </c>
      <c r="D29" s="626"/>
      <c r="E29" s="481">
        <f>címrendösszesen!HB32</f>
        <v>0</v>
      </c>
      <c r="F29" s="481">
        <v>0</v>
      </c>
      <c r="G29" s="29"/>
      <c r="H29" s="481">
        <f>címrendösszesen!EW32</f>
        <v>0</v>
      </c>
      <c r="I29" s="731">
        <v>0</v>
      </c>
      <c r="J29" s="328"/>
      <c r="K29" s="481">
        <f>címrendösszesen!DS32</f>
        <v>0</v>
      </c>
      <c r="L29" s="481">
        <f t="shared" si="0"/>
        <v>0</v>
      </c>
      <c r="M29" s="481">
        <f t="shared" si="1"/>
        <v>0</v>
      </c>
      <c r="N29" s="481">
        <f t="shared" si="2"/>
        <v>0</v>
      </c>
      <c r="O29" s="483"/>
      <c r="P29" s="483"/>
    </row>
    <row r="30" spans="1:16" ht="13.95" customHeight="1" x14ac:dyDescent="0.25">
      <c r="A30" s="622" t="s">
        <v>127</v>
      </c>
      <c r="B30" s="16" t="s">
        <v>128</v>
      </c>
      <c r="C30" s="481">
        <v>0</v>
      </c>
      <c r="D30" s="626"/>
      <c r="E30" s="481">
        <f>címrendösszesen!HB33</f>
        <v>0</v>
      </c>
      <c r="F30" s="481">
        <v>0</v>
      </c>
      <c r="G30" s="29"/>
      <c r="H30" s="481">
        <f>címrendösszesen!EW33</f>
        <v>0</v>
      </c>
      <c r="I30" s="481">
        <v>0</v>
      </c>
      <c r="J30" s="29"/>
      <c r="K30" s="481">
        <f>címrendösszesen!DS33</f>
        <v>0</v>
      </c>
      <c r="L30" s="481">
        <f t="shared" si="0"/>
        <v>0</v>
      </c>
      <c r="M30" s="481">
        <f t="shared" si="1"/>
        <v>0</v>
      </c>
      <c r="N30" s="481">
        <f t="shared" si="2"/>
        <v>0</v>
      </c>
      <c r="O30" s="483"/>
      <c r="P30" s="483"/>
    </row>
    <row r="31" spans="1:16" ht="13.95" customHeight="1" x14ac:dyDescent="0.25">
      <c r="A31" s="622" t="s">
        <v>129</v>
      </c>
      <c r="B31" s="16" t="s">
        <v>130</v>
      </c>
      <c r="C31" s="481">
        <v>2275874</v>
      </c>
      <c r="D31" s="626">
        <v>1716530</v>
      </c>
      <c r="E31" s="481">
        <f>címrendösszesen!HB34</f>
        <v>1596807</v>
      </c>
      <c r="F31" s="481">
        <v>533920</v>
      </c>
      <c r="G31" s="29">
        <v>451408</v>
      </c>
      <c r="H31" s="481">
        <f>címrendösszesen!EW34</f>
        <v>0</v>
      </c>
      <c r="I31" s="731">
        <v>282070</v>
      </c>
      <c r="J31" s="328">
        <v>19084</v>
      </c>
      <c r="K31" s="481">
        <f>címrendösszesen!DS34</f>
        <v>14577</v>
      </c>
      <c r="L31" s="481">
        <f t="shared" si="0"/>
        <v>3091864</v>
      </c>
      <c r="M31" s="481">
        <f t="shared" si="1"/>
        <v>2187022</v>
      </c>
      <c r="N31" s="481">
        <f t="shared" si="2"/>
        <v>1611384</v>
      </c>
      <c r="O31" s="483">
        <f t="shared" si="3"/>
        <v>73.679368566022646</v>
      </c>
      <c r="P31" s="483">
        <f t="shared" si="4"/>
        <v>52.116910704998666</v>
      </c>
    </row>
    <row r="32" spans="1:16" ht="13.95" customHeight="1" x14ac:dyDescent="0.25">
      <c r="A32" s="623">
        <v>30</v>
      </c>
      <c r="B32" s="16" t="s">
        <v>131</v>
      </c>
      <c r="C32" s="481">
        <v>0</v>
      </c>
      <c r="D32" s="626"/>
      <c r="E32" s="481">
        <f>címrendösszesen!HB35</f>
        <v>0</v>
      </c>
      <c r="F32" s="481">
        <v>12781</v>
      </c>
      <c r="G32" s="29">
        <v>46952</v>
      </c>
      <c r="H32" s="481">
        <f>címrendösszesen!EW35</f>
        <v>37300</v>
      </c>
      <c r="I32" s="481">
        <v>8023277</v>
      </c>
      <c r="J32" s="328">
        <v>8662254</v>
      </c>
      <c r="K32" s="481">
        <f>címrendösszesen!DS35</f>
        <v>8835936</v>
      </c>
      <c r="L32" s="481">
        <f t="shared" si="0"/>
        <v>8036058</v>
      </c>
      <c r="M32" s="481">
        <f t="shared" si="1"/>
        <v>8709206</v>
      </c>
      <c r="N32" s="481">
        <f t="shared" si="2"/>
        <v>8873236</v>
      </c>
      <c r="O32" s="483">
        <f t="shared" si="3"/>
        <v>101.88340934868229</v>
      </c>
      <c r="P32" s="483">
        <f t="shared" si="4"/>
        <v>110.41776950838333</v>
      </c>
    </row>
    <row r="33" spans="1:16" ht="13.95" customHeight="1" x14ac:dyDescent="0.25">
      <c r="A33" s="622" t="s">
        <v>132</v>
      </c>
      <c r="B33" s="16" t="s">
        <v>133</v>
      </c>
      <c r="C33" s="481">
        <v>288747</v>
      </c>
      <c r="D33" s="626">
        <v>297281</v>
      </c>
      <c r="E33" s="481">
        <f>címrendösszesen!HB36</f>
        <v>259876</v>
      </c>
      <c r="F33" s="481">
        <v>18681</v>
      </c>
      <c r="G33" s="29">
        <v>14634</v>
      </c>
      <c r="H33" s="481">
        <f>címrendösszesen!EW36</f>
        <v>5600</v>
      </c>
      <c r="I33" s="731">
        <v>3778463</v>
      </c>
      <c r="J33" s="328">
        <v>4558756</v>
      </c>
      <c r="K33" s="481">
        <f>címrendösszesen!DS36</f>
        <v>4257120</v>
      </c>
      <c r="L33" s="481">
        <f t="shared" si="0"/>
        <v>4085891</v>
      </c>
      <c r="M33" s="481">
        <f t="shared" si="1"/>
        <v>4870671</v>
      </c>
      <c r="N33" s="481">
        <f t="shared" si="2"/>
        <v>4522596</v>
      </c>
      <c r="O33" s="483">
        <f t="shared" si="3"/>
        <v>92.853654044791782</v>
      </c>
      <c r="P33" s="483">
        <f t="shared" si="4"/>
        <v>110.68812163613761</v>
      </c>
    </row>
    <row r="34" spans="1:16" s="13" customFormat="1" ht="13.95" customHeight="1" x14ac:dyDescent="0.25">
      <c r="A34" s="485">
        <v>32</v>
      </c>
      <c r="B34" s="5" t="s">
        <v>134</v>
      </c>
      <c r="C34" s="726">
        <f>SUM(C35:C36)</f>
        <v>3303</v>
      </c>
      <c r="D34" s="726">
        <f>SUM(D35:D36)</f>
        <v>2245</v>
      </c>
      <c r="E34" s="482">
        <f>címrendösszesen!HB37</f>
        <v>10864</v>
      </c>
      <c r="F34" s="190">
        <f>SUM(F35:F36)</f>
        <v>0</v>
      </c>
      <c r="G34" s="190">
        <f>SUM(G35:G36)</f>
        <v>0</v>
      </c>
      <c r="H34" s="482">
        <f>címrendösszesen!EW37</f>
        <v>0</v>
      </c>
      <c r="I34" s="190">
        <f>SUM(I35:I36)</f>
        <v>153608</v>
      </c>
      <c r="J34" s="732">
        <f>SUM(J35:J36)</f>
        <v>307422</v>
      </c>
      <c r="K34" s="482">
        <f>címrendösszesen!DS37</f>
        <v>235000</v>
      </c>
      <c r="L34" s="482">
        <f t="shared" si="0"/>
        <v>156911</v>
      </c>
      <c r="M34" s="482">
        <f t="shared" si="1"/>
        <v>309667</v>
      </c>
      <c r="N34" s="482">
        <f t="shared" si="2"/>
        <v>245864</v>
      </c>
      <c r="O34" s="483">
        <f t="shared" si="3"/>
        <v>79.396254686485804</v>
      </c>
      <c r="P34" s="483">
        <f t="shared" si="4"/>
        <v>156.69009820853861</v>
      </c>
    </row>
    <row r="35" spans="1:16" ht="13.95" customHeight="1" x14ac:dyDescent="0.25">
      <c r="A35" s="623">
        <v>33</v>
      </c>
      <c r="B35" s="16" t="s">
        <v>135</v>
      </c>
      <c r="C35" s="481">
        <v>0</v>
      </c>
      <c r="D35" s="626"/>
      <c r="E35" s="481">
        <f>címrendösszesen!HB38</f>
        <v>0</v>
      </c>
      <c r="F35" s="481">
        <v>0</v>
      </c>
      <c r="G35" s="29"/>
      <c r="H35" s="481">
        <f>címrendösszesen!EW38</f>
        <v>0</v>
      </c>
      <c r="I35" s="731">
        <v>0</v>
      </c>
      <c r="J35" s="328"/>
      <c r="K35" s="481">
        <f>címrendösszesen!DS38</f>
        <v>0</v>
      </c>
      <c r="L35" s="481">
        <f t="shared" si="0"/>
        <v>0</v>
      </c>
      <c r="M35" s="481">
        <f t="shared" si="1"/>
        <v>0</v>
      </c>
      <c r="N35" s="481">
        <f t="shared" si="2"/>
        <v>0</v>
      </c>
      <c r="O35" s="483"/>
      <c r="P35" s="483"/>
    </row>
    <row r="36" spans="1:16" ht="13.95" customHeight="1" x14ac:dyDescent="0.25">
      <c r="A36" s="623">
        <v>34</v>
      </c>
      <c r="B36" s="16" t="s">
        <v>136</v>
      </c>
      <c r="C36" s="481">
        <v>3303</v>
      </c>
      <c r="D36" s="626">
        <v>2245</v>
      </c>
      <c r="E36" s="481">
        <f>címrendösszesen!HB39</f>
        <v>10864</v>
      </c>
      <c r="F36" s="481">
        <v>0</v>
      </c>
      <c r="G36" s="29"/>
      <c r="H36" s="481">
        <f>címrendösszesen!EW39</f>
        <v>0</v>
      </c>
      <c r="I36" s="481">
        <v>153608</v>
      </c>
      <c r="J36" s="29">
        <v>307422</v>
      </c>
      <c r="K36" s="481">
        <f>címrendösszesen!DS39</f>
        <v>235000</v>
      </c>
      <c r="L36" s="481">
        <f t="shared" si="0"/>
        <v>156911</v>
      </c>
      <c r="M36" s="481">
        <f t="shared" si="1"/>
        <v>309667</v>
      </c>
      <c r="N36" s="481">
        <f t="shared" si="2"/>
        <v>245864</v>
      </c>
      <c r="O36" s="483">
        <f t="shared" si="3"/>
        <v>79.396254686485804</v>
      </c>
      <c r="P36" s="483">
        <f t="shared" si="4"/>
        <v>156.69009820853861</v>
      </c>
    </row>
    <row r="37" spans="1:16" s="13" customFormat="1" ht="13.95" customHeight="1" x14ac:dyDescent="0.25">
      <c r="A37" s="485">
        <v>35</v>
      </c>
      <c r="B37" s="5" t="s">
        <v>805</v>
      </c>
      <c r="C37" s="726">
        <f>SUM(C38+C43+C44+C45+C46)</f>
        <v>55177</v>
      </c>
      <c r="D37" s="726">
        <f>SUM(D38+D43+D44+D45+D46)</f>
        <v>6320</v>
      </c>
      <c r="E37" s="482">
        <f>címrendösszesen!HB40</f>
        <v>0</v>
      </c>
      <c r="F37" s="190">
        <f>SUM(F38+F43+F44+F45+F46)</f>
        <v>57</v>
      </c>
      <c r="G37" s="190">
        <f>SUM(G38+G43+G44+G45+G46)</f>
        <v>651</v>
      </c>
      <c r="H37" s="482">
        <f>címrendösszesen!EW40</f>
        <v>0</v>
      </c>
      <c r="I37" s="190">
        <f>SUM(I38+I43+I44+I45+I46)</f>
        <v>6680743</v>
      </c>
      <c r="J37" s="190">
        <f>SUM(J38+J43+J44+J45+J46)</f>
        <v>3293307</v>
      </c>
      <c r="K37" s="482">
        <f>címrendösszesen!DS40</f>
        <v>1142150</v>
      </c>
      <c r="L37" s="482">
        <f t="shared" si="0"/>
        <v>6735977</v>
      </c>
      <c r="M37" s="482">
        <f t="shared" si="1"/>
        <v>3300278</v>
      </c>
      <c r="N37" s="482">
        <f t="shared" si="2"/>
        <v>1142150</v>
      </c>
      <c r="O37" s="483">
        <f t="shared" si="3"/>
        <v>34.607690624850392</v>
      </c>
      <c r="P37" s="483">
        <f t="shared" si="4"/>
        <v>16.955966447035077</v>
      </c>
    </row>
    <row r="38" spans="1:16" s="13" customFormat="1" ht="13.95" customHeight="1" x14ac:dyDescent="0.25">
      <c r="A38" s="484" t="s">
        <v>137</v>
      </c>
      <c r="B38" s="5" t="s">
        <v>797</v>
      </c>
      <c r="C38" s="726">
        <f>SUM(C39:C42)</f>
        <v>52419</v>
      </c>
      <c r="D38" s="726">
        <f>SUM(D39:D42)</f>
        <v>1724</v>
      </c>
      <c r="E38" s="482">
        <f>címrendösszesen!HB41</f>
        <v>0</v>
      </c>
      <c r="F38" s="190">
        <f>SUM(F39:F42)</f>
        <v>0</v>
      </c>
      <c r="G38" s="190">
        <f>SUM(G39:G42)</f>
        <v>0</v>
      </c>
      <c r="H38" s="482">
        <f>címrendösszesen!EW41</f>
        <v>0</v>
      </c>
      <c r="I38" s="190">
        <f>SUM(I39:I42)</f>
        <v>3625627</v>
      </c>
      <c r="J38" s="190">
        <f>SUM(J39:J42)</f>
        <v>675033</v>
      </c>
      <c r="K38" s="482">
        <f>címrendösszesen!DS41</f>
        <v>0</v>
      </c>
      <c r="L38" s="482">
        <f t="shared" si="0"/>
        <v>3678046</v>
      </c>
      <c r="M38" s="482">
        <f t="shared" si="1"/>
        <v>676757</v>
      </c>
      <c r="N38" s="482">
        <f t="shared" si="2"/>
        <v>0</v>
      </c>
      <c r="O38" s="483"/>
      <c r="P38" s="483"/>
    </row>
    <row r="39" spans="1:16" ht="13.95" customHeight="1" x14ac:dyDescent="0.25">
      <c r="A39" s="623">
        <v>37</v>
      </c>
      <c r="B39" s="16" t="s">
        <v>138</v>
      </c>
      <c r="C39" s="481">
        <v>0</v>
      </c>
      <c r="D39" s="626"/>
      <c r="E39" s="481">
        <f>címrendösszesen!HB42</f>
        <v>0</v>
      </c>
      <c r="F39" s="481">
        <v>0</v>
      </c>
      <c r="G39" s="29"/>
      <c r="H39" s="481">
        <f>címrendösszesen!EW42</f>
        <v>0</v>
      </c>
      <c r="I39" s="481">
        <v>2200000</v>
      </c>
      <c r="J39" s="29">
        <v>550000</v>
      </c>
      <c r="K39" s="481">
        <f>címrendösszesen!DS42</f>
        <v>0</v>
      </c>
      <c r="L39" s="481">
        <f t="shared" si="0"/>
        <v>2200000</v>
      </c>
      <c r="M39" s="481">
        <f t="shared" si="1"/>
        <v>550000</v>
      </c>
      <c r="N39" s="481">
        <f t="shared" si="2"/>
        <v>0</v>
      </c>
      <c r="O39" s="483"/>
      <c r="P39" s="483"/>
    </row>
    <row r="40" spans="1:16" ht="13.95" customHeight="1" x14ac:dyDescent="0.25">
      <c r="A40" s="622" t="s">
        <v>298</v>
      </c>
      <c r="B40" s="16" t="s">
        <v>140</v>
      </c>
      <c r="C40" s="481">
        <v>0</v>
      </c>
      <c r="D40" s="626"/>
      <c r="E40" s="481">
        <f>címrendösszesen!HB43</f>
        <v>0</v>
      </c>
      <c r="F40" s="481">
        <v>0</v>
      </c>
      <c r="G40" s="29"/>
      <c r="H40" s="481">
        <f>címrendösszesen!EW43</f>
        <v>0</v>
      </c>
      <c r="I40" s="481">
        <v>0</v>
      </c>
      <c r="J40" s="29"/>
      <c r="K40" s="481">
        <f>címrendösszesen!DS43</f>
        <v>0</v>
      </c>
      <c r="L40" s="481">
        <f t="shared" si="0"/>
        <v>0</v>
      </c>
      <c r="M40" s="481">
        <f t="shared" si="1"/>
        <v>0</v>
      </c>
      <c r="N40" s="481">
        <f t="shared" si="2"/>
        <v>0</v>
      </c>
      <c r="O40" s="483"/>
      <c r="P40" s="483"/>
    </row>
    <row r="41" spans="1:16" ht="13.95" customHeight="1" x14ac:dyDescent="0.25">
      <c r="A41" s="623">
        <v>39</v>
      </c>
      <c r="B41" s="16" t="s">
        <v>141</v>
      </c>
      <c r="C41" s="481">
        <v>0</v>
      </c>
      <c r="D41" s="626"/>
      <c r="E41" s="481">
        <f>címrendösszesen!HB44</f>
        <v>0</v>
      </c>
      <c r="F41" s="481">
        <v>0</v>
      </c>
      <c r="G41" s="29"/>
      <c r="H41" s="481">
        <f>címrendösszesen!EW44</f>
        <v>0</v>
      </c>
      <c r="I41" s="481">
        <v>0</v>
      </c>
      <c r="J41" s="29"/>
      <c r="K41" s="481">
        <f>címrendösszesen!DS44</f>
        <v>0</v>
      </c>
      <c r="L41" s="481">
        <f t="shared" si="0"/>
        <v>0</v>
      </c>
      <c r="M41" s="481">
        <f t="shared" si="1"/>
        <v>0</v>
      </c>
      <c r="N41" s="481">
        <f t="shared" si="2"/>
        <v>0</v>
      </c>
      <c r="O41" s="483"/>
      <c r="P41" s="483"/>
    </row>
    <row r="42" spans="1:16" ht="13.95" customHeight="1" x14ac:dyDescent="0.25">
      <c r="A42" s="622" t="s">
        <v>299</v>
      </c>
      <c r="B42" s="16" t="s">
        <v>143</v>
      </c>
      <c r="C42" s="481">
        <v>52419</v>
      </c>
      <c r="D42" s="626">
        <v>1724</v>
      </c>
      <c r="E42" s="481">
        <f>címrendösszesen!HB45</f>
        <v>0</v>
      </c>
      <c r="F42" s="481">
        <v>0</v>
      </c>
      <c r="G42" s="29"/>
      <c r="H42" s="481">
        <f>címrendösszesen!EW45</f>
        <v>0</v>
      </c>
      <c r="I42" s="481">
        <v>1425627</v>
      </c>
      <c r="J42" s="29">
        <v>125033</v>
      </c>
      <c r="K42" s="481">
        <f>címrendösszesen!DS45</f>
        <v>0</v>
      </c>
      <c r="L42" s="481">
        <f t="shared" si="0"/>
        <v>1478046</v>
      </c>
      <c r="M42" s="481">
        <f t="shared" si="1"/>
        <v>126757</v>
      </c>
      <c r="N42" s="481">
        <f t="shared" si="2"/>
        <v>0</v>
      </c>
      <c r="O42" s="483"/>
      <c r="P42" s="483"/>
    </row>
    <row r="43" spans="1:16" ht="13.95" customHeight="1" x14ac:dyDescent="0.25">
      <c r="A43" s="623">
        <v>41</v>
      </c>
      <c r="B43" s="16" t="s">
        <v>144</v>
      </c>
      <c r="C43" s="481">
        <v>0</v>
      </c>
      <c r="D43" s="626"/>
      <c r="E43" s="481">
        <f>címrendösszesen!HB46</f>
        <v>0</v>
      </c>
      <c r="F43" s="481">
        <v>0</v>
      </c>
      <c r="G43" s="29"/>
      <c r="H43" s="481">
        <f>címrendösszesen!EW46</f>
        <v>0</v>
      </c>
      <c r="I43" s="481">
        <v>2674981</v>
      </c>
      <c r="J43" s="29">
        <v>2195456</v>
      </c>
      <c r="K43" s="481">
        <f>címrendösszesen!DS46</f>
        <v>791850</v>
      </c>
      <c r="L43" s="481">
        <f t="shared" si="0"/>
        <v>2674981</v>
      </c>
      <c r="M43" s="481">
        <f t="shared" si="1"/>
        <v>2195456</v>
      </c>
      <c r="N43" s="481">
        <f t="shared" si="2"/>
        <v>791850</v>
      </c>
      <c r="O43" s="483">
        <f t="shared" si="3"/>
        <v>36.067677967583954</v>
      </c>
      <c r="P43" s="483">
        <f t="shared" si="4"/>
        <v>29.602079416638848</v>
      </c>
    </row>
    <row r="44" spans="1:16" ht="13.95" customHeight="1" x14ac:dyDescent="0.25">
      <c r="A44" s="622" t="s">
        <v>300</v>
      </c>
      <c r="B44" s="16" t="s">
        <v>146</v>
      </c>
      <c r="C44" s="481">
        <v>0</v>
      </c>
      <c r="D44" s="626"/>
      <c r="E44" s="481">
        <f>címrendösszesen!HB47</f>
        <v>0</v>
      </c>
      <c r="F44" s="481">
        <v>57</v>
      </c>
      <c r="G44" s="29">
        <v>651</v>
      </c>
      <c r="H44" s="481">
        <f>címrendösszesen!EW47</f>
        <v>0</v>
      </c>
      <c r="I44" s="481">
        <v>0</v>
      </c>
      <c r="J44" s="29"/>
      <c r="K44" s="481">
        <f>címrendösszesen!DS47</f>
        <v>0</v>
      </c>
      <c r="L44" s="481">
        <f t="shared" si="0"/>
        <v>57</v>
      </c>
      <c r="M44" s="481">
        <f t="shared" si="1"/>
        <v>651</v>
      </c>
      <c r="N44" s="481">
        <f t="shared" si="2"/>
        <v>0</v>
      </c>
      <c r="O44" s="483"/>
      <c r="P44" s="483"/>
    </row>
    <row r="45" spans="1:16" ht="13.95" customHeight="1" x14ac:dyDescent="0.25">
      <c r="A45" s="623">
        <v>43</v>
      </c>
      <c r="B45" s="16" t="s">
        <v>147</v>
      </c>
      <c r="C45" s="481">
        <v>0</v>
      </c>
      <c r="D45" s="626"/>
      <c r="E45" s="481">
        <f>címrendösszesen!HB48</f>
        <v>0</v>
      </c>
      <c r="F45" s="481">
        <v>0</v>
      </c>
      <c r="G45" s="29"/>
      <c r="H45" s="481">
        <f>címrendösszesen!EW48</f>
        <v>0</v>
      </c>
      <c r="I45" s="481">
        <v>0</v>
      </c>
      <c r="J45" s="29"/>
      <c r="K45" s="481">
        <f>címrendösszesen!DS48</f>
        <v>0</v>
      </c>
      <c r="L45" s="481">
        <f t="shared" si="0"/>
        <v>0</v>
      </c>
      <c r="M45" s="481">
        <f t="shared" si="1"/>
        <v>0</v>
      </c>
      <c r="N45" s="481">
        <f t="shared" si="2"/>
        <v>0</v>
      </c>
      <c r="O45" s="483"/>
      <c r="P45" s="483"/>
    </row>
    <row r="46" spans="1:16" s="13" customFormat="1" ht="13.95" customHeight="1" x14ac:dyDescent="0.25">
      <c r="A46" s="484" t="s">
        <v>301</v>
      </c>
      <c r="B46" s="5" t="s">
        <v>798</v>
      </c>
      <c r="C46" s="726">
        <f>SUM(C47:C48)</f>
        <v>2758</v>
      </c>
      <c r="D46" s="726">
        <f>SUM(D47:D48)</f>
        <v>4596</v>
      </c>
      <c r="E46" s="482">
        <f>címrendösszesen!HB49</f>
        <v>0</v>
      </c>
      <c r="F46" s="190">
        <f>SUM(F47:F48)</f>
        <v>0</v>
      </c>
      <c r="G46" s="190">
        <f>SUM(G47:G48)</f>
        <v>0</v>
      </c>
      <c r="H46" s="482">
        <f>címrendösszesen!EW49</f>
        <v>0</v>
      </c>
      <c r="I46" s="190">
        <f>SUM(I47:I48)</f>
        <v>380135</v>
      </c>
      <c r="J46" s="190">
        <f>SUM(J47:J48)</f>
        <v>422818</v>
      </c>
      <c r="K46" s="482">
        <f>címrendösszesen!DS49</f>
        <v>350300</v>
      </c>
      <c r="L46" s="482">
        <f t="shared" si="0"/>
        <v>382893</v>
      </c>
      <c r="M46" s="482">
        <f t="shared" si="1"/>
        <v>427414</v>
      </c>
      <c r="N46" s="482">
        <f t="shared" si="2"/>
        <v>350300</v>
      </c>
      <c r="O46" s="483">
        <f t="shared" si="3"/>
        <v>81.958007926740819</v>
      </c>
      <c r="P46" s="483">
        <f t="shared" si="4"/>
        <v>91.487700219121265</v>
      </c>
    </row>
    <row r="47" spans="1:16" ht="13.95" customHeight="1" x14ac:dyDescent="0.25">
      <c r="A47" s="623">
        <v>45</v>
      </c>
      <c r="B47" s="16" t="s">
        <v>149</v>
      </c>
      <c r="C47" s="481">
        <v>0</v>
      </c>
      <c r="D47" s="626"/>
      <c r="E47" s="481">
        <f>címrendösszesen!HB50</f>
        <v>0</v>
      </c>
      <c r="F47" s="481">
        <v>0</v>
      </c>
      <c r="G47" s="29"/>
      <c r="H47" s="481">
        <f>címrendösszesen!EW50</f>
        <v>0</v>
      </c>
      <c r="I47" s="481">
        <v>218036</v>
      </c>
      <c r="J47" s="29">
        <v>307316</v>
      </c>
      <c r="K47" s="481">
        <f>címrendösszesen!DS50</f>
        <v>350300</v>
      </c>
      <c r="L47" s="481">
        <f t="shared" si="0"/>
        <v>218036</v>
      </c>
      <c r="M47" s="481">
        <f t="shared" si="1"/>
        <v>307316</v>
      </c>
      <c r="N47" s="481">
        <f t="shared" si="2"/>
        <v>350300</v>
      </c>
      <c r="O47" s="483"/>
      <c r="P47" s="483">
        <f t="shared" si="4"/>
        <v>160.66154213065732</v>
      </c>
    </row>
    <row r="48" spans="1:16" ht="13.95" customHeight="1" x14ac:dyDescent="0.25">
      <c r="A48" s="622" t="s">
        <v>151</v>
      </c>
      <c r="B48" s="16" t="s">
        <v>150</v>
      </c>
      <c r="C48" s="481">
        <v>2758</v>
      </c>
      <c r="D48" s="626">
        <v>4596</v>
      </c>
      <c r="E48" s="481">
        <f>címrendösszesen!HB51</f>
        <v>0</v>
      </c>
      <c r="F48" s="481">
        <v>0</v>
      </c>
      <c r="G48" s="29"/>
      <c r="H48" s="481">
        <f>címrendösszesen!EW51</f>
        <v>0</v>
      </c>
      <c r="I48" s="481">
        <v>162099</v>
      </c>
      <c r="J48" s="29">
        <v>115502</v>
      </c>
      <c r="K48" s="481">
        <f>címrendösszesen!DS51</f>
        <v>0</v>
      </c>
      <c r="L48" s="482">
        <f t="shared" si="0"/>
        <v>164857</v>
      </c>
      <c r="M48" s="482">
        <f t="shared" si="1"/>
        <v>120098</v>
      </c>
      <c r="N48" s="482">
        <f t="shared" si="2"/>
        <v>0</v>
      </c>
      <c r="O48" s="483"/>
      <c r="P48" s="483"/>
    </row>
    <row r="49" spans="1:16" s="13" customFormat="1" ht="13.95" customHeight="1" x14ac:dyDescent="0.25">
      <c r="A49" s="484" t="s">
        <v>302</v>
      </c>
      <c r="B49" s="5" t="s">
        <v>152</v>
      </c>
      <c r="C49" s="729">
        <f>SUM(C25+C37)</f>
        <v>2623101</v>
      </c>
      <c r="D49" s="729">
        <f>SUM(D25+D37)</f>
        <v>2022376</v>
      </c>
      <c r="E49" s="482">
        <f>címrendösszesen!HB52</f>
        <v>1867547</v>
      </c>
      <c r="F49" s="190">
        <f>SUM(F25+F37)</f>
        <v>565439</v>
      </c>
      <c r="G49" s="190">
        <f>SUM(G25+G37)</f>
        <v>513645</v>
      </c>
      <c r="H49" s="482">
        <f>címrendösszesen!EW52</f>
        <v>42900</v>
      </c>
      <c r="I49" s="190">
        <f>SUM(I25+I37)</f>
        <v>21847739</v>
      </c>
      <c r="J49" s="190">
        <f>SUM(J25+J37)</f>
        <v>19791683</v>
      </c>
      <c r="K49" s="482">
        <f>címrendösszesen!DS52</f>
        <v>16504457.764</v>
      </c>
      <c r="L49" s="482">
        <f t="shared" si="0"/>
        <v>25036279</v>
      </c>
      <c r="M49" s="482">
        <f t="shared" si="1"/>
        <v>22327704</v>
      </c>
      <c r="N49" s="482">
        <f t="shared" si="2"/>
        <v>18414904.763999999</v>
      </c>
      <c r="O49" s="483">
        <f t="shared" si="3"/>
        <v>82.475586222389893</v>
      </c>
      <c r="P49" s="483">
        <f t="shared" si="4"/>
        <v>73.552882055676079</v>
      </c>
    </row>
    <row r="50" spans="1:16" s="13" customFormat="1" ht="13.95" customHeight="1" x14ac:dyDescent="0.25">
      <c r="A50" s="484" t="s">
        <v>796</v>
      </c>
      <c r="B50" s="5" t="s">
        <v>799</v>
      </c>
      <c r="C50" s="726">
        <f>SUM(C51+C55)</f>
        <v>0</v>
      </c>
      <c r="D50" s="726">
        <f>SUM(D51+D55)</f>
        <v>0</v>
      </c>
      <c r="E50" s="482">
        <f>címrendösszesen!HB53</f>
        <v>0</v>
      </c>
      <c r="F50" s="190">
        <f>SUM(F51+F55)</f>
        <v>0</v>
      </c>
      <c r="G50" s="190">
        <f>SUM(G51+G55)</f>
        <v>0</v>
      </c>
      <c r="H50" s="482">
        <f>címrendösszesen!EW53</f>
        <v>0</v>
      </c>
      <c r="I50" s="190">
        <f>SUM(I51+I55)</f>
        <v>12613207</v>
      </c>
      <c r="J50" s="190">
        <f>SUM(J51+J55)</f>
        <v>7328774</v>
      </c>
      <c r="K50" s="482">
        <f>címrendösszesen!DS53</f>
        <v>6918575</v>
      </c>
      <c r="L50" s="482">
        <f t="shared" si="0"/>
        <v>12613207</v>
      </c>
      <c r="M50" s="482">
        <f t="shared" si="1"/>
        <v>7328774</v>
      </c>
      <c r="N50" s="482">
        <f t="shared" si="2"/>
        <v>6918575</v>
      </c>
      <c r="O50" s="483">
        <f t="shared" si="3"/>
        <v>94.402897401393474</v>
      </c>
      <c r="P50" s="483">
        <f t="shared" si="4"/>
        <v>54.851831100528202</v>
      </c>
    </row>
    <row r="51" spans="1:16" s="13" customFormat="1" ht="13.95" customHeight="1" x14ac:dyDescent="0.25">
      <c r="A51" s="485">
        <v>49</v>
      </c>
      <c r="B51" s="5" t="s">
        <v>800</v>
      </c>
      <c r="C51" s="726">
        <f>SUM(C52:C54)</f>
        <v>0</v>
      </c>
      <c r="D51" s="726">
        <f>SUM(D52:D54)</f>
        <v>0</v>
      </c>
      <c r="E51" s="482">
        <f>címrendösszesen!HB54</f>
        <v>0</v>
      </c>
      <c r="F51" s="190">
        <f>SUM(F52:F54)</f>
        <v>0</v>
      </c>
      <c r="G51" s="190">
        <f>SUM(G52:G54)</f>
        <v>0</v>
      </c>
      <c r="H51" s="482">
        <f>címrendösszesen!EW54</f>
        <v>0</v>
      </c>
      <c r="I51" s="190">
        <f>SUM(I52:I54)</f>
        <v>12339092</v>
      </c>
      <c r="J51" s="190">
        <f>SUM(J52:J54)</f>
        <v>7328774</v>
      </c>
      <c r="K51" s="482">
        <f>címrendösszesen!DS54</f>
        <v>6849654</v>
      </c>
      <c r="L51" s="482">
        <f t="shared" si="0"/>
        <v>12339092</v>
      </c>
      <c r="M51" s="482">
        <f t="shared" si="1"/>
        <v>7328774</v>
      </c>
      <c r="N51" s="482">
        <f t="shared" si="2"/>
        <v>6849654</v>
      </c>
      <c r="O51" s="483">
        <f t="shared" si="3"/>
        <v>93.462480900625394</v>
      </c>
      <c r="P51" s="483">
        <f t="shared" si="4"/>
        <v>55.511815618199456</v>
      </c>
    </row>
    <row r="52" spans="1:16" s="13" customFormat="1" ht="13.95" customHeight="1" x14ac:dyDescent="0.25">
      <c r="A52" s="622" t="s">
        <v>303</v>
      </c>
      <c r="B52" s="16" t="s">
        <v>153</v>
      </c>
      <c r="C52" s="481">
        <v>0</v>
      </c>
      <c r="D52" s="626"/>
      <c r="E52" s="481">
        <f>címrendösszesen!HB55</f>
        <v>0</v>
      </c>
      <c r="F52" s="481">
        <v>0</v>
      </c>
      <c r="G52" s="29"/>
      <c r="H52" s="481">
        <f>címrendösszesen!EW55</f>
        <v>0</v>
      </c>
      <c r="I52" s="731">
        <v>18015</v>
      </c>
      <c r="J52" s="328">
        <v>17802</v>
      </c>
      <c r="K52" s="481">
        <f>címrendösszesen!DS55</f>
        <v>0</v>
      </c>
      <c r="L52" s="481">
        <f t="shared" si="0"/>
        <v>18015</v>
      </c>
      <c r="M52" s="481">
        <f t="shared" si="1"/>
        <v>17802</v>
      </c>
      <c r="N52" s="481">
        <f t="shared" si="2"/>
        <v>0</v>
      </c>
      <c r="O52" s="483"/>
      <c r="P52" s="483"/>
    </row>
    <row r="53" spans="1:16" s="13" customFormat="1" ht="13.95" customHeight="1" x14ac:dyDescent="0.25">
      <c r="A53" s="623">
        <v>51</v>
      </c>
      <c r="B53" s="16" t="s">
        <v>154</v>
      </c>
      <c r="C53" s="481">
        <v>0</v>
      </c>
      <c r="D53" s="626"/>
      <c r="E53" s="481">
        <f>címrendösszesen!HB56</f>
        <v>0</v>
      </c>
      <c r="F53" s="481">
        <v>0</v>
      </c>
      <c r="G53" s="29"/>
      <c r="H53" s="481">
        <f>címrendösszesen!EW56</f>
        <v>0</v>
      </c>
      <c r="I53" s="731">
        <v>5993840</v>
      </c>
      <c r="J53" s="328"/>
      <c r="K53" s="481">
        <f>címrendösszesen!DS56</f>
        <v>0</v>
      </c>
      <c r="L53" s="481">
        <f t="shared" si="0"/>
        <v>5993840</v>
      </c>
      <c r="M53" s="481">
        <f t="shared" si="1"/>
        <v>0</v>
      </c>
      <c r="N53" s="481">
        <f t="shared" si="2"/>
        <v>0</v>
      </c>
      <c r="O53" s="483"/>
      <c r="P53" s="483"/>
    </row>
    <row r="54" spans="1:16" ht="13.95" customHeight="1" x14ac:dyDescent="0.25">
      <c r="A54" s="622" t="s">
        <v>304</v>
      </c>
      <c r="B54" s="18" t="s">
        <v>155</v>
      </c>
      <c r="C54" s="481">
        <v>0</v>
      </c>
      <c r="D54" s="626"/>
      <c r="E54" s="481">
        <f>címrendösszesen!HB57</f>
        <v>0</v>
      </c>
      <c r="F54" s="481">
        <v>0</v>
      </c>
      <c r="G54" s="29"/>
      <c r="H54" s="481">
        <f>címrendösszesen!EW57</f>
        <v>0</v>
      </c>
      <c r="I54" s="481">
        <v>6327237</v>
      </c>
      <c r="J54" s="29">
        <v>7310972</v>
      </c>
      <c r="K54" s="481">
        <f>címrendösszesen!DS57</f>
        <v>6849654</v>
      </c>
      <c r="L54" s="481">
        <f t="shared" si="0"/>
        <v>6327237</v>
      </c>
      <c r="M54" s="481">
        <f t="shared" si="1"/>
        <v>7310972</v>
      </c>
      <c r="N54" s="481">
        <f t="shared" si="2"/>
        <v>6849654</v>
      </c>
      <c r="O54" s="483">
        <f t="shared" si="3"/>
        <v>93.690059269820765</v>
      </c>
      <c r="P54" s="483">
        <f t="shared" si="4"/>
        <v>108.25663713877005</v>
      </c>
    </row>
    <row r="55" spans="1:16" s="13" customFormat="1" ht="13.95" customHeight="1" x14ac:dyDescent="0.25">
      <c r="A55" s="485">
        <v>53</v>
      </c>
      <c r="B55" s="5" t="s">
        <v>801</v>
      </c>
      <c r="C55" s="482">
        <f>címrendösszesen!HA58</f>
        <v>0</v>
      </c>
      <c r="D55" s="726">
        <f>SUM(D56:D57)</f>
        <v>0</v>
      </c>
      <c r="E55" s="482">
        <f>címrendösszesen!HB58</f>
        <v>0</v>
      </c>
      <c r="F55" s="190">
        <f>SUM(F56:F57)</f>
        <v>0</v>
      </c>
      <c r="G55" s="190">
        <f>SUM(G56:G57)</f>
        <v>0</v>
      </c>
      <c r="H55" s="482">
        <f>címrendösszesen!EW58</f>
        <v>0</v>
      </c>
      <c r="I55" s="190">
        <f>SUM(I56:I57)</f>
        <v>274115</v>
      </c>
      <c r="J55" s="190">
        <f>SUM(J56:J57)</f>
        <v>0</v>
      </c>
      <c r="K55" s="482">
        <f>címrendösszesen!DS58</f>
        <v>68921</v>
      </c>
      <c r="L55" s="482">
        <f t="shared" si="0"/>
        <v>274115</v>
      </c>
      <c r="M55" s="482">
        <f t="shared" si="1"/>
        <v>0</v>
      </c>
      <c r="N55" s="482">
        <f t="shared" si="2"/>
        <v>68921</v>
      </c>
      <c r="O55" s="483"/>
      <c r="P55" s="483">
        <f t="shared" ref="P55:P56" si="5">N55/L55*100</f>
        <v>25.143096875399014</v>
      </c>
    </row>
    <row r="56" spans="1:16" ht="13.95" customHeight="1" x14ac:dyDescent="0.25">
      <c r="A56" s="622" t="s">
        <v>305</v>
      </c>
      <c r="B56" s="18" t="s">
        <v>156</v>
      </c>
      <c r="C56" s="481">
        <v>0</v>
      </c>
      <c r="D56" s="626"/>
      <c r="E56" s="481">
        <f>címrendösszesen!HB59</f>
        <v>0</v>
      </c>
      <c r="F56" s="481">
        <v>0</v>
      </c>
      <c r="G56" s="29"/>
      <c r="H56" s="481">
        <f>címrendösszesen!EW59</f>
        <v>0</v>
      </c>
      <c r="I56" s="481">
        <v>274115</v>
      </c>
      <c r="J56" s="29"/>
      <c r="K56" s="481">
        <f>címrendösszesen!DS59</f>
        <v>68921</v>
      </c>
      <c r="L56" s="481">
        <f t="shared" si="0"/>
        <v>274115</v>
      </c>
      <c r="M56" s="481">
        <f t="shared" si="1"/>
        <v>0</v>
      </c>
      <c r="N56" s="481">
        <f t="shared" si="2"/>
        <v>68921</v>
      </c>
      <c r="O56" s="483"/>
      <c r="P56" s="483">
        <f t="shared" si="5"/>
        <v>25.143096875399014</v>
      </c>
    </row>
    <row r="57" spans="1:16" ht="13.95" customHeight="1" x14ac:dyDescent="0.25">
      <c r="A57" s="623">
        <v>55</v>
      </c>
      <c r="B57" s="16" t="s">
        <v>157</v>
      </c>
      <c r="C57" s="481">
        <v>0</v>
      </c>
      <c r="D57" s="626"/>
      <c r="E57" s="481">
        <f>címrendösszesen!HB60</f>
        <v>0</v>
      </c>
      <c r="F57" s="481">
        <v>0</v>
      </c>
      <c r="G57" s="29"/>
      <c r="H57" s="481">
        <f>címrendösszesen!EW60</f>
        <v>0</v>
      </c>
      <c r="I57" s="481">
        <v>0</v>
      </c>
      <c r="J57" s="29"/>
      <c r="K57" s="481">
        <f>címrendösszesen!DS60</f>
        <v>0</v>
      </c>
      <c r="L57" s="481">
        <f t="shared" si="0"/>
        <v>0</v>
      </c>
      <c r="M57" s="481">
        <f t="shared" si="1"/>
        <v>0</v>
      </c>
      <c r="N57" s="481">
        <f t="shared" si="2"/>
        <v>0</v>
      </c>
      <c r="O57" s="483"/>
      <c r="P57" s="483"/>
    </row>
    <row r="58" spans="1:16" s="13" customFormat="1" ht="13.95" customHeight="1" x14ac:dyDescent="0.25">
      <c r="A58" s="485">
        <v>56</v>
      </c>
      <c r="B58" s="5" t="s">
        <v>802</v>
      </c>
      <c r="C58" s="726">
        <f>SUM(C59+C64)</f>
        <v>4971220</v>
      </c>
      <c r="D58" s="726">
        <f>SUM(D59+D64)</f>
        <v>5696727</v>
      </c>
      <c r="E58" s="482">
        <f>címrendösszesen!HB61</f>
        <v>4899767</v>
      </c>
      <c r="F58" s="190">
        <f>SUM(F59+F64)</f>
        <v>2071818</v>
      </c>
      <c r="G58" s="190">
        <f>SUM(G59+G64)</f>
        <v>2569873</v>
      </c>
      <c r="H58" s="482">
        <f>címrendösszesen!EW61</f>
        <v>2379675</v>
      </c>
      <c r="I58" s="190">
        <f>SUM(I59+I64)</f>
        <v>8120184</v>
      </c>
      <c r="J58" s="190">
        <f>SUM(J59+J64)</f>
        <v>6428975</v>
      </c>
      <c r="K58" s="482">
        <f>címrendösszesen!DS61</f>
        <v>5187758</v>
      </c>
      <c r="L58" s="482">
        <f t="shared" si="0"/>
        <v>15163222</v>
      </c>
      <c r="M58" s="482">
        <f t="shared" si="1"/>
        <v>14695575</v>
      </c>
      <c r="N58" s="482">
        <f>E58+H58+K58</f>
        <v>12467200</v>
      </c>
      <c r="O58" s="483">
        <f t="shared" si="3"/>
        <v>84.836421848073314</v>
      </c>
      <c r="P58" s="483">
        <f t="shared" si="4"/>
        <v>82.219992558309841</v>
      </c>
    </row>
    <row r="59" spans="1:16" s="13" customFormat="1" ht="13.95" customHeight="1" x14ac:dyDescent="0.25">
      <c r="A59" s="485">
        <v>57</v>
      </c>
      <c r="B59" s="5" t="s">
        <v>803</v>
      </c>
      <c r="C59" s="726">
        <f>SUM(C60:C63)</f>
        <v>4518963</v>
      </c>
      <c r="D59" s="726">
        <f>SUM(D60:D63)</f>
        <v>5543399</v>
      </c>
      <c r="E59" s="482">
        <f>címrendösszesen!HB62</f>
        <v>4823167</v>
      </c>
      <c r="F59" s="190">
        <f>SUM(F60:F63)</f>
        <v>2028935</v>
      </c>
      <c r="G59" s="190">
        <f>SUM(G60:G63)</f>
        <v>2568908</v>
      </c>
      <c r="H59" s="482">
        <f>címrendösszesen!EW62</f>
        <v>2325754</v>
      </c>
      <c r="I59" s="190">
        <f>SUM(I60:I63)</f>
        <v>5629019</v>
      </c>
      <c r="J59" s="190">
        <f>SUM(J60:J63)</f>
        <v>393911</v>
      </c>
      <c r="K59" s="482">
        <f>címrendösszesen!DS62</f>
        <v>788965</v>
      </c>
      <c r="L59" s="482">
        <f t="shared" si="0"/>
        <v>12176917</v>
      </c>
      <c r="M59" s="482">
        <f t="shared" si="1"/>
        <v>8506218</v>
      </c>
      <c r="N59" s="482">
        <f t="shared" si="2"/>
        <v>7937886</v>
      </c>
      <c r="O59" s="483">
        <f t="shared" si="3"/>
        <v>93.318628796017222</v>
      </c>
      <c r="P59" s="483">
        <f t="shared" si="4"/>
        <v>65.187978204992277</v>
      </c>
    </row>
    <row r="60" spans="1:16" ht="13.95" customHeight="1" x14ac:dyDescent="0.25">
      <c r="A60" s="622" t="s">
        <v>306</v>
      </c>
      <c r="B60" s="18" t="s">
        <v>158</v>
      </c>
      <c r="C60" s="481">
        <v>4332562</v>
      </c>
      <c r="D60" s="626">
        <v>4768511</v>
      </c>
      <c r="E60" s="481">
        <f>címrendösszesen!HB63</f>
        <v>4523900</v>
      </c>
      <c r="F60" s="481">
        <v>1994675</v>
      </c>
      <c r="G60" s="29">
        <v>2542461</v>
      </c>
      <c r="H60" s="906">
        <f>címrendösszesen!EW63</f>
        <v>2325754</v>
      </c>
      <c r="I60" s="481">
        <v>0</v>
      </c>
      <c r="J60" s="29"/>
      <c r="K60" s="481">
        <f>címrendösszesen!DS63</f>
        <v>0</v>
      </c>
      <c r="L60" s="481">
        <f t="shared" si="0"/>
        <v>6327237</v>
      </c>
      <c r="M60" s="481">
        <f t="shared" si="1"/>
        <v>7310972</v>
      </c>
      <c r="N60" s="481">
        <f t="shared" si="2"/>
        <v>6849654</v>
      </c>
      <c r="O60" s="483">
        <f t="shared" si="3"/>
        <v>93.690059269820765</v>
      </c>
      <c r="P60" s="483">
        <f t="shared" si="4"/>
        <v>108.25663713877005</v>
      </c>
    </row>
    <row r="61" spans="1:16" ht="13.95" customHeight="1" x14ac:dyDescent="0.25">
      <c r="A61" s="623">
        <v>59</v>
      </c>
      <c r="B61" s="16" t="s">
        <v>159</v>
      </c>
      <c r="C61" s="481">
        <v>0</v>
      </c>
      <c r="D61" s="626"/>
      <c r="E61" s="481">
        <f>címrendösszesen!HB64</f>
        <v>0</v>
      </c>
      <c r="F61" s="481">
        <v>0</v>
      </c>
      <c r="G61" s="29"/>
      <c r="H61" s="481">
        <f>címrendösszesen!EW64</f>
        <v>0</v>
      </c>
      <c r="I61" s="481">
        <v>17802</v>
      </c>
      <c r="J61" s="29">
        <v>80787</v>
      </c>
      <c r="K61" s="481">
        <f>címrendösszesen!DS64</f>
        <v>0</v>
      </c>
      <c r="L61" s="481">
        <f t="shared" si="0"/>
        <v>17802</v>
      </c>
      <c r="M61" s="481">
        <f t="shared" si="1"/>
        <v>80787</v>
      </c>
      <c r="N61" s="481">
        <f t="shared" si="2"/>
        <v>0</v>
      </c>
      <c r="O61" s="483"/>
      <c r="P61" s="483"/>
    </row>
    <row r="62" spans="1:16" ht="13.95" customHeight="1" x14ac:dyDescent="0.25">
      <c r="A62" s="622" t="s">
        <v>307</v>
      </c>
      <c r="B62" s="16" t="s">
        <v>160</v>
      </c>
      <c r="C62" s="481">
        <v>0</v>
      </c>
      <c r="D62" s="626"/>
      <c r="E62" s="481">
        <f>címrendösszesen!HB65</f>
        <v>0</v>
      </c>
      <c r="F62" s="481">
        <v>0</v>
      </c>
      <c r="G62" s="29"/>
      <c r="H62" s="481">
        <f>címrendösszesen!EW65</f>
        <v>0</v>
      </c>
      <c r="I62" s="481">
        <v>2500000</v>
      </c>
      <c r="J62" s="29"/>
      <c r="K62" s="481">
        <f>címrendösszesen!DS65</f>
        <v>0</v>
      </c>
      <c r="L62" s="481">
        <f t="shared" si="0"/>
        <v>2500000</v>
      </c>
      <c r="M62" s="481">
        <f t="shared" si="1"/>
        <v>0</v>
      </c>
      <c r="N62" s="481">
        <f t="shared" si="2"/>
        <v>0</v>
      </c>
      <c r="O62" s="483"/>
      <c r="P62" s="483"/>
    </row>
    <row r="63" spans="1:16" ht="13.95" customHeight="1" x14ac:dyDescent="0.25">
      <c r="A63" s="623">
        <v>61</v>
      </c>
      <c r="B63" s="16" t="s">
        <v>161</v>
      </c>
      <c r="C63" s="481">
        <v>186401</v>
      </c>
      <c r="D63" s="626">
        <v>774888</v>
      </c>
      <c r="E63" s="481">
        <f>címrendösszesen!HB66</f>
        <v>299267</v>
      </c>
      <c r="F63" s="481">
        <v>34260</v>
      </c>
      <c r="G63" s="29">
        <v>26447</v>
      </c>
      <c r="H63" s="481">
        <f>címrendösszesen!EW66</f>
        <v>0</v>
      </c>
      <c r="I63" s="481">
        <v>3111217</v>
      </c>
      <c r="J63" s="29">
        <v>313124</v>
      </c>
      <c r="K63" s="481">
        <f>címrendösszesen!DS66</f>
        <v>788965</v>
      </c>
      <c r="L63" s="481">
        <f t="shared" si="0"/>
        <v>3331878</v>
      </c>
      <c r="M63" s="481">
        <f t="shared" si="1"/>
        <v>1114459</v>
      </c>
      <c r="N63" s="481">
        <f t="shared" si="2"/>
        <v>1088232</v>
      </c>
      <c r="O63" s="483">
        <f t="shared" si="3"/>
        <v>97.646660846204298</v>
      </c>
      <c r="P63" s="483">
        <f t="shared" si="4"/>
        <v>32.661219888603362</v>
      </c>
    </row>
    <row r="64" spans="1:16" s="13" customFormat="1" ht="13.95" customHeight="1" x14ac:dyDescent="0.25">
      <c r="A64" s="485">
        <v>62</v>
      </c>
      <c r="B64" s="5" t="s">
        <v>1126</v>
      </c>
      <c r="C64" s="726">
        <f>SUM(C65:C67)</f>
        <v>452257</v>
      </c>
      <c r="D64" s="726">
        <f>SUM(D65:D67)</f>
        <v>153328</v>
      </c>
      <c r="E64" s="482">
        <f>címrendösszesen!HB67</f>
        <v>76600</v>
      </c>
      <c r="F64" s="190">
        <f>SUM(F65:F67)</f>
        <v>42883</v>
      </c>
      <c r="G64" s="190">
        <f>SUM(G65:G67)</f>
        <v>965</v>
      </c>
      <c r="H64" s="482">
        <f>címrendösszesen!EW67</f>
        <v>53921</v>
      </c>
      <c r="I64" s="190">
        <f>SUM(I65:I67)</f>
        <v>2491165</v>
      </c>
      <c r="J64" s="190">
        <f>SUM(J65:J67)</f>
        <v>6035064</v>
      </c>
      <c r="K64" s="482">
        <f>címrendösszesen!DS67</f>
        <v>4398793</v>
      </c>
      <c r="L64" s="482">
        <f t="shared" si="0"/>
        <v>2986305</v>
      </c>
      <c r="M64" s="482">
        <f t="shared" si="1"/>
        <v>6189357</v>
      </c>
      <c r="N64" s="482">
        <f t="shared" si="2"/>
        <v>4529314</v>
      </c>
      <c r="O64" s="483">
        <f t="shared" si="3"/>
        <v>73.179071751718311</v>
      </c>
      <c r="P64" s="483">
        <f t="shared" si="4"/>
        <v>151.66950462193245</v>
      </c>
    </row>
    <row r="65" spans="1:16" ht="13.95" customHeight="1" x14ac:dyDescent="0.25">
      <c r="A65" s="622" t="s">
        <v>308</v>
      </c>
      <c r="B65" s="18" t="s">
        <v>158</v>
      </c>
      <c r="C65" s="481">
        <v>231348</v>
      </c>
      <c r="D65" s="626"/>
      <c r="E65" s="481">
        <f>címrendösszesen!HB68</f>
        <v>15000</v>
      </c>
      <c r="F65" s="481">
        <v>42767</v>
      </c>
      <c r="G65" s="29"/>
      <c r="H65" s="906">
        <f>címrendösszesen!EW68</f>
        <v>53921</v>
      </c>
      <c r="I65" s="481">
        <v>0</v>
      </c>
      <c r="J65" s="29"/>
      <c r="K65" s="481">
        <f>címrendösszesen!DS68</f>
        <v>0</v>
      </c>
      <c r="L65" s="481">
        <f t="shared" si="0"/>
        <v>274115</v>
      </c>
      <c r="M65" s="481">
        <f t="shared" si="1"/>
        <v>0</v>
      </c>
      <c r="N65" s="481">
        <f t="shared" si="2"/>
        <v>68921</v>
      </c>
      <c r="O65" s="483"/>
      <c r="P65" s="483">
        <f t="shared" ref="P65:P68" si="6">N65/L65*100</f>
        <v>25.143096875399014</v>
      </c>
    </row>
    <row r="66" spans="1:16" ht="13.95" customHeight="1" x14ac:dyDescent="0.25">
      <c r="A66" s="622" t="s">
        <v>332</v>
      </c>
      <c r="B66" s="18" t="s">
        <v>160</v>
      </c>
      <c r="C66" s="481"/>
      <c r="D66" s="626"/>
      <c r="E66" s="481"/>
      <c r="F66" s="481"/>
      <c r="G66" s="29"/>
      <c r="H66" s="481"/>
      <c r="I66" s="481"/>
      <c r="J66" s="29"/>
      <c r="K66" s="481">
        <f>címrendösszesen!DS69</f>
        <v>0</v>
      </c>
      <c r="L66" s="481"/>
      <c r="M66" s="481"/>
      <c r="N66" s="481">
        <f t="shared" si="2"/>
        <v>0</v>
      </c>
      <c r="O66" s="483"/>
      <c r="P66" s="483"/>
    </row>
    <row r="67" spans="1:16" ht="13.95" customHeight="1" x14ac:dyDescent="0.25">
      <c r="A67" s="623">
        <v>65</v>
      </c>
      <c r="B67" s="16" t="s">
        <v>161</v>
      </c>
      <c r="C67" s="481">
        <v>220909</v>
      </c>
      <c r="D67" s="626">
        <v>153328</v>
      </c>
      <c r="E67" s="481">
        <f>címrendösszesen!HB70</f>
        <v>61600</v>
      </c>
      <c r="F67" s="481">
        <v>116</v>
      </c>
      <c r="G67" s="29">
        <v>965</v>
      </c>
      <c r="H67" s="481">
        <f>címrendösszesen!EW70</f>
        <v>0</v>
      </c>
      <c r="I67" s="481">
        <v>2491165</v>
      </c>
      <c r="J67" s="29">
        <v>6035064</v>
      </c>
      <c r="K67" s="481">
        <f>címrendösszesen!DS70</f>
        <v>4398793</v>
      </c>
      <c r="L67" s="481">
        <f t="shared" si="0"/>
        <v>2712190</v>
      </c>
      <c r="M67" s="481">
        <f t="shared" si="1"/>
        <v>6189357</v>
      </c>
      <c r="N67" s="481">
        <f t="shared" si="2"/>
        <v>4460393</v>
      </c>
      <c r="O67" s="483">
        <f t="shared" ref="O67" si="7">N67/M67*100</f>
        <v>72.06553120138328</v>
      </c>
      <c r="P67" s="483">
        <f t="shared" si="6"/>
        <v>164.45724672681484</v>
      </c>
    </row>
    <row r="68" spans="1:16" ht="13.95" customHeight="1" x14ac:dyDescent="0.25">
      <c r="A68" s="623">
        <v>66</v>
      </c>
      <c r="B68" s="16" t="s">
        <v>173</v>
      </c>
      <c r="C68" s="28"/>
      <c r="D68" s="626" t="s">
        <v>2334</v>
      </c>
      <c r="E68" s="29"/>
      <c r="F68" s="29"/>
      <c r="G68" s="29"/>
      <c r="H68" s="29"/>
      <c r="I68" s="29"/>
      <c r="J68" s="29"/>
      <c r="K68" s="29"/>
      <c r="L68" s="29">
        <f>L60+L65</f>
        <v>6601352</v>
      </c>
      <c r="M68" s="29">
        <v>7310972</v>
      </c>
      <c r="N68" s="29">
        <f>N60+N65</f>
        <v>6918575</v>
      </c>
      <c r="O68" s="483"/>
      <c r="P68" s="483">
        <f t="shared" si="6"/>
        <v>104.80542470693881</v>
      </c>
    </row>
    <row r="69" spans="1:16" s="13" customFormat="1" ht="13.95" customHeight="1" x14ac:dyDescent="0.25">
      <c r="A69" s="485">
        <v>67</v>
      </c>
      <c r="B69" s="5" t="s">
        <v>174</v>
      </c>
      <c r="C69" s="726">
        <f t="shared" ref="C69" si="8">C24-C68</f>
        <v>7594321</v>
      </c>
      <c r="D69" s="726">
        <v>7719103</v>
      </c>
      <c r="E69" s="190">
        <f t="shared" ref="E69:N69" si="9">E24-E68</f>
        <v>6767314</v>
      </c>
      <c r="F69" s="190">
        <f t="shared" ref="F69:G69" si="10">F24-F68</f>
        <v>2637257</v>
      </c>
      <c r="G69" s="190">
        <f t="shared" si="10"/>
        <v>3083518</v>
      </c>
      <c r="H69" s="190">
        <f t="shared" si="9"/>
        <v>2422575</v>
      </c>
      <c r="I69" s="190">
        <f t="shared" ref="I69" si="11">I24-I68</f>
        <v>29967923</v>
      </c>
      <c r="J69" s="190">
        <f t="shared" si="9"/>
        <v>26220658</v>
      </c>
      <c r="K69" s="190">
        <f t="shared" si="9"/>
        <v>21692215.763999999</v>
      </c>
      <c r="L69" s="190">
        <f t="shared" si="9"/>
        <v>33598149</v>
      </c>
      <c r="M69" s="190">
        <f t="shared" si="9"/>
        <v>29712307</v>
      </c>
      <c r="N69" s="190">
        <f t="shared" si="9"/>
        <v>23963529.763999999</v>
      </c>
      <c r="O69" s="483">
        <f t="shared" ref="O69:O75" si="12">N69/M69*100</f>
        <v>80.651865114344702</v>
      </c>
      <c r="P69" s="483">
        <f t="shared" ref="P69:P75" si="13">N69/L69*100</f>
        <v>71.323958245437851</v>
      </c>
    </row>
    <row r="70" spans="1:16" ht="13.95" customHeight="1" x14ac:dyDescent="0.25">
      <c r="A70" s="623">
        <v>68</v>
      </c>
      <c r="B70" s="16" t="s">
        <v>175</v>
      </c>
      <c r="C70" s="626">
        <f t="shared" ref="C70" si="14">C25-C4</f>
        <v>-3800696</v>
      </c>
      <c r="D70" s="626">
        <f t="shared" ref="D70:N70" si="15">D25-D4</f>
        <v>-4464355</v>
      </c>
      <c r="E70" s="29">
        <f t="shared" si="15"/>
        <v>-4823167</v>
      </c>
      <c r="F70" s="29">
        <f t="shared" ref="F70:G70" si="16">F25-F4</f>
        <v>-2001696</v>
      </c>
      <c r="G70" s="29">
        <f t="shared" si="16"/>
        <v>-1992903</v>
      </c>
      <c r="H70" s="29">
        <f t="shared" si="15"/>
        <v>-2325754</v>
      </c>
      <c r="I70" s="29">
        <f t="shared" ref="I70" si="17">I25-I4</f>
        <v>7023197</v>
      </c>
      <c r="J70" s="29">
        <f t="shared" si="15"/>
        <v>8158771</v>
      </c>
      <c r="K70" s="29">
        <f t="shared" si="15"/>
        <v>6776950.1640000008</v>
      </c>
      <c r="L70" s="29">
        <f t="shared" si="15"/>
        <v>1220805</v>
      </c>
      <c r="M70" s="29">
        <f t="shared" si="15"/>
        <v>1701513</v>
      </c>
      <c r="N70" s="29">
        <f t="shared" si="15"/>
        <v>-371970.83600000292</v>
      </c>
      <c r="O70" s="483">
        <f t="shared" si="12"/>
        <v>-21.861180960709849</v>
      </c>
      <c r="P70" s="483">
        <f t="shared" si="13"/>
        <v>-30.469308038548576</v>
      </c>
    </row>
    <row r="71" spans="1:16" ht="13.95" customHeight="1" x14ac:dyDescent="0.25">
      <c r="A71" s="623">
        <v>69</v>
      </c>
      <c r="B71" s="16" t="s">
        <v>176</v>
      </c>
      <c r="C71" s="626">
        <f t="shared" ref="C71" si="18">C37-C15</f>
        <v>-242308</v>
      </c>
      <c r="D71" s="626">
        <f t="shared" ref="D71:N71" si="19">D37-D15</f>
        <v>-317570</v>
      </c>
      <c r="E71" s="29">
        <f t="shared" si="19"/>
        <v>-76600</v>
      </c>
      <c r="F71" s="29">
        <f t="shared" ref="F71:G71" si="20">F37-F15</f>
        <v>-42710</v>
      </c>
      <c r="G71" s="29">
        <f t="shared" si="20"/>
        <v>-35371</v>
      </c>
      <c r="H71" s="29">
        <f t="shared" si="19"/>
        <v>-53921</v>
      </c>
      <c r="I71" s="29">
        <f t="shared" ref="I71" si="21">I37-I15</f>
        <v>3818014</v>
      </c>
      <c r="J71" s="29">
        <f t="shared" si="19"/>
        <v>-1477437</v>
      </c>
      <c r="K71" s="29">
        <f t="shared" si="19"/>
        <v>-5046133</v>
      </c>
      <c r="L71" s="29">
        <f t="shared" si="19"/>
        <v>3532996</v>
      </c>
      <c r="M71" s="29">
        <f t="shared" si="19"/>
        <v>-1830378</v>
      </c>
      <c r="N71" s="29">
        <f t="shared" si="19"/>
        <v>-5176654</v>
      </c>
      <c r="O71" s="483">
        <f t="shared" si="12"/>
        <v>282.8188494398425</v>
      </c>
      <c r="P71" s="483">
        <f t="shared" si="13"/>
        <v>-146.52306427745742</v>
      </c>
    </row>
    <row r="72" spans="1:16" s="13" customFormat="1" ht="13.95" customHeight="1" x14ac:dyDescent="0.25">
      <c r="A72" s="486">
        <v>70</v>
      </c>
      <c r="B72" s="5" t="s">
        <v>177</v>
      </c>
      <c r="C72" s="726">
        <f t="shared" ref="C72" si="22">C70+C71</f>
        <v>-4043004</v>
      </c>
      <c r="D72" s="726">
        <f t="shared" ref="D72:N72" si="23">D70+D71</f>
        <v>-4781925</v>
      </c>
      <c r="E72" s="190">
        <f t="shared" si="23"/>
        <v>-4899767</v>
      </c>
      <c r="F72" s="190">
        <f t="shared" ref="F72:G72" si="24">F70+F71</f>
        <v>-2044406</v>
      </c>
      <c r="G72" s="190">
        <f t="shared" si="24"/>
        <v>-2028274</v>
      </c>
      <c r="H72" s="190">
        <f t="shared" si="23"/>
        <v>-2379675</v>
      </c>
      <c r="I72" s="190">
        <f t="shared" ref="I72" si="25">I70+I71</f>
        <v>10841211</v>
      </c>
      <c r="J72" s="190">
        <f t="shared" si="23"/>
        <v>6681334</v>
      </c>
      <c r="K72" s="190">
        <f t="shared" si="23"/>
        <v>1730817.1640000008</v>
      </c>
      <c r="L72" s="190">
        <f t="shared" si="23"/>
        <v>4753801</v>
      </c>
      <c r="M72" s="190">
        <f t="shared" si="23"/>
        <v>-128865</v>
      </c>
      <c r="N72" s="190">
        <f t="shared" si="23"/>
        <v>-5548624.8360000029</v>
      </c>
      <c r="O72" s="483">
        <f t="shared" si="12"/>
        <v>4305.7655965545355</v>
      </c>
      <c r="P72" s="483">
        <f t="shared" si="13"/>
        <v>-116.71975406627251</v>
      </c>
    </row>
    <row r="73" spans="1:16" ht="13.95" customHeight="1" x14ac:dyDescent="0.25">
      <c r="A73" s="623">
        <v>71</v>
      </c>
      <c r="B73" s="16" t="s">
        <v>178</v>
      </c>
      <c r="C73" s="626">
        <f t="shared" ref="C73" si="26">C59-C51+C70</f>
        <v>718267</v>
      </c>
      <c r="D73" s="626">
        <f>D59-D51+D70</f>
        <v>1079044</v>
      </c>
      <c r="E73" s="29">
        <f t="shared" ref="E73:N73" si="27">E59-E51+E70</f>
        <v>0</v>
      </c>
      <c r="F73" s="29">
        <f t="shared" ref="F73:G73" si="28">F59-F51+F70</f>
        <v>27239</v>
      </c>
      <c r="G73" s="29">
        <f t="shared" si="28"/>
        <v>576005</v>
      </c>
      <c r="H73" s="907">
        <f t="shared" si="27"/>
        <v>0</v>
      </c>
      <c r="I73" s="29">
        <f t="shared" ref="I73" si="29">I59-I51+I70</f>
        <v>313124</v>
      </c>
      <c r="J73" s="29">
        <f t="shared" si="27"/>
        <v>1223908</v>
      </c>
      <c r="K73" s="29">
        <f t="shared" si="27"/>
        <v>716261.1640000008</v>
      </c>
      <c r="L73" s="29">
        <f t="shared" si="27"/>
        <v>1058630</v>
      </c>
      <c r="M73" s="29">
        <f t="shared" si="27"/>
        <v>2878957</v>
      </c>
      <c r="N73" s="29">
        <f t="shared" si="27"/>
        <v>716261.16399999708</v>
      </c>
      <c r="O73" s="483">
        <f t="shared" si="12"/>
        <v>24.87918937309578</v>
      </c>
      <c r="P73" s="483">
        <f t="shared" si="13"/>
        <v>67.659254319261407</v>
      </c>
    </row>
    <row r="74" spans="1:16" ht="13.95" customHeight="1" x14ac:dyDescent="0.25">
      <c r="A74" s="623">
        <v>72</v>
      </c>
      <c r="B74" s="16" t="s">
        <v>179</v>
      </c>
      <c r="C74" s="626">
        <f t="shared" ref="C74" si="30">C64-C55+C71</f>
        <v>209949</v>
      </c>
      <c r="D74" s="626">
        <f t="shared" ref="D74:N74" si="31">D64-D55+D71</f>
        <v>-164242</v>
      </c>
      <c r="E74" s="29">
        <f t="shared" si="31"/>
        <v>0</v>
      </c>
      <c r="F74" s="29">
        <f t="shared" ref="F74:G74" si="32">F64-F55+F71</f>
        <v>173</v>
      </c>
      <c r="G74" s="29">
        <f t="shared" si="32"/>
        <v>-34406</v>
      </c>
      <c r="H74" s="907">
        <f t="shared" si="31"/>
        <v>0</v>
      </c>
      <c r="I74" s="29">
        <f t="shared" ref="I74" si="33">I64-I55+I71</f>
        <v>6035064</v>
      </c>
      <c r="J74" s="29">
        <f t="shared" si="31"/>
        <v>4557627</v>
      </c>
      <c r="K74" s="29">
        <f t="shared" si="31"/>
        <v>-716261</v>
      </c>
      <c r="L74" s="29">
        <f t="shared" si="31"/>
        <v>6245186</v>
      </c>
      <c r="M74" s="29">
        <f t="shared" si="31"/>
        <v>4358979</v>
      </c>
      <c r="N74" s="29">
        <f t="shared" si="31"/>
        <v>-716261</v>
      </c>
      <c r="O74" s="483">
        <f t="shared" si="12"/>
        <v>-16.43185250490998</v>
      </c>
      <c r="P74" s="483">
        <f t="shared" si="13"/>
        <v>-11.46900989017781</v>
      </c>
    </row>
    <row r="75" spans="1:16" ht="13.95" customHeight="1" x14ac:dyDescent="0.25">
      <c r="A75" s="623">
        <v>73</v>
      </c>
      <c r="B75" s="16" t="s">
        <v>180</v>
      </c>
      <c r="C75" s="626">
        <f t="shared" ref="C75" si="34">C73+C74</f>
        <v>928216</v>
      </c>
      <c r="D75" s="626">
        <f t="shared" ref="D75:N75" si="35">D73+D74</f>
        <v>914802</v>
      </c>
      <c r="E75" s="29">
        <f t="shared" si="35"/>
        <v>0</v>
      </c>
      <c r="F75" s="29">
        <f t="shared" ref="F75" si="36">F73+F74</f>
        <v>27412</v>
      </c>
      <c r="G75" s="29">
        <f>G73+G74</f>
        <v>541599</v>
      </c>
      <c r="H75" s="907">
        <f t="shared" si="35"/>
        <v>0</v>
      </c>
      <c r="I75" s="29">
        <f t="shared" ref="I75" si="37">I73+I74</f>
        <v>6348188</v>
      </c>
      <c r="J75" s="29">
        <f t="shared" si="35"/>
        <v>5781535</v>
      </c>
      <c r="K75" s="29">
        <f t="shared" si="35"/>
        <v>0.1640000008046627</v>
      </c>
      <c r="L75" s="29">
        <f t="shared" si="35"/>
        <v>7303816</v>
      </c>
      <c r="M75" s="29">
        <f t="shared" si="35"/>
        <v>7237936</v>
      </c>
      <c r="N75" s="29">
        <f t="shared" si="35"/>
        <v>0.16399999707937241</v>
      </c>
      <c r="O75" s="483">
        <f t="shared" si="12"/>
        <v>2.265839281797634E-6</v>
      </c>
      <c r="P75" s="483">
        <f t="shared" si="13"/>
        <v>2.2454015418703375E-6</v>
      </c>
    </row>
    <row r="78" spans="1:16" ht="26.4" x14ac:dyDescent="0.25">
      <c r="M78" s="366" t="s">
        <v>696</v>
      </c>
      <c r="N78" s="29"/>
    </row>
    <row r="79" spans="1:16" s="23" customFormat="1" ht="26.4" x14ac:dyDescent="0.25">
      <c r="A79" s="625"/>
      <c r="B79" s="24"/>
      <c r="D79" s="612"/>
      <c r="M79" s="366" t="s">
        <v>697</v>
      </c>
      <c r="N79" s="29"/>
    </row>
    <row r="80" spans="1:16" x14ac:dyDescent="0.25">
      <c r="M80" s="28"/>
      <c r="N80" s="29"/>
    </row>
    <row r="81" spans="1:14" ht="26.4" x14ac:dyDescent="0.25">
      <c r="M81" s="366" t="s">
        <v>889</v>
      </c>
      <c r="N81" s="29">
        <f>N73+N78</f>
        <v>716261.16399999708</v>
      </c>
    </row>
    <row r="82" spans="1:14" ht="26.4" x14ac:dyDescent="0.25">
      <c r="M82" s="366" t="s">
        <v>698</v>
      </c>
      <c r="N82" s="29">
        <f>N74+N79</f>
        <v>-716261</v>
      </c>
    </row>
    <row r="83" spans="1:14" x14ac:dyDescent="0.25">
      <c r="N83" s="17"/>
    </row>
    <row r="84" spans="1:14" s="23" customFormat="1" x14ac:dyDescent="0.25">
      <c r="A84" s="625"/>
      <c r="B84" s="24"/>
      <c r="D84" s="612"/>
      <c r="N84" s="385"/>
    </row>
    <row r="85" spans="1:14" s="23" customFormat="1" x14ac:dyDescent="0.25">
      <c r="A85" s="625"/>
      <c r="B85" s="24"/>
      <c r="D85" s="612"/>
      <c r="N85" s="385"/>
    </row>
    <row r="95" spans="1:14" s="23" customFormat="1" x14ac:dyDescent="0.25">
      <c r="A95" s="625"/>
      <c r="B95" s="24"/>
      <c r="D95" s="612"/>
    </row>
  </sheetData>
  <mergeCells count="6">
    <mergeCell ref="O1:O2"/>
    <mergeCell ref="P1:P2"/>
    <mergeCell ref="C1:E1"/>
    <mergeCell ref="F1:H1"/>
    <mergeCell ref="I1:K1"/>
    <mergeCell ref="L1:N1"/>
  </mergeCells>
  <pageMargins left="0.98425196850393704" right="0.78740157480314965" top="1.1811023622047245" bottom="0.98425196850393704" header="0.51181102362204722" footer="0.51181102362204722"/>
  <pageSetup paperSize="9" scale="60" fitToWidth="0" fitToHeight="0" orientation="portrait" r:id="rId1"/>
  <headerFooter alignWithMargins="0">
    <oddHeader xml:space="preserve">&amp;C&amp;"Times New Roman,Félkövér"&amp;12Budapest VIII. kerületi Önkormányzat 2020. évi költségvetés
működési és felhalmozási előirányzatának mérlegszerű kimutatása&amp;R&amp;"Times New Roman,Félkövér dőlt"4.mell. a /2020. () 
önk. rendelethez
ezer forintban
</oddHeader>
    <oddFooter>&amp;R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M54"/>
  <sheetViews>
    <sheetView zoomScaleNormal="100" workbookViewId="0">
      <pane xSplit="3" ySplit="2" topLeftCell="E21" activePane="bottomRight" state="frozen"/>
      <selection pane="topRight" activeCell="B1" sqref="B1"/>
      <selection pane="bottomLeft" activeCell="A3" sqref="A3"/>
      <selection pane="bottomRight" activeCell="E6" sqref="E6"/>
    </sheetView>
  </sheetViews>
  <sheetFormatPr defaultColWidth="9.109375" defaultRowHeight="12" customHeight="1" x14ac:dyDescent="0.25"/>
  <cols>
    <col min="1" max="1" width="16.6640625" style="127" customWidth="1"/>
    <col min="2" max="2" width="12.6640625" style="127" customWidth="1"/>
    <col min="3" max="3" width="36.5546875" style="92" customWidth="1"/>
    <col min="4" max="4" width="15.6640625" style="103" customWidth="1"/>
    <col min="5" max="5" width="15.6640625" style="382" customWidth="1"/>
    <col min="6" max="7" width="15.6640625" style="376" customWidth="1"/>
    <col min="8" max="8" width="15.6640625" style="377" customWidth="1"/>
    <col min="9" max="10" width="15.6640625" style="376" customWidth="1"/>
    <col min="11" max="11" width="15.6640625" style="377" customWidth="1"/>
    <col min="12" max="12" width="15.6640625" style="103" customWidth="1"/>
    <col min="13" max="16384" width="9.109375" style="127"/>
  </cols>
  <sheetData>
    <row r="1" spans="1:12" ht="19.95" customHeight="1" x14ac:dyDescent="0.25">
      <c r="A1" s="2628" t="s">
        <v>599</v>
      </c>
      <c r="B1" s="2630" t="s">
        <v>0</v>
      </c>
      <c r="C1" s="347" t="s">
        <v>682</v>
      </c>
      <c r="D1" s="2632" t="s">
        <v>683</v>
      </c>
      <c r="E1" s="2633"/>
      <c r="F1" s="2634"/>
      <c r="G1" s="2617" t="s">
        <v>684</v>
      </c>
      <c r="H1" s="2617"/>
      <c r="I1" s="2617"/>
      <c r="J1" s="2617" t="s">
        <v>581</v>
      </c>
      <c r="K1" s="2617"/>
      <c r="L1" s="2618"/>
    </row>
    <row r="2" spans="1:12" s="350" customFormat="1" ht="19.95" customHeight="1" thickBot="1" x14ac:dyDescent="0.3">
      <c r="A2" s="2629"/>
      <c r="B2" s="2631"/>
      <c r="C2" s="31" t="s">
        <v>685</v>
      </c>
      <c r="D2" s="821" t="s">
        <v>686</v>
      </c>
      <c r="E2" s="821" t="s">
        <v>687</v>
      </c>
      <c r="F2" s="821" t="s">
        <v>688</v>
      </c>
      <c r="G2" s="821" t="s">
        <v>686</v>
      </c>
      <c r="H2" s="821" t="s">
        <v>687</v>
      </c>
      <c r="I2" s="821" t="s">
        <v>688</v>
      </c>
      <c r="J2" s="821" t="s">
        <v>686</v>
      </c>
      <c r="K2" s="821" t="s">
        <v>687</v>
      </c>
      <c r="L2" s="822" t="s">
        <v>688</v>
      </c>
    </row>
    <row r="3" spans="1:12" s="350" customFormat="1" ht="15" customHeight="1" x14ac:dyDescent="0.25">
      <c r="A3" s="487" t="s">
        <v>604</v>
      </c>
      <c r="B3" s="351" t="s">
        <v>1</v>
      </c>
      <c r="C3" s="352" t="s">
        <v>590</v>
      </c>
      <c r="D3" s="820"/>
      <c r="E3" s="820"/>
      <c r="F3" s="414">
        <f t="shared" ref="F3:F4" si="0">SUM(D3:E3)</f>
        <v>0</v>
      </c>
      <c r="G3" s="353">
        <f>11803+150+4821</f>
        <v>16774</v>
      </c>
      <c r="H3" s="820"/>
      <c r="I3" s="401">
        <f t="shared" ref="I3:I4" si="1">SUM(G3:H3)</f>
        <v>16774</v>
      </c>
      <c r="J3" s="353">
        <f t="shared" ref="J3" si="2">D3+G3</f>
        <v>16774</v>
      </c>
      <c r="K3" s="353">
        <f t="shared" ref="K3:K4" si="3">E3+H3</f>
        <v>0</v>
      </c>
      <c r="L3" s="383">
        <f t="shared" ref="L3:L4" si="4">SUM(J3:K3)</f>
        <v>16774</v>
      </c>
    </row>
    <row r="4" spans="1:12" s="350" customFormat="1" ht="15" customHeight="1" x14ac:dyDescent="0.25">
      <c r="A4" s="488" t="s">
        <v>604</v>
      </c>
      <c r="B4" s="818" t="s">
        <v>1</v>
      </c>
      <c r="C4" s="354" t="s">
        <v>689</v>
      </c>
      <c r="D4" s="355"/>
      <c r="E4" s="356"/>
      <c r="F4" s="399">
        <f t="shared" si="0"/>
        <v>0</v>
      </c>
      <c r="G4" s="355"/>
      <c r="H4" s="356"/>
      <c r="I4" s="400">
        <f t="shared" si="1"/>
        <v>0</v>
      </c>
      <c r="J4" s="355">
        <f>D4+G4</f>
        <v>0</v>
      </c>
      <c r="K4" s="355">
        <f t="shared" si="3"/>
        <v>0</v>
      </c>
      <c r="L4" s="384">
        <f t="shared" si="4"/>
        <v>0</v>
      </c>
    </row>
    <row r="5" spans="1:12" s="128" customFormat="1" ht="15" customHeight="1" x14ac:dyDescent="0.25">
      <c r="A5" s="357" t="s">
        <v>605</v>
      </c>
      <c r="B5" s="358" t="s">
        <v>2</v>
      </c>
      <c r="C5" s="359" t="s">
        <v>690</v>
      </c>
      <c r="D5" s="360"/>
      <c r="E5" s="335"/>
      <c r="F5" s="300">
        <f>SUM(D5:E5)</f>
        <v>0</v>
      </c>
      <c r="G5" s="361"/>
      <c r="H5" s="335">
        <f>623549+25198</f>
        <v>648747</v>
      </c>
      <c r="I5" s="300">
        <f>SUM(G5:H5)</f>
        <v>648747</v>
      </c>
      <c r="J5" s="335">
        <f t="shared" ref="J5:K21" si="5">D5+G5</f>
        <v>0</v>
      </c>
      <c r="K5" s="335">
        <f t="shared" si="5"/>
        <v>648747</v>
      </c>
      <c r="L5" s="362">
        <f t="shared" ref="L5:L21" si="6">SUM(J5:K5)</f>
        <v>648747</v>
      </c>
    </row>
    <row r="6" spans="1:12" s="128" customFormat="1" ht="60" customHeight="1" x14ac:dyDescent="0.25">
      <c r="A6" s="357" t="s">
        <v>605</v>
      </c>
      <c r="B6" s="363" t="s">
        <v>2</v>
      </c>
      <c r="C6" s="364" t="s">
        <v>691</v>
      </c>
      <c r="D6" s="276"/>
      <c r="E6" s="302">
        <v>33400</v>
      </c>
      <c r="F6" s="301">
        <f t="shared" ref="F6:F22" si="7">SUM(D6:E6)</f>
        <v>33400</v>
      </c>
      <c r="G6" s="276"/>
      <c r="H6" s="302"/>
      <c r="I6" s="301">
        <f t="shared" ref="I6:I22" si="8">SUM(G6:H6)</f>
        <v>0</v>
      </c>
      <c r="J6" s="302">
        <f t="shared" si="5"/>
        <v>0</v>
      </c>
      <c r="K6" s="302">
        <f t="shared" si="5"/>
        <v>33400</v>
      </c>
      <c r="L6" s="365">
        <f t="shared" si="6"/>
        <v>33400</v>
      </c>
    </row>
    <row r="7" spans="1:12" s="128" customFormat="1" ht="30" customHeight="1" x14ac:dyDescent="0.25">
      <c r="A7" s="357" t="s">
        <v>605</v>
      </c>
      <c r="B7" s="819" t="s">
        <v>2</v>
      </c>
      <c r="C7" s="364" t="s">
        <v>597</v>
      </c>
      <c r="D7" s="276"/>
      <c r="E7" s="302">
        <f>49902+10000</f>
        <v>59902</v>
      </c>
      <c r="F7" s="301">
        <f t="shared" si="7"/>
        <v>59902</v>
      </c>
      <c r="G7" s="276"/>
      <c r="H7" s="302"/>
      <c r="I7" s="301">
        <f t="shared" si="8"/>
        <v>0</v>
      </c>
      <c r="J7" s="302">
        <f t="shared" ref="J7" si="9">D7+G7</f>
        <v>0</v>
      </c>
      <c r="K7" s="302">
        <f t="shared" ref="K7" si="10">E7+H7</f>
        <v>59902</v>
      </c>
      <c r="L7" s="365">
        <f t="shared" ref="L7" si="11">SUM(J7:K7)</f>
        <v>59902</v>
      </c>
    </row>
    <row r="8" spans="1:12" s="128" customFormat="1" ht="30" customHeight="1" x14ac:dyDescent="0.25">
      <c r="A8" s="357" t="s">
        <v>605</v>
      </c>
      <c r="B8" s="819">
        <v>11502</v>
      </c>
      <c r="C8" s="364" t="s">
        <v>693</v>
      </c>
      <c r="D8" s="276"/>
      <c r="E8" s="302">
        <v>16000</v>
      </c>
      <c r="F8" s="301">
        <f t="shared" si="7"/>
        <v>16000</v>
      </c>
      <c r="G8" s="276"/>
      <c r="H8" s="302"/>
      <c r="I8" s="301">
        <f t="shared" si="8"/>
        <v>0</v>
      </c>
      <c r="J8" s="302">
        <f t="shared" si="5"/>
        <v>0</v>
      </c>
      <c r="K8" s="302">
        <f t="shared" si="5"/>
        <v>16000</v>
      </c>
      <c r="L8" s="365">
        <f t="shared" si="6"/>
        <v>16000</v>
      </c>
    </row>
    <row r="9" spans="1:12" s="128" customFormat="1" ht="15" customHeight="1" x14ac:dyDescent="0.25">
      <c r="A9" s="357" t="s">
        <v>605</v>
      </c>
      <c r="B9" s="819">
        <v>11601</v>
      </c>
      <c r="C9" s="364" t="s">
        <v>1050</v>
      </c>
      <c r="D9" s="276"/>
      <c r="E9" s="302">
        <v>57150</v>
      </c>
      <c r="F9" s="301">
        <f t="shared" si="7"/>
        <v>57150</v>
      </c>
      <c r="G9" s="276"/>
      <c r="H9" s="302"/>
      <c r="I9" s="301">
        <f t="shared" si="8"/>
        <v>0</v>
      </c>
      <c r="J9" s="302">
        <f t="shared" si="5"/>
        <v>0</v>
      </c>
      <c r="K9" s="302">
        <f t="shared" si="5"/>
        <v>57150</v>
      </c>
      <c r="L9" s="365">
        <f t="shared" si="6"/>
        <v>57150</v>
      </c>
    </row>
    <row r="10" spans="1:12" s="128" customFormat="1" ht="30" customHeight="1" x14ac:dyDescent="0.25">
      <c r="A10" s="357" t="s">
        <v>605</v>
      </c>
      <c r="B10" s="819">
        <v>11601</v>
      </c>
      <c r="C10" s="364" t="s">
        <v>2194</v>
      </c>
      <c r="D10" s="276"/>
      <c r="E10" s="302"/>
      <c r="F10" s="301">
        <f t="shared" si="7"/>
        <v>0</v>
      </c>
      <c r="G10" s="276">
        <v>1000</v>
      </c>
      <c r="H10" s="302">
        <v>184000</v>
      </c>
      <c r="I10" s="301">
        <f t="shared" si="8"/>
        <v>185000</v>
      </c>
      <c r="J10" s="302">
        <f t="shared" si="5"/>
        <v>1000</v>
      </c>
      <c r="K10" s="302">
        <f t="shared" si="5"/>
        <v>184000</v>
      </c>
      <c r="L10" s="365">
        <f t="shared" si="6"/>
        <v>185000</v>
      </c>
    </row>
    <row r="11" spans="1:12" s="128" customFormat="1" ht="30" customHeight="1" x14ac:dyDescent="0.25">
      <c r="A11" s="357" t="s">
        <v>605</v>
      </c>
      <c r="B11" s="819">
        <v>11601</v>
      </c>
      <c r="C11" s="364" t="s">
        <v>2195</v>
      </c>
      <c r="D11" s="276"/>
      <c r="E11" s="302"/>
      <c r="F11" s="301">
        <f t="shared" si="7"/>
        <v>0</v>
      </c>
      <c r="G11" s="276"/>
      <c r="H11" s="302">
        <v>1915649</v>
      </c>
      <c r="I11" s="301">
        <f t="shared" si="8"/>
        <v>1915649</v>
      </c>
      <c r="J11" s="302">
        <f t="shared" si="5"/>
        <v>0</v>
      </c>
      <c r="K11" s="302">
        <f t="shared" si="5"/>
        <v>1915649</v>
      </c>
      <c r="L11" s="365">
        <f t="shared" si="6"/>
        <v>1915649</v>
      </c>
    </row>
    <row r="12" spans="1:12" s="128" customFormat="1" ht="15" customHeight="1" x14ac:dyDescent="0.25">
      <c r="A12" s="357" t="s">
        <v>605</v>
      </c>
      <c r="B12" s="819">
        <v>11601</v>
      </c>
      <c r="C12" s="364" t="s">
        <v>2196</v>
      </c>
      <c r="D12" s="276"/>
      <c r="E12" s="302"/>
      <c r="F12" s="301">
        <f t="shared" si="7"/>
        <v>0</v>
      </c>
      <c r="G12" s="276"/>
      <c r="H12" s="302">
        <v>250000</v>
      </c>
      <c r="I12" s="301">
        <f t="shared" si="8"/>
        <v>250000</v>
      </c>
      <c r="J12" s="302">
        <f t="shared" ref="J12:J15" si="12">D12+G12</f>
        <v>0</v>
      </c>
      <c r="K12" s="302">
        <f t="shared" ref="K12:K15" si="13">E12+H12</f>
        <v>250000</v>
      </c>
      <c r="L12" s="365">
        <f t="shared" ref="L12:L15" si="14">SUM(J12:K12)</f>
        <v>250000</v>
      </c>
    </row>
    <row r="13" spans="1:12" s="128" customFormat="1" ht="30" customHeight="1" x14ac:dyDescent="0.25">
      <c r="A13" s="357" t="s">
        <v>605</v>
      </c>
      <c r="B13" s="819">
        <v>11601</v>
      </c>
      <c r="C13" s="364" t="s">
        <v>2131</v>
      </c>
      <c r="D13" s="276"/>
      <c r="E13" s="302">
        <v>150000</v>
      </c>
      <c r="F13" s="301">
        <f t="shared" si="7"/>
        <v>150000</v>
      </c>
      <c r="G13" s="276"/>
      <c r="H13" s="302"/>
      <c r="I13" s="301">
        <f t="shared" si="8"/>
        <v>0</v>
      </c>
      <c r="J13" s="302">
        <f t="shared" si="12"/>
        <v>0</v>
      </c>
      <c r="K13" s="302">
        <f t="shared" si="13"/>
        <v>150000</v>
      </c>
      <c r="L13" s="365">
        <f t="shared" si="14"/>
        <v>150000</v>
      </c>
    </row>
    <row r="14" spans="1:12" s="128" customFormat="1" ht="15" customHeight="1" x14ac:dyDescent="0.25">
      <c r="A14" s="357" t="s">
        <v>605</v>
      </c>
      <c r="B14" s="2496">
        <v>11602</v>
      </c>
      <c r="C14" s="2497" t="s">
        <v>2214</v>
      </c>
      <c r="D14" s="276"/>
      <c r="E14" s="302"/>
      <c r="F14" s="301">
        <f t="shared" si="7"/>
        <v>0</v>
      </c>
      <c r="G14" s="276"/>
      <c r="H14" s="302">
        <v>50000</v>
      </c>
      <c r="I14" s="301">
        <f t="shared" si="8"/>
        <v>50000</v>
      </c>
      <c r="J14" s="302">
        <f t="shared" si="12"/>
        <v>0</v>
      </c>
      <c r="K14" s="302">
        <f t="shared" si="13"/>
        <v>50000</v>
      </c>
      <c r="L14" s="365">
        <f t="shared" si="14"/>
        <v>50000</v>
      </c>
    </row>
    <row r="15" spans="1:12" s="128" customFormat="1" ht="15" customHeight="1" x14ac:dyDescent="0.25">
      <c r="A15" s="357" t="s">
        <v>605</v>
      </c>
      <c r="B15" s="2496">
        <v>11602</v>
      </c>
      <c r="C15" s="2497" t="s">
        <v>2215</v>
      </c>
      <c r="D15" s="276"/>
      <c r="E15" s="302"/>
      <c r="F15" s="301">
        <f t="shared" si="7"/>
        <v>0</v>
      </c>
      <c r="G15" s="276"/>
      <c r="H15" s="302">
        <v>50000</v>
      </c>
      <c r="I15" s="301">
        <f t="shared" si="8"/>
        <v>50000</v>
      </c>
      <c r="J15" s="302">
        <f t="shared" si="12"/>
        <v>0</v>
      </c>
      <c r="K15" s="302">
        <f t="shared" si="13"/>
        <v>50000</v>
      </c>
      <c r="L15" s="365">
        <f t="shared" si="14"/>
        <v>50000</v>
      </c>
    </row>
    <row r="16" spans="1:12" s="128" customFormat="1" ht="15" customHeight="1" x14ac:dyDescent="0.25">
      <c r="A16" s="357" t="s">
        <v>605</v>
      </c>
      <c r="B16" s="819">
        <v>11603</v>
      </c>
      <c r="C16" s="364" t="s">
        <v>926</v>
      </c>
      <c r="D16" s="276"/>
      <c r="E16" s="302"/>
      <c r="F16" s="301">
        <f t="shared" si="7"/>
        <v>0</v>
      </c>
      <c r="G16" s="276">
        <v>1455</v>
      </c>
      <c r="H16" s="302">
        <v>570666</v>
      </c>
      <c r="I16" s="301">
        <f t="shared" si="8"/>
        <v>572121</v>
      </c>
      <c r="J16" s="302">
        <f t="shared" si="5"/>
        <v>1455</v>
      </c>
      <c r="K16" s="302">
        <f t="shared" si="5"/>
        <v>570666</v>
      </c>
      <c r="L16" s="365">
        <f t="shared" si="6"/>
        <v>572121</v>
      </c>
    </row>
    <row r="17" spans="1:13" s="128" customFormat="1" ht="15" customHeight="1" x14ac:dyDescent="0.25">
      <c r="A17" s="357" t="s">
        <v>605</v>
      </c>
      <c r="B17" s="819">
        <v>11604</v>
      </c>
      <c r="C17" s="364" t="s">
        <v>692</v>
      </c>
      <c r="D17" s="276"/>
      <c r="E17" s="302"/>
      <c r="F17" s="301">
        <f t="shared" si="7"/>
        <v>0</v>
      </c>
      <c r="G17" s="276">
        <v>77150</v>
      </c>
      <c r="H17" s="302">
        <v>65038</v>
      </c>
      <c r="I17" s="301">
        <f t="shared" si="8"/>
        <v>142188</v>
      </c>
      <c r="J17" s="302">
        <f t="shared" si="5"/>
        <v>77150</v>
      </c>
      <c r="K17" s="302">
        <f t="shared" si="5"/>
        <v>65038</v>
      </c>
      <c r="L17" s="365">
        <f t="shared" si="6"/>
        <v>142188</v>
      </c>
    </row>
    <row r="18" spans="1:13" s="128" customFormat="1" ht="15" customHeight="1" x14ac:dyDescent="0.25">
      <c r="A18" s="357" t="s">
        <v>605</v>
      </c>
      <c r="B18" s="819">
        <v>11604</v>
      </c>
      <c r="C18" s="364" t="s">
        <v>2130</v>
      </c>
      <c r="D18" s="276"/>
      <c r="E18" s="302"/>
      <c r="F18" s="301">
        <f t="shared" si="7"/>
        <v>0</v>
      </c>
      <c r="G18" s="276">
        <v>68286</v>
      </c>
      <c r="H18" s="302">
        <v>48241</v>
      </c>
      <c r="I18" s="301">
        <f t="shared" si="8"/>
        <v>116527</v>
      </c>
      <c r="J18" s="302">
        <f t="shared" ref="J18:J19" si="15">D18+G18</f>
        <v>68286</v>
      </c>
      <c r="K18" s="302">
        <f t="shared" ref="K18:K19" si="16">E18+H18</f>
        <v>48241</v>
      </c>
      <c r="L18" s="365">
        <f t="shared" ref="L18:L19" si="17">SUM(J18:K18)</f>
        <v>116527</v>
      </c>
    </row>
    <row r="19" spans="1:13" s="128" customFormat="1" ht="39.6" x14ac:dyDescent="0.25">
      <c r="A19" s="357" t="s">
        <v>605</v>
      </c>
      <c r="B19" s="819">
        <v>11605</v>
      </c>
      <c r="C19" s="387" t="s">
        <v>2197</v>
      </c>
      <c r="D19" s="276"/>
      <c r="E19" s="302"/>
      <c r="F19" s="301">
        <f t="shared" si="7"/>
        <v>0</v>
      </c>
      <c r="G19" s="276">
        <v>20000</v>
      </c>
      <c r="H19" s="302"/>
      <c r="I19" s="301">
        <f t="shared" si="8"/>
        <v>20000</v>
      </c>
      <c r="J19" s="302">
        <f t="shared" si="15"/>
        <v>20000</v>
      </c>
      <c r="K19" s="302">
        <f t="shared" si="16"/>
        <v>0</v>
      </c>
      <c r="L19" s="365">
        <f t="shared" si="17"/>
        <v>20000</v>
      </c>
    </row>
    <row r="20" spans="1:13" s="128" customFormat="1" ht="26.4" x14ac:dyDescent="0.25">
      <c r="A20" s="357" t="s">
        <v>605</v>
      </c>
      <c r="B20" s="819">
        <v>11605</v>
      </c>
      <c r="C20" s="364" t="s">
        <v>2198</v>
      </c>
      <c r="D20" s="276"/>
      <c r="E20" s="302"/>
      <c r="F20" s="301">
        <f t="shared" si="7"/>
        <v>0</v>
      </c>
      <c r="G20" s="276"/>
      <c r="H20" s="302">
        <v>300000</v>
      </c>
      <c r="I20" s="301">
        <f t="shared" si="8"/>
        <v>300000</v>
      </c>
      <c r="J20" s="302">
        <f t="shared" si="5"/>
        <v>0</v>
      </c>
      <c r="K20" s="302">
        <f t="shared" si="5"/>
        <v>300000</v>
      </c>
      <c r="L20" s="365">
        <f t="shared" si="6"/>
        <v>300000</v>
      </c>
    </row>
    <row r="21" spans="1:13" s="92" customFormat="1" ht="15" customHeight="1" thickBot="1" x14ac:dyDescent="0.3">
      <c r="A21" s="809" t="s">
        <v>604</v>
      </c>
      <c r="B21" s="810"/>
      <c r="C21" s="434" t="s">
        <v>751</v>
      </c>
      <c r="D21" s="305">
        <v>604300</v>
      </c>
      <c r="E21" s="305"/>
      <c r="F21" s="304">
        <f t="shared" si="7"/>
        <v>604300</v>
      </c>
      <c r="G21" s="806"/>
      <c r="H21" s="305"/>
      <c r="I21" s="304">
        <f t="shared" si="8"/>
        <v>0</v>
      </c>
      <c r="J21" s="305">
        <f t="shared" si="5"/>
        <v>604300</v>
      </c>
      <c r="K21" s="305">
        <f t="shared" si="5"/>
        <v>0</v>
      </c>
      <c r="L21" s="811">
        <f t="shared" si="6"/>
        <v>604300</v>
      </c>
    </row>
    <row r="22" spans="1:13" s="369" customFormat="1" ht="26.25" customHeight="1" x14ac:dyDescent="0.25">
      <c r="A22" s="2619" t="s">
        <v>2314</v>
      </c>
      <c r="B22" s="2620"/>
      <c r="C22" s="2621"/>
      <c r="D22" s="802">
        <f>SUM(D3:D21)</f>
        <v>604300</v>
      </c>
      <c r="E22" s="802">
        <f>SUM(E3:E21)</f>
        <v>316452</v>
      </c>
      <c r="F22" s="812">
        <f t="shared" si="7"/>
        <v>920752</v>
      </c>
      <c r="G22" s="802">
        <f>SUM(G3:G21)</f>
        <v>184665</v>
      </c>
      <c r="H22" s="802">
        <f>SUM(H3:H21)</f>
        <v>4082341</v>
      </c>
      <c r="I22" s="812">
        <f t="shared" si="8"/>
        <v>4267006</v>
      </c>
      <c r="J22" s="812">
        <f>SUM(J3:J21)</f>
        <v>788965</v>
      </c>
      <c r="K22" s="812">
        <f>SUM(K3:K21)</f>
        <v>4398793</v>
      </c>
      <c r="L22" s="813">
        <f>SUM(J22:K22)</f>
        <v>5187758</v>
      </c>
      <c r="M22" s="368"/>
    </row>
    <row r="23" spans="1:13" s="332" customFormat="1" ht="15" customHeight="1" x14ac:dyDescent="0.25">
      <c r="A23" s="2622" t="s">
        <v>694</v>
      </c>
      <c r="B23" s="2623"/>
      <c r="C23" s="2624"/>
      <c r="D23" s="285">
        <f t="shared" ref="D23:L23" si="18">D3+D4+D21</f>
        <v>604300</v>
      </c>
      <c r="E23" s="285">
        <f t="shared" si="18"/>
        <v>0</v>
      </c>
      <c r="F23" s="285">
        <f t="shared" si="18"/>
        <v>604300</v>
      </c>
      <c r="G23" s="285">
        <f t="shared" si="18"/>
        <v>16774</v>
      </c>
      <c r="H23" s="285">
        <f t="shared" si="18"/>
        <v>0</v>
      </c>
      <c r="I23" s="285">
        <f t="shared" si="18"/>
        <v>16774</v>
      </c>
      <c r="J23" s="285">
        <f t="shared" si="18"/>
        <v>621074</v>
      </c>
      <c r="K23" s="285">
        <f t="shared" si="18"/>
        <v>0</v>
      </c>
      <c r="L23" s="814">
        <f t="shared" si="18"/>
        <v>621074</v>
      </c>
    </row>
    <row r="24" spans="1:13" s="332" customFormat="1" ht="15" customHeight="1" thickBot="1" x14ac:dyDescent="0.3">
      <c r="A24" s="2625" t="s">
        <v>695</v>
      </c>
      <c r="B24" s="2626"/>
      <c r="C24" s="2627"/>
      <c r="D24" s="801">
        <f>D22-D23</f>
        <v>0</v>
      </c>
      <c r="E24" s="801">
        <f t="shared" ref="E24:L24" si="19">E22-E23</f>
        <v>316452</v>
      </c>
      <c r="F24" s="801">
        <f t="shared" si="19"/>
        <v>316452</v>
      </c>
      <c r="G24" s="801">
        <f t="shared" si="19"/>
        <v>167891</v>
      </c>
      <c r="H24" s="801">
        <f t="shared" si="19"/>
        <v>4082341</v>
      </c>
      <c r="I24" s="801">
        <f t="shared" si="19"/>
        <v>4250232</v>
      </c>
      <c r="J24" s="801">
        <f t="shared" si="19"/>
        <v>167891</v>
      </c>
      <c r="K24" s="801">
        <f t="shared" si="19"/>
        <v>4398793</v>
      </c>
      <c r="L24" s="815">
        <f t="shared" si="19"/>
        <v>4566684</v>
      </c>
    </row>
    <row r="25" spans="1:13" s="369" customFormat="1" ht="15" customHeight="1" x14ac:dyDescent="0.25">
      <c r="A25" s="2615" t="s">
        <v>979</v>
      </c>
      <c r="B25" s="2616"/>
      <c r="C25" s="2616"/>
      <c r="D25" s="802"/>
      <c r="E25" s="802"/>
      <c r="F25" s="802"/>
      <c r="G25" s="802"/>
      <c r="H25" s="802"/>
      <c r="I25" s="802"/>
      <c r="J25" s="802"/>
      <c r="K25" s="802"/>
      <c r="L25" s="803"/>
    </row>
    <row r="26" spans="1:13" ht="30" customHeight="1" x14ac:dyDescent="0.25">
      <c r="A26" s="775" t="s">
        <v>605</v>
      </c>
      <c r="B26" s="28" t="s">
        <v>16</v>
      </c>
      <c r="C26" s="424" t="s">
        <v>977</v>
      </c>
      <c r="D26" s="276"/>
      <c r="E26" s="302"/>
      <c r="F26" s="276">
        <f t="shared" ref="F26:F28" si="20">SUM(D26:E26)</f>
        <v>0</v>
      </c>
      <c r="G26" s="276">
        <v>299267</v>
      </c>
      <c r="H26" s="302">
        <v>50000</v>
      </c>
      <c r="I26" s="276">
        <f t="shared" ref="I26:I28" si="21">SUM(G26:H26)</f>
        <v>349267</v>
      </c>
      <c r="J26" s="276">
        <f t="shared" ref="J26" si="22">D26+G26</f>
        <v>299267</v>
      </c>
      <c r="K26" s="302">
        <f t="shared" ref="K26" si="23">E26+H26</f>
        <v>50000</v>
      </c>
      <c r="L26" s="804">
        <f t="shared" ref="L26:L28" si="24">SUM(J26:K26)</f>
        <v>349267</v>
      </c>
    </row>
    <row r="27" spans="1:13" ht="15" customHeight="1" x14ac:dyDescent="0.25">
      <c r="A27" s="775" t="s">
        <v>604</v>
      </c>
      <c r="B27" s="819">
        <v>40105</v>
      </c>
      <c r="C27" s="424" t="s">
        <v>1048</v>
      </c>
      <c r="D27" s="276"/>
      <c r="E27" s="302">
        <v>9000</v>
      </c>
      <c r="F27" s="276">
        <f t="shared" si="20"/>
        <v>9000</v>
      </c>
      <c r="G27" s="276"/>
      <c r="H27" s="302"/>
      <c r="I27" s="276">
        <f t="shared" si="21"/>
        <v>0</v>
      </c>
      <c r="J27" s="276">
        <f t="shared" ref="J27:J28" si="25">D27+G27</f>
        <v>0</v>
      </c>
      <c r="K27" s="302">
        <f t="shared" ref="K27:K28" si="26">E27+H27</f>
        <v>9000</v>
      </c>
      <c r="L27" s="804">
        <f t="shared" si="24"/>
        <v>9000</v>
      </c>
    </row>
    <row r="28" spans="1:13" ht="30" customHeight="1" x14ac:dyDescent="0.25">
      <c r="A28" s="775" t="s">
        <v>604</v>
      </c>
      <c r="B28" s="819">
        <v>40106</v>
      </c>
      <c r="C28" s="16" t="s">
        <v>1049</v>
      </c>
      <c r="D28" s="276"/>
      <c r="E28" s="302">
        <v>2600</v>
      </c>
      <c r="F28" s="276">
        <f t="shared" si="20"/>
        <v>2600</v>
      </c>
      <c r="G28" s="276"/>
      <c r="H28" s="302"/>
      <c r="I28" s="276">
        <f t="shared" si="21"/>
        <v>0</v>
      </c>
      <c r="J28" s="276">
        <f t="shared" si="25"/>
        <v>0</v>
      </c>
      <c r="K28" s="302">
        <f t="shared" si="26"/>
        <v>2600</v>
      </c>
      <c r="L28" s="804">
        <f t="shared" si="24"/>
        <v>2600</v>
      </c>
    </row>
    <row r="29" spans="1:13" s="128" customFormat="1" ht="15" customHeight="1" thickBot="1" x14ac:dyDescent="0.3">
      <c r="A29" s="2637" t="s">
        <v>1052</v>
      </c>
      <c r="B29" s="2638"/>
      <c r="C29" s="2638"/>
      <c r="D29" s="823">
        <f t="shared" ref="D29:L29" si="27">SUM(D26:D28)</f>
        <v>0</v>
      </c>
      <c r="E29" s="823">
        <f t="shared" si="27"/>
        <v>11600</v>
      </c>
      <c r="F29" s="823">
        <f t="shared" si="27"/>
        <v>11600</v>
      </c>
      <c r="G29" s="823">
        <f t="shared" si="27"/>
        <v>299267</v>
      </c>
      <c r="H29" s="823">
        <f t="shared" si="27"/>
        <v>50000</v>
      </c>
      <c r="I29" s="823">
        <f t="shared" si="27"/>
        <v>349267</v>
      </c>
      <c r="J29" s="824">
        <f t="shared" si="27"/>
        <v>299267</v>
      </c>
      <c r="K29" s="824">
        <f t="shared" si="27"/>
        <v>61600</v>
      </c>
      <c r="L29" s="825">
        <f t="shared" si="27"/>
        <v>360867</v>
      </c>
    </row>
    <row r="30" spans="1:13" ht="15" customHeight="1" x14ac:dyDescent="0.25">
      <c r="A30" s="2639" t="s">
        <v>694</v>
      </c>
      <c r="B30" s="2640"/>
      <c r="C30" s="2640"/>
      <c r="D30" s="361">
        <f>D27+D28</f>
        <v>0</v>
      </c>
      <c r="E30" s="361">
        <f t="shared" ref="E30:L30" si="28">E27+E28</f>
        <v>11600</v>
      </c>
      <c r="F30" s="361">
        <f t="shared" si="28"/>
        <v>11600</v>
      </c>
      <c r="G30" s="361">
        <f t="shared" si="28"/>
        <v>0</v>
      </c>
      <c r="H30" s="361">
        <f t="shared" si="28"/>
        <v>0</v>
      </c>
      <c r="I30" s="361">
        <f t="shared" si="28"/>
        <v>0</v>
      </c>
      <c r="J30" s="361">
        <f t="shared" si="28"/>
        <v>0</v>
      </c>
      <c r="K30" s="361">
        <f t="shared" si="28"/>
        <v>11600</v>
      </c>
      <c r="L30" s="361">
        <f t="shared" si="28"/>
        <v>11600</v>
      </c>
    </row>
    <row r="31" spans="1:13" ht="15" customHeight="1" thickBot="1" x14ac:dyDescent="0.3">
      <c r="A31" s="2641" t="s">
        <v>695</v>
      </c>
      <c r="B31" s="2642"/>
      <c r="C31" s="2642"/>
      <c r="D31" s="806">
        <f>D26</f>
        <v>0</v>
      </c>
      <c r="E31" s="806">
        <f t="shared" ref="E31:L31" si="29">E26</f>
        <v>0</v>
      </c>
      <c r="F31" s="806">
        <f t="shared" si="29"/>
        <v>0</v>
      </c>
      <c r="G31" s="806">
        <f t="shared" si="29"/>
        <v>299267</v>
      </c>
      <c r="H31" s="806">
        <f t="shared" si="29"/>
        <v>50000</v>
      </c>
      <c r="I31" s="806">
        <f t="shared" si="29"/>
        <v>349267</v>
      </c>
      <c r="J31" s="806">
        <f t="shared" si="29"/>
        <v>299267</v>
      </c>
      <c r="K31" s="806">
        <f t="shared" si="29"/>
        <v>50000</v>
      </c>
      <c r="L31" s="806">
        <f t="shared" si="29"/>
        <v>349267</v>
      </c>
    </row>
    <row r="32" spans="1:13" s="128" customFormat="1" ht="15" customHeight="1" x14ac:dyDescent="0.25">
      <c r="A32" s="2643" t="s">
        <v>1053</v>
      </c>
      <c r="B32" s="2644"/>
      <c r="C32" s="2644"/>
      <c r="D32" s="807">
        <f t="shared" ref="D32:L32" si="30">D22+D29</f>
        <v>604300</v>
      </c>
      <c r="E32" s="807">
        <f t="shared" si="30"/>
        <v>328052</v>
      </c>
      <c r="F32" s="807">
        <f t="shared" si="30"/>
        <v>932352</v>
      </c>
      <c r="G32" s="807">
        <f t="shared" si="30"/>
        <v>483932</v>
      </c>
      <c r="H32" s="807">
        <f t="shared" si="30"/>
        <v>4132341</v>
      </c>
      <c r="I32" s="807">
        <f t="shared" si="30"/>
        <v>4616273</v>
      </c>
      <c r="J32" s="807">
        <f t="shared" si="30"/>
        <v>1088232</v>
      </c>
      <c r="K32" s="807">
        <f t="shared" si="30"/>
        <v>4460393</v>
      </c>
      <c r="L32" s="808">
        <f t="shared" si="30"/>
        <v>5548625</v>
      </c>
    </row>
    <row r="33" spans="1:12" ht="15" customHeight="1" x14ac:dyDescent="0.25">
      <c r="A33" s="2645" t="s">
        <v>694</v>
      </c>
      <c r="B33" s="2646"/>
      <c r="C33" s="2646"/>
      <c r="D33" s="276">
        <f t="shared" ref="D33:L33" si="31">D23+D30</f>
        <v>604300</v>
      </c>
      <c r="E33" s="276">
        <f t="shared" si="31"/>
        <v>11600</v>
      </c>
      <c r="F33" s="276">
        <f t="shared" si="31"/>
        <v>615900</v>
      </c>
      <c r="G33" s="276">
        <f t="shared" si="31"/>
        <v>16774</v>
      </c>
      <c r="H33" s="276">
        <f t="shared" si="31"/>
        <v>0</v>
      </c>
      <c r="I33" s="276">
        <f t="shared" si="31"/>
        <v>16774</v>
      </c>
      <c r="J33" s="276">
        <f t="shared" si="31"/>
        <v>621074</v>
      </c>
      <c r="K33" s="276">
        <f t="shared" si="31"/>
        <v>11600</v>
      </c>
      <c r="L33" s="804">
        <f t="shared" si="31"/>
        <v>632674</v>
      </c>
    </row>
    <row r="34" spans="1:12" ht="15" customHeight="1" thickBot="1" x14ac:dyDescent="0.3">
      <c r="A34" s="2635" t="s">
        <v>695</v>
      </c>
      <c r="B34" s="2636"/>
      <c r="C34" s="2636"/>
      <c r="D34" s="503">
        <f t="shared" ref="D34:L34" si="32">D24+D31</f>
        <v>0</v>
      </c>
      <c r="E34" s="503">
        <f t="shared" si="32"/>
        <v>316452</v>
      </c>
      <c r="F34" s="503">
        <f t="shared" si="32"/>
        <v>316452</v>
      </c>
      <c r="G34" s="503">
        <f t="shared" si="32"/>
        <v>467158</v>
      </c>
      <c r="H34" s="503">
        <f t="shared" si="32"/>
        <v>4132341</v>
      </c>
      <c r="I34" s="503">
        <f t="shared" si="32"/>
        <v>4599499</v>
      </c>
      <c r="J34" s="503">
        <f t="shared" si="32"/>
        <v>467158</v>
      </c>
      <c r="K34" s="503">
        <f t="shared" si="32"/>
        <v>4448793</v>
      </c>
      <c r="L34" s="805">
        <f t="shared" si="32"/>
        <v>4915951</v>
      </c>
    </row>
    <row r="35" spans="1:12" ht="12" customHeight="1" x14ac:dyDescent="0.25">
      <c r="D35" s="288"/>
      <c r="E35" s="343"/>
      <c r="F35" s="295"/>
      <c r="G35" s="295"/>
      <c r="H35" s="343"/>
      <c r="I35" s="295"/>
      <c r="J35" s="295"/>
      <c r="K35" s="343"/>
      <c r="L35" s="288"/>
    </row>
    <row r="36" spans="1:12" ht="12" customHeight="1" x14ac:dyDescent="0.25">
      <c r="D36" s="288"/>
      <c r="E36" s="343"/>
      <c r="F36" s="295"/>
      <c r="G36" s="295"/>
      <c r="H36" s="343"/>
      <c r="I36" s="295"/>
      <c r="J36" s="295"/>
      <c r="K36" s="343"/>
      <c r="L36" s="288"/>
    </row>
    <row r="37" spans="1:12" ht="12" customHeight="1" x14ac:dyDescent="0.25">
      <c r="E37" s="370"/>
      <c r="F37" s="371"/>
      <c r="G37" s="371"/>
      <c r="H37" s="315"/>
      <c r="I37" s="371"/>
      <c r="J37" s="371"/>
      <c r="K37" s="315"/>
    </row>
    <row r="38" spans="1:12" ht="12" customHeight="1" x14ac:dyDescent="0.25">
      <c r="E38" s="370"/>
      <c r="F38" s="371"/>
      <c r="G38" s="371"/>
      <c r="H38" s="315"/>
      <c r="I38" s="371"/>
      <c r="J38" s="371"/>
      <c r="K38" s="315"/>
    </row>
    <row r="39" spans="1:12" s="128" customFormat="1" ht="12" customHeight="1" x14ac:dyDescent="0.25">
      <c r="C39" s="372"/>
      <c r="D39" s="107"/>
      <c r="E39" s="242"/>
      <c r="F39" s="373"/>
      <c r="G39" s="373"/>
      <c r="H39" s="373"/>
      <c r="I39" s="373"/>
      <c r="J39" s="373"/>
      <c r="K39" s="373"/>
      <c r="L39" s="107"/>
    </row>
    <row r="40" spans="1:12" ht="12" customHeight="1" x14ac:dyDescent="0.25">
      <c r="E40" s="242"/>
      <c r="F40" s="373"/>
      <c r="G40" s="373"/>
      <c r="H40" s="373"/>
      <c r="I40" s="373"/>
      <c r="J40" s="373"/>
      <c r="K40" s="373"/>
    </row>
    <row r="46" spans="1:12" ht="12" customHeight="1" x14ac:dyDescent="0.25">
      <c r="E46" s="374"/>
      <c r="F46" s="375"/>
      <c r="I46" s="375"/>
    </row>
    <row r="53" spans="3:12" s="381" customFormat="1" ht="12" customHeight="1" x14ac:dyDescent="0.25">
      <c r="C53" s="378"/>
      <c r="D53" s="379"/>
      <c r="E53" s="374"/>
      <c r="F53" s="375"/>
      <c r="G53" s="375"/>
      <c r="H53" s="380"/>
      <c r="I53" s="375"/>
      <c r="J53" s="375"/>
      <c r="K53" s="380"/>
      <c r="L53" s="379"/>
    </row>
    <row r="54" spans="3:12" s="381" customFormat="1" ht="12" customHeight="1" x14ac:dyDescent="0.25">
      <c r="C54" s="378"/>
      <c r="D54" s="379"/>
      <c r="E54" s="374"/>
      <c r="F54" s="375"/>
      <c r="G54" s="375"/>
      <c r="H54" s="380"/>
      <c r="I54" s="375"/>
      <c r="J54" s="375"/>
      <c r="K54" s="380"/>
      <c r="L54" s="379"/>
    </row>
  </sheetData>
  <mergeCells count="15">
    <mergeCell ref="A34:C34"/>
    <mergeCell ref="A29:C29"/>
    <mergeCell ref="A30:C30"/>
    <mergeCell ref="A31:C31"/>
    <mergeCell ref="A32:C32"/>
    <mergeCell ref="A33:C33"/>
    <mergeCell ref="A25:C25"/>
    <mergeCell ref="J1:L1"/>
    <mergeCell ref="A22:C22"/>
    <mergeCell ref="A23:C23"/>
    <mergeCell ref="A24:C24"/>
    <mergeCell ref="A1:A2"/>
    <mergeCell ref="B1:B2"/>
    <mergeCell ref="D1:F1"/>
    <mergeCell ref="G1:I1"/>
  </mergeCells>
  <printOptions horizontalCentered="1"/>
  <pageMargins left="0.23622047244094491" right="0.23622047244094491" top="0.94488188976377963" bottom="0.98425196850393704" header="0.19685039370078741" footer="0.19685039370078741"/>
  <pageSetup paperSize="9" scale="64" orientation="landscape" r:id="rId1"/>
  <headerFooter alignWithMargins="0">
    <oddHeader>&amp;C&amp;"Times New Roman,Félkövér"
Budapest VIII. kerületi Önkormányzat 
 előző évi költségvetési maradványa feladatonként&amp;R
&amp;"Times New Roman,Félkövér dőlt"5. melléklet a /2020. () 
önkormányzati rendelethez
ezer forintban</oddHeader>
    <oddFooter>&amp;R&amp;"Times New Roman,Normál"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E35"/>
  <sheetViews>
    <sheetView topLeftCell="A10" zoomScaleNormal="100" workbookViewId="0">
      <selection activeCell="B17" sqref="B17"/>
    </sheetView>
  </sheetViews>
  <sheetFormatPr defaultColWidth="9.109375" defaultRowHeight="13.2" x14ac:dyDescent="0.25"/>
  <cols>
    <col min="1" max="1" width="30.6640625" style="264" customWidth="1"/>
    <col min="2" max="2" width="15.6640625" style="267" customWidth="1"/>
    <col min="3" max="4" width="15.6640625" style="268" customWidth="1"/>
    <col min="5" max="5" width="30.88671875" style="269" customWidth="1"/>
    <col min="6" max="16384" width="9.109375" style="253"/>
  </cols>
  <sheetData>
    <row r="1" spans="1:5" s="247" customFormat="1" ht="38.25" customHeight="1" thickBot="1" x14ac:dyDescent="0.3">
      <c r="A1" s="2647" t="s">
        <v>577</v>
      </c>
      <c r="B1" s="2648"/>
      <c r="C1" s="2648"/>
      <c r="D1" s="2648"/>
      <c r="E1" s="2649"/>
    </row>
    <row r="2" spans="1:5" s="441" customFormat="1" ht="40.200000000000003" customHeight="1" thickBot="1" x14ac:dyDescent="0.3">
      <c r="A2" s="494" t="s">
        <v>578</v>
      </c>
      <c r="B2" s="248" t="s">
        <v>579</v>
      </c>
      <c r="C2" s="248" t="s">
        <v>580</v>
      </c>
      <c r="D2" s="249" t="s">
        <v>581</v>
      </c>
      <c r="E2" s="250" t="s">
        <v>771</v>
      </c>
    </row>
    <row r="3" spans="1:5" s="441" customFormat="1" ht="27.9" customHeight="1" x14ac:dyDescent="0.25">
      <c r="A3" s="495" t="s">
        <v>582</v>
      </c>
      <c r="B3" s="793"/>
      <c r="C3" s="793"/>
      <c r="D3" s="794"/>
      <c r="E3" s="795"/>
    </row>
    <row r="4" spans="1:5" s="247" customFormat="1" ht="27.9" customHeight="1" x14ac:dyDescent="0.25">
      <c r="A4" s="496" t="s">
        <v>583</v>
      </c>
      <c r="B4" s="251">
        <v>0</v>
      </c>
      <c r="C4" s="251">
        <v>8224</v>
      </c>
      <c r="D4" s="251">
        <f>SUM(B4:C4)</f>
        <v>8224</v>
      </c>
      <c r="E4" s="252" t="s">
        <v>584</v>
      </c>
    </row>
    <row r="5" spans="1:5" ht="27.9" customHeight="1" x14ac:dyDescent="0.25">
      <c r="A5" s="497" t="s">
        <v>2137</v>
      </c>
      <c r="B5" s="251">
        <v>0</v>
      </c>
      <c r="C5" s="251">
        <v>4518</v>
      </c>
      <c r="D5" s="251">
        <f t="shared" ref="D5:D15" si="0">SUM(B5:C5)</f>
        <v>4518</v>
      </c>
      <c r="E5" s="252" t="s">
        <v>585</v>
      </c>
    </row>
    <row r="6" spans="1:5" ht="27.9" customHeight="1" x14ac:dyDescent="0.25">
      <c r="A6" s="497" t="s">
        <v>2054</v>
      </c>
      <c r="B6" s="251">
        <v>0</v>
      </c>
      <c r="C6" s="251">
        <v>8963</v>
      </c>
      <c r="D6" s="251">
        <f t="shared" si="0"/>
        <v>8963</v>
      </c>
      <c r="E6" s="252" t="s">
        <v>585</v>
      </c>
    </row>
    <row r="7" spans="1:5" ht="27.9" customHeight="1" x14ac:dyDescent="0.25">
      <c r="A7" s="497" t="s">
        <v>2055</v>
      </c>
      <c r="B7" s="251">
        <v>0</v>
      </c>
      <c r="C7" s="251">
        <v>8963</v>
      </c>
      <c r="D7" s="251">
        <f t="shared" si="0"/>
        <v>8963</v>
      </c>
      <c r="E7" s="252" t="s">
        <v>585</v>
      </c>
    </row>
    <row r="8" spans="1:5" ht="54.9" customHeight="1" x14ac:dyDescent="0.25">
      <c r="A8" s="497" t="s">
        <v>699</v>
      </c>
      <c r="B8" s="251">
        <v>0</v>
      </c>
      <c r="C8" s="251">
        <v>5807</v>
      </c>
      <c r="D8" s="251">
        <f t="shared" si="0"/>
        <v>5807</v>
      </c>
      <c r="E8" s="252" t="s">
        <v>2140</v>
      </c>
    </row>
    <row r="9" spans="1:5" ht="54.9" customHeight="1" x14ac:dyDescent="0.25">
      <c r="A9" s="497" t="s">
        <v>586</v>
      </c>
      <c r="B9" s="251">
        <v>0</v>
      </c>
      <c r="C9" s="251">
        <f>2000+5000</f>
        <v>7000</v>
      </c>
      <c r="D9" s="251">
        <f t="shared" si="0"/>
        <v>7000</v>
      </c>
      <c r="E9" s="252" t="s">
        <v>2140</v>
      </c>
    </row>
    <row r="10" spans="1:5" ht="54.9" customHeight="1" x14ac:dyDescent="0.25">
      <c r="A10" s="497" t="s">
        <v>587</v>
      </c>
      <c r="B10" s="251">
        <v>0</v>
      </c>
      <c r="C10" s="251">
        <f>5000+1000</f>
        <v>6000</v>
      </c>
      <c r="D10" s="251">
        <f t="shared" si="0"/>
        <v>6000</v>
      </c>
      <c r="E10" s="252" t="s">
        <v>2140</v>
      </c>
    </row>
    <row r="11" spans="1:5" ht="54.9" customHeight="1" x14ac:dyDescent="0.25">
      <c r="A11" s="497" t="s">
        <v>588</v>
      </c>
      <c r="B11" s="251"/>
      <c r="C11" s="251">
        <v>1000</v>
      </c>
      <c r="D11" s="251">
        <f t="shared" si="0"/>
        <v>1000</v>
      </c>
      <c r="E11" s="252" t="s">
        <v>2140</v>
      </c>
    </row>
    <row r="12" spans="1:5" ht="45" customHeight="1" x14ac:dyDescent="0.25">
      <c r="A12" s="497" t="s">
        <v>700</v>
      </c>
      <c r="B12" s="251"/>
      <c r="C12" s="251">
        <v>5000</v>
      </c>
      <c r="D12" s="251">
        <f t="shared" si="0"/>
        <v>5000</v>
      </c>
      <c r="E12" s="252" t="s">
        <v>270</v>
      </c>
    </row>
    <row r="13" spans="1:5" ht="27.9" customHeight="1" x14ac:dyDescent="0.25">
      <c r="A13" s="498" t="s">
        <v>589</v>
      </c>
      <c r="B13" s="251">
        <v>50000</v>
      </c>
      <c r="C13" s="251"/>
      <c r="D13" s="251">
        <f t="shared" si="0"/>
        <v>50000</v>
      </c>
      <c r="E13" s="252" t="s">
        <v>270</v>
      </c>
    </row>
    <row r="14" spans="1:5" ht="27.9" customHeight="1" x14ac:dyDescent="0.25">
      <c r="A14" s="498" t="s">
        <v>2346</v>
      </c>
      <c r="B14" s="251"/>
      <c r="C14" s="251">
        <v>32232</v>
      </c>
      <c r="D14" s="251">
        <f t="shared" si="0"/>
        <v>32232</v>
      </c>
      <c r="E14" s="252" t="s">
        <v>591</v>
      </c>
    </row>
    <row r="15" spans="1:5" ht="27.9" customHeight="1" thickBot="1" x14ac:dyDescent="0.3">
      <c r="A15" s="499" t="s">
        <v>590</v>
      </c>
      <c r="B15" s="489">
        <f>11803+150+4821</f>
        <v>16774</v>
      </c>
      <c r="C15" s="489"/>
      <c r="D15" s="489">
        <f t="shared" si="0"/>
        <v>16774</v>
      </c>
      <c r="E15" s="490" t="s">
        <v>591</v>
      </c>
    </row>
    <row r="16" spans="1:5" s="254" customFormat="1" ht="20.100000000000001" customHeight="1" thickBot="1" x14ac:dyDescent="0.3">
      <c r="A16" s="500" t="s">
        <v>592</v>
      </c>
      <c r="B16" s="260">
        <f>SUM(B4:B15)</f>
        <v>66774</v>
      </c>
      <c r="C16" s="260">
        <f>SUM(C4:C15)</f>
        <v>87707</v>
      </c>
      <c r="D16" s="260">
        <f>SUM(D4:D15)</f>
        <v>154481</v>
      </c>
      <c r="E16" s="458"/>
    </row>
    <row r="17" spans="1:5" s="254" customFormat="1" ht="20.100000000000001" customHeight="1" thickBot="1" x14ac:dyDescent="0.3">
      <c r="A17" s="501" t="s">
        <v>593</v>
      </c>
      <c r="B17" s="459">
        <f>100000+18217+268-2500+17000-1000-2000</f>
        <v>129985</v>
      </c>
      <c r="C17" s="459"/>
      <c r="D17" s="459">
        <f>SUM(B17:C17)</f>
        <v>129985</v>
      </c>
      <c r="E17" s="460" t="s">
        <v>777</v>
      </c>
    </row>
    <row r="18" spans="1:5" s="254" customFormat="1" ht="27.9" customHeight="1" thickBot="1" x14ac:dyDescent="0.3">
      <c r="A18" s="500" t="s">
        <v>594</v>
      </c>
      <c r="B18" s="260">
        <f>B17+B16</f>
        <v>196759</v>
      </c>
      <c r="C18" s="260">
        <f>C17+C16</f>
        <v>87707</v>
      </c>
      <c r="D18" s="260">
        <f>D17+D16</f>
        <v>284466</v>
      </c>
      <c r="E18" s="261"/>
    </row>
    <row r="19" spans="1:5" s="257" customFormat="1" ht="26.1" customHeight="1" x14ac:dyDescent="0.25">
      <c r="A19" s="255"/>
      <c r="B19" s="256"/>
      <c r="C19" s="256"/>
      <c r="D19" s="256"/>
      <c r="E19" s="255"/>
    </row>
    <row r="20" spans="1:5" ht="25.5" customHeight="1" thickBot="1" x14ac:dyDescent="0.3">
      <c r="A20" s="2650" t="s">
        <v>595</v>
      </c>
      <c r="B20" s="2650"/>
      <c r="C20" s="2650"/>
      <c r="D20" s="2650"/>
      <c r="E20" s="2650"/>
    </row>
    <row r="21" spans="1:5" ht="40.200000000000003" customHeight="1" thickBot="1" x14ac:dyDescent="0.3">
      <c r="A21" s="494" t="s">
        <v>578</v>
      </c>
      <c r="B21" s="249" t="s">
        <v>579</v>
      </c>
      <c r="C21" s="249" t="s">
        <v>580</v>
      </c>
      <c r="D21" s="249" t="s">
        <v>581</v>
      </c>
      <c r="E21" s="250" t="s">
        <v>771</v>
      </c>
    </row>
    <row r="22" spans="1:5" ht="20.100000000000001" customHeight="1" x14ac:dyDescent="0.25">
      <c r="A22" s="502" t="s">
        <v>596</v>
      </c>
      <c r="B22" s="491">
        <v>0</v>
      </c>
      <c r="C22" s="491">
        <f>623549+25198</f>
        <v>648747</v>
      </c>
      <c r="D22" s="491">
        <f>SUM(B22:C22)</f>
        <v>648747</v>
      </c>
      <c r="E22" s="492" t="s">
        <v>591</v>
      </c>
    </row>
    <row r="23" spans="1:5" ht="48.75" customHeight="1" x14ac:dyDescent="0.25">
      <c r="A23" s="493" t="s">
        <v>772</v>
      </c>
      <c r="B23" s="258"/>
      <c r="C23" s="258">
        <f>18200-5200</f>
        <v>13000</v>
      </c>
      <c r="D23" s="251">
        <f t="shared" ref="D23" si="1">SUM(B23:C23)</f>
        <v>13000</v>
      </c>
      <c r="E23" s="259" t="s">
        <v>2241</v>
      </c>
    </row>
    <row r="24" spans="1:5" ht="27.9" customHeight="1" thickBot="1" x14ac:dyDescent="0.3">
      <c r="A24" s="488" t="s">
        <v>933</v>
      </c>
      <c r="B24" s="258"/>
      <c r="C24" s="258">
        <f>30552-24216+58702+34251</f>
        <v>99289</v>
      </c>
      <c r="D24" s="258">
        <f>SUM(B24:C24)</f>
        <v>99289</v>
      </c>
      <c r="E24" s="259" t="s">
        <v>2360</v>
      </c>
    </row>
    <row r="25" spans="1:5" ht="20.100000000000001" customHeight="1" thickBot="1" x14ac:dyDescent="0.3">
      <c r="A25" s="500" t="s">
        <v>598</v>
      </c>
      <c r="B25" s="260">
        <f>SUM(B22:B24)</f>
        <v>0</v>
      </c>
      <c r="C25" s="260">
        <f>SUM(C22:C24)</f>
        <v>761036</v>
      </c>
      <c r="D25" s="260">
        <f>SUM(D22:D24)</f>
        <v>761036</v>
      </c>
      <c r="E25" s="261"/>
    </row>
    <row r="26" spans="1:5" x14ac:dyDescent="0.25">
      <c r="A26" s="262"/>
      <c r="B26" s="263"/>
      <c r="C26" s="263"/>
      <c r="D26" s="263"/>
      <c r="E26" s="264"/>
    </row>
    <row r="27" spans="1:5" ht="12.75" customHeight="1" x14ac:dyDescent="0.25">
      <c r="A27" s="262"/>
      <c r="B27" s="263"/>
      <c r="C27" s="263"/>
      <c r="D27" s="263"/>
      <c r="E27" s="264"/>
    </row>
    <row r="28" spans="1:5" x14ac:dyDescent="0.25">
      <c r="A28" s="265"/>
      <c r="B28" s="263"/>
      <c r="C28" s="263"/>
      <c r="D28" s="263"/>
      <c r="E28" s="264"/>
    </row>
    <row r="29" spans="1:5" x14ac:dyDescent="0.25">
      <c r="A29" s="262"/>
      <c r="B29" s="263"/>
      <c r="C29" s="263"/>
      <c r="D29" s="263"/>
      <c r="E29" s="264"/>
    </row>
    <row r="30" spans="1:5" x14ac:dyDescent="0.25">
      <c r="A30" s="266"/>
    </row>
    <row r="31" spans="1:5" x14ac:dyDescent="0.25">
      <c r="A31" s="266"/>
    </row>
    <row r="32" spans="1:5" x14ac:dyDescent="0.25">
      <c r="A32" s="266"/>
    </row>
    <row r="33" spans="1:1" x14ac:dyDescent="0.25">
      <c r="A33" s="266"/>
    </row>
    <row r="34" spans="1:1" x14ac:dyDescent="0.25">
      <c r="A34" s="266"/>
    </row>
    <row r="35" spans="1:1" x14ac:dyDescent="0.25">
      <c r="A35" s="266"/>
    </row>
  </sheetData>
  <mergeCells count="2">
    <mergeCell ref="A1:E1"/>
    <mergeCell ref="A20:E20"/>
  </mergeCells>
  <printOptions horizontalCentered="1"/>
  <pageMargins left="0.78740157480314965" right="0.62992125984251968" top="0.86614173228346458" bottom="0.31496062992125984" header="0.19685039370078741" footer="0.11811023622047245"/>
  <pageSetup paperSize="9" scale="78" orientation="portrait" r:id="rId1"/>
  <headerFooter alignWithMargins="0">
    <oddHeader>&amp;C&amp;"Times New Roman,Félkövér"Budapest VIII. kerületi Önkormányzat 
 2020. évi költségvetés működési cél és általános,
 és felhalmozási céltartalék  előirányzata&amp;R&amp;"Times New Roman,Félkövér dőlt"6. mell. a /2020. () 
önk.rendelethez
ezer forintban</oddHeader>
    <oddFooter>&amp;R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1168"/>
  <sheetViews>
    <sheetView zoomScaleNormal="100" workbookViewId="0">
      <pane xSplit="4" ySplit="1" topLeftCell="E12" activePane="bottomRight" state="frozen"/>
      <selection pane="topRight" activeCell="B1" sqref="B1"/>
      <selection pane="bottomLeft" activeCell="A3" sqref="A3"/>
      <selection pane="bottomRight" activeCell="I20" sqref="I20:I21"/>
    </sheetView>
  </sheetViews>
  <sheetFormatPr defaultRowHeight="13.2" x14ac:dyDescent="0.25"/>
  <cols>
    <col min="1" max="1" width="15.6640625" style="292" customWidth="1"/>
    <col min="2" max="2" width="12.6640625" style="292" customWidth="1"/>
    <col min="3" max="3" width="1" style="738" customWidth="1"/>
    <col min="4" max="4" width="50.6640625" style="20" customWidth="1"/>
    <col min="5" max="5" width="15.6640625" style="293" customWidth="1"/>
    <col min="6" max="6" width="15.6640625" style="294" customWidth="1"/>
    <col min="7" max="10" width="15.6640625" style="295" customWidth="1"/>
    <col min="11" max="11" width="16.33203125" style="288" customWidth="1"/>
    <col min="12" max="12" width="9.109375" style="288"/>
    <col min="13" max="241" width="9.109375" style="289"/>
    <col min="242" max="242" width="34.6640625" style="289" customWidth="1"/>
    <col min="243" max="266" width="12.6640625" style="289" customWidth="1"/>
    <col min="267" max="267" width="10.109375" style="289" bestFit="1" customWidth="1"/>
    <col min="268" max="497" width="9.109375" style="289"/>
    <col min="498" max="498" width="34.6640625" style="289" customWidth="1"/>
    <col min="499" max="522" width="12.6640625" style="289" customWidth="1"/>
    <col min="523" max="523" width="10.109375" style="289" bestFit="1" customWidth="1"/>
    <col min="524" max="753" width="9.109375" style="289"/>
    <col min="754" max="754" width="34.6640625" style="289" customWidth="1"/>
    <col min="755" max="778" width="12.6640625" style="289" customWidth="1"/>
    <col min="779" max="779" width="10.109375" style="289" bestFit="1" customWidth="1"/>
    <col min="780" max="1009" width="9.109375" style="289"/>
    <col min="1010" max="1010" width="34.6640625" style="289" customWidth="1"/>
    <col min="1011" max="1034" width="12.6640625" style="289" customWidth="1"/>
    <col min="1035" max="1035" width="10.109375" style="289" bestFit="1" customWidth="1"/>
    <col min="1036" max="1265" width="9.109375" style="289"/>
    <col min="1266" max="1266" width="34.6640625" style="289" customWidth="1"/>
    <col min="1267" max="1290" width="12.6640625" style="289" customWidth="1"/>
    <col min="1291" max="1291" width="10.109375" style="289" bestFit="1" customWidth="1"/>
    <col min="1292" max="1521" width="9.109375" style="289"/>
    <col min="1522" max="1522" width="34.6640625" style="289" customWidth="1"/>
    <col min="1523" max="1546" width="12.6640625" style="289" customWidth="1"/>
    <col min="1547" max="1547" width="10.109375" style="289" bestFit="1" customWidth="1"/>
    <col min="1548" max="1777" width="9.109375" style="289"/>
    <col min="1778" max="1778" width="34.6640625" style="289" customWidth="1"/>
    <col min="1779" max="1802" width="12.6640625" style="289" customWidth="1"/>
    <col min="1803" max="1803" width="10.109375" style="289" bestFit="1" customWidth="1"/>
    <col min="1804" max="2033" width="9.109375" style="289"/>
    <col min="2034" max="2034" width="34.6640625" style="289" customWidth="1"/>
    <col min="2035" max="2058" width="12.6640625" style="289" customWidth="1"/>
    <col min="2059" max="2059" width="10.109375" style="289" bestFit="1" customWidth="1"/>
    <col min="2060" max="2289" width="9.109375" style="289"/>
    <col min="2290" max="2290" width="34.6640625" style="289" customWidth="1"/>
    <col min="2291" max="2314" width="12.6640625" style="289" customWidth="1"/>
    <col min="2315" max="2315" width="10.109375" style="289" bestFit="1" customWidth="1"/>
    <col min="2316" max="2545" width="9.109375" style="289"/>
    <col min="2546" max="2546" width="34.6640625" style="289" customWidth="1"/>
    <col min="2547" max="2570" width="12.6640625" style="289" customWidth="1"/>
    <col min="2571" max="2571" width="10.109375" style="289" bestFit="1" customWidth="1"/>
    <col min="2572" max="2801" width="9.109375" style="289"/>
    <col min="2802" max="2802" width="34.6640625" style="289" customWidth="1"/>
    <col min="2803" max="2826" width="12.6640625" style="289" customWidth="1"/>
    <col min="2827" max="2827" width="10.109375" style="289" bestFit="1" customWidth="1"/>
    <col min="2828" max="3057" width="9.109375" style="289"/>
    <col min="3058" max="3058" width="34.6640625" style="289" customWidth="1"/>
    <col min="3059" max="3082" width="12.6640625" style="289" customWidth="1"/>
    <col min="3083" max="3083" width="10.109375" style="289" bestFit="1" customWidth="1"/>
    <col min="3084" max="3313" width="9.109375" style="289"/>
    <col min="3314" max="3314" width="34.6640625" style="289" customWidth="1"/>
    <col min="3315" max="3338" width="12.6640625" style="289" customWidth="1"/>
    <col min="3339" max="3339" width="10.109375" style="289" bestFit="1" customWidth="1"/>
    <col min="3340" max="3569" width="9.109375" style="289"/>
    <col min="3570" max="3570" width="34.6640625" style="289" customWidth="1"/>
    <col min="3571" max="3594" width="12.6640625" style="289" customWidth="1"/>
    <col min="3595" max="3595" width="10.109375" style="289" bestFit="1" customWidth="1"/>
    <col min="3596" max="3825" width="9.109375" style="289"/>
    <col min="3826" max="3826" width="34.6640625" style="289" customWidth="1"/>
    <col min="3827" max="3850" width="12.6640625" style="289" customWidth="1"/>
    <col min="3851" max="3851" width="10.109375" style="289" bestFit="1" customWidth="1"/>
    <col min="3852" max="4081" width="9.109375" style="289"/>
    <col min="4082" max="4082" width="34.6640625" style="289" customWidth="1"/>
    <col min="4083" max="4106" width="12.6640625" style="289" customWidth="1"/>
    <col min="4107" max="4107" width="10.109375" style="289" bestFit="1" customWidth="1"/>
    <col min="4108" max="4337" width="9.109375" style="289"/>
    <col min="4338" max="4338" width="34.6640625" style="289" customWidth="1"/>
    <col min="4339" max="4362" width="12.6640625" style="289" customWidth="1"/>
    <col min="4363" max="4363" width="10.109375" style="289" bestFit="1" customWidth="1"/>
    <col min="4364" max="4593" width="9.109375" style="289"/>
    <col min="4594" max="4594" width="34.6640625" style="289" customWidth="1"/>
    <col min="4595" max="4618" width="12.6640625" style="289" customWidth="1"/>
    <col min="4619" max="4619" width="10.109375" style="289" bestFit="1" customWidth="1"/>
    <col min="4620" max="4849" width="9.109375" style="289"/>
    <col min="4850" max="4850" width="34.6640625" style="289" customWidth="1"/>
    <col min="4851" max="4874" width="12.6640625" style="289" customWidth="1"/>
    <col min="4875" max="4875" width="10.109375" style="289" bestFit="1" customWidth="1"/>
    <col min="4876" max="5105" width="9.109375" style="289"/>
    <col min="5106" max="5106" width="34.6640625" style="289" customWidth="1"/>
    <col min="5107" max="5130" width="12.6640625" style="289" customWidth="1"/>
    <col min="5131" max="5131" width="10.109375" style="289" bestFit="1" customWidth="1"/>
    <col min="5132" max="5361" width="9.109375" style="289"/>
    <col min="5362" max="5362" width="34.6640625" style="289" customWidth="1"/>
    <col min="5363" max="5386" width="12.6640625" style="289" customWidth="1"/>
    <col min="5387" max="5387" width="10.109375" style="289" bestFit="1" customWidth="1"/>
    <col min="5388" max="5617" width="9.109375" style="289"/>
    <col min="5618" max="5618" width="34.6640625" style="289" customWidth="1"/>
    <col min="5619" max="5642" width="12.6640625" style="289" customWidth="1"/>
    <col min="5643" max="5643" width="10.109375" style="289" bestFit="1" customWidth="1"/>
    <col min="5644" max="5873" width="9.109375" style="289"/>
    <col min="5874" max="5874" width="34.6640625" style="289" customWidth="1"/>
    <col min="5875" max="5898" width="12.6640625" style="289" customWidth="1"/>
    <col min="5899" max="5899" width="10.109375" style="289" bestFit="1" customWidth="1"/>
    <col min="5900" max="6129" width="9.109375" style="289"/>
    <col min="6130" max="6130" width="34.6640625" style="289" customWidth="1"/>
    <col min="6131" max="6154" width="12.6640625" style="289" customWidth="1"/>
    <col min="6155" max="6155" width="10.109375" style="289" bestFit="1" customWidth="1"/>
    <col min="6156" max="6385" width="9.109375" style="289"/>
    <col min="6386" max="6386" width="34.6640625" style="289" customWidth="1"/>
    <col min="6387" max="6410" width="12.6640625" style="289" customWidth="1"/>
    <col min="6411" max="6411" width="10.109375" style="289" bestFit="1" customWidth="1"/>
    <col min="6412" max="6641" width="9.109375" style="289"/>
    <col min="6642" max="6642" width="34.6640625" style="289" customWidth="1"/>
    <col min="6643" max="6666" width="12.6640625" style="289" customWidth="1"/>
    <col min="6667" max="6667" width="10.109375" style="289" bestFit="1" customWidth="1"/>
    <col min="6668" max="6897" width="9.109375" style="289"/>
    <col min="6898" max="6898" width="34.6640625" style="289" customWidth="1"/>
    <col min="6899" max="6922" width="12.6640625" style="289" customWidth="1"/>
    <col min="6923" max="6923" width="10.109375" style="289" bestFit="1" customWidth="1"/>
    <col min="6924" max="7153" width="9.109375" style="289"/>
    <col min="7154" max="7154" width="34.6640625" style="289" customWidth="1"/>
    <col min="7155" max="7178" width="12.6640625" style="289" customWidth="1"/>
    <col min="7179" max="7179" width="10.109375" style="289" bestFit="1" customWidth="1"/>
    <col min="7180" max="7409" width="9.109375" style="289"/>
    <col min="7410" max="7410" width="34.6640625" style="289" customWidth="1"/>
    <col min="7411" max="7434" width="12.6640625" style="289" customWidth="1"/>
    <col min="7435" max="7435" width="10.109375" style="289" bestFit="1" customWidth="1"/>
    <col min="7436" max="7665" width="9.109375" style="289"/>
    <col min="7666" max="7666" width="34.6640625" style="289" customWidth="1"/>
    <col min="7667" max="7690" width="12.6640625" style="289" customWidth="1"/>
    <col min="7691" max="7691" width="10.109375" style="289" bestFit="1" customWidth="1"/>
    <col min="7692" max="7921" width="9.109375" style="289"/>
    <col min="7922" max="7922" width="34.6640625" style="289" customWidth="1"/>
    <col min="7923" max="7946" width="12.6640625" style="289" customWidth="1"/>
    <col min="7947" max="7947" width="10.109375" style="289" bestFit="1" customWidth="1"/>
    <col min="7948" max="8177" width="9.109375" style="289"/>
    <col min="8178" max="8178" width="34.6640625" style="289" customWidth="1"/>
    <col min="8179" max="8202" width="12.6640625" style="289" customWidth="1"/>
    <col min="8203" max="8203" width="10.109375" style="289" bestFit="1" customWidth="1"/>
    <col min="8204" max="8433" width="9.109375" style="289"/>
    <col min="8434" max="8434" width="34.6640625" style="289" customWidth="1"/>
    <col min="8435" max="8458" width="12.6640625" style="289" customWidth="1"/>
    <col min="8459" max="8459" width="10.109375" style="289" bestFit="1" customWidth="1"/>
    <col min="8460" max="8689" width="9.109375" style="289"/>
    <col min="8690" max="8690" width="34.6640625" style="289" customWidth="1"/>
    <col min="8691" max="8714" width="12.6640625" style="289" customWidth="1"/>
    <col min="8715" max="8715" width="10.109375" style="289" bestFit="1" customWidth="1"/>
    <col min="8716" max="8945" width="9.109375" style="289"/>
    <col min="8946" max="8946" width="34.6640625" style="289" customWidth="1"/>
    <col min="8947" max="8970" width="12.6640625" style="289" customWidth="1"/>
    <col min="8971" max="8971" width="10.109375" style="289" bestFit="1" customWidth="1"/>
    <col min="8972" max="9201" width="9.109375" style="289"/>
    <col min="9202" max="9202" width="34.6640625" style="289" customWidth="1"/>
    <col min="9203" max="9226" width="12.6640625" style="289" customWidth="1"/>
    <col min="9227" max="9227" width="10.109375" style="289" bestFit="1" customWidth="1"/>
    <col min="9228" max="9457" width="9.109375" style="289"/>
    <col min="9458" max="9458" width="34.6640625" style="289" customWidth="1"/>
    <col min="9459" max="9482" width="12.6640625" style="289" customWidth="1"/>
    <col min="9483" max="9483" width="10.109375" style="289" bestFit="1" customWidth="1"/>
    <col min="9484" max="9713" width="9.109375" style="289"/>
    <col min="9714" max="9714" width="34.6640625" style="289" customWidth="1"/>
    <col min="9715" max="9738" width="12.6640625" style="289" customWidth="1"/>
    <col min="9739" max="9739" width="10.109375" style="289" bestFit="1" customWidth="1"/>
    <col min="9740" max="9969" width="9.109375" style="289"/>
    <col min="9970" max="9970" width="34.6640625" style="289" customWidth="1"/>
    <col min="9971" max="9994" width="12.6640625" style="289" customWidth="1"/>
    <col min="9995" max="9995" width="10.109375" style="289" bestFit="1" customWidth="1"/>
    <col min="9996" max="10225" width="9.109375" style="289"/>
    <col min="10226" max="10226" width="34.6640625" style="289" customWidth="1"/>
    <col min="10227" max="10250" width="12.6640625" style="289" customWidth="1"/>
    <col min="10251" max="10251" width="10.109375" style="289" bestFit="1" customWidth="1"/>
    <col min="10252" max="10481" width="9.109375" style="289"/>
    <col min="10482" max="10482" width="34.6640625" style="289" customWidth="1"/>
    <col min="10483" max="10506" width="12.6640625" style="289" customWidth="1"/>
    <col min="10507" max="10507" width="10.109375" style="289" bestFit="1" customWidth="1"/>
    <col min="10508" max="10737" width="9.109375" style="289"/>
    <col min="10738" max="10738" width="34.6640625" style="289" customWidth="1"/>
    <col min="10739" max="10762" width="12.6640625" style="289" customWidth="1"/>
    <col min="10763" max="10763" width="10.109375" style="289" bestFit="1" customWidth="1"/>
    <col min="10764" max="10993" width="9.109375" style="289"/>
    <col min="10994" max="10994" width="34.6640625" style="289" customWidth="1"/>
    <col min="10995" max="11018" width="12.6640625" style="289" customWidth="1"/>
    <col min="11019" max="11019" width="10.109375" style="289" bestFit="1" customWidth="1"/>
    <col min="11020" max="11249" width="9.109375" style="289"/>
    <col min="11250" max="11250" width="34.6640625" style="289" customWidth="1"/>
    <col min="11251" max="11274" width="12.6640625" style="289" customWidth="1"/>
    <col min="11275" max="11275" width="10.109375" style="289" bestFit="1" customWidth="1"/>
    <col min="11276" max="11505" width="9.109375" style="289"/>
    <col min="11506" max="11506" width="34.6640625" style="289" customWidth="1"/>
    <col min="11507" max="11530" width="12.6640625" style="289" customWidth="1"/>
    <col min="11531" max="11531" width="10.109375" style="289" bestFit="1" customWidth="1"/>
    <col min="11532" max="11761" width="9.109375" style="289"/>
    <col min="11762" max="11762" width="34.6640625" style="289" customWidth="1"/>
    <col min="11763" max="11786" width="12.6640625" style="289" customWidth="1"/>
    <col min="11787" max="11787" width="10.109375" style="289" bestFit="1" customWidth="1"/>
    <col min="11788" max="12017" width="9.109375" style="289"/>
    <col min="12018" max="12018" width="34.6640625" style="289" customWidth="1"/>
    <col min="12019" max="12042" width="12.6640625" style="289" customWidth="1"/>
    <col min="12043" max="12043" width="10.109375" style="289" bestFit="1" customWidth="1"/>
    <col min="12044" max="12273" width="9.109375" style="289"/>
    <col min="12274" max="12274" width="34.6640625" style="289" customWidth="1"/>
    <col min="12275" max="12298" width="12.6640625" style="289" customWidth="1"/>
    <col min="12299" max="12299" width="10.109375" style="289" bestFit="1" customWidth="1"/>
    <col min="12300" max="12529" width="9.109375" style="289"/>
    <col min="12530" max="12530" width="34.6640625" style="289" customWidth="1"/>
    <col min="12531" max="12554" width="12.6640625" style="289" customWidth="1"/>
    <col min="12555" max="12555" width="10.109375" style="289" bestFit="1" customWidth="1"/>
    <col min="12556" max="12785" width="9.109375" style="289"/>
    <col min="12786" max="12786" width="34.6640625" style="289" customWidth="1"/>
    <col min="12787" max="12810" width="12.6640625" style="289" customWidth="1"/>
    <col min="12811" max="12811" width="10.109375" style="289" bestFit="1" customWidth="1"/>
    <col min="12812" max="13041" width="9.109375" style="289"/>
    <col min="13042" max="13042" width="34.6640625" style="289" customWidth="1"/>
    <col min="13043" max="13066" width="12.6640625" style="289" customWidth="1"/>
    <col min="13067" max="13067" width="10.109375" style="289" bestFit="1" customWidth="1"/>
    <col min="13068" max="13297" width="9.109375" style="289"/>
    <col min="13298" max="13298" width="34.6640625" style="289" customWidth="1"/>
    <col min="13299" max="13322" width="12.6640625" style="289" customWidth="1"/>
    <col min="13323" max="13323" width="10.109375" style="289" bestFit="1" customWidth="1"/>
    <col min="13324" max="13553" width="9.109375" style="289"/>
    <col min="13554" max="13554" width="34.6640625" style="289" customWidth="1"/>
    <col min="13555" max="13578" width="12.6640625" style="289" customWidth="1"/>
    <col min="13579" max="13579" width="10.109375" style="289" bestFit="1" customWidth="1"/>
    <col min="13580" max="13809" width="9.109375" style="289"/>
    <col min="13810" max="13810" width="34.6640625" style="289" customWidth="1"/>
    <col min="13811" max="13834" width="12.6640625" style="289" customWidth="1"/>
    <col min="13835" max="13835" width="10.109375" style="289" bestFit="1" customWidth="1"/>
    <col min="13836" max="14065" width="9.109375" style="289"/>
    <col min="14066" max="14066" width="34.6640625" style="289" customWidth="1"/>
    <col min="14067" max="14090" width="12.6640625" style="289" customWidth="1"/>
    <col min="14091" max="14091" width="10.109375" style="289" bestFit="1" customWidth="1"/>
    <col min="14092" max="14321" width="9.109375" style="289"/>
    <col min="14322" max="14322" width="34.6640625" style="289" customWidth="1"/>
    <col min="14323" max="14346" width="12.6640625" style="289" customWidth="1"/>
    <col min="14347" max="14347" width="10.109375" style="289" bestFit="1" customWidth="1"/>
    <col min="14348" max="14577" width="9.109375" style="289"/>
    <col min="14578" max="14578" width="34.6640625" style="289" customWidth="1"/>
    <col min="14579" max="14602" width="12.6640625" style="289" customWidth="1"/>
    <col min="14603" max="14603" width="10.109375" style="289" bestFit="1" customWidth="1"/>
    <col min="14604" max="14833" width="9.109375" style="289"/>
    <col min="14834" max="14834" width="34.6640625" style="289" customWidth="1"/>
    <col min="14835" max="14858" width="12.6640625" style="289" customWidth="1"/>
    <col min="14859" max="14859" width="10.109375" style="289" bestFit="1" customWidth="1"/>
    <col min="14860" max="15089" width="9.109375" style="289"/>
    <col min="15090" max="15090" width="34.6640625" style="289" customWidth="1"/>
    <col min="15091" max="15114" width="12.6640625" style="289" customWidth="1"/>
    <col min="15115" max="15115" width="10.109375" style="289" bestFit="1" customWidth="1"/>
    <col min="15116" max="15345" width="9.109375" style="289"/>
    <col min="15346" max="15346" width="34.6640625" style="289" customWidth="1"/>
    <col min="15347" max="15370" width="12.6640625" style="289" customWidth="1"/>
    <col min="15371" max="15371" width="10.109375" style="289" bestFit="1" customWidth="1"/>
    <col min="15372" max="15601" width="9.109375" style="289"/>
    <col min="15602" max="15602" width="34.6640625" style="289" customWidth="1"/>
    <col min="15603" max="15626" width="12.6640625" style="289" customWidth="1"/>
    <col min="15627" max="15627" width="10.109375" style="289" bestFit="1" customWidth="1"/>
    <col min="15628" max="15857" width="9.109375" style="289"/>
    <col min="15858" max="15858" width="34.6640625" style="289" customWidth="1"/>
    <col min="15859" max="15882" width="12.6640625" style="289" customWidth="1"/>
    <col min="15883" max="15883" width="10.109375" style="289" bestFit="1" customWidth="1"/>
    <col min="15884" max="16113" width="9.109375" style="289"/>
    <col min="16114" max="16114" width="34.6640625" style="289" customWidth="1"/>
    <col min="16115" max="16138" width="12.6640625" style="289" customWidth="1"/>
    <col min="16139" max="16139" width="10.109375" style="289" bestFit="1" customWidth="1"/>
    <col min="16140" max="16384" width="9.109375" style="289"/>
  </cols>
  <sheetData>
    <row r="1" spans="1:12" s="444" customFormat="1" ht="66.599999999999994" thickBot="1" x14ac:dyDescent="0.3">
      <c r="A1" s="270" t="s">
        <v>599</v>
      </c>
      <c r="B1" s="900" t="s">
        <v>0</v>
      </c>
      <c r="C1" s="2656" t="s">
        <v>600</v>
      </c>
      <c r="D1" s="2657"/>
      <c r="E1" s="191" t="s">
        <v>106</v>
      </c>
      <c r="F1" s="191" t="s">
        <v>601</v>
      </c>
      <c r="G1" s="191" t="s">
        <v>111</v>
      </c>
      <c r="H1" s="191" t="s">
        <v>113</v>
      </c>
      <c r="I1" s="191" t="s">
        <v>602</v>
      </c>
      <c r="J1" s="504" t="s">
        <v>903</v>
      </c>
      <c r="K1" s="272"/>
      <c r="L1" s="272"/>
    </row>
    <row r="2" spans="1:12" s="274" customFormat="1" ht="15" customHeight="1" x14ac:dyDescent="0.25">
      <c r="A2" s="744"/>
      <c r="B2" s="745"/>
      <c r="C2" s="2653" t="s">
        <v>603</v>
      </c>
      <c r="D2" s="2653"/>
      <c r="E2" s="788"/>
      <c r="F2" s="788"/>
      <c r="G2" s="788"/>
      <c r="H2" s="788"/>
      <c r="I2" s="780"/>
      <c r="J2" s="789"/>
      <c r="K2" s="273"/>
      <c r="L2" s="273"/>
    </row>
    <row r="3" spans="1:12" s="278" customFormat="1" ht="15" customHeight="1" x14ac:dyDescent="0.25">
      <c r="A3" s="14"/>
      <c r="B3" s="734">
        <v>11105</v>
      </c>
      <c r="C3" s="2658" t="s">
        <v>27</v>
      </c>
      <c r="D3" s="2659"/>
      <c r="E3" s="276"/>
      <c r="F3" s="276"/>
      <c r="G3" s="276"/>
      <c r="H3" s="276"/>
      <c r="I3" s="302"/>
      <c r="J3" s="505"/>
      <c r="K3" s="277"/>
      <c r="L3" s="277"/>
    </row>
    <row r="4" spans="1:12" s="278" customFormat="1" ht="15" customHeight="1" x14ac:dyDescent="0.25">
      <c r="A4" s="899" t="s">
        <v>605</v>
      </c>
      <c r="B4" s="734"/>
      <c r="C4" s="741"/>
      <c r="D4" s="739" t="s">
        <v>2122</v>
      </c>
      <c r="E4" s="276"/>
      <c r="F4" s="276"/>
      <c r="G4" s="276"/>
      <c r="H4" s="276"/>
      <c r="I4" s="302">
        <v>2000</v>
      </c>
      <c r="J4" s="505">
        <f t="shared" ref="J4:J86" si="0">E4+F4+G4+H4+I4</f>
        <v>2000</v>
      </c>
      <c r="K4" s="277"/>
      <c r="L4" s="277"/>
    </row>
    <row r="5" spans="1:12" s="278" customFormat="1" ht="15" customHeight="1" x14ac:dyDescent="0.25">
      <c r="A5" s="2446"/>
      <c r="B5" s="734">
        <v>11402</v>
      </c>
      <c r="C5" s="741"/>
      <c r="D5" s="2451" t="s">
        <v>2318</v>
      </c>
      <c r="E5" s="276"/>
      <c r="F5" s="276"/>
      <c r="G5" s="276"/>
      <c r="H5" s="276"/>
      <c r="I5" s="302"/>
      <c r="J5" s="505"/>
      <c r="K5" s="277"/>
      <c r="L5" s="277"/>
    </row>
    <row r="6" spans="1:12" s="278" customFormat="1" ht="15" customHeight="1" x14ac:dyDescent="0.25">
      <c r="A6" s="2446" t="s">
        <v>605</v>
      </c>
      <c r="B6" s="734"/>
      <c r="C6" s="741"/>
      <c r="D6" s="739" t="s">
        <v>2344</v>
      </c>
      <c r="E6" s="276">
        <v>300</v>
      </c>
      <c r="F6" s="276"/>
      <c r="G6" s="276"/>
      <c r="H6" s="276"/>
      <c r="I6" s="302"/>
      <c r="J6" s="505">
        <f t="shared" si="0"/>
        <v>300</v>
      </c>
      <c r="K6" s="277"/>
      <c r="L6" s="277"/>
    </row>
    <row r="7" spans="1:12" s="278" customFormat="1" ht="15" customHeight="1" x14ac:dyDescent="0.25">
      <c r="A7" s="2446" t="s">
        <v>605</v>
      </c>
      <c r="B7" s="734"/>
      <c r="C7" s="741"/>
      <c r="D7" s="739" t="s">
        <v>2293</v>
      </c>
      <c r="E7" s="276">
        <v>500</v>
      </c>
      <c r="F7" s="276"/>
      <c r="G7" s="276"/>
      <c r="H7" s="276"/>
      <c r="I7" s="302"/>
      <c r="J7" s="505">
        <f t="shared" si="0"/>
        <v>500</v>
      </c>
      <c r="K7" s="277"/>
      <c r="L7" s="277"/>
    </row>
    <row r="8" spans="1:12" s="278" customFormat="1" ht="15" customHeight="1" x14ac:dyDescent="0.25">
      <c r="A8" s="2446" t="s">
        <v>605</v>
      </c>
      <c r="B8" s="734"/>
      <c r="C8" s="741"/>
      <c r="D8" s="739" t="s">
        <v>2294</v>
      </c>
      <c r="E8" s="276">
        <v>1000</v>
      </c>
      <c r="F8" s="276"/>
      <c r="G8" s="276"/>
      <c r="H8" s="276"/>
      <c r="I8" s="302"/>
      <c r="J8" s="505">
        <f t="shared" si="0"/>
        <v>1000</v>
      </c>
      <c r="K8" s="277"/>
      <c r="L8" s="277"/>
    </row>
    <row r="9" spans="1:12" s="278" customFormat="1" ht="15" customHeight="1" x14ac:dyDescent="0.25">
      <c r="A9" s="2446"/>
      <c r="B9" s="734" t="s">
        <v>6</v>
      </c>
      <c r="C9" s="741"/>
      <c r="D9" s="2447" t="s">
        <v>2319</v>
      </c>
      <c r="E9" s="276"/>
      <c r="F9" s="276"/>
      <c r="G9" s="276"/>
      <c r="H9" s="276"/>
      <c r="I9" s="302"/>
      <c r="J9" s="505"/>
      <c r="K9" s="277"/>
      <c r="L9" s="277"/>
    </row>
    <row r="10" spans="1:12" s="278" customFormat="1" ht="15" customHeight="1" x14ac:dyDescent="0.25">
      <c r="A10" s="2446" t="s">
        <v>604</v>
      </c>
      <c r="B10" s="734"/>
      <c r="C10" s="741"/>
      <c r="D10" s="739" t="s">
        <v>1635</v>
      </c>
      <c r="E10" s="276">
        <v>8500</v>
      </c>
      <c r="F10" s="276"/>
      <c r="G10" s="276"/>
      <c r="H10" s="276"/>
      <c r="I10" s="302"/>
      <c r="J10" s="505">
        <f t="shared" si="0"/>
        <v>8500</v>
      </c>
      <c r="K10" s="277"/>
      <c r="L10" s="277"/>
    </row>
    <row r="11" spans="1:12" s="278" customFormat="1" ht="15" customHeight="1" x14ac:dyDescent="0.25">
      <c r="A11" s="2446" t="s">
        <v>604</v>
      </c>
      <c r="B11" s="734"/>
      <c r="C11" s="741"/>
      <c r="D11" s="739" t="s">
        <v>893</v>
      </c>
      <c r="E11" s="276">
        <v>10000</v>
      </c>
      <c r="F11" s="276"/>
      <c r="G11" s="276"/>
      <c r="H11" s="276"/>
      <c r="I11" s="302"/>
      <c r="J11" s="505">
        <f t="shared" si="0"/>
        <v>10000</v>
      </c>
      <c r="K11" s="277"/>
      <c r="L11" s="277"/>
    </row>
    <row r="12" spans="1:12" s="278" customFormat="1" ht="15" customHeight="1" x14ac:dyDescent="0.25">
      <c r="A12" s="899"/>
      <c r="B12" s="734">
        <v>11601</v>
      </c>
      <c r="C12" s="2658" t="s">
        <v>42</v>
      </c>
      <c r="D12" s="2659"/>
      <c r="E12" s="276"/>
      <c r="F12" s="276"/>
      <c r="G12" s="276"/>
      <c r="H12" s="276"/>
      <c r="I12" s="302"/>
      <c r="J12" s="505"/>
      <c r="K12" s="277"/>
      <c r="L12" s="277"/>
    </row>
    <row r="13" spans="1:12" s="278" customFormat="1" ht="15" customHeight="1" x14ac:dyDescent="0.25">
      <c r="A13" s="899" t="s">
        <v>604</v>
      </c>
      <c r="B13" s="734"/>
      <c r="C13" s="741"/>
      <c r="D13" s="739" t="s">
        <v>894</v>
      </c>
      <c r="E13" s="276">
        <f>'kiadás 11601'!D10</f>
        <v>0</v>
      </c>
      <c r="F13" s="276">
        <f>'kiadás 11601'!E10</f>
        <v>0</v>
      </c>
      <c r="G13" s="276">
        <v>0</v>
      </c>
      <c r="H13" s="276">
        <f>'kiadás 11601'!F10</f>
        <v>0</v>
      </c>
      <c r="I13" s="276">
        <f>'kiadás 11601'!G10</f>
        <v>0</v>
      </c>
      <c r="J13" s="505">
        <f t="shared" si="0"/>
        <v>0</v>
      </c>
      <c r="K13" s="277"/>
      <c r="L13" s="277"/>
    </row>
    <row r="14" spans="1:12" s="278" customFormat="1" ht="15" customHeight="1" x14ac:dyDescent="0.25">
      <c r="A14" s="899" t="s">
        <v>605</v>
      </c>
      <c r="B14" s="734"/>
      <c r="C14" s="741"/>
      <c r="D14" s="739" t="s">
        <v>894</v>
      </c>
      <c r="E14" s="276">
        <f>'kiadás 11601'!D31</f>
        <v>2354094</v>
      </c>
      <c r="F14" s="275">
        <f>'kiadás 11601'!E31</f>
        <v>59379</v>
      </c>
      <c r="G14" s="275">
        <v>0</v>
      </c>
      <c r="H14" s="275">
        <f>'kiadás 11601'!F31</f>
        <v>0</v>
      </c>
      <c r="I14" s="275">
        <f>'kiadás 11601'!G31</f>
        <v>0</v>
      </c>
      <c r="J14" s="505">
        <f t="shared" si="0"/>
        <v>2413473</v>
      </c>
      <c r="K14" s="277"/>
      <c r="L14" s="277"/>
    </row>
    <row r="15" spans="1:12" s="278" customFormat="1" ht="30" customHeight="1" x14ac:dyDescent="0.25">
      <c r="A15" s="2446"/>
      <c r="B15" s="734" t="s">
        <v>10</v>
      </c>
      <c r="C15" s="741"/>
      <c r="D15" s="2447" t="s">
        <v>240</v>
      </c>
      <c r="E15" s="302"/>
      <c r="F15" s="275"/>
      <c r="G15" s="275"/>
      <c r="H15" s="275"/>
      <c r="I15" s="275"/>
      <c r="J15" s="505"/>
      <c r="K15" s="277"/>
      <c r="L15" s="277"/>
    </row>
    <row r="16" spans="1:12" s="278" customFormat="1" ht="15" customHeight="1" x14ac:dyDescent="0.25">
      <c r="A16" s="2446" t="s">
        <v>605</v>
      </c>
      <c r="B16" s="734"/>
      <c r="C16" s="741"/>
      <c r="D16" s="739" t="s">
        <v>2320</v>
      </c>
      <c r="E16" s="276">
        <v>46000</v>
      </c>
      <c r="F16" s="275"/>
      <c r="G16" s="275"/>
      <c r="H16" s="275"/>
      <c r="I16" s="275"/>
      <c r="J16" s="505">
        <f t="shared" si="0"/>
        <v>46000</v>
      </c>
      <c r="K16" s="277"/>
      <c r="L16" s="277"/>
    </row>
    <row r="17" spans="1:12" s="278" customFormat="1" ht="15" customHeight="1" x14ac:dyDescent="0.25">
      <c r="A17" s="2446" t="s">
        <v>605</v>
      </c>
      <c r="B17" s="734"/>
      <c r="C17" s="741"/>
      <c r="D17" s="739" t="s">
        <v>2322</v>
      </c>
      <c r="E17" s="276"/>
      <c r="F17" s="275"/>
      <c r="G17" s="275"/>
      <c r="H17" s="275"/>
      <c r="I17" s="275">
        <v>4445</v>
      </c>
      <c r="J17" s="505">
        <f t="shared" si="0"/>
        <v>4445</v>
      </c>
      <c r="K17" s="277"/>
      <c r="L17" s="277"/>
    </row>
    <row r="18" spans="1:12" s="278" customFormat="1" ht="15" customHeight="1" x14ac:dyDescent="0.25">
      <c r="A18" s="2446" t="s">
        <v>605</v>
      </c>
      <c r="B18" s="734"/>
      <c r="C18" s="741"/>
      <c r="D18" s="739" t="s">
        <v>2323</v>
      </c>
      <c r="E18" s="276"/>
      <c r="F18" s="275"/>
      <c r="G18" s="275"/>
      <c r="H18" s="275"/>
      <c r="I18" s="275">
        <v>6580</v>
      </c>
      <c r="J18" s="505">
        <f t="shared" si="0"/>
        <v>6580</v>
      </c>
      <c r="K18" s="277"/>
      <c r="L18" s="277"/>
    </row>
    <row r="19" spans="1:12" s="278" customFormat="1" ht="30" customHeight="1" x14ac:dyDescent="0.25">
      <c r="A19" s="899"/>
      <c r="B19" s="734">
        <v>11602</v>
      </c>
      <c r="C19" s="2658" t="s">
        <v>287</v>
      </c>
      <c r="D19" s="2659"/>
      <c r="E19" s="276"/>
      <c r="F19" s="276"/>
      <c r="G19" s="276"/>
      <c r="H19" s="276"/>
      <c r="I19" s="302"/>
      <c r="J19" s="505">
        <f t="shared" si="0"/>
        <v>0</v>
      </c>
      <c r="K19" s="277"/>
      <c r="L19" s="277"/>
    </row>
    <row r="20" spans="1:12" s="278" customFormat="1" ht="15" customHeight="1" x14ac:dyDescent="0.25">
      <c r="A20" s="899" t="s">
        <v>604</v>
      </c>
      <c r="B20" s="734"/>
      <c r="C20" s="741"/>
      <c r="D20" s="739" t="s">
        <v>894</v>
      </c>
      <c r="E20" s="276">
        <f>kiadás11602!E24</f>
        <v>0</v>
      </c>
      <c r="F20" s="275">
        <f>kiadás11602!F24</f>
        <v>0</v>
      </c>
      <c r="G20" s="276">
        <v>0</v>
      </c>
      <c r="H20" s="276">
        <f>kiadás11602!G24</f>
        <v>15300</v>
      </c>
      <c r="I20" s="276">
        <f>kiadás11602!H24</f>
        <v>130000</v>
      </c>
      <c r="J20" s="505">
        <f t="shared" si="0"/>
        <v>145300</v>
      </c>
      <c r="K20" s="277"/>
      <c r="L20" s="277"/>
    </row>
    <row r="21" spans="1:12" s="278" customFormat="1" ht="15" customHeight="1" x14ac:dyDescent="0.25">
      <c r="A21" s="899" t="s">
        <v>605</v>
      </c>
      <c r="B21" s="734"/>
      <c r="C21" s="741"/>
      <c r="D21" s="739" t="s">
        <v>894</v>
      </c>
      <c r="E21" s="276">
        <f>kiadás11602!E39</f>
        <v>0</v>
      </c>
      <c r="F21" s="275">
        <f>kiadás11602!F39</f>
        <v>400000</v>
      </c>
      <c r="G21" s="276">
        <v>0</v>
      </c>
      <c r="H21" s="276">
        <f>kiadás11602!G39</f>
        <v>0</v>
      </c>
      <c r="I21" s="276">
        <f>kiadás11602!H39</f>
        <v>233005</v>
      </c>
      <c r="J21" s="505">
        <f t="shared" si="0"/>
        <v>633005</v>
      </c>
      <c r="K21" s="277"/>
      <c r="L21" s="277"/>
    </row>
    <row r="22" spans="1:12" s="278" customFormat="1" ht="15" customHeight="1" x14ac:dyDescent="0.25">
      <c r="A22" s="899"/>
      <c r="B22" s="734">
        <v>11603</v>
      </c>
      <c r="C22" s="2658" t="s">
        <v>47</v>
      </c>
      <c r="D22" s="2659"/>
      <c r="E22" s="276"/>
      <c r="F22" s="276"/>
      <c r="G22" s="276"/>
      <c r="H22" s="276"/>
      <c r="I22" s="302"/>
      <c r="J22" s="505"/>
      <c r="K22" s="277"/>
      <c r="L22" s="277"/>
    </row>
    <row r="23" spans="1:12" s="278" customFormat="1" ht="15" customHeight="1" x14ac:dyDescent="0.25">
      <c r="A23" s="899" t="s">
        <v>604</v>
      </c>
      <c r="B23" s="734"/>
      <c r="C23" s="741"/>
      <c r="D23" s="739" t="s">
        <v>894</v>
      </c>
      <c r="E23" s="276">
        <v>0</v>
      </c>
      <c r="F23" s="276">
        <v>0</v>
      </c>
      <c r="G23" s="276">
        <v>0</v>
      </c>
      <c r="H23" s="276">
        <v>0</v>
      </c>
      <c r="I23" s="302">
        <v>0</v>
      </c>
      <c r="J23" s="505">
        <f t="shared" si="0"/>
        <v>0</v>
      </c>
      <c r="K23" s="277"/>
      <c r="L23" s="277"/>
    </row>
    <row r="24" spans="1:12" s="278" customFormat="1" ht="15" customHeight="1" x14ac:dyDescent="0.25">
      <c r="A24" s="899" t="s">
        <v>605</v>
      </c>
      <c r="B24" s="734"/>
      <c r="C24" s="741"/>
      <c r="D24" s="739" t="s">
        <v>894</v>
      </c>
      <c r="E24" s="276">
        <f>'kiadás 11603'!D13</f>
        <v>0</v>
      </c>
      <c r="F24" s="275">
        <f>'kiadás 11603'!E13</f>
        <v>1296740</v>
      </c>
      <c r="G24" s="276">
        <v>0</v>
      </c>
      <c r="H24" s="724">
        <f>'kiadás 11603'!F13</f>
        <v>0</v>
      </c>
      <c r="I24" s="724">
        <f>'kiadás 11603'!G13</f>
        <v>0</v>
      </c>
      <c r="J24" s="505">
        <f t="shared" si="0"/>
        <v>1296740</v>
      </c>
      <c r="K24" s="277"/>
      <c r="L24" s="277"/>
    </row>
    <row r="25" spans="1:12" s="278" customFormat="1" ht="15" customHeight="1" x14ac:dyDescent="0.25">
      <c r="A25" s="899"/>
      <c r="B25" s="734">
        <v>11604</v>
      </c>
      <c r="C25" s="2658" t="s">
        <v>895</v>
      </c>
      <c r="D25" s="2659"/>
      <c r="E25" s="276"/>
      <c r="F25" s="276"/>
      <c r="G25" s="276"/>
      <c r="H25" s="276"/>
      <c r="I25" s="302"/>
      <c r="J25" s="505"/>
      <c r="K25" s="277"/>
      <c r="L25" s="277"/>
    </row>
    <row r="26" spans="1:12" s="278" customFormat="1" ht="15" customHeight="1" x14ac:dyDescent="0.25">
      <c r="A26" s="899" t="s">
        <v>604</v>
      </c>
      <c r="B26" s="734"/>
      <c r="C26" s="741"/>
      <c r="D26" s="739" t="s">
        <v>894</v>
      </c>
      <c r="E26" s="276">
        <v>0</v>
      </c>
      <c r="F26" s="276">
        <v>0</v>
      </c>
      <c r="G26" s="276">
        <v>0</v>
      </c>
      <c r="H26" s="276">
        <v>0</v>
      </c>
      <c r="I26" s="302">
        <v>0</v>
      </c>
      <c r="J26" s="505">
        <f t="shared" si="0"/>
        <v>0</v>
      </c>
      <c r="K26" s="277"/>
      <c r="L26" s="277"/>
    </row>
    <row r="27" spans="1:12" s="278" customFormat="1" ht="15" customHeight="1" x14ac:dyDescent="0.25">
      <c r="A27" s="899" t="s">
        <v>605</v>
      </c>
      <c r="B27" s="734"/>
      <c r="C27" s="741"/>
      <c r="D27" s="739" t="s">
        <v>894</v>
      </c>
      <c r="E27" s="276">
        <f>'kiadás 11604 '!G68</f>
        <v>0</v>
      </c>
      <c r="F27" s="276">
        <f>'kiadás 11604 '!H68</f>
        <v>48241</v>
      </c>
      <c r="G27" s="276">
        <v>0</v>
      </c>
      <c r="H27" s="276">
        <f>'kiadás 11604 '!I68</f>
        <v>0</v>
      </c>
      <c r="I27" s="302">
        <f>'kiadás 11604 '!J68</f>
        <v>0</v>
      </c>
      <c r="J27" s="505">
        <f t="shared" si="0"/>
        <v>48241</v>
      </c>
      <c r="K27" s="277"/>
      <c r="L27" s="277"/>
    </row>
    <row r="28" spans="1:12" s="278" customFormat="1" ht="15" customHeight="1" x14ac:dyDescent="0.25">
      <c r="A28" s="899"/>
      <c r="B28" s="734">
        <v>11605</v>
      </c>
      <c r="C28" s="2658" t="s">
        <v>49</v>
      </c>
      <c r="D28" s="2659"/>
      <c r="E28" s="276"/>
      <c r="F28" s="276"/>
      <c r="G28" s="276"/>
      <c r="H28" s="276"/>
      <c r="I28" s="302"/>
      <c r="J28" s="505"/>
      <c r="K28" s="277"/>
      <c r="L28" s="277"/>
    </row>
    <row r="29" spans="1:12" s="278" customFormat="1" ht="15" customHeight="1" x14ac:dyDescent="0.25">
      <c r="A29" s="899" t="s">
        <v>604</v>
      </c>
      <c r="B29" s="734"/>
      <c r="C29" s="741"/>
      <c r="D29" s="739" t="s">
        <v>894</v>
      </c>
      <c r="E29" s="276">
        <v>0</v>
      </c>
      <c r="F29" s="276">
        <v>0</v>
      </c>
      <c r="G29" s="276">
        <v>0</v>
      </c>
      <c r="H29" s="276">
        <v>0</v>
      </c>
      <c r="I29" s="302">
        <v>0</v>
      </c>
      <c r="J29" s="505">
        <f t="shared" si="0"/>
        <v>0</v>
      </c>
      <c r="K29" s="277"/>
      <c r="L29" s="277"/>
    </row>
    <row r="30" spans="1:12" s="278" customFormat="1" ht="15" customHeight="1" x14ac:dyDescent="0.25">
      <c r="A30" s="899" t="s">
        <v>605</v>
      </c>
      <c r="B30" s="734"/>
      <c r="C30" s="741"/>
      <c r="D30" s="739" t="s">
        <v>894</v>
      </c>
      <c r="E30" s="276">
        <f>kiadás11605projektek!G61</f>
        <v>0</v>
      </c>
      <c r="F30" s="275">
        <f>kiadás11605projektek!H61</f>
        <v>155239</v>
      </c>
      <c r="G30" s="276">
        <v>0</v>
      </c>
      <c r="H30" s="276">
        <v>0</v>
      </c>
      <c r="I30" s="302">
        <f>kiadás11605projektek!I61</f>
        <v>353724</v>
      </c>
      <c r="J30" s="505">
        <f t="shared" si="0"/>
        <v>508963</v>
      </c>
      <c r="K30" s="277"/>
      <c r="L30" s="277"/>
    </row>
    <row r="31" spans="1:12" s="278" customFormat="1" ht="15" customHeight="1" x14ac:dyDescent="0.25">
      <c r="A31" s="14"/>
      <c r="B31" s="734">
        <v>11703</v>
      </c>
      <c r="C31" s="2654" t="s">
        <v>231</v>
      </c>
      <c r="D31" s="2655"/>
      <c r="E31" s="276"/>
      <c r="F31" s="276"/>
      <c r="G31" s="276"/>
      <c r="H31" s="276"/>
      <c r="I31" s="302"/>
      <c r="J31" s="505"/>
      <c r="K31" s="277"/>
      <c r="L31" s="277"/>
    </row>
    <row r="32" spans="1:12" s="278" customFormat="1" ht="15" customHeight="1" x14ac:dyDescent="0.25">
      <c r="A32" s="899" t="s">
        <v>605</v>
      </c>
      <c r="B32" s="734"/>
      <c r="C32" s="741"/>
      <c r="D32" s="740" t="s">
        <v>2321</v>
      </c>
      <c r="E32" s="276">
        <v>200</v>
      </c>
      <c r="F32" s="276"/>
      <c r="G32" s="276"/>
      <c r="H32" s="276"/>
      <c r="I32" s="302"/>
      <c r="J32" s="505">
        <f t="shared" si="0"/>
        <v>200</v>
      </c>
      <c r="K32" s="277"/>
      <c r="L32" s="277"/>
    </row>
    <row r="33" spans="1:30" s="278" customFormat="1" ht="15" customHeight="1" x14ac:dyDescent="0.25">
      <c r="A33" s="899" t="s">
        <v>605</v>
      </c>
      <c r="B33" s="734"/>
      <c r="C33" s="741"/>
      <c r="D33" s="740" t="s">
        <v>896</v>
      </c>
      <c r="E33" s="276">
        <v>2000</v>
      </c>
      <c r="F33" s="276"/>
      <c r="G33" s="276"/>
      <c r="H33" s="276"/>
      <c r="I33" s="302"/>
      <c r="J33" s="505">
        <f t="shared" si="0"/>
        <v>2000</v>
      </c>
      <c r="K33" s="277"/>
      <c r="L33" s="277"/>
    </row>
    <row r="34" spans="1:30" s="278" customFormat="1" ht="15" customHeight="1" x14ac:dyDescent="0.25">
      <c r="A34" s="14"/>
      <c r="B34" s="734">
        <v>11705</v>
      </c>
      <c r="C34" s="2654" t="s">
        <v>288</v>
      </c>
      <c r="D34" s="2655"/>
      <c r="E34" s="276"/>
      <c r="F34" s="276"/>
      <c r="G34" s="276"/>
      <c r="H34" s="276"/>
      <c r="I34" s="302"/>
      <c r="J34" s="505"/>
      <c r="K34" s="277"/>
      <c r="L34" s="277"/>
    </row>
    <row r="35" spans="1:30" s="278" customFormat="1" ht="30" customHeight="1" x14ac:dyDescent="0.25">
      <c r="A35" s="899" t="s">
        <v>605</v>
      </c>
      <c r="B35" s="734"/>
      <c r="C35" s="741"/>
      <c r="D35" s="739" t="s">
        <v>897</v>
      </c>
      <c r="E35" s="276"/>
      <c r="F35" s="276"/>
      <c r="G35" s="276">
        <v>150000</v>
      </c>
      <c r="H35" s="276"/>
      <c r="I35" s="302">
        <v>150000</v>
      </c>
      <c r="J35" s="505">
        <f t="shared" si="0"/>
        <v>300000</v>
      </c>
      <c r="K35" s="277"/>
      <c r="L35" s="277"/>
    </row>
    <row r="36" spans="1:30" s="278" customFormat="1" ht="15" customHeight="1" x14ac:dyDescent="0.25">
      <c r="A36" s="14"/>
      <c r="B36" s="734">
        <v>11805</v>
      </c>
      <c r="C36" s="2654" t="s">
        <v>56</v>
      </c>
      <c r="D36" s="2655"/>
      <c r="E36" s="276"/>
      <c r="F36" s="276"/>
      <c r="G36" s="276"/>
      <c r="H36" s="276"/>
      <c r="I36" s="302"/>
      <c r="J36" s="505"/>
      <c r="K36" s="277"/>
      <c r="L36" s="277"/>
    </row>
    <row r="37" spans="1:30" s="278" customFormat="1" ht="15" customHeight="1" thickBot="1" x14ac:dyDescent="0.3">
      <c r="A37" s="899" t="s">
        <v>605</v>
      </c>
      <c r="B37" s="734"/>
      <c r="C37" s="741"/>
      <c r="D37" s="739" t="s">
        <v>2123</v>
      </c>
      <c r="E37" s="276"/>
      <c r="F37" s="276"/>
      <c r="G37" s="276"/>
      <c r="H37" s="276"/>
      <c r="I37" s="302"/>
      <c r="J37" s="505">
        <f t="shared" ref="J37" si="1">E37+F37+G37+H37+I37</f>
        <v>0</v>
      </c>
      <c r="K37" s="277"/>
      <c r="L37" s="277"/>
    </row>
    <row r="38" spans="1:30" s="282" customFormat="1" ht="15" customHeight="1" thickBot="1" x14ac:dyDescent="0.3">
      <c r="A38" s="279"/>
      <c r="B38" s="735"/>
      <c r="C38" s="2651" t="s">
        <v>606</v>
      </c>
      <c r="D38" s="2652"/>
      <c r="E38" s="508">
        <f t="shared" ref="E38:J38" si="2">SUM(E3:E37)</f>
        <v>2422594</v>
      </c>
      <c r="F38" s="508">
        <f t="shared" si="2"/>
        <v>1959599</v>
      </c>
      <c r="G38" s="508">
        <f t="shared" si="2"/>
        <v>150000</v>
      </c>
      <c r="H38" s="508">
        <f t="shared" si="2"/>
        <v>15300</v>
      </c>
      <c r="I38" s="508">
        <f t="shared" si="2"/>
        <v>879754</v>
      </c>
      <c r="J38" s="902">
        <f t="shared" si="2"/>
        <v>5427247</v>
      </c>
      <c r="K38" s="281"/>
      <c r="L38" s="281"/>
    </row>
    <row r="39" spans="1:30" s="282" customFormat="1" ht="15" customHeight="1" x14ac:dyDescent="0.25">
      <c r="A39" s="283"/>
      <c r="B39" s="743"/>
      <c r="C39" s="2653" t="s">
        <v>607</v>
      </c>
      <c r="D39" s="2653"/>
      <c r="E39" s="790"/>
      <c r="F39" s="790"/>
      <c r="G39" s="790"/>
      <c r="H39" s="790"/>
      <c r="I39" s="791"/>
      <c r="J39" s="792"/>
      <c r="K39" s="281"/>
      <c r="L39" s="281"/>
    </row>
    <row r="40" spans="1:30" s="287" customFormat="1" ht="15" customHeight="1" x14ac:dyDescent="0.25">
      <c r="A40" s="284"/>
      <c r="B40" s="736">
        <v>20000</v>
      </c>
      <c r="C40" s="2660" t="s">
        <v>164</v>
      </c>
      <c r="D40" s="2661"/>
      <c r="E40" s="285"/>
      <c r="F40" s="285"/>
      <c r="G40" s="285"/>
      <c r="H40" s="285"/>
      <c r="I40" s="509"/>
      <c r="J40" s="506"/>
      <c r="K40" s="286"/>
      <c r="L40" s="286"/>
    </row>
    <row r="41" spans="1:30" ht="15" customHeight="1" x14ac:dyDescent="0.25">
      <c r="A41" s="899"/>
      <c r="B41" s="734" t="s">
        <v>1182</v>
      </c>
      <c r="C41" s="2658" t="s">
        <v>60</v>
      </c>
      <c r="D41" s="2659"/>
      <c r="E41" s="276"/>
      <c r="F41" s="276"/>
      <c r="G41" s="276"/>
      <c r="H41" s="276"/>
      <c r="I41" s="302"/>
      <c r="J41" s="505"/>
    </row>
    <row r="42" spans="1:30" ht="15" customHeight="1" x14ac:dyDescent="0.25">
      <c r="A42" s="899" t="s">
        <v>604</v>
      </c>
      <c r="B42" s="734"/>
      <c r="C42" s="741"/>
      <c r="D42" s="739" t="s">
        <v>898</v>
      </c>
      <c r="E42" s="276">
        <v>7000</v>
      </c>
      <c r="F42" s="276"/>
      <c r="G42" s="276"/>
      <c r="H42" s="276"/>
      <c r="I42" s="302"/>
      <c r="J42" s="505">
        <f t="shared" si="0"/>
        <v>7000</v>
      </c>
    </row>
    <row r="43" spans="1:30" s="291" customFormat="1" ht="15" customHeight="1" x14ac:dyDescent="0.25">
      <c r="A43" s="899" t="s">
        <v>604</v>
      </c>
      <c r="B43" s="734"/>
      <c r="C43" s="741"/>
      <c r="D43" s="739" t="s">
        <v>899</v>
      </c>
      <c r="E43" s="276">
        <v>4000</v>
      </c>
      <c r="F43" s="276"/>
      <c r="G43" s="276"/>
      <c r="H43" s="276"/>
      <c r="I43" s="302"/>
      <c r="J43" s="505">
        <f t="shared" si="0"/>
        <v>4000</v>
      </c>
      <c r="K43" s="290"/>
      <c r="L43" s="290"/>
    </row>
    <row r="44" spans="1:30" s="291" customFormat="1" ht="15" customHeight="1" x14ac:dyDescent="0.25">
      <c r="A44" s="899" t="s">
        <v>604</v>
      </c>
      <c r="B44" s="734"/>
      <c r="C44" s="741"/>
      <c r="D44" s="739" t="s">
        <v>2283</v>
      </c>
      <c r="E44" s="276">
        <v>381</v>
      </c>
      <c r="F44" s="276"/>
      <c r="G44" s="276"/>
      <c r="H44" s="276"/>
      <c r="I44" s="302"/>
      <c r="J44" s="505">
        <f t="shared" si="0"/>
        <v>381</v>
      </c>
      <c r="K44" s="290"/>
      <c r="L44" s="290"/>
    </row>
    <row r="45" spans="1:30" s="291" customFormat="1" ht="15" customHeight="1" x14ac:dyDescent="0.25">
      <c r="A45" s="899" t="s">
        <v>604</v>
      </c>
      <c r="B45" s="734"/>
      <c r="C45" s="741"/>
      <c r="D45" s="739" t="s">
        <v>2284</v>
      </c>
      <c r="E45" s="276">
        <v>5000</v>
      </c>
      <c r="F45" s="276"/>
      <c r="G45" s="276"/>
      <c r="H45" s="276"/>
      <c r="I45" s="302"/>
      <c r="J45" s="505">
        <f t="shared" si="0"/>
        <v>5000</v>
      </c>
      <c r="K45" s="290"/>
      <c r="L45" s="290"/>
    </row>
    <row r="46" spans="1:30" ht="15" customHeight="1" x14ac:dyDescent="0.25">
      <c r="A46" s="899"/>
      <c r="B46" s="734" t="s">
        <v>1184</v>
      </c>
      <c r="C46" s="2660" t="s">
        <v>61</v>
      </c>
      <c r="D46" s="2661"/>
      <c r="E46" s="276"/>
      <c r="F46" s="276"/>
      <c r="G46" s="276"/>
      <c r="H46" s="276"/>
      <c r="I46" s="302"/>
      <c r="J46" s="505"/>
    </row>
    <row r="47" spans="1:30" s="288" customFormat="1" ht="15" customHeight="1" x14ac:dyDescent="0.25">
      <c r="A47" s="899" t="s">
        <v>604</v>
      </c>
      <c r="B47" s="734"/>
      <c r="C47" s="741"/>
      <c r="D47" s="895" t="s">
        <v>2324</v>
      </c>
      <c r="E47" s="276">
        <v>3000</v>
      </c>
      <c r="F47" s="276"/>
      <c r="G47" s="276"/>
      <c r="H47" s="276"/>
      <c r="I47" s="302"/>
      <c r="J47" s="505">
        <f t="shared" si="0"/>
        <v>3000</v>
      </c>
      <c r="M47" s="289"/>
      <c r="N47" s="289"/>
      <c r="O47" s="289"/>
      <c r="P47" s="289"/>
      <c r="Q47" s="289"/>
      <c r="R47" s="289"/>
      <c r="S47" s="289"/>
      <c r="T47" s="289"/>
      <c r="U47" s="289"/>
      <c r="V47" s="289"/>
      <c r="W47" s="289"/>
      <c r="X47" s="289"/>
      <c r="Y47" s="289"/>
      <c r="Z47" s="289"/>
      <c r="AA47" s="289"/>
      <c r="AB47" s="289"/>
      <c r="AC47" s="289"/>
      <c r="AD47" s="289"/>
    </row>
    <row r="48" spans="1:30" s="288" customFormat="1" ht="15" customHeight="1" x14ac:dyDescent="0.25">
      <c r="A48" s="899" t="s">
        <v>604</v>
      </c>
      <c r="B48" s="734"/>
      <c r="C48" s="741"/>
      <c r="D48" s="895" t="s">
        <v>990</v>
      </c>
      <c r="E48" s="276">
        <v>10000</v>
      </c>
      <c r="F48" s="276"/>
      <c r="G48" s="276"/>
      <c r="H48" s="276"/>
      <c r="I48" s="302"/>
      <c r="J48" s="505">
        <f t="shared" si="0"/>
        <v>10000</v>
      </c>
      <c r="M48" s="289"/>
      <c r="N48" s="289"/>
      <c r="O48" s="289"/>
      <c r="P48" s="289"/>
      <c r="Q48" s="289"/>
      <c r="R48" s="289"/>
      <c r="S48" s="289"/>
      <c r="T48" s="289"/>
      <c r="U48" s="289"/>
      <c r="V48" s="289"/>
      <c r="W48" s="289"/>
      <c r="X48" s="289"/>
      <c r="Y48" s="289"/>
      <c r="Z48" s="289"/>
      <c r="AA48" s="289"/>
      <c r="AB48" s="289"/>
      <c r="AC48" s="289"/>
      <c r="AD48" s="289"/>
    </row>
    <row r="49" spans="1:30" s="288" customFormat="1" ht="30" customHeight="1" x14ac:dyDescent="0.25">
      <c r="A49" s="899" t="s">
        <v>604</v>
      </c>
      <c r="B49" s="734"/>
      <c r="C49" s="741"/>
      <c r="D49" s="895" t="s">
        <v>991</v>
      </c>
      <c r="E49" s="276">
        <v>22000</v>
      </c>
      <c r="F49" s="276"/>
      <c r="G49" s="276"/>
      <c r="H49" s="276"/>
      <c r="I49" s="302"/>
      <c r="J49" s="505">
        <f t="shared" si="0"/>
        <v>22000</v>
      </c>
      <c r="M49" s="289"/>
      <c r="N49" s="289"/>
      <c r="O49" s="289"/>
      <c r="P49" s="289"/>
      <c r="Q49" s="289"/>
      <c r="R49" s="289"/>
      <c r="S49" s="289"/>
      <c r="T49" s="289"/>
      <c r="U49" s="289"/>
      <c r="V49" s="289"/>
      <c r="W49" s="289"/>
      <c r="X49" s="289"/>
      <c r="Y49" s="289"/>
      <c r="Z49" s="289"/>
      <c r="AA49" s="289"/>
      <c r="AB49" s="289"/>
      <c r="AC49" s="289"/>
      <c r="AD49" s="289"/>
    </row>
    <row r="50" spans="1:30" s="288" customFormat="1" ht="15" customHeight="1" x14ac:dyDescent="0.25">
      <c r="A50" s="899"/>
      <c r="B50" s="734">
        <v>20203</v>
      </c>
      <c r="C50" s="2660" t="s">
        <v>199</v>
      </c>
      <c r="D50" s="2661"/>
      <c r="E50" s="276"/>
      <c r="F50" s="276"/>
      <c r="G50" s="276"/>
      <c r="H50" s="276"/>
      <c r="I50" s="302"/>
      <c r="J50" s="505"/>
      <c r="M50" s="289"/>
      <c r="N50" s="289"/>
      <c r="O50" s="289"/>
      <c r="P50" s="289"/>
      <c r="Q50" s="289"/>
      <c r="R50" s="289"/>
      <c r="S50" s="289"/>
      <c r="T50" s="289"/>
      <c r="U50" s="289"/>
      <c r="V50" s="289"/>
      <c r="W50" s="289"/>
      <c r="X50" s="289"/>
      <c r="Y50" s="289"/>
      <c r="Z50" s="289"/>
      <c r="AA50" s="289"/>
      <c r="AB50" s="289"/>
      <c r="AC50" s="289"/>
      <c r="AD50" s="289"/>
    </row>
    <row r="51" spans="1:30" s="288" customFormat="1" ht="15" customHeight="1" x14ac:dyDescent="0.25">
      <c r="A51" s="899" t="s">
        <v>604</v>
      </c>
      <c r="B51" s="734"/>
      <c r="C51" s="741"/>
      <c r="D51" s="739" t="s">
        <v>900</v>
      </c>
      <c r="E51" s="276">
        <v>2540</v>
      </c>
      <c r="F51" s="276"/>
      <c r="G51" s="276"/>
      <c r="H51" s="276"/>
      <c r="I51" s="302"/>
      <c r="J51" s="505">
        <f t="shared" si="0"/>
        <v>2540</v>
      </c>
      <c r="M51" s="289"/>
      <c r="N51" s="289"/>
      <c r="O51" s="289"/>
      <c r="P51" s="289"/>
      <c r="Q51" s="289"/>
      <c r="R51" s="289"/>
      <c r="S51" s="289"/>
      <c r="T51" s="289"/>
      <c r="U51" s="289"/>
      <c r="V51" s="289"/>
      <c r="W51" s="289"/>
      <c r="X51" s="289"/>
      <c r="Y51" s="289"/>
      <c r="Z51" s="289"/>
      <c r="AA51" s="289"/>
      <c r="AB51" s="289"/>
      <c r="AC51" s="289"/>
      <c r="AD51" s="289"/>
    </row>
    <row r="52" spans="1:30" s="288" customFormat="1" ht="15" customHeight="1" x14ac:dyDescent="0.25">
      <c r="A52" s="899"/>
      <c r="B52" s="734">
        <v>40100</v>
      </c>
      <c r="C52" s="2660" t="s">
        <v>195</v>
      </c>
      <c r="D52" s="2661"/>
      <c r="E52" s="276"/>
      <c r="F52" s="276"/>
      <c r="G52" s="276"/>
      <c r="H52" s="276"/>
      <c r="I52" s="302"/>
      <c r="J52" s="505"/>
      <c r="M52" s="289"/>
      <c r="N52" s="289"/>
      <c r="O52" s="289"/>
      <c r="P52" s="289"/>
      <c r="Q52" s="289"/>
      <c r="R52" s="289"/>
      <c r="S52" s="289"/>
      <c r="T52" s="289"/>
      <c r="U52" s="289"/>
      <c r="V52" s="289"/>
      <c r="W52" s="289"/>
      <c r="X52" s="289"/>
      <c r="Y52" s="289"/>
      <c r="Z52" s="289"/>
      <c r="AA52" s="289"/>
      <c r="AB52" s="289"/>
      <c r="AC52" s="289"/>
      <c r="AD52" s="289"/>
    </row>
    <row r="53" spans="1:30" s="288" customFormat="1" ht="15" customHeight="1" x14ac:dyDescent="0.25">
      <c r="A53" s="2446"/>
      <c r="B53" s="734">
        <v>40101</v>
      </c>
      <c r="C53" s="2448"/>
      <c r="D53" s="2448" t="s">
        <v>2326</v>
      </c>
      <c r="E53" s="276"/>
      <c r="F53" s="276"/>
      <c r="G53" s="276"/>
      <c r="H53" s="276"/>
      <c r="I53" s="302"/>
      <c r="J53" s="505"/>
      <c r="M53" s="289"/>
      <c r="N53" s="289"/>
      <c r="O53" s="289"/>
      <c r="P53" s="289"/>
      <c r="Q53" s="289"/>
      <c r="R53" s="289"/>
      <c r="S53" s="289"/>
      <c r="T53" s="289"/>
      <c r="U53" s="289"/>
      <c r="V53" s="289"/>
      <c r="W53" s="289"/>
      <c r="X53" s="289"/>
      <c r="Y53" s="289"/>
      <c r="Z53" s="289"/>
      <c r="AA53" s="289"/>
      <c r="AB53" s="289"/>
      <c r="AC53" s="289"/>
      <c r="AD53" s="289"/>
    </row>
    <row r="54" spans="1:30" s="288" customFormat="1" ht="15" customHeight="1" x14ac:dyDescent="0.25">
      <c r="A54" s="899" t="s">
        <v>605</v>
      </c>
      <c r="B54" s="734"/>
      <c r="C54" s="741"/>
      <c r="D54" s="895" t="s">
        <v>899</v>
      </c>
      <c r="E54" s="276">
        <v>300</v>
      </c>
      <c r="F54" s="276"/>
      <c r="G54" s="276"/>
      <c r="H54" s="276"/>
      <c r="I54" s="302"/>
      <c r="J54" s="505">
        <f t="shared" si="0"/>
        <v>300</v>
      </c>
      <c r="M54" s="289"/>
      <c r="N54" s="289"/>
      <c r="O54" s="289"/>
      <c r="P54" s="289"/>
      <c r="Q54" s="289"/>
      <c r="R54" s="289"/>
      <c r="S54" s="289"/>
      <c r="T54" s="289"/>
      <c r="U54" s="289"/>
      <c r="V54" s="289"/>
      <c r="W54" s="289"/>
      <c r="X54" s="289"/>
      <c r="Y54" s="289"/>
      <c r="Z54" s="289"/>
      <c r="AA54" s="289"/>
      <c r="AB54" s="289"/>
      <c r="AC54" s="289"/>
      <c r="AD54" s="289"/>
    </row>
    <row r="55" spans="1:30" s="288" customFormat="1" ht="15" customHeight="1" x14ac:dyDescent="0.25">
      <c r="A55" s="899"/>
      <c r="B55" s="734" t="s">
        <v>14</v>
      </c>
      <c r="C55" s="741"/>
      <c r="D55" s="2448" t="s">
        <v>2327</v>
      </c>
      <c r="E55" s="276"/>
      <c r="F55" s="276"/>
      <c r="G55" s="276"/>
      <c r="H55" s="276"/>
      <c r="I55" s="302"/>
      <c r="J55" s="505"/>
      <c r="M55" s="289"/>
      <c r="N55" s="289"/>
      <c r="O55" s="289"/>
      <c r="P55" s="289"/>
      <c r="Q55" s="289"/>
      <c r="R55" s="289"/>
      <c r="S55" s="289"/>
      <c r="T55" s="289"/>
      <c r="U55" s="289"/>
      <c r="V55" s="289"/>
      <c r="W55" s="289"/>
      <c r="X55" s="289"/>
      <c r="Y55" s="289"/>
      <c r="Z55" s="289"/>
      <c r="AA55" s="289"/>
      <c r="AB55" s="289"/>
      <c r="AC55" s="289"/>
      <c r="AD55" s="289"/>
    </row>
    <row r="56" spans="1:30" s="288" customFormat="1" ht="15" customHeight="1" x14ac:dyDescent="0.25">
      <c r="A56" s="2446" t="s">
        <v>604</v>
      </c>
      <c r="B56" s="734"/>
      <c r="C56" s="741"/>
      <c r="D56" s="2445" t="s">
        <v>899</v>
      </c>
      <c r="E56" s="276">
        <v>450</v>
      </c>
      <c r="F56" s="276"/>
      <c r="G56" s="276"/>
      <c r="H56" s="276"/>
      <c r="I56" s="302"/>
      <c r="J56" s="505">
        <f t="shared" si="0"/>
        <v>450</v>
      </c>
      <c r="M56" s="289"/>
      <c r="N56" s="289"/>
      <c r="O56" s="289"/>
      <c r="P56" s="289"/>
      <c r="Q56" s="289"/>
      <c r="R56" s="289"/>
      <c r="S56" s="289"/>
      <c r="T56" s="289"/>
      <c r="U56" s="289"/>
      <c r="V56" s="289"/>
      <c r="W56" s="289"/>
      <c r="X56" s="289"/>
      <c r="Y56" s="289"/>
      <c r="Z56" s="289"/>
      <c r="AA56" s="289"/>
      <c r="AB56" s="289"/>
      <c r="AC56" s="289"/>
      <c r="AD56" s="289"/>
    </row>
    <row r="57" spans="1:30" s="288" customFormat="1" ht="15" customHeight="1" x14ac:dyDescent="0.25">
      <c r="A57" s="2446"/>
      <c r="B57" s="734" t="s">
        <v>15</v>
      </c>
      <c r="C57" s="741"/>
      <c r="D57" s="2448" t="s">
        <v>2328</v>
      </c>
      <c r="E57" s="276"/>
      <c r="F57" s="276"/>
      <c r="G57" s="276"/>
      <c r="H57" s="276"/>
      <c r="I57" s="302"/>
      <c r="J57" s="505"/>
      <c r="M57" s="289"/>
      <c r="N57" s="289"/>
      <c r="O57" s="289"/>
      <c r="P57" s="289"/>
      <c r="Q57" s="289"/>
      <c r="R57" s="289"/>
      <c r="S57" s="289"/>
      <c r="T57" s="289"/>
      <c r="U57" s="289"/>
      <c r="V57" s="289"/>
      <c r="W57" s="289"/>
      <c r="X57" s="289"/>
      <c r="Y57" s="289"/>
      <c r="Z57" s="289"/>
      <c r="AA57" s="289"/>
      <c r="AB57" s="289"/>
      <c r="AC57" s="289"/>
      <c r="AD57" s="289"/>
    </row>
    <row r="58" spans="1:30" s="288" customFormat="1" ht="15" customHeight="1" x14ac:dyDescent="0.25">
      <c r="A58" s="2446" t="s">
        <v>604</v>
      </c>
      <c r="B58" s="734"/>
      <c r="C58" s="741"/>
      <c r="D58" s="2445" t="s">
        <v>899</v>
      </c>
      <c r="E58" s="276">
        <v>450</v>
      </c>
      <c r="F58" s="276"/>
      <c r="G58" s="276"/>
      <c r="H58" s="276"/>
      <c r="I58" s="302"/>
      <c r="J58" s="505">
        <f t="shared" si="0"/>
        <v>450</v>
      </c>
      <c r="M58" s="289"/>
      <c r="N58" s="289"/>
      <c r="O58" s="289"/>
      <c r="P58" s="289"/>
      <c r="Q58" s="289"/>
      <c r="R58" s="289"/>
      <c r="S58" s="289"/>
      <c r="T58" s="289"/>
      <c r="U58" s="289"/>
      <c r="V58" s="289"/>
      <c r="W58" s="289"/>
      <c r="X58" s="289"/>
      <c r="Y58" s="289"/>
      <c r="Z58" s="289"/>
      <c r="AA58" s="289"/>
      <c r="AB58" s="289"/>
      <c r="AC58" s="289"/>
      <c r="AD58" s="289"/>
    </row>
    <row r="59" spans="1:30" s="288" customFormat="1" ht="15" customHeight="1" x14ac:dyDescent="0.25">
      <c r="A59" s="2446"/>
      <c r="B59" s="734" t="s">
        <v>16</v>
      </c>
      <c r="C59" s="741"/>
      <c r="D59" s="2448" t="s">
        <v>1194</v>
      </c>
      <c r="E59" s="276"/>
      <c r="F59" s="276"/>
      <c r="G59" s="276"/>
      <c r="H59" s="276"/>
      <c r="I59" s="302"/>
      <c r="J59" s="505"/>
      <c r="M59" s="289"/>
      <c r="N59" s="289"/>
      <c r="O59" s="289"/>
      <c r="P59" s="289"/>
      <c r="Q59" s="289"/>
      <c r="R59" s="289"/>
      <c r="S59" s="289"/>
      <c r="T59" s="289"/>
      <c r="U59" s="289"/>
      <c r="V59" s="289"/>
      <c r="W59" s="289"/>
      <c r="X59" s="289"/>
      <c r="Y59" s="289"/>
      <c r="Z59" s="289"/>
      <c r="AA59" s="289"/>
      <c r="AB59" s="289"/>
      <c r="AC59" s="289"/>
      <c r="AD59" s="289"/>
    </row>
    <row r="60" spans="1:30" s="288" customFormat="1" ht="15" customHeight="1" x14ac:dyDescent="0.25">
      <c r="A60" s="2446" t="s">
        <v>604</v>
      </c>
      <c r="B60" s="734"/>
      <c r="C60" s="741"/>
      <c r="D60" s="2445" t="s">
        <v>899</v>
      </c>
      <c r="E60" s="276">
        <v>400</v>
      </c>
      <c r="F60" s="276"/>
      <c r="G60" s="276"/>
      <c r="H60" s="276"/>
      <c r="I60" s="302"/>
      <c r="J60" s="505">
        <f t="shared" si="0"/>
        <v>400</v>
      </c>
      <c r="M60" s="289"/>
      <c r="N60" s="289"/>
      <c r="O60" s="289"/>
      <c r="P60" s="289"/>
      <c r="Q60" s="289"/>
      <c r="R60" s="289"/>
      <c r="S60" s="289"/>
      <c r="T60" s="289"/>
      <c r="U60" s="289"/>
      <c r="V60" s="289"/>
      <c r="W60" s="289"/>
      <c r="X60" s="289"/>
      <c r="Y60" s="289"/>
      <c r="Z60" s="289"/>
      <c r="AA60" s="289"/>
      <c r="AB60" s="289"/>
      <c r="AC60" s="289"/>
      <c r="AD60" s="289"/>
    </row>
    <row r="61" spans="1:30" s="288" customFormat="1" ht="15" customHeight="1" x14ac:dyDescent="0.25">
      <c r="A61" s="2450" t="s">
        <v>605</v>
      </c>
      <c r="B61" s="734"/>
      <c r="C61" s="741"/>
      <c r="D61" s="2449" t="s">
        <v>2333</v>
      </c>
      <c r="E61" s="276">
        <v>50000</v>
      </c>
      <c r="F61" s="276"/>
      <c r="G61" s="276"/>
      <c r="H61" s="276"/>
      <c r="I61" s="302"/>
      <c r="J61" s="505">
        <f t="shared" si="0"/>
        <v>50000</v>
      </c>
      <c r="M61" s="289"/>
      <c r="N61" s="289"/>
      <c r="O61" s="289"/>
      <c r="P61" s="289"/>
      <c r="Q61" s="289"/>
      <c r="R61" s="289"/>
      <c r="S61" s="289"/>
      <c r="T61" s="289"/>
      <c r="U61" s="289"/>
      <c r="V61" s="289"/>
      <c r="W61" s="289"/>
      <c r="X61" s="289"/>
      <c r="Y61" s="289"/>
      <c r="Z61" s="289"/>
      <c r="AA61" s="289"/>
      <c r="AB61" s="289"/>
      <c r="AC61" s="289"/>
      <c r="AD61" s="289"/>
    </row>
    <row r="62" spans="1:30" s="288" customFormat="1" ht="15" customHeight="1" x14ac:dyDescent="0.25">
      <c r="A62" s="2446"/>
      <c r="B62" s="734">
        <v>40103</v>
      </c>
      <c r="C62" s="741"/>
      <c r="D62" s="2448" t="s">
        <v>2329</v>
      </c>
      <c r="E62" s="276"/>
      <c r="F62" s="276"/>
      <c r="G62" s="276"/>
      <c r="H62" s="276"/>
      <c r="I62" s="302"/>
      <c r="J62" s="505"/>
      <c r="M62" s="289"/>
      <c r="N62" s="289"/>
      <c r="O62" s="289"/>
      <c r="P62" s="289"/>
      <c r="Q62" s="289"/>
      <c r="R62" s="289"/>
      <c r="S62" s="289"/>
      <c r="T62" s="289"/>
      <c r="U62" s="289"/>
      <c r="V62" s="289"/>
      <c r="W62" s="289"/>
      <c r="X62" s="289"/>
      <c r="Y62" s="289"/>
      <c r="Z62" s="289"/>
      <c r="AA62" s="289"/>
      <c r="AB62" s="289"/>
      <c r="AC62" s="289"/>
      <c r="AD62" s="289"/>
    </row>
    <row r="63" spans="1:30" s="288" customFormat="1" ht="15" customHeight="1" x14ac:dyDescent="0.25">
      <c r="A63" s="2446" t="s">
        <v>604</v>
      </c>
      <c r="B63" s="734"/>
      <c r="C63" s="741"/>
      <c r="D63" s="2445" t="s">
        <v>899</v>
      </c>
      <c r="E63" s="276">
        <v>500</v>
      </c>
      <c r="F63" s="276"/>
      <c r="G63" s="276"/>
      <c r="H63" s="276"/>
      <c r="I63" s="302"/>
      <c r="J63" s="505">
        <f t="shared" si="0"/>
        <v>500</v>
      </c>
      <c r="M63" s="289"/>
      <c r="N63" s="289"/>
      <c r="O63" s="289"/>
      <c r="P63" s="289"/>
      <c r="Q63" s="289"/>
      <c r="R63" s="289"/>
      <c r="S63" s="289"/>
      <c r="T63" s="289"/>
      <c r="U63" s="289"/>
      <c r="V63" s="289"/>
      <c r="W63" s="289"/>
      <c r="X63" s="289"/>
      <c r="Y63" s="289"/>
      <c r="Z63" s="289"/>
      <c r="AA63" s="289"/>
      <c r="AB63" s="289"/>
      <c r="AC63" s="289"/>
      <c r="AD63" s="289"/>
    </row>
    <row r="64" spans="1:30" s="288" customFormat="1" ht="15" customHeight="1" x14ac:dyDescent="0.25">
      <c r="A64" s="2446"/>
      <c r="B64" s="734" t="s">
        <v>17</v>
      </c>
      <c r="C64" s="741"/>
      <c r="D64" s="2448" t="s">
        <v>71</v>
      </c>
      <c r="E64" s="276"/>
      <c r="F64" s="276"/>
      <c r="G64" s="276"/>
      <c r="H64" s="276"/>
      <c r="I64" s="302"/>
      <c r="J64" s="505"/>
      <c r="M64" s="289"/>
      <c r="N64" s="289"/>
      <c r="O64" s="289"/>
      <c r="P64" s="289"/>
      <c r="Q64" s="289"/>
      <c r="R64" s="289"/>
      <c r="S64" s="289"/>
      <c r="T64" s="289"/>
      <c r="U64" s="289"/>
      <c r="V64" s="289"/>
      <c r="W64" s="289"/>
      <c r="X64" s="289"/>
      <c r="Y64" s="289"/>
      <c r="Z64" s="289"/>
      <c r="AA64" s="289"/>
      <c r="AB64" s="289"/>
      <c r="AC64" s="289"/>
      <c r="AD64" s="289"/>
    </row>
    <row r="65" spans="1:30" s="288" customFormat="1" ht="15" customHeight="1" x14ac:dyDescent="0.25">
      <c r="A65" s="2446" t="s">
        <v>604</v>
      </c>
      <c r="B65" s="734"/>
      <c r="C65" s="741"/>
      <c r="D65" s="2445" t="s">
        <v>2330</v>
      </c>
      <c r="E65" s="276">
        <v>200</v>
      </c>
      <c r="F65" s="276"/>
      <c r="G65" s="276"/>
      <c r="H65" s="276"/>
      <c r="I65" s="302"/>
      <c r="J65" s="505">
        <f t="shared" si="0"/>
        <v>200</v>
      </c>
      <c r="M65" s="289"/>
      <c r="N65" s="289"/>
      <c r="O65" s="289"/>
      <c r="P65" s="289"/>
      <c r="Q65" s="289"/>
      <c r="R65" s="289"/>
      <c r="S65" s="289"/>
      <c r="T65" s="289"/>
      <c r="U65" s="289"/>
      <c r="V65" s="289"/>
      <c r="W65" s="289"/>
      <c r="X65" s="289"/>
      <c r="Y65" s="289"/>
      <c r="Z65" s="289"/>
      <c r="AA65" s="289"/>
      <c r="AB65" s="289"/>
      <c r="AC65" s="289"/>
      <c r="AD65" s="289"/>
    </row>
    <row r="66" spans="1:30" s="288" customFormat="1" ht="15" customHeight="1" x14ac:dyDescent="0.25">
      <c r="A66" s="899"/>
      <c r="B66" s="734" t="s">
        <v>18</v>
      </c>
      <c r="C66" s="2660" t="s">
        <v>192</v>
      </c>
      <c r="D66" s="2661"/>
      <c r="E66" s="276"/>
      <c r="F66" s="276"/>
      <c r="G66" s="276"/>
      <c r="H66" s="276"/>
      <c r="I66" s="302"/>
      <c r="J66" s="505"/>
      <c r="M66" s="289"/>
      <c r="N66" s="289"/>
      <c r="O66" s="289"/>
      <c r="P66" s="289"/>
      <c r="Q66" s="289"/>
      <c r="R66" s="289"/>
      <c r="S66" s="289"/>
      <c r="T66" s="289"/>
      <c r="U66" s="289"/>
      <c r="V66" s="289"/>
      <c r="W66" s="289"/>
      <c r="X66" s="289"/>
      <c r="Y66" s="289"/>
      <c r="Z66" s="289"/>
      <c r="AA66" s="289"/>
      <c r="AB66" s="289"/>
      <c r="AC66" s="289"/>
      <c r="AD66" s="289"/>
    </row>
    <row r="67" spans="1:30" s="288" customFormat="1" ht="15" customHeight="1" x14ac:dyDescent="0.25">
      <c r="A67" s="899" t="s">
        <v>604</v>
      </c>
      <c r="B67" s="734"/>
      <c r="C67" s="741"/>
      <c r="D67" s="895" t="s">
        <v>899</v>
      </c>
      <c r="E67" s="276">
        <v>400</v>
      </c>
      <c r="F67" s="276"/>
      <c r="G67" s="276"/>
      <c r="H67" s="276"/>
      <c r="I67" s="302"/>
      <c r="J67" s="505">
        <f t="shared" si="0"/>
        <v>400</v>
      </c>
      <c r="M67" s="289"/>
      <c r="N67" s="289"/>
      <c r="O67" s="289"/>
      <c r="P67" s="289"/>
      <c r="Q67" s="289"/>
      <c r="R67" s="289"/>
      <c r="S67" s="289"/>
      <c r="T67" s="289"/>
      <c r="U67" s="289"/>
      <c r="V67" s="289"/>
      <c r="W67" s="289"/>
      <c r="X67" s="289"/>
      <c r="Y67" s="289"/>
      <c r="Z67" s="289"/>
      <c r="AA67" s="289"/>
      <c r="AB67" s="289"/>
      <c r="AC67" s="289"/>
      <c r="AD67" s="289"/>
    </row>
    <row r="68" spans="1:30" s="288" customFormat="1" ht="15" customHeight="1" x14ac:dyDescent="0.25">
      <c r="A68" s="899"/>
      <c r="B68" s="734">
        <v>40105</v>
      </c>
      <c r="C68" s="2660" t="s">
        <v>73</v>
      </c>
      <c r="D68" s="2661"/>
      <c r="E68" s="276"/>
      <c r="F68" s="276"/>
      <c r="G68" s="276"/>
      <c r="H68" s="276"/>
      <c r="I68" s="302"/>
      <c r="J68" s="505"/>
      <c r="M68" s="289"/>
      <c r="N68" s="289"/>
      <c r="O68" s="289"/>
      <c r="P68" s="289"/>
      <c r="Q68" s="289"/>
      <c r="R68" s="289"/>
      <c r="S68" s="289"/>
      <c r="T68" s="289"/>
      <c r="U68" s="289"/>
      <c r="V68" s="289"/>
      <c r="W68" s="289"/>
      <c r="X68" s="289"/>
      <c r="Y68" s="289"/>
      <c r="Z68" s="289"/>
      <c r="AA68" s="289"/>
      <c r="AB68" s="289"/>
      <c r="AC68" s="289"/>
      <c r="AD68" s="289"/>
    </row>
    <row r="69" spans="1:30" s="288" customFormat="1" ht="15" customHeight="1" x14ac:dyDescent="0.25">
      <c r="A69" s="899" t="s">
        <v>604</v>
      </c>
      <c r="B69" s="734"/>
      <c r="C69" s="741"/>
      <c r="D69" s="895" t="s">
        <v>899</v>
      </c>
      <c r="E69" s="276">
        <v>550</v>
      </c>
      <c r="F69" s="276"/>
      <c r="G69" s="276"/>
      <c r="H69" s="276"/>
      <c r="I69" s="302"/>
      <c r="J69" s="505">
        <f t="shared" si="0"/>
        <v>550</v>
      </c>
      <c r="M69" s="289"/>
      <c r="N69" s="289"/>
      <c r="O69" s="289"/>
      <c r="P69" s="289"/>
      <c r="Q69" s="289"/>
      <c r="R69" s="289"/>
      <c r="S69" s="289"/>
      <c r="T69" s="289"/>
      <c r="U69" s="289"/>
      <c r="V69" s="289"/>
      <c r="W69" s="289"/>
      <c r="X69" s="289"/>
      <c r="Y69" s="289"/>
      <c r="Z69" s="289"/>
      <c r="AA69" s="289"/>
      <c r="AB69" s="289"/>
      <c r="AC69" s="289"/>
      <c r="AD69" s="289"/>
    </row>
    <row r="70" spans="1:30" s="288" customFormat="1" ht="15" customHeight="1" x14ac:dyDescent="0.25">
      <c r="A70" s="2450" t="s">
        <v>604</v>
      </c>
      <c r="B70" s="734"/>
      <c r="C70" s="741"/>
      <c r="D70" s="2449" t="s">
        <v>2331</v>
      </c>
      <c r="E70" s="276"/>
      <c r="F70" s="276">
        <v>9000</v>
      </c>
      <c r="G70" s="276"/>
      <c r="H70" s="276"/>
      <c r="I70" s="302"/>
      <c r="J70" s="505">
        <f t="shared" si="0"/>
        <v>9000</v>
      </c>
      <c r="M70" s="289"/>
      <c r="N70" s="289"/>
      <c r="O70" s="289"/>
      <c r="P70" s="289"/>
      <c r="Q70" s="289"/>
      <c r="R70" s="289"/>
      <c r="S70" s="289"/>
      <c r="T70" s="289"/>
      <c r="U70" s="289"/>
      <c r="V70" s="289"/>
      <c r="W70" s="289"/>
      <c r="X70" s="289"/>
      <c r="Y70" s="289"/>
      <c r="Z70" s="289"/>
      <c r="AA70" s="289"/>
      <c r="AB70" s="289"/>
      <c r="AC70" s="289"/>
      <c r="AD70" s="289"/>
    </row>
    <row r="71" spans="1:30" s="288" customFormat="1" ht="15" customHeight="1" x14ac:dyDescent="0.25">
      <c r="A71" s="899"/>
      <c r="B71" s="734">
        <v>40106</v>
      </c>
      <c r="C71" s="2660" t="s">
        <v>74</v>
      </c>
      <c r="D71" s="2661"/>
      <c r="E71" s="276"/>
      <c r="F71" s="276"/>
      <c r="G71" s="276"/>
      <c r="H71" s="276"/>
      <c r="I71" s="302"/>
      <c r="J71" s="505"/>
      <c r="M71" s="289"/>
      <c r="N71" s="289"/>
      <c r="O71" s="289"/>
      <c r="P71" s="289"/>
      <c r="Q71" s="289"/>
      <c r="R71" s="289"/>
      <c r="S71" s="289"/>
      <c r="T71" s="289"/>
      <c r="U71" s="289"/>
      <c r="V71" s="289"/>
      <c r="W71" s="289"/>
      <c r="X71" s="289"/>
      <c r="Y71" s="289"/>
      <c r="Z71" s="289"/>
      <c r="AA71" s="289"/>
      <c r="AB71" s="289"/>
      <c r="AC71" s="289"/>
      <c r="AD71" s="289"/>
    </row>
    <row r="72" spans="1:30" s="288" customFormat="1" ht="15" customHeight="1" x14ac:dyDescent="0.25">
      <c r="A72" s="899" t="s">
        <v>604</v>
      </c>
      <c r="B72" s="734"/>
      <c r="C72" s="741"/>
      <c r="D72" s="895" t="s">
        <v>899</v>
      </c>
      <c r="E72" s="276">
        <v>500</v>
      </c>
      <c r="F72" s="276"/>
      <c r="G72" s="276"/>
      <c r="H72" s="276"/>
      <c r="I72" s="302"/>
      <c r="J72" s="505">
        <f t="shared" si="0"/>
        <v>500</v>
      </c>
      <c r="M72" s="289"/>
      <c r="N72" s="289"/>
      <c r="O72" s="289"/>
      <c r="P72" s="289"/>
      <c r="Q72" s="289"/>
      <c r="R72" s="289"/>
      <c r="S72" s="289"/>
      <c r="T72" s="289"/>
      <c r="U72" s="289"/>
      <c r="V72" s="289"/>
      <c r="W72" s="289"/>
      <c r="X72" s="289"/>
      <c r="Y72" s="289"/>
      <c r="Z72" s="289"/>
      <c r="AA72" s="289"/>
      <c r="AB72" s="289"/>
      <c r="AC72" s="289"/>
      <c r="AD72" s="289"/>
    </row>
    <row r="73" spans="1:30" s="288" customFormat="1" ht="15" customHeight="1" x14ac:dyDescent="0.25">
      <c r="A73" s="2450" t="s">
        <v>604</v>
      </c>
      <c r="B73" s="734"/>
      <c r="C73" s="741"/>
      <c r="D73" s="2449" t="s">
        <v>2332</v>
      </c>
      <c r="E73" s="276"/>
      <c r="F73" s="276">
        <v>2600</v>
      </c>
      <c r="G73" s="276"/>
      <c r="H73" s="276"/>
      <c r="I73" s="302"/>
      <c r="J73" s="505">
        <f t="shared" si="0"/>
        <v>2600</v>
      </c>
      <c r="M73" s="289"/>
      <c r="N73" s="289"/>
      <c r="O73" s="289"/>
      <c r="P73" s="289"/>
      <c r="Q73" s="289"/>
      <c r="R73" s="289"/>
      <c r="S73" s="289"/>
      <c r="T73" s="289"/>
      <c r="U73" s="289"/>
      <c r="V73" s="289"/>
      <c r="W73" s="289"/>
      <c r="X73" s="289"/>
      <c r="Y73" s="289"/>
      <c r="Z73" s="289"/>
      <c r="AA73" s="289"/>
      <c r="AB73" s="289"/>
      <c r="AC73" s="289"/>
      <c r="AD73" s="289"/>
    </row>
    <row r="74" spans="1:30" s="288" customFormat="1" ht="15" customHeight="1" x14ac:dyDescent="0.25">
      <c r="A74" s="2446"/>
      <c r="B74" s="734">
        <v>40107</v>
      </c>
      <c r="C74" s="741"/>
      <c r="D74" s="2448" t="s">
        <v>189</v>
      </c>
      <c r="E74" s="276"/>
      <c r="F74" s="276"/>
      <c r="G74" s="276"/>
      <c r="H74" s="276"/>
      <c r="I74" s="302"/>
      <c r="J74" s="505"/>
      <c r="M74" s="289"/>
      <c r="N74" s="289"/>
      <c r="O74" s="289"/>
      <c r="P74" s="289"/>
      <c r="Q74" s="289"/>
      <c r="R74" s="289"/>
      <c r="S74" s="289"/>
      <c r="T74" s="289"/>
      <c r="U74" s="289"/>
      <c r="V74" s="289"/>
      <c r="W74" s="289"/>
      <c r="X74" s="289"/>
      <c r="Y74" s="289"/>
      <c r="Z74" s="289"/>
      <c r="AA74" s="289"/>
      <c r="AB74" s="289"/>
      <c r="AC74" s="289"/>
      <c r="AD74" s="289"/>
    </row>
    <row r="75" spans="1:30" s="288" customFormat="1" ht="15" customHeight="1" x14ac:dyDescent="0.25">
      <c r="A75" s="2446" t="s">
        <v>605</v>
      </c>
      <c r="B75" s="734"/>
      <c r="C75" s="741"/>
      <c r="D75" s="2445" t="s">
        <v>2325</v>
      </c>
      <c r="E75" s="276">
        <v>100</v>
      </c>
      <c r="F75" s="276"/>
      <c r="G75" s="276"/>
      <c r="H75" s="276"/>
      <c r="I75" s="302"/>
      <c r="J75" s="505">
        <f t="shared" si="0"/>
        <v>100</v>
      </c>
      <c r="M75" s="289"/>
      <c r="N75" s="289"/>
      <c r="O75" s="289"/>
      <c r="P75" s="289"/>
      <c r="Q75" s="289"/>
      <c r="R75" s="289"/>
      <c r="S75" s="289"/>
      <c r="T75" s="289"/>
      <c r="U75" s="289"/>
      <c r="V75" s="289"/>
      <c r="W75" s="289"/>
      <c r="X75" s="289"/>
      <c r="Y75" s="289"/>
      <c r="Z75" s="289"/>
      <c r="AA75" s="289"/>
      <c r="AB75" s="289"/>
      <c r="AC75" s="289"/>
      <c r="AD75" s="289"/>
    </row>
    <row r="76" spans="1:30" s="288" customFormat="1" ht="15" customHeight="1" x14ac:dyDescent="0.25">
      <c r="A76" s="899"/>
      <c r="B76" s="734" t="s">
        <v>1206</v>
      </c>
      <c r="C76" s="2660" t="s">
        <v>76</v>
      </c>
      <c r="D76" s="2661"/>
      <c r="E76" s="276"/>
      <c r="F76" s="276"/>
      <c r="G76" s="276"/>
      <c r="H76" s="276"/>
      <c r="I76" s="302"/>
      <c r="J76" s="505"/>
      <c r="M76" s="289"/>
      <c r="N76" s="289"/>
      <c r="O76" s="289"/>
      <c r="P76" s="289"/>
      <c r="Q76" s="289"/>
      <c r="R76" s="289"/>
      <c r="S76" s="289"/>
      <c r="T76" s="289"/>
      <c r="U76" s="289"/>
      <c r="V76" s="289"/>
      <c r="W76" s="289"/>
      <c r="X76" s="289"/>
      <c r="Y76" s="289"/>
      <c r="Z76" s="289"/>
      <c r="AA76" s="289"/>
      <c r="AB76" s="289"/>
      <c r="AC76" s="289"/>
      <c r="AD76" s="289"/>
    </row>
    <row r="77" spans="1:30" s="288" customFormat="1" ht="15" customHeight="1" x14ac:dyDescent="0.25">
      <c r="A77" s="899" t="s">
        <v>604</v>
      </c>
      <c r="B77" s="734"/>
      <c r="C77" s="741"/>
      <c r="D77" s="895" t="s">
        <v>899</v>
      </c>
      <c r="E77" s="276">
        <v>450</v>
      </c>
      <c r="F77" s="276"/>
      <c r="G77" s="276"/>
      <c r="H77" s="276"/>
      <c r="I77" s="302"/>
      <c r="J77" s="505">
        <f t="shared" si="0"/>
        <v>450</v>
      </c>
      <c r="M77" s="289"/>
      <c r="N77" s="289"/>
      <c r="O77" s="289"/>
      <c r="P77" s="289"/>
      <c r="Q77" s="289"/>
      <c r="R77" s="289"/>
      <c r="S77" s="289"/>
      <c r="T77" s="289"/>
      <c r="U77" s="289"/>
      <c r="V77" s="289"/>
      <c r="W77" s="289"/>
      <c r="X77" s="289"/>
      <c r="Y77" s="289"/>
      <c r="Z77" s="289"/>
      <c r="AA77" s="289"/>
      <c r="AB77" s="289"/>
      <c r="AC77" s="289"/>
      <c r="AD77" s="289"/>
    </row>
    <row r="78" spans="1:30" s="288" customFormat="1" ht="15" customHeight="1" x14ac:dyDescent="0.25">
      <c r="A78" s="899"/>
      <c r="B78" s="734" t="s">
        <v>1208</v>
      </c>
      <c r="C78" s="2660" t="s">
        <v>485</v>
      </c>
      <c r="D78" s="2661"/>
      <c r="E78" s="276"/>
      <c r="F78" s="276"/>
      <c r="G78" s="276"/>
      <c r="H78" s="276"/>
      <c r="I78" s="302"/>
      <c r="J78" s="505"/>
      <c r="M78" s="289"/>
      <c r="N78" s="289"/>
      <c r="O78" s="289"/>
      <c r="P78" s="289"/>
      <c r="Q78" s="289"/>
      <c r="R78" s="289"/>
      <c r="S78" s="289"/>
      <c r="T78" s="289"/>
      <c r="U78" s="289"/>
      <c r="V78" s="289"/>
      <c r="W78" s="289"/>
      <c r="X78" s="289"/>
      <c r="Y78" s="289"/>
      <c r="Z78" s="289"/>
      <c r="AA78" s="289"/>
      <c r="AB78" s="289"/>
      <c r="AC78" s="289"/>
      <c r="AD78" s="289"/>
    </row>
    <row r="79" spans="1:30" s="288" customFormat="1" ht="15" customHeight="1" x14ac:dyDescent="0.25">
      <c r="A79" s="899" t="s">
        <v>604</v>
      </c>
      <c r="B79" s="734"/>
      <c r="C79" s="741"/>
      <c r="D79" s="895" t="s">
        <v>899</v>
      </c>
      <c r="E79" s="276">
        <v>300</v>
      </c>
      <c r="F79" s="276"/>
      <c r="G79" s="276"/>
      <c r="H79" s="276"/>
      <c r="I79" s="302"/>
      <c r="J79" s="505">
        <f t="shared" ref="J79" si="3">E79+F79+G79+H79+I79</f>
        <v>300</v>
      </c>
      <c r="M79" s="289"/>
      <c r="N79" s="289"/>
      <c r="O79" s="289"/>
      <c r="P79" s="289"/>
      <c r="Q79" s="289"/>
      <c r="R79" s="289"/>
      <c r="S79" s="289"/>
      <c r="T79" s="289"/>
      <c r="U79" s="289"/>
      <c r="V79" s="289"/>
      <c r="W79" s="289"/>
      <c r="X79" s="289"/>
      <c r="Y79" s="289"/>
      <c r="Z79" s="289"/>
      <c r="AA79" s="289"/>
      <c r="AB79" s="289"/>
      <c r="AC79" s="289"/>
      <c r="AD79" s="289"/>
    </row>
    <row r="80" spans="1:30" s="288" customFormat="1" ht="15" customHeight="1" x14ac:dyDescent="0.25">
      <c r="A80" s="2446"/>
      <c r="B80" s="734">
        <v>40109</v>
      </c>
      <c r="C80" s="741"/>
      <c r="D80" s="2448" t="s">
        <v>187</v>
      </c>
      <c r="E80" s="276"/>
      <c r="F80" s="276"/>
      <c r="G80" s="276"/>
      <c r="H80" s="276"/>
      <c r="I80" s="302"/>
      <c r="J80" s="505"/>
      <c r="M80" s="289"/>
      <c r="N80" s="289"/>
      <c r="O80" s="289"/>
      <c r="P80" s="289"/>
      <c r="Q80" s="289"/>
      <c r="R80" s="289"/>
      <c r="S80" s="289"/>
      <c r="T80" s="289"/>
      <c r="U80" s="289"/>
      <c r="V80" s="289"/>
      <c r="W80" s="289"/>
      <c r="X80" s="289"/>
      <c r="Y80" s="289"/>
      <c r="Z80" s="289"/>
      <c r="AA80" s="289"/>
      <c r="AB80" s="289"/>
      <c r="AC80" s="289"/>
      <c r="AD80" s="289"/>
    </row>
    <row r="81" spans="1:30" s="288" customFormat="1" ht="15" customHeight="1" x14ac:dyDescent="0.25">
      <c r="A81" s="2446" t="s">
        <v>604</v>
      </c>
      <c r="B81" s="734"/>
      <c r="C81" s="741"/>
      <c r="D81" s="2445" t="s">
        <v>2325</v>
      </c>
      <c r="E81" s="276">
        <v>400</v>
      </c>
      <c r="F81" s="276"/>
      <c r="G81" s="276"/>
      <c r="H81" s="276"/>
      <c r="I81" s="302"/>
      <c r="J81" s="505">
        <f t="shared" si="0"/>
        <v>400</v>
      </c>
      <c r="M81" s="289"/>
      <c r="N81" s="289"/>
      <c r="O81" s="289"/>
      <c r="P81" s="289"/>
      <c r="Q81" s="289"/>
      <c r="R81" s="289"/>
      <c r="S81" s="289"/>
      <c r="T81" s="289"/>
      <c r="U81" s="289"/>
      <c r="V81" s="289"/>
      <c r="W81" s="289"/>
      <c r="X81" s="289"/>
      <c r="Y81" s="289"/>
      <c r="Z81" s="289"/>
      <c r="AA81" s="289"/>
      <c r="AB81" s="289"/>
      <c r="AC81" s="289"/>
      <c r="AD81" s="289"/>
    </row>
    <row r="82" spans="1:30" s="288" customFormat="1" ht="15" customHeight="1" x14ac:dyDescent="0.25">
      <c r="A82" s="899"/>
      <c r="B82" s="734">
        <v>40200</v>
      </c>
      <c r="C82" s="2660" t="s">
        <v>901</v>
      </c>
      <c r="D82" s="2661"/>
      <c r="E82" s="276"/>
      <c r="F82" s="276"/>
      <c r="G82" s="276"/>
      <c r="H82" s="276"/>
      <c r="I82" s="302"/>
      <c r="J82" s="505"/>
      <c r="M82" s="289"/>
      <c r="N82" s="289"/>
      <c r="O82" s="289"/>
      <c r="P82" s="289"/>
      <c r="Q82" s="289"/>
      <c r="R82" s="289"/>
      <c r="S82" s="289"/>
      <c r="T82" s="289"/>
      <c r="U82" s="289"/>
      <c r="V82" s="289"/>
      <c r="W82" s="289"/>
      <c r="X82" s="289"/>
      <c r="Y82" s="289"/>
      <c r="Z82" s="289"/>
      <c r="AA82" s="289"/>
      <c r="AB82" s="289"/>
      <c r="AC82" s="289"/>
      <c r="AD82" s="289"/>
    </row>
    <row r="83" spans="1:30" s="288" customFormat="1" ht="15" customHeight="1" x14ac:dyDescent="0.25">
      <c r="A83" s="899" t="s">
        <v>604</v>
      </c>
      <c r="B83" s="734"/>
      <c r="C83" s="741"/>
      <c r="D83" s="896" t="s">
        <v>2325</v>
      </c>
      <c r="E83" s="276">
        <v>3526</v>
      </c>
      <c r="F83" s="276"/>
      <c r="G83" s="276"/>
      <c r="H83" s="276"/>
      <c r="I83" s="302"/>
      <c r="J83" s="505">
        <f t="shared" si="0"/>
        <v>3526</v>
      </c>
      <c r="M83" s="289"/>
      <c r="N83" s="289"/>
      <c r="O83" s="289"/>
      <c r="P83" s="289"/>
      <c r="Q83" s="289"/>
      <c r="R83" s="289"/>
      <c r="S83" s="289"/>
      <c r="T83" s="289"/>
      <c r="U83" s="289"/>
      <c r="V83" s="289"/>
      <c r="W83" s="289"/>
      <c r="X83" s="289"/>
      <c r="Y83" s="289"/>
      <c r="Z83" s="289"/>
      <c r="AA83" s="289"/>
      <c r="AB83" s="289"/>
      <c r="AC83" s="289"/>
      <c r="AD83" s="289"/>
    </row>
    <row r="84" spans="1:30" s="288" customFormat="1" ht="15" customHeight="1" x14ac:dyDescent="0.25">
      <c r="A84" s="899" t="s">
        <v>605</v>
      </c>
      <c r="B84" s="734"/>
      <c r="C84" s="741"/>
      <c r="D84" s="896" t="s">
        <v>2325</v>
      </c>
      <c r="E84" s="276">
        <v>1474</v>
      </c>
      <c r="F84" s="276"/>
      <c r="G84" s="276"/>
      <c r="H84" s="276"/>
      <c r="I84" s="302"/>
      <c r="J84" s="505">
        <f t="shared" si="0"/>
        <v>1474</v>
      </c>
      <c r="M84" s="289"/>
      <c r="N84" s="289"/>
      <c r="O84" s="289"/>
      <c r="P84" s="289"/>
      <c r="Q84" s="289"/>
      <c r="R84" s="289"/>
      <c r="S84" s="289"/>
      <c r="T84" s="289"/>
      <c r="U84" s="289"/>
      <c r="V84" s="289"/>
      <c r="W84" s="289"/>
      <c r="X84" s="289"/>
      <c r="Y84" s="289"/>
      <c r="Z84" s="289"/>
      <c r="AA84" s="289"/>
      <c r="AB84" s="289"/>
      <c r="AC84" s="289"/>
      <c r="AD84" s="289"/>
    </row>
    <row r="85" spans="1:30" ht="15" customHeight="1" x14ac:dyDescent="0.25">
      <c r="A85" s="899"/>
      <c r="B85" s="734">
        <v>70100</v>
      </c>
      <c r="C85" s="2660" t="s">
        <v>902</v>
      </c>
      <c r="D85" s="2661"/>
      <c r="E85" s="276"/>
      <c r="F85" s="276"/>
      <c r="G85" s="276"/>
      <c r="H85" s="276"/>
      <c r="I85" s="302"/>
      <c r="J85" s="505">
        <f t="shared" si="0"/>
        <v>0</v>
      </c>
    </row>
    <row r="86" spans="1:30" ht="15" customHeight="1" thickBot="1" x14ac:dyDescent="0.3">
      <c r="A86" s="898" t="s">
        <v>604</v>
      </c>
      <c r="B86" s="737"/>
      <c r="C86" s="742"/>
      <c r="D86" s="897" t="s">
        <v>2325</v>
      </c>
      <c r="E86" s="503">
        <v>5000</v>
      </c>
      <c r="F86" s="503"/>
      <c r="G86" s="503"/>
      <c r="H86" s="503"/>
      <c r="I86" s="314"/>
      <c r="J86" s="507">
        <f t="shared" si="0"/>
        <v>5000</v>
      </c>
    </row>
    <row r="87" spans="1:30" s="282" customFormat="1" ht="15" customHeight="1" thickBot="1" x14ac:dyDescent="0.3">
      <c r="A87" s="746"/>
      <c r="B87" s="747"/>
      <c r="C87" s="2651" t="s">
        <v>292</v>
      </c>
      <c r="D87" s="2662"/>
      <c r="E87" s="280">
        <f t="shared" ref="E87:J87" si="4">SUM(E42:E86)</f>
        <v>118921</v>
      </c>
      <c r="F87" s="280">
        <f t="shared" si="4"/>
        <v>11600</v>
      </c>
      <c r="G87" s="280">
        <f t="shared" si="4"/>
        <v>0</v>
      </c>
      <c r="H87" s="280">
        <f t="shared" si="4"/>
        <v>0</v>
      </c>
      <c r="I87" s="280">
        <f t="shared" si="4"/>
        <v>0</v>
      </c>
      <c r="J87" s="903">
        <f t="shared" si="4"/>
        <v>130521</v>
      </c>
      <c r="K87" s="281"/>
      <c r="L87" s="281"/>
    </row>
    <row r="88" spans="1:30" s="282" customFormat="1" ht="15" customHeight="1" thickBot="1" x14ac:dyDescent="0.3">
      <c r="A88" s="746"/>
      <c r="B88" s="747"/>
      <c r="C88" s="2651" t="s">
        <v>903</v>
      </c>
      <c r="D88" s="2662"/>
      <c r="E88" s="280">
        <f t="shared" ref="E88:J88" si="5">E87+E38</f>
        <v>2541515</v>
      </c>
      <c r="F88" s="280">
        <f t="shared" si="5"/>
        <v>1971199</v>
      </c>
      <c r="G88" s="280">
        <f t="shared" si="5"/>
        <v>150000</v>
      </c>
      <c r="H88" s="280">
        <f t="shared" si="5"/>
        <v>15300</v>
      </c>
      <c r="I88" s="280">
        <f t="shared" si="5"/>
        <v>879754</v>
      </c>
      <c r="J88" s="903">
        <f t="shared" si="5"/>
        <v>5557768</v>
      </c>
      <c r="K88" s="281"/>
      <c r="L88" s="281"/>
    </row>
    <row r="89" spans="1:30" x14ac:dyDescent="0.25">
      <c r="I89" s="294"/>
    </row>
    <row r="90" spans="1:30" x14ac:dyDescent="0.25">
      <c r="I90" s="294"/>
    </row>
    <row r="91" spans="1:30" ht="13.8" x14ac:dyDescent="0.25">
      <c r="D91" s="296"/>
      <c r="E91" s="297"/>
      <c r="I91" s="294"/>
    </row>
    <row r="92" spans="1:30" x14ac:dyDescent="0.25">
      <c r="D92" s="24"/>
      <c r="I92" s="294"/>
    </row>
    <row r="93" spans="1:30" x14ac:dyDescent="0.25">
      <c r="I93" s="294"/>
    </row>
    <row r="94" spans="1:30" x14ac:dyDescent="0.25">
      <c r="I94" s="294"/>
    </row>
    <row r="95" spans="1:30" x14ac:dyDescent="0.25">
      <c r="I95" s="294"/>
    </row>
    <row r="96" spans="1:30" x14ac:dyDescent="0.25">
      <c r="D96" s="298"/>
      <c r="E96" s="297"/>
      <c r="I96" s="294"/>
    </row>
    <row r="97" spans="4:12" ht="13.8" x14ac:dyDescent="0.25">
      <c r="D97" s="296"/>
      <c r="I97" s="294"/>
    </row>
    <row r="98" spans="4:12" x14ac:dyDescent="0.25">
      <c r="I98" s="294"/>
    </row>
    <row r="99" spans="4:12" x14ac:dyDescent="0.25">
      <c r="I99" s="294"/>
    </row>
    <row r="100" spans="4:12" x14ac:dyDescent="0.25">
      <c r="I100" s="294"/>
    </row>
    <row r="101" spans="4:12" x14ac:dyDescent="0.25">
      <c r="I101" s="294"/>
      <c r="L101" s="289"/>
    </row>
    <row r="102" spans="4:12" x14ac:dyDescent="0.25">
      <c r="I102" s="294"/>
      <c r="L102" s="289"/>
    </row>
    <row r="103" spans="4:12" x14ac:dyDescent="0.25">
      <c r="I103" s="294"/>
      <c r="L103" s="289"/>
    </row>
    <row r="104" spans="4:12" x14ac:dyDescent="0.25">
      <c r="I104" s="294"/>
      <c r="L104" s="289"/>
    </row>
    <row r="105" spans="4:12" x14ac:dyDescent="0.25">
      <c r="I105" s="294"/>
      <c r="L105" s="289"/>
    </row>
    <row r="106" spans="4:12" x14ac:dyDescent="0.25">
      <c r="I106" s="294"/>
      <c r="L106" s="289"/>
    </row>
    <row r="107" spans="4:12" x14ac:dyDescent="0.25">
      <c r="I107" s="294"/>
      <c r="L107" s="289"/>
    </row>
    <row r="108" spans="4:12" x14ac:dyDescent="0.25">
      <c r="I108" s="294"/>
      <c r="L108" s="289"/>
    </row>
    <row r="109" spans="4:12" x14ac:dyDescent="0.25">
      <c r="I109" s="294"/>
      <c r="L109" s="289"/>
    </row>
    <row r="110" spans="4:12" x14ac:dyDescent="0.25">
      <c r="I110" s="294"/>
      <c r="L110" s="289"/>
    </row>
    <row r="111" spans="4:12" x14ac:dyDescent="0.25">
      <c r="I111" s="294"/>
      <c r="L111" s="289"/>
    </row>
    <row r="112" spans="4:12" x14ac:dyDescent="0.25">
      <c r="I112" s="294"/>
      <c r="L112" s="289"/>
    </row>
    <row r="113" spans="9:12" x14ac:dyDescent="0.25">
      <c r="I113" s="294"/>
      <c r="L113" s="289"/>
    </row>
    <row r="114" spans="9:12" x14ac:dyDescent="0.25">
      <c r="I114" s="294"/>
      <c r="L114" s="289"/>
    </row>
    <row r="115" spans="9:12" x14ac:dyDescent="0.25">
      <c r="I115" s="294"/>
      <c r="L115" s="289"/>
    </row>
    <row r="116" spans="9:12" x14ac:dyDescent="0.25">
      <c r="I116" s="294"/>
      <c r="L116" s="289"/>
    </row>
    <row r="117" spans="9:12" x14ac:dyDescent="0.25">
      <c r="I117" s="294"/>
      <c r="L117" s="289"/>
    </row>
    <row r="118" spans="9:12" x14ac:dyDescent="0.25">
      <c r="I118" s="294"/>
      <c r="L118" s="289"/>
    </row>
    <row r="119" spans="9:12" x14ac:dyDescent="0.25">
      <c r="I119" s="294"/>
      <c r="L119" s="289"/>
    </row>
    <row r="120" spans="9:12" x14ac:dyDescent="0.25">
      <c r="I120" s="294"/>
      <c r="L120" s="289"/>
    </row>
    <row r="121" spans="9:12" x14ac:dyDescent="0.25">
      <c r="I121" s="294"/>
      <c r="L121" s="289"/>
    </row>
    <row r="122" spans="9:12" x14ac:dyDescent="0.25">
      <c r="I122" s="294"/>
      <c r="L122" s="289"/>
    </row>
    <row r="123" spans="9:12" x14ac:dyDescent="0.25">
      <c r="I123" s="294"/>
      <c r="L123" s="289"/>
    </row>
    <row r="124" spans="9:12" x14ac:dyDescent="0.25">
      <c r="I124" s="294"/>
      <c r="L124" s="289"/>
    </row>
    <row r="125" spans="9:12" x14ac:dyDescent="0.25">
      <c r="I125" s="294"/>
      <c r="L125" s="289"/>
    </row>
    <row r="126" spans="9:12" x14ac:dyDescent="0.25">
      <c r="I126" s="294"/>
      <c r="L126" s="289"/>
    </row>
    <row r="127" spans="9:12" x14ac:dyDescent="0.25">
      <c r="I127" s="294"/>
      <c r="L127" s="289"/>
    </row>
    <row r="128" spans="9:12" x14ac:dyDescent="0.25">
      <c r="I128" s="294"/>
      <c r="L128" s="289"/>
    </row>
    <row r="129" spans="9:12" x14ac:dyDescent="0.25">
      <c r="I129" s="294"/>
      <c r="L129" s="289"/>
    </row>
    <row r="130" spans="9:12" x14ac:dyDescent="0.25">
      <c r="I130" s="294"/>
      <c r="L130" s="289"/>
    </row>
    <row r="131" spans="9:12" x14ac:dyDescent="0.25">
      <c r="I131" s="294"/>
      <c r="L131" s="289"/>
    </row>
    <row r="132" spans="9:12" x14ac:dyDescent="0.25">
      <c r="I132" s="294"/>
      <c r="L132" s="289"/>
    </row>
    <row r="133" spans="9:12" x14ac:dyDescent="0.25">
      <c r="I133" s="294"/>
      <c r="L133" s="289"/>
    </row>
    <row r="134" spans="9:12" x14ac:dyDescent="0.25">
      <c r="I134" s="294"/>
      <c r="L134" s="289"/>
    </row>
    <row r="135" spans="9:12" x14ac:dyDescent="0.25">
      <c r="I135" s="294"/>
      <c r="L135" s="289"/>
    </row>
    <row r="136" spans="9:12" x14ac:dyDescent="0.25">
      <c r="I136" s="294"/>
      <c r="L136" s="289"/>
    </row>
    <row r="137" spans="9:12" x14ac:dyDescent="0.25">
      <c r="I137" s="294"/>
      <c r="L137" s="289"/>
    </row>
    <row r="138" spans="9:12" x14ac:dyDescent="0.25">
      <c r="I138" s="294"/>
      <c r="L138" s="289"/>
    </row>
    <row r="139" spans="9:12" x14ac:dyDescent="0.25">
      <c r="I139" s="294"/>
      <c r="L139" s="289"/>
    </row>
    <row r="140" spans="9:12" x14ac:dyDescent="0.25">
      <c r="I140" s="294"/>
      <c r="L140" s="289"/>
    </row>
    <row r="141" spans="9:12" x14ac:dyDescent="0.25">
      <c r="I141" s="294"/>
      <c r="L141" s="289"/>
    </row>
    <row r="142" spans="9:12" x14ac:dyDescent="0.25">
      <c r="I142" s="294"/>
      <c r="L142" s="289"/>
    </row>
    <row r="143" spans="9:12" x14ac:dyDescent="0.25">
      <c r="I143" s="294"/>
      <c r="L143" s="289"/>
    </row>
    <row r="144" spans="9:12" x14ac:dyDescent="0.25">
      <c r="I144" s="294"/>
      <c r="L144" s="289"/>
    </row>
    <row r="145" spans="9:12" x14ac:dyDescent="0.25">
      <c r="I145" s="294"/>
      <c r="L145" s="289"/>
    </row>
    <row r="146" spans="9:12" x14ac:dyDescent="0.25">
      <c r="I146" s="294"/>
      <c r="L146" s="289"/>
    </row>
    <row r="147" spans="9:12" x14ac:dyDescent="0.25">
      <c r="I147" s="294"/>
      <c r="L147" s="289"/>
    </row>
    <row r="148" spans="9:12" x14ac:dyDescent="0.25">
      <c r="I148" s="294"/>
      <c r="L148" s="289"/>
    </row>
    <row r="149" spans="9:12" x14ac:dyDescent="0.25">
      <c r="I149" s="294"/>
      <c r="L149" s="289"/>
    </row>
    <row r="150" spans="9:12" x14ac:dyDescent="0.25">
      <c r="I150" s="294"/>
      <c r="L150" s="289"/>
    </row>
    <row r="151" spans="9:12" x14ac:dyDescent="0.25">
      <c r="I151" s="294"/>
      <c r="L151" s="289"/>
    </row>
    <row r="152" spans="9:12" x14ac:dyDescent="0.25">
      <c r="I152" s="294"/>
      <c r="L152" s="289"/>
    </row>
    <row r="153" spans="9:12" x14ac:dyDescent="0.25">
      <c r="I153" s="294"/>
      <c r="L153" s="289"/>
    </row>
    <row r="154" spans="9:12" x14ac:dyDescent="0.25">
      <c r="I154" s="294"/>
      <c r="L154" s="289"/>
    </row>
    <row r="155" spans="9:12" x14ac:dyDescent="0.25">
      <c r="I155" s="294"/>
      <c r="L155" s="289"/>
    </row>
    <row r="156" spans="9:12" x14ac:dyDescent="0.25">
      <c r="I156" s="294"/>
      <c r="L156" s="289"/>
    </row>
    <row r="157" spans="9:12" x14ac:dyDescent="0.25">
      <c r="I157" s="294"/>
      <c r="L157" s="289"/>
    </row>
    <row r="158" spans="9:12" x14ac:dyDescent="0.25">
      <c r="I158" s="294"/>
      <c r="L158" s="289"/>
    </row>
    <row r="159" spans="9:12" x14ac:dyDescent="0.25">
      <c r="I159" s="294"/>
      <c r="L159" s="289"/>
    </row>
    <row r="160" spans="9:12" x14ac:dyDescent="0.25">
      <c r="I160" s="294"/>
      <c r="L160" s="289"/>
    </row>
    <row r="161" spans="9:12" x14ac:dyDescent="0.25">
      <c r="I161" s="294"/>
      <c r="L161" s="289"/>
    </row>
    <row r="162" spans="9:12" x14ac:dyDescent="0.25">
      <c r="I162" s="294"/>
      <c r="L162" s="289"/>
    </row>
    <row r="163" spans="9:12" x14ac:dyDescent="0.25">
      <c r="I163" s="294"/>
      <c r="L163" s="289"/>
    </row>
    <row r="164" spans="9:12" x14ac:dyDescent="0.25">
      <c r="I164" s="294"/>
      <c r="L164" s="289"/>
    </row>
    <row r="165" spans="9:12" x14ac:dyDescent="0.25">
      <c r="I165" s="294"/>
      <c r="L165" s="289"/>
    </row>
    <row r="166" spans="9:12" x14ac:dyDescent="0.25">
      <c r="I166" s="294"/>
      <c r="L166" s="289"/>
    </row>
    <row r="167" spans="9:12" x14ac:dyDescent="0.25">
      <c r="I167" s="294"/>
      <c r="L167" s="289"/>
    </row>
    <row r="168" spans="9:12" x14ac:dyDescent="0.25">
      <c r="I168" s="294"/>
      <c r="L168" s="289"/>
    </row>
    <row r="169" spans="9:12" x14ac:dyDescent="0.25">
      <c r="I169" s="294"/>
      <c r="L169" s="289"/>
    </row>
    <row r="170" spans="9:12" x14ac:dyDescent="0.25">
      <c r="I170" s="294"/>
      <c r="L170" s="289"/>
    </row>
    <row r="171" spans="9:12" x14ac:dyDescent="0.25">
      <c r="I171" s="294"/>
      <c r="L171" s="289"/>
    </row>
    <row r="172" spans="9:12" x14ac:dyDescent="0.25">
      <c r="I172" s="294"/>
      <c r="L172" s="289"/>
    </row>
    <row r="173" spans="9:12" x14ac:dyDescent="0.25">
      <c r="I173" s="294"/>
      <c r="L173" s="289"/>
    </row>
    <row r="174" spans="9:12" x14ac:dyDescent="0.25">
      <c r="I174" s="294"/>
      <c r="L174" s="289"/>
    </row>
    <row r="175" spans="9:12" x14ac:dyDescent="0.25">
      <c r="I175" s="294"/>
      <c r="L175" s="289"/>
    </row>
    <row r="176" spans="9:12" x14ac:dyDescent="0.25">
      <c r="I176" s="294"/>
      <c r="L176" s="289"/>
    </row>
    <row r="177" spans="9:12" x14ac:dyDescent="0.25">
      <c r="I177" s="294"/>
      <c r="L177" s="289"/>
    </row>
    <row r="178" spans="9:12" x14ac:dyDescent="0.25">
      <c r="I178" s="294"/>
      <c r="L178" s="289"/>
    </row>
    <row r="179" spans="9:12" x14ac:dyDescent="0.25">
      <c r="I179" s="294"/>
      <c r="L179" s="289"/>
    </row>
    <row r="180" spans="9:12" x14ac:dyDescent="0.25">
      <c r="I180" s="294"/>
      <c r="L180" s="289"/>
    </row>
    <row r="181" spans="9:12" x14ac:dyDescent="0.25">
      <c r="I181" s="294"/>
      <c r="L181" s="289"/>
    </row>
    <row r="182" spans="9:12" x14ac:dyDescent="0.25">
      <c r="I182" s="294"/>
      <c r="L182" s="289"/>
    </row>
    <row r="183" spans="9:12" x14ac:dyDescent="0.25">
      <c r="I183" s="294"/>
      <c r="L183" s="289"/>
    </row>
    <row r="184" spans="9:12" x14ac:dyDescent="0.25">
      <c r="I184" s="294"/>
      <c r="L184" s="289"/>
    </row>
    <row r="185" spans="9:12" x14ac:dyDescent="0.25">
      <c r="I185" s="294"/>
      <c r="L185" s="289"/>
    </row>
    <row r="186" spans="9:12" x14ac:dyDescent="0.25">
      <c r="I186" s="294"/>
      <c r="L186" s="289"/>
    </row>
    <row r="187" spans="9:12" x14ac:dyDescent="0.25">
      <c r="I187" s="294"/>
      <c r="L187" s="289"/>
    </row>
    <row r="188" spans="9:12" x14ac:dyDescent="0.25">
      <c r="I188" s="294"/>
      <c r="L188" s="289"/>
    </row>
    <row r="189" spans="9:12" x14ac:dyDescent="0.25">
      <c r="I189" s="294"/>
      <c r="L189" s="289"/>
    </row>
    <row r="190" spans="9:12" x14ac:dyDescent="0.25">
      <c r="I190" s="294"/>
      <c r="L190" s="289"/>
    </row>
    <row r="191" spans="9:12" x14ac:dyDescent="0.25">
      <c r="I191" s="294"/>
      <c r="L191" s="289"/>
    </row>
    <row r="192" spans="9:12" x14ac:dyDescent="0.25">
      <c r="I192" s="294"/>
      <c r="L192" s="289"/>
    </row>
    <row r="193" spans="9:12" x14ac:dyDescent="0.25">
      <c r="I193" s="294"/>
      <c r="L193" s="289"/>
    </row>
    <row r="194" spans="9:12" x14ac:dyDescent="0.25">
      <c r="I194" s="294"/>
      <c r="L194" s="289"/>
    </row>
    <row r="195" spans="9:12" x14ac:dyDescent="0.25">
      <c r="I195" s="294"/>
      <c r="L195" s="289"/>
    </row>
    <row r="196" spans="9:12" x14ac:dyDescent="0.25">
      <c r="I196" s="294"/>
      <c r="L196" s="289"/>
    </row>
    <row r="197" spans="9:12" x14ac:dyDescent="0.25">
      <c r="I197" s="294"/>
      <c r="L197" s="289"/>
    </row>
    <row r="198" spans="9:12" x14ac:dyDescent="0.25">
      <c r="I198" s="294"/>
      <c r="L198" s="289"/>
    </row>
    <row r="199" spans="9:12" x14ac:dyDescent="0.25">
      <c r="I199" s="294"/>
      <c r="L199" s="289"/>
    </row>
    <row r="200" spans="9:12" x14ac:dyDescent="0.25">
      <c r="I200" s="294"/>
      <c r="L200" s="289"/>
    </row>
    <row r="201" spans="9:12" x14ac:dyDescent="0.25">
      <c r="I201" s="294"/>
      <c r="L201" s="289"/>
    </row>
    <row r="202" spans="9:12" x14ac:dyDescent="0.25">
      <c r="I202" s="294"/>
      <c r="L202" s="289"/>
    </row>
    <row r="203" spans="9:12" x14ac:dyDescent="0.25">
      <c r="I203" s="294"/>
      <c r="L203" s="289"/>
    </row>
    <row r="204" spans="9:12" x14ac:dyDescent="0.25">
      <c r="I204" s="294"/>
      <c r="L204" s="289"/>
    </row>
    <row r="205" spans="9:12" x14ac:dyDescent="0.25">
      <c r="I205" s="294"/>
      <c r="L205" s="289"/>
    </row>
    <row r="206" spans="9:12" x14ac:dyDescent="0.25">
      <c r="I206" s="294"/>
      <c r="L206" s="289"/>
    </row>
    <row r="207" spans="9:12" x14ac:dyDescent="0.25">
      <c r="I207" s="294"/>
      <c r="L207" s="289"/>
    </row>
    <row r="208" spans="9:12" x14ac:dyDescent="0.25">
      <c r="I208" s="294"/>
      <c r="L208" s="289"/>
    </row>
    <row r="209" spans="9:12" x14ac:dyDescent="0.25">
      <c r="I209" s="294"/>
      <c r="L209" s="289"/>
    </row>
    <row r="210" spans="9:12" x14ac:dyDescent="0.25">
      <c r="I210" s="294"/>
      <c r="L210" s="289"/>
    </row>
    <row r="211" spans="9:12" x14ac:dyDescent="0.25">
      <c r="I211" s="294"/>
      <c r="L211" s="289"/>
    </row>
    <row r="212" spans="9:12" x14ac:dyDescent="0.25">
      <c r="I212" s="294"/>
      <c r="L212" s="289"/>
    </row>
    <row r="213" spans="9:12" x14ac:dyDescent="0.25">
      <c r="I213" s="294"/>
      <c r="L213" s="289"/>
    </row>
    <row r="214" spans="9:12" x14ac:dyDescent="0.25">
      <c r="I214" s="294"/>
      <c r="L214" s="289"/>
    </row>
    <row r="215" spans="9:12" x14ac:dyDescent="0.25">
      <c r="I215" s="294"/>
      <c r="L215" s="289"/>
    </row>
    <row r="216" spans="9:12" x14ac:dyDescent="0.25">
      <c r="I216" s="294"/>
      <c r="L216" s="289"/>
    </row>
    <row r="217" spans="9:12" x14ac:dyDescent="0.25">
      <c r="I217" s="294"/>
      <c r="L217" s="289"/>
    </row>
    <row r="218" spans="9:12" x14ac:dyDescent="0.25">
      <c r="I218" s="294"/>
      <c r="L218" s="289"/>
    </row>
    <row r="219" spans="9:12" x14ac:dyDescent="0.25">
      <c r="I219" s="294"/>
      <c r="L219" s="289"/>
    </row>
    <row r="220" spans="9:12" x14ac:dyDescent="0.25">
      <c r="I220" s="294"/>
      <c r="L220" s="289"/>
    </row>
    <row r="221" spans="9:12" x14ac:dyDescent="0.25">
      <c r="I221" s="294"/>
      <c r="L221" s="289"/>
    </row>
    <row r="222" spans="9:12" x14ac:dyDescent="0.25">
      <c r="I222" s="294"/>
      <c r="L222" s="289"/>
    </row>
    <row r="223" spans="9:12" x14ac:dyDescent="0.25">
      <c r="I223" s="294"/>
      <c r="L223" s="289"/>
    </row>
    <row r="224" spans="9:12" x14ac:dyDescent="0.25">
      <c r="I224" s="294"/>
      <c r="L224" s="289"/>
    </row>
    <row r="225" spans="9:12" x14ac:dyDescent="0.25">
      <c r="I225" s="294"/>
      <c r="L225" s="289"/>
    </row>
    <row r="226" spans="9:12" x14ac:dyDescent="0.25">
      <c r="I226" s="294"/>
      <c r="L226" s="289"/>
    </row>
    <row r="227" spans="9:12" x14ac:dyDescent="0.25">
      <c r="I227" s="294"/>
      <c r="L227" s="289"/>
    </row>
    <row r="228" spans="9:12" x14ac:dyDescent="0.25">
      <c r="I228" s="294"/>
      <c r="L228" s="289"/>
    </row>
    <row r="229" spans="9:12" x14ac:dyDescent="0.25">
      <c r="I229" s="294"/>
      <c r="L229" s="289"/>
    </row>
    <row r="230" spans="9:12" x14ac:dyDescent="0.25">
      <c r="I230" s="294"/>
      <c r="L230" s="289"/>
    </row>
    <row r="231" spans="9:12" x14ac:dyDescent="0.25">
      <c r="I231" s="294"/>
      <c r="L231" s="289"/>
    </row>
    <row r="232" spans="9:12" x14ac:dyDescent="0.25">
      <c r="I232" s="294"/>
      <c r="L232" s="289"/>
    </row>
    <row r="233" spans="9:12" x14ac:dyDescent="0.25">
      <c r="I233" s="294"/>
      <c r="L233" s="289"/>
    </row>
    <row r="234" spans="9:12" x14ac:dyDescent="0.25">
      <c r="I234" s="294"/>
      <c r="L234" s="289"/>
    </row>
    <row r="235" spans="9:12" x14ac:dyDescent="0.25">
      <c r="I235" s="294"/>
      <c r="L235" s="289"/>
    </row>
    <row r="236" spans="9:12" x14ac:dyDescent="0.25">
      <c r="I236" s="294"/>
      <c r="L236" s="289"/>
    </row>
    <row r="237" spans="9:12" x14ac:dyDescent="0.25">
      <c r="I237" s="294"/>
      <c r="L237" s="289"/>
    </row>
    <row r="238" spans="9:12" x14ac:dyDescent="0.25">
      <c r="I238" s="294"/>
      <c r="L238" s="289"/>
    </row>
    <row r="239" spans="9:12" x14ac:dyDescent="0.25">
      <c r="I239" s="294"/>
      <c r="L239" s="289"/>
    </row>
    <row r="240" spans="9:12" x14ac:dyDescent="0.25">
      <c r="I240" s="294"/>
      <c r="L240" s="289"/>
    </row>
    <row r="241" spans="9:12" x14ac:dyDescent="0.25">
      <c r="I241" s="294"/>
      <c r="L241" s="289"/>
    </row>
    <row r="242" spans="9:12" x14ac:dyDescent="0.25">
      <c r="I242" s="294"/>
      <c r="L242" s="289"/>
    </row>
    <row r="243" spans="9:12" x14ac:dyDescent="0.25">
      <c r="I243" s="294"/>
      <c r="L243" s="289"/>
    </row>
    <row r="244" spans="9:12" x14ac:dyDescent="0.25">
      <c r="I244" s="294"/>
      <c r="L244" s="289"/>
    </row>
    <row r="245" spans="9:12" x14ac:dyDescent="0.25">
      <c r="I245" s="294"/>
      <c r="L245" s="289"/>
    </row>
    <row r="246" spans="9:12" x14ac:dyDescent="0.25">
      <c r="I246" s="294"/>
      <c r="L246" s="289"/>
    </row>
    <row r="247" spans="9:12" x14ac:dyDescent="0.25">
      <c r="I247" s="294"/>
      <c r="L247" s="289"/>
    </row>
    <row r="248" spans="9:12" x14ac:dyDescent="0.25">
      <c r="I248" s="294"/>
      <c r="L248" s="289"/>
    </row>
    <row r="249" spans="9:12" x14ac:dyDescent="0.25">
      <c r="I249" s="294"/>
      <c r="L249" s="289"/>
    </row>
    <row r="250" spans="9:12" x14ac:dyDescent="0.25">
      <c r="I250" s="294"/>
      <c r="L250" s="289"/>
    </row>
    <row r="251" spans="9:12" x14ac:dyDescent="0.25">
      <c r="I251" s="294"/>
      <c r="L251" s="289"/>
    </row>
    <row r="252" spans="9:12" x14ac:dyDescent="0.25">
      <c r="I252" s="294"/>
      <c r="L252" s="289"/>
    </row>
    <row r="253" spans="9:12" x14ac:dyDescent="0.25">
      <c r="I253" s="294"/>
      <c r="L253" s="289"/>
    </row>
    <row r="254" spans="9:12" x14ac:dyDescent="0.25">
      <c r="I254" s="294"/>
      <c r="L254" s="289"/>
    </row>
    <row r="255" spans="9:12" x14ac:dyDescent="0.25">
      <c r="I255" s="294"/>
      <c r="L255" s="289"/>
    </row>
    <row r="256" spans="9:12" x14ac:dyDescent="0.25">
      <c r="I256" s="294"/>
      <c r="L256" s="289"/>
    </row>
    <row r="257" spans="9:12" x14ac:dyDescent="0.25">
      <c r="I257" s="294"/>
      <c r="L257" s="289"/>
    </row>
    <row r="258" spans="9:12" x14ac:dyDescent="0.25">
      <c r="I258" s="294"/>
      <c r="L258" s="289"/>
    </row>
    <row r="259" spans="9:12" x14ac:dyDescent="0.25">
      <c r="I259" s="294"/>
      <c r="L259" s="289"/>
    </row>
    <row r="260" spans="9:12" x14ac:dyDescent="0.25">
      <c r="I260" s="294"/>
      <c r="L260" s="289"/>
    </row>
    <row r="261" spans="9:12" x14ac:dyDescent="0.25">
      <c r="I261" s="294"/>
      <c r="L261" s="289"/>
    </row>
    <row r="262" spans="9:12" x14ac:dyDescent="0.25">
      <c r="I262" s="294"/>
      <c r="L262" s="289"/>
    </row>
    <row r="263" spans="9:12" x14ac:dyDescent="0.25">
      <c r="I263" s="294"/>
      <c r="L263" s="289"/>
    </row>
    <row r="264" spans="9:12" x14ac:dyDescent="0.25">
      <c r="I264" s="294"/>
      <c r="L264" s="289"/>
    </row>
    <row r="265" spans="9:12" x14ac:dyDescent="0.25">
      <c r="I265" s="294"/>
      <c r="L265" s="289"/>
    </row>
    <row r="266" spans="9:12" x14ac:dyDescent="0.25">
      <c r="I266" s="294"/>
      <c r="L266" s="289"/>
    </row>
    <row r="267" spans="9:12" x14ac:dyDescent="0.25">
      <c r="I267" s="294"/>
      <c r="L267" s="289"/>
    </row>
    <row r="268" spans="9:12" x14ac:dyDescent="0.25">
      <c r="I268" s="294"/>
      <c r="L268" s="289"/>
    </row>
    <row r="269" spans="9:12" x14ac:dyDescent="0.25">
      <c r="I269" s="294"/>
      <c r="L269" s="289"/>
    </row>
    <row r="270" spans="9:12" x14ac:dyDescent="0.25">
      <c r="I270" s="294"/>
      <c r="L270" s="289"/>
    </row>
    <row r="271" spans="9:12" x14ac:dyDescent="0.25">
      <c r="I271" s="294"/>
      <c r="L271" s="289"/>
    </row>
    <row r="272" spans="9:12" x14ac:dyDescent="0.25">
      <c r="I272" s="294"/>
      <c r="L272" s="289"/>
    </row>
    <row r="273" spans="9:12" x14ac:dyDescent="0.25">
      <c r="I273" s="294"/>
      <c r="L273" s="289"/>
    </row>
    <row r="274" spans="9:12" x14ac:dyDescent="0.25">
      <c r="I274" s="294"/>
      <c r="L274" s="289"/>
    </row>
    <row r="275" spans="9:12" x14ac:dyDescent="0.25">
      <c r="I275" s="294"/>
      <c r="L275" s="289"/>
    </row>
    <row r="276" spans="9:12" x14ac:dyDescent="0.25">
      <c r="I276" s="294"/>
      <c r="L276" s="289"/>
    </row>
    <row r="277" spans="9:12" x14ac:dyDescent="0.25">
      <c r="I277" s="294"/>
      <c r="L277" s="289"/>
    </row>
    <row r="278" spans="9:12" x14ac:dyDescent="0.25">
      <c r="I278" s="294"/>
      <c r="L278" s="289"/>
    </row>
    <row r="279" spans="9:12" x14ac:dyDescent="0.25">
      <c r="I279" s="294"/>
      <c r="L279" s="289"/>
    </row>
    <row r="280" spans="9:12" x14ac:dyDescent="0.25">
      <c r="I280" s="294"/>
      <c r="L280" s="289"/>
    </row>
    <row r="281" spans="9:12" x14ac:dyDescent="0.25">
      <c r="I281" s="294"/>
      <c r="L281" s="289"/>
    </row>
    <row r="282" spans="9:12" x14ac:dyDescent="0.25">
      <c r="I282" s="294"/>
      <c r="L282" s="289"/>
    </row>
    <row r="283" spans="9:12" x14ac:dyDescent="0.25">
      <c r="I283" s="294"/>
      <c r="L283" s="289"/>
    </row>
    <row r="284" spans="9:12" x14ac:dyDescent="0.25">
      <c r="I284" s="294"/>
      <c r="L284" s="289"/>
    </row>
    <row r="285" spans="9:12" x14ac:dyDescent="0.25">
      <c r="I285" s="294"/>
      <c r="L285" s="289"/>
    </row>
    <row r="286" spans="9:12" x14ac:dyDescent="0.25">
      <c r="I286" s="294"/>
      <c r="L286" s="289"/>
    </row>
    <row r="287" spans="9:12" x14ac:dyDescent="0.25">
      <c r="I287" s="294"/>
      <c r="L287" s="289"/>
    </row>
    <row r="288" spans="9:12" x14ac:dyDescent="0.25">
      <c r="I288" s="294"/>
      <c r="L288" s="289"/>
    </row>
    <row r="289" spans="9:12" x14ac:dyDescent="0.25">
      <c r="I289" s="294"/>
      <c r="L289" s="289"/>
    </row>
    <row r="290" spans="9:12" x14ac:dyDescent="0.25">
      <c r="I290" s="294"/>
      <c r="L290" s="289"/>
    </row>
    <row r="291" spans="9:12" x14ac:dyDescent="0.25">
      <c r="I291" s="294"/>
      <c r="L291" s="289"/>
    </row>
    <row r="292" spans="9:12" x14ac:dyDescent="0.25">
      <c r="I292" s="294"/>
      <c r="L292" s="289"/>
    </row>
    <row r="293" spans="9:12" x14ac:dyDescent="0.25">
      <c r="I293" s="294"/>
      <c r="L293" s="289"/>
    </row>
    <row r="294" spans="9:12" x14ac:dyDescent="0.25">
      <c r="I294" s="294"/>
      <c r="L294" s="289"/>
    </row>
    <row r="295" spans="9:12" x14ac:dyDescent="0.25">
      <c r="I295" s="294"/>
      <c r="L295" s="289"/>
    </row>
    <row r="296" spans="9:12" x14ac:dyDescent="0.25">
      <c r="I296" s="294"/>
      <c r="L296" s="289"/>
    </row>
    <row r="297" spans="9:12" x14ac:dyDescent="0.25">
      <c r="I297" s="294"/>
      <c r="L297" s="289"/>
    </row>
    <row r="298" spans="9:12" x14ac:dyDescent="0.25">
      <c r="I298" s="294"/>
      <c r="L298" s="289"/>
    </row>
    <row r="299" spans="9:12" x14ac:dyDescent="0.25">
      <c r="I299" s="294"/>
      <c r="L299" s="289"/>
    </row>
    <row r="300" spans="9:12" x14ac:dyDescent="0.25">
      <c r="I300" s="294"/>
      <c r="L300" s="289"/>
    </row>
    <row r="301" spans="9:12" x14ac:dyDescent="0.25">
      <c r="I301" s="294"/>
      <c r="L301" s="289"/>
    </row>
    <row r="302" spans="9:12" x14ac:dyDescent="0.25">
      <c r="I302" s="294"/>
      <c r="L302" s="289"/>
    </row>
    <row r="303" spans="9:12" x14ac:dyDescent="0.25">
      <c r="I303" s="294"/>
      <c r="L303" s="289"/>
    </row>
    <row r="304" spans="9:12" x14ac:dyDescent="0.25">
      <c r="I304" s="294"/>
      <c r="L304" s="289"/>
    </row>
    <row r="305" spans="9:12" x14ac:dyDescent="0.25">
      <c r="I305" s="294"/>
      <c r="L305" s="289"/>
    </row>
    <row r="306" spans="9:12" x14ac:dyDescent="0.25">
      <c r="I306" s="294"/>
      <c r="L306" s="289"/>
    </row>
    <row r="307" spans="9:12" x14ac:dyDescent="0.25">
      <c r="I307" s="294"/>
      <c r="L307" s="289"/>
    </row>
    <row r="308" spans="9:12" x14ac:dyDescent="0.25">
      <c r="I308" s="294"/>
      <c r="L308" s="289"/>
    </row>
    <row r="309" spans="9:12" x14ac:dyDescent="0.25">
      <c r="I309" s="294"/>
      <c r="L309" s="289"/>
    </row>
    <row r="310" spans="9:12" x14ac:dyDescent="0.25">
      <c r="I310" s="294"/>
      <c r="L310" s="289"/>
    </row>
    <row r="311" spans="9:12" x14ac:dyDescent="0.25">
      <c r="I311" s="294"/>
      <c r="L311" s="289"/>
    </row>
    <row r="312" spans="9:12" x14ac:dyDescent="0.25">
      <c r="I312" s="294"/>
      <c r="L312" s="289"/>
    </row>
    <row r="313" spans="9:12" x14ac:dyDescent="0.25">
      <c r="I313" s="294"/>
      <c r="L313" s="289"/>
    </row>
    <row r="314" spans="9:12" x14ac:dyDescent="0.25">
      <c r="I314" s="294"/>
      <c r="L314" s="289"/>
    </row>
    <row r="315" spans="9:12" x14ac:dyDescent="0.25">
      <c r="I315" s="294"/>
      <c r="L315" s="289"/>
    </row>
    <row r="316" spans="9:12" x14ac:dyDescent="0.25">
      <c r="I316" s="294"/>
      <c r="L316" s="289"/>
    </row>
    <row r="317" spans="9:12" x14ac:dyDescent="0.25">
      <c r="I317" s="294"/>
      <c r="L317" s="289"/>
    </row>
    <row r="318" spans="9:12" x14ac:dyDescent="0.25">
      <c r="I318" s="294"/>
      <c r="L318" s="289"/>
    </row>
    <row r="319" spans="9:12" x14ac:dyDescent="0.25">
      <c r="I319" s="294"/>
      <c r="L319" s="289"/>
    </row>
    <row r="320" spans="9:12" x14ac:dyDescent="0.25">
      <c r="I320" s="294"/>
      <c r="L320" s="289"/>
    </row>
    <row r="321" spans="9:12" x14ac:dyDescent="0.25">
      <c r="I321" s="294"/>
      <c r="L321" s="289"/>
    </row>
    <row r="322" spans="9:12" x14ac:dyDescent="0.25">
      <c r="I322" s="294"/>
      <c r="L322" s="289"/>
    </row>
    <row r="323" spans="9:12" x14ac:dyDescent="0.25">
      <c r="I323" s="294"/>
      <c r="L323" s="289"/>
    </row>
    <row r="324" spans="9:12" x14ac:dyDescent="0.25">
      <c r="I324" s="294"/>
      <c r="L324" s="289"/>
    </row>
    <row r="325" spans="9:12" x14ac:dyDescent="0.25">
      <c r="I325" s="294"/>
      <c r="L325" s="289"/>
    </row>
    <row r="326" spans="9:12" x14ac:dyDescent="0.25">
      <c r="I326" s="294"/>
      <c r="L326" s="289"/>
    </row>
    <row r="327" spans="9:12" x14ac:dyDescent="0.25">
      <c r="I327" s="294"/>
      <c r="L327" s="289"/>
    </row>
    <row r="328" spans="9:12" x14ac:dyDescent="0.25">
      <c r="I328" s="294"/>
      <c r="L328" s="289"/>
    </row>
    <row r="329" spans="9:12" x14ac:dyDescent="0.25">
      <c r="I329" s="294"/>
      <c r="L329" s="289"/>
    </row>
    <row r="330" spans="9:12" x14ac:dyDescent="0.25">
      <c r="I330" s="294"/>
      <c r="L330" s="289"/>
    </row>
    <row r="331" spans="9:12" x14ac:dyDescent="0.25">
      <c r="I331" s="294"/>
      <c r="L331" s="289"/>
    </row>
    <row r="332" spans="9:12" x14ac:dyDescent="0.25">
      <c r="I332" s="294"/>
      <c r="L332" s="289"/>
    </row>
    <row r="333" spans="9:12" x14ac:dyDescent="0.25">
      <c r="I333" s="294"/>
      <c r="L333" s="289"/>
    </row>
    <row r="334" spans="9:12" x14ac:dyDescent="0.25">
      <c r="I334" s="294"/>
      <c r="L334" s="289"/>
    </row>
    <row r="335" spans="9:12" x14ac:dyDescent="0.25">
      <c r="I335" s="294"/>
      <c r="L335" s="289"/>
    </row>
    <row r="336" spans="9:12" x14ac:dyDescent="0.25">
      <c r="I336" s="294"/>
      <c r="L336" s="289"/>
    </row>
    <row r="337" spans="9:12" x14ac:dyDescent="0.25">
      <c r="I337" s="294"/>
      <c r="L337" s="289"/>
    </row>
    <row r="338" spans="9:12" x14ac:dyDescent="0.25">
      <c r="I338" s="294"/>
      <c r="L338" s="289"/>
    </row>
    <row r="339" spans="9:12" x14ac:dyDescent="0.25">
      <c r="I339" s="294"/>
      <c r="L339" s="289"/>
    </row>
    <row r="340" spans="9:12" x14ac:dyDescent="0.25">
      <c r="I340" s="294"/>
      <c r="L340" s="289"/>
    </row>
    <row r="341" spans="9:12" x14ac:dyDescent="0.25">
      <c r="I341" s="294"/>
      <c r="L341" s="289"/>
    </row>
    <row r="342" spans="9:12" x14ac:dyDescent="0.25">
      <c r="I342" s="294"/>
      <c r="L342" s="289"/>
    </row>
    <row r="343" spans="9:12" x14ac:dyDescent="0.25">
      <c r="I343" s="294"/>
      <c r="L343" s="289"/>
    </row>
    <row r="344" spans="9:12" x14ac:dyDescent="0.25">
      <c r="I344" s="294"/>
      <c r="L344" s="289"/>
    </row>
    <row r="345" spans="9:12" x14ac:dyDescent="0.25">
      <c r="I345" s="294"/>
      <c r="L345" s="289"/>
    </row>
    <row r="346" spans="9:12" x14ac:dyDescent="0.25">
      <c r="I346" s="294"/>
      <c r="L346" s="289"/>
    </row>
    <row r="347" spans="9:12" x14ac:dyDescent="0.25">
      <c r="I347" s="294"/>
      <c r="L347" s="289"/>
    </row>
    <row r="348" spans="9:12" x14ac:dyDescent="0.25">
      <c r="I348" s="294"/>
      <c r="L348" s="289"/>
    </row>
    <row r="349" spans="9:12" x14ac:dyDescent="0.25">
      <c r="I349" s="294"/>
      <c r="L349" s="289"/>
    </row>
    <row r="350" spans="9:12" x14ac:dyDescent="0.25">
      <c r="I350" s="294"/>
      <c r="L350" s="289"/>
    </row>
    <row r="351" spans="9:12" x14ac:dyDescent="0.25">
      <c r="I351" s="294"/>
      <c r="L351" s="289"/>
    </row>
    <row r="352" spans="9:12" x14ac:dyDescent="0.25">
      <c r="I352" s="294"/>
      <c r="L352" s="289"/>
    </row>
    <row r="353" spans="9:12" x14ac:dyDescent="0.25">
      <c r="I353" s="294"/>
      <c r="L353" s="289"/>
    </row>
    <row r="354" spans="9:12" x14ac:dyDescent="0.25">
      <c r="I354" s="294"/>
      <c r="L354" s="289"/>
    </row>
    <row r="355" spans="9:12" x14ac:dyDescent="0.25">
      <c r="I355" s="294"/>
      <c r="L355" s="289"/>
    </row>
    <row r="356" spans="9:12" x14ac:dyDescent="0.25">
      <c r="I356" s="294"/>
      <c r="L356" s="289"/>
    </row>
    <row r="357" spans="9:12" x14ac:dyDescent="0.25">
      <c r="I357" s="294"/>
      <c r="L357" s="289"/>
    </row>
    <row r="358" spans="9:12" x14ac:dyDescent="0.25">
      <c r="I358" s="294"/>
      <c r="L358" s="289"/>
    </row>
    <row r="359" spans="9:12" x14ac:dyDescent="0.25">
      <c r="I359" s="294"/>
      <c r="L359" s="289"/>
    </row>
    <row r="360" spans="9:12" x14ac:dyDescent="0.25">
      <c r="I360" s="294"/>
      <c r="L360" s="289"/>
    </row>
    <row r="361" spans="9:12" x14ac:dyDescent="0.25">
      <c r="I361" s="294"/>
      <c r="L361" s="289"/>
    </row>
    <row r="362" spans="9:12" x14ac:dyDescent="0.25">
      <c r="I362" s="294"/>
      <c r="L362" s="289"/>
    </row>
    <row r="363" spans="9:12" x14ac:dyDescent="0.25">
      <c r="I363" s="294"/>
      <c r="L363" s="289"/>
    </row>
    <row r="364" spans="9:12" x14ac:dyDescent="0.25">
      <c r="I364" s="294"/>
      <c r="L364" s="289"/>
    </row>
    <row r="365" spans="9:12" x14ac:dyDescent="0.25">
      <c r="I365" s="294"/>
      <c r="L365" s="289"/>
    </row>
    <row r="366" spans="9:12" x14ac:dyDescent="0.25">
      <c r="I366" s="294"/>
      <c r="L366" s="289"/>
    </row>
    <row r="367" spans="9:12" x14ac:dyDescent="0.25">
      <c r="I367" s="294"/>
      <c r="L367" s="289"/>
    </row>
    <row r="368" spans="9:12" x14ac:dyDescent="0.25">
      <c r="I368" s="294"/>
      <c r="L368" s="289"/>
    </row>
    <row r="369" spans="9:12" x14ac:dyDescent="0.25">
      <c r="I369" s="294"/>
      <c r="L369" s="289"/>
    </row>
    <row r="370" spans="9:12" x14ac:dyDescent="0.25">
      <c r="I370" s="294"/>
      <c r="L370" s="289"/>
    </row>
    <row r="371" spans="9:12" x14ac:dyDescent="0.25">
      <c r="I371" s="294"/>
      <c r="L371" s="289"/>
    </row>
    <row r="372" spans="9:12" x14ac:dyDescent="0.25">
      <c r="I372" s="294"/>
      <c r="L372" s="289"/>
    </row>
    <row r="373" spans="9:12" x14ac:dyDescent="0.25">
      <c r="I373" s="294"/>
      <c r="L373" s="289"/>
    </row>
    <row r="374" spans="9:12" x14ac:dyDescent="0.25">
      <c r="I374" s="294"/>
      <c r="L374" s="289"/>
    </row>
    <row r="375" spans="9:12" x14ac:dyDescent="0.25">
      <c r="I375" s="294"/>
      <c r="L375" s="289"/>
    </row>
    <row r="376" spans="9:12" x14ac:dyDescent="0.25">
      <c r="I376" s="294"/>
      <c r="L376" s="289"/>
    </row>
    <row r="377" spans="9:12" x14ac:dyDescent="0.25">
      <c r="I377" s="294"/>
      <c r="L377" s="289"/>
    </row>
    <row r="378" spans="9:12" x14ac:dyDescent="0.25">
      <c r="I378" s="294"/>
      <c r="L378" s="289"/>
    </row>
    <row r="379" spans="9:12" x14ac:dyDescent="0.25">
      <c r="I379" s="294"/>
      <c r="L379" s="289"/>
    </row>
    <row r="380" spans="9:12" x14ac:dyDescent="0.25">
      <c r="I380" s="294"/>
      <c r="L380" s="289"/>
    </row>
    <row r="381" spans="9:12" x14ac:dyDescent="0.25">
      <c r="I381" s="294"/>
      <c r="L381" s="289"/>
    </row>
    <row r="382" spans="9:12" x14ac:dyDescent="0.25">
      <c r="I382" s="294"/>
      <c r="L382" s="289"/>
    </row>
    <row r="383" spans="9:12" x14ac:dyDescent="0.25">
      <c r="I383" s="294"/>
      <c r="L383" s="289"/>
    </row>
    <row r="384" spans="9:12" x14ac:dyDescent="0.25">
      <c r="I384" s="294"/>
      <c r="L384" s="289"/>
    </row>
    <row r="385" spans="9:12" x14ac:dyDescent="0.25">
      <c r="I385" s="294"/>
      <c r="L385" s="289"/>
    </row>
    <row r="386" spans="9:12" x14ac:dyDescent="0.25">
      <c r="I386" s="294"/>
      <c r="L386" s="289"/>
    </row>
    <row r="387" spans="9:12" x14ac:dyDescent="0.25">
      <c r="I387" s="294"/>
      <c r="L387" s="289"/>
    </row>
    <row r="388" spans="9:12" x14ac:dyDescent="0.25">
      <c r="I388" s="294"/>
      <c r="L388" s="289"/>
    </row>
    <row r="389" spans="9:12" x14ac:dyDescent="0.25">
      <c r="I389" s="294"/>
      <c r="L389" s="289"/>
    </row>
    <row r="390" spans="9:12" x14ac:dyDescent="0.25">
      <c r="I390" s="294"/>
      <c r="L390" s="289"/>
    </row>
    <row r="391" spans="9:12" x14ac:dyDescent="0.25">
      <c r="I391" s="294"/>
      <c r="L391" s="289"/>
    </row>
    <row r="392" spans="9:12" x14ac:dyDescent="0.25">
      <c r="I392" s="294"/>
      <c r="L392" s="289"/>
    </row>
    <row r="393" spans="9:12" x14ac:dyDescent="0.25">
      <c r="I393" s="294"/>
      <c r="L393" s="289"/>
    </row>
    <row r="394" spans="9:12" x14ac:dyDescent="0.25">
      <c r="I394" s="294"/>
      <c r="L394" s="289"/>
    </row>
    <row r="395" spans="9:12" x14ac:dyDescent="0.25">
      <c r="I395" s="294"/>
      <c r="L395" s="289"/>
    </row>
    <row r="396" spans="9:12" x14ac:dyDescent="0.25">
      <c r="I396" s="294"/>
      <c r="L396" s="289"/>
    </row>
    <row r="397" spans="9:12" x14ac:dyDescent="0.25">
      <c r="I397" s="294"/>
      <c r="L397" s="289"/>
    </row>
    <row r="398" spans="9:12" x14ac:dyDescent="0.25">
      <c r="I398" s="294"/>
      <c r="L398" s="289"/>
    </row>
    <row r="399" spans="9:12" x14ac:dyDescent="0.25">
      <c r="I399" s="294"/>
      <c r="L399" s="289"/>
    </row>
    <row r="400" spans="9:12" x14ac:dyDescent="0.25">
      <c r="I400" s="294"/>
      <c r="L400" s="289"/>
    </row>
    <row r="401" spans="9:12" x14ac:dyDescent="0.25">
      <c r="I401" s="294"/>
      <c r="L401" s="289"/>
    </row>
    <row r="402" spans="9:12" x14ac:dyDescent="0.25">
      <c r="I402" s="294"/>
      <c r="L402" s="289"/>
    </row>
    <row r="403" spans="9:12" x14ac:dyDescent="0.25">
      <c r="I403" s="294"/>
      <c r="L403" s="289"/>
    </row>
    <row r="404" spans="9:12" x14ac:dyDescent="0.25">
      <c r="I404" s="294"/>
      <c r="L404" s="289"/>
    </row>
    <row r="405" spans="9:12" x14ac:dyDescent="0.25">
      <c r="I405" s="294"/>
      <c r="L405" s="289"/>
    </row>
    <row r="406" spans="9:12" x14ac:dyDescent="0.25">
      <c r="I406" s="294"/>
      <c r="L406" s="289"/>
    </row>
    <row r="407" spans="9:12" x14ac:dyDescent="0.25">
      <c r="I407" s="294"/>
      <c r="L407" s="289"/>
    </row>
    <row r="408" spans="9:12" x14ac:dyDescent="0.25">
      <c r="I408" s="294"/>
      <c r="L408" s="289"/>
    </row>
    <row r="409" spans="9:12" x14ac:dyDescent="0.25">
      <c r="I409" s="294"/>
      <c r="L409" s="289"/>
    </row>
    <row r="410" spans="9:12" x14ac:dyDescent="0.25">
      <c r="I410" s="294"/>
      <c r="L410" s="289"/>
    </row>
    <row r="411" spans="9:12" x14ac:dyDescent="0.25">
      <c r="I411" s="294"/>
      <c r="L411" s="289"/>
    </row>
    <row r="412" spans="9:12" x14ac:dyDescent="0.25">
      <c r="I412" s="294"/>
      <c r="L412" s="289"/>
    </row>
    <row r="413" spans="9:12" x14ac:dyDescent="0.25">
      <c r="I413" s="294"/>
      <c r="L413" s="289"/>
    </row>
    <row r="414" spans="9:12" x14ac:dyDescent="0.25">
      <c r="I414" s="294"/>
      <c r="L414" s="289"/>
    </row>
    <row r="415" spans="9:12" x14ac:dyDescent="0.25">
      <c r="I415" s="294"/>
      <c r="L415" s="289"/>
    </row>
    <row r="416" spans="9:12" x14ac:dyDescent="0.25">
      <c r="I416" s="294"/>
      <c r="L416" s="289"/>
    </row>
    <row r="417" spans="9:12" x14ac:dyDescent="0.25">
      <c r="I417" s="294"/>
      <c r="L417" s="289"/>
    </row>
    <row r="418" spans="9:12" x14ac:dyDescent="0.25">
      <c r="I418" s="294"/>
      <c r="L418" s="289"/>
    </row>
    <row r="419" spans="9:12" x14ac:dyDescent="0.25">
      <c r="I419" s="294"/>
      <c r="L419" s="289"/>
    </row>
    <row r="420" spans="9:12" x14ac:dyDescent="0.25">
      <c r="I420" s="294"/>
      <c r="L420" s="289"/>
    </row>
    <row r="421" spans="9:12" x14ac:dyDescent="0.25">
      <c r="I421" s="294"/>
      <c r="L421" s="289"/>
    </row>
    <row r="422" spans="9:12" x14ac:dyDescent="0.25">
      <c r="I422" s="294"/>
      <c r="L422" s="289"/>
    </row>
    <row r="423" spans="9:12" x14ac:dyDescent="0.25">
      <c r="I423" s="294"/>
      <c r="L423" s="289"/>
    </row>
    <row r="424" spans="9:12" x14ac:dyDescent="0.25">
      <c r="I424" s="294"/>
      <c r="L424" s="289"/>
    </row>
    <row r="425" spans="9:12" x14ac:dyDescent="0.25">
      <c r="I425" s="294"/>
      <c r="L425" s="289"/>
    </row>
    <row r="426" spans="9:12" x14ac:dyDescent="0.25">
      <c r="I426" s="294"/>
      <c r="L426" s="289"/>
    </row>
    <row r="427" spans="9:12" x14ac:dyDescent="0.25">
      <c r="I427" s="294"/>
      <c r="L427" s="289"/>
    </row>
    <row r="428" spans="9:12" x14ac:dyDescent="0.25">
      <c r="I428" s="294"/>
      <c r="L428" s="289"/>
    </row>
    <row r="429" spans="9:12" x14ac:dyDescent="0.25">
      <c r="I429" s="294"/>
      <c r="L429" s="289"/>
    </row>
    <row r="430" spans="9:12" x14ac:dyDescent="0.25">
      <c r="I430" s="294"/>
      <c r="L430" s="289"/>
    </row>
    <row r="431" spans="9:12" x14ac:dyDescent="0.25">
      <c r="I431" s="294"/>
      <c r="L431" s="289"/>
    </row>
    <row r="432" spans="9:12" x14ac:dyDescent="0.25">
      <c r="I432" s="294"/>
      <c r="L432" s="289"/>
    </row>
    <row r="433" spans="9:12" x14ac:dyDescent="0.25">
      <c r="I433" s="294"/>
      <c r="L433" s="289"/>
    </row>
    <row r="434" spans="9:12" x14ac:dyDescent="0.25">
      <c r="I434" s="294"/>
      <c r="L434" s="289"/>
    </row>
    <row r="435" spans="9:12" x14ac:dyDescent="0.25">
      <c r="I435" s="294"/>
      <c r="L435" s="289"/>
    </row>
    <row r="436" spans="9:12" x14ac:dyDescent="0.25">
      <c r="I436" s="294"/>
      <c r="L436" s="289"/>
    </row>
    <row r="437" spans="9:12" x14ac:dyDescent="0.25">
      <c r="I437" s="294"/>
      <c r="L437" s="289"/>
    </row>
    <row r="438" spans="9:12" x14ac:dyDescent="0.25">
      <c r="I438" s="294"/>
      <c r="L438" s="289"/>
    </row>
    <row r="439" spans="9:12" x14ac:dyDescent="0.25">
      <c r="I439" s="294"/>
      <c r="L439" s="289"/>
    </row>
    <row r="440" spans="9:12" x14ac:dyDescent="0.25">
      <c r="I440" s="294"/>
      <c r="L440" s="289"/>
    </row>
    <row r="441" spans="9:12" x14ac:dyDescent="0.25">
      <c r="I441" s="294"/>
      <c r="L441" s="289"/>
    </row>
    <row r="442" spans="9:12" x14ac:dyDescent="0.25">
      <c r="I442" s="294"/>
      <c r="L442" s="289"/>
    </row>
    <row r="443" spans="9:12" x14ac:dyDescent="0.25">
      <c r="I443" s="294"/>
      <c r="L443" s="289"/>
    </row>
    <row r="444" spans="9:12" x14ac:dyDescent="0.25">
      <c r="I444" s="294"/>
      <c r="L444" s="289"/>
    </row>
    <row r="445" spans="9:12" x14ac:dyDescent="0.25">
      <c r="I445" s="294"/>
      <c r="L445" s="289"/>
    </row>
    <row r="446" spans="9:12" x14ac:dyDescent="0.25">
      <c r="I446" s="294"/>
      <c r="L446" s="289"/>
    </row>
    <row r="447" spans="9:12" x14ac:dyDescent="0.25">
      <c r="I447" s="294"/>
      <c r="L447" s="289"/>
    </row>
    <row r="448" spans="9:12" x14ac:dyDescent="0.25">
      <c r="I448" s="294"/>
      <c r="L448" s="289"/>
    </row>
    <row r="449" spans="9:12" x14ac:dyDescent="0.25">
      <c r="I449" s="294"/>
      <c r="L449" s="289"/>
    </row>
    <row r="450" spans="9:12" x14ac:dyDescent="0.25">
      <c r="I450" s="294"/>
      <c r="L450" s="289"/>
    </row>
    <row r="451" spans="9:12" x14ac:dyDescent="0.25">
      <c r="I451" s="294"/>
      <c r="L451" s="289"/>
    </row>
    <row r="452" spans="9:12" x14ac:dyDescent="0.25">
      <c r="I452" s="294"/>
      <c r="L452" s="289"/>
    </row>
    <row r="453" spans="9:12" x14ac:dyDescent="0.25">
      <c r="I453" s="294"/>
      <c r="L453" s="289"/>
    </row>
    <row r="454" spans="9:12" x14ac:dyDescent="0.25">
      <c r="I454" s="294"/>
      <c r="L454" s="289"/>
    </row>
    <row r="455" spans="9:12" x14ac:dyDescent="0.25">
      <c r="I455" s="294"/>
      <c r="L455" s="289"/>
    </row>
    <row r="456" spans="9:12" x14ac:dyDescent="0.25">
      <c r="I456" s="294"/>
      <c r="L456" s="289"/>
    </row>
    <row r="457" spans="9:12" x14ac:dyDescent="0.25">
      <c r="I457" s="294"/>
      <c r="L457" s="289"/>
    </row>
    <row r="458" spans="9:12" x14ac:dyDescent="0.25">
      <c r="I458" s="294"/>
      <c r="L458" s="289"/>
    </row>
    <row r="459" spans="9:12" x14ac:dyDescent="0.25">
      <c r="I459" s="294"/>
      <c r="L459" s="289"/>
    </row>
    <row r="460" spans="9:12" x14ac:dyDescent="0.25">
      <c r="I460" s="294"/>
      <c r="L460" s="289"/>
    </row>
    <row r="461" spans="9:12" x14ac:dyDescent="0.25">
      <c r="I461" s="294"/>
      <c r="L461" s="289"/>
    </row>
    <row r="462" spans="9:12" x14ac:dyDescent="0.25">
      <c r="I462" s="294"/>
      <c r="L462" s="289"/>
    </row>
    <row r="463" spans="9:12" x14ac:dyDescent="0.25">
      <c r="I463" s="294"/>
      <c r="L463" s="289"/>
    </row>
    <row r="464" spans="9:12" x14ac:dyDescent="0.25">
      <c r="I464" s="294"/>
      <c r="L464" s="289"/>
    </row>
    <row r="465" spans="9:12" x14ac:dyDescent="0.25">
      <c r="I465" s="294"/>
      <c r="L465" s="289"/>
    </row>
    <row r="466" spans="9:12" x14ac:dyDescent="0.25">
      <c r="I466" s="294"/>
      <c r="L466" s="289"/>
    </row>
    <row r="467" spans="9:12" x14ac:dyDescent="0.25">
      <c r="I467" s="294"/>
      <c r="L467" s="289"/>
    </row>
    <row r="468" spans="9:12" x14ac:dyDescent="0.25">
      <c r="I468" s="294"/>
      <c r="L468" s="289"/>
    </row>
    <row r="469" spans="9:12" x14ac:dyDescent="0.25">
      <c r="I469" s="294"/>
      <c r="L469" s="289"/>
    </row>
    <row r="470" spans="9:12" x14ac:dyDescent="0.25">
      <c r="I470" s="294"/>
      <c r="L470" s="289"/>
    </row>
    <row r="471" spans="9:12" x14ac:dyDescent="0.25">
      <c r="I471" s="294"/>
      <c r="L471" s="289"/>
    </row>
    <row r="472" spans="9:12" x14ac:dyDescent="0.25">
      <c r="I472" s="294"/>
      <c r="L472" s="289"/>
    </row>
    <row r="473" spans="9:12" x14ac:dyDescent="0.25">
      <c r="I473" s="294"/>
      <c r="L473" s="289"/>
    </row>
    <row r="474" spans="9:12" x14ac:dyDescent="0.25">
      <c r="I474" s="294"/>
      <c r="L474" s="289"/>
    </row>
    <row r="475" spans="9:12" x14ac:dyDescent="0.25">
      <c r="I475" s="294"/>
      <c r="L475" s="289"/>
    </row>
    <row r="476" spans="9:12" x14ac:dyDescent="0.25">
      <c r="I476" s="294"/>
      <c r="L476" s="289"/>
    </row>
    <row r="477" spans="9:12" x14ac:dyDescent="0.25">
      <c r="I477" s="294"/>
      <c r="L477" s="289"/>
    </row>
    <row r="478" spans="9:12" x14ac:dyDescent="0.25">
      <c r="I478" s="294"/>
      <c r="L478" s="289"/>
    </row>
    <row r="479" spans="9:12" x14ac:dyDescent="0.25">
      <c r="I479" s="294"/>
      <c r="L479" s="289"/>
    </row>
    <row r="480" spans="9:12" x14ac:dyDescent="0.25">
      <c r="I480" s="294"/>
      <c r="L480" s="289"/>
    </row>
    <row r="481" spans="9:12" x14ac:dyDescent="0.25">
      <c r="I481" s="294"/>
      <c r="L481" s="289"/>
    </row>
    <row r="482" spans="9:12" x14ac:dyDescent="0.25">
      <c r="I482" s="294"/>
      <c r="L482" s="289"/>
    </row>
    <row r="483" spans="9:12" x14ac:dyDescent="0.25">
      <c r="I483" s="294"/>
      <c r="L483" s="289"/>
    </row>
    <row r="484" spans="9:12" x14ac:dyDescent="0.25">
      <c r="I484" s="294"/>
      <c r="L484" s="289"/>
    </row>
    <row r="485" spans="9:12" x14ac:dyDescent="0.25">
      <c r="I485" s="294"/>
      <c r="L485" s="289"/>
    </row>
    <row r="486" spans="9:12" x14ac:dyDescent="0.25">
      <c r="I486" s="294"/>
      <c r="L486" s="289"/>
    </row>
    <row r="487" spans="9:12" x14ac:dyDescent="0.25">
      <c r="I487" s="294"/>
      <c r="L487" s="289"/>
    </row>
    <row r="488" spans="9:12" x14ac:dyDescent="0.25">
      <c r="I488" s="294"/>
      <c r="L488" s="289"/>
    </row>
    <row r="489" spans="9:12" x14ac:dyDescent="0.25">
      <c r="I489" s="294"/>
      <c r="L489" s="289"/>
    </row>
    <row r="490" spans="9:12" x14ac:dyDescent="0.25">
      <c r="I490" s="294"/>
      <c r="L490" s="289"/>
    </row>
    <row r="491" spans="9:12" x14ac:dyDescent="0.25">
      <c r="I491" s="294"/>
      <c r="L491" s="289"/>
    </row>
    <row r="492" spans="9:12" x14ac:dyDescent="0.25">
      <c r="I492" s="294"/>
      <c r="L492" s="289"/>
    </row>
    <row r="493" spans="9:12" x14ac:dyDescent="0.25">
      <c r="I493" s="294"/>
      <c r="L493" s="289"/>
    </row>
    <row r="494" spans="9:12" x14ac:dyDescent="0.25">
      <c r="I494" s="294"/>
      <c r="L494" s="289"/>
    </row>
    <row r="495" spans="9:12" x14ac:dyDescent="0.25">
      <c r="I495" s="294"/>
      <c r="L495" s="289"/>
    </row>
    <row r="496" spans="9:12" x14ac:dyDescent="0.25">
      <c r="I496" s="294"/>
      <c r="L496" s="289"/>
    </row>
    <row r="497" spans="9:12" x14ac:dyDescent="0.25">
      <c r="I497" s="294"/>
      <c r="L497" s="289"/>
    </row>
    <row r="498" spans="9:12" x14ac:dyDescent="0.25">
      <c r="I498" s="294"/>
      <c r="L498" s="289"/>
    </row>
    <row r="499" spans="9:12" x14ac:dyDescent="0.25">
      <c r="I499" s="294"/>
      <c r="L499" s="289"/>
    </row>
    <row r="500" spans="9:12" x14ac:dyDescent="0.25">
      <c r="I500" s="294"/>
      <c r="L500" s="289"/>
    </row>
    <row r="501" spans="9:12" x14ac:dyDescent="0.25">
      <c r="I501" s="294"/>
      <c r="L501" s="289"/>
    </row>
    <row r="502" spans="9:12" x14ac:dyDescent="0.25">
      <c r="I502" s="294"/>
      <c r="L502" s="289"/>
    </row>
    <row r="503" spans="9:12" x14ac:dyDescent="0.25">
      <c r="I503" s="294"/>
      <c r="L503" s="289"/>
    </row>
    <row r="504" spans="9:12" x14ac:dyDescent="0.25">
      <c r="I504" s="294"/>
      <c r="L504" s="289"/>
    </row>
    <row r="505" spans="9:12" x14ac:dyDescent="0.25">
      <c r="I505" s="294"/>
      <c r="L505" s="289"/>
    </row>
    <row r="506" spans="9:12" x14ac:dyDescent="0.25">
      <c r="I506" s="294"/>
      <c r="L506" s="289"/>
    </row>
    <row r="507" spans="9:12" x14ac:dyDescent="0.25">
      <c r="I507" s="294"/>
      <c r="L507" s="289"/>
    </row>
    <row r="508" spans="9:12" x14ac:dyDescent="0.25">
      <c r="I508" s="294"/>
      <c r="L508" s="289"/>
    </row>
    <row r="509" spans="9:12" x14ac:dyDescent="0.25">
      <c r="I509" s="294"/>
      <c r="L509" s="289"/>
    </row>
    <row r="510" spans="9:12" x14ac:dyDescent="0.25">
      <c r="I510" s="294"/>
      <c r="L510" s="289"/>
    </row>
    <row r="511" spans="9:12" x14ac:dyDescent="0.25">
      <c r="I511" s="294"/>
      <c r="L511" s="289"/>
    </row>
    <row r="512" spans="9:12" x14ac:dyDescent="0.25">
      <c r="I512" s="294"/>
      <c r="L512" s="289"/>
    </row>
    <row r="513" spans="9:12" x14ac:dyDescent="0.25">
      <c r="I513" s="294"/>
      <c r="L513" s="289"/>
    </row>
    <row r="514" spans="9:12" x14ac:dyDescent="0.25">
      <c r="I514" s="294"/>
      <c r="L514" s="289"/>
    </row>
    <row r="515" spans="9:12" x14ac:dyDescent="0.25">
      <c r="I515" s="294"/>
      <c r="L515" s="289"/>
    </row>
    <row r="516" spans="9:12" x14ac:dyDescent="0.25">
      <c r="I516" s="294"/>
      <c r="L516" s="289"/>
    </row>
    <row r="517" spans="9:12" x14ac:dyDescent="0.25">
      <c r="I517" s="294"/>
      <c r="L517" s="289"/>
    </row>
    <row r="518" spans="9:12" x14ac:dyDescent="0.25">
      <c r="I518" s="294"/>
      <c r="L518" s="289"/>
    </row>
    <row r="519" spans="9:12" x14ac:dyDescent="0.25">
      <c r="I519" s="294"/>
      <c r="L519" s="289"/>
    </row>
    <row r="520" spans="9:12" x14ac:dyDescent="0.25">
      <c r="I520" s="294"/>
      <c r="L520" s="289"/>
    </row>
    <row r="521" spans="9:12" x14ac:dyDescent="0.25">
      <c r="I521" s="294"/>
      <c r="L521" s="289"/>
    </row>
    <row r="522" spans="9:12" x14ac:dyDescent="0.25">
      <c r="I522" s="294"/>
      <c r="L522" s="289"/>
    </row>
    <row r="523" spans="9:12" x14ac:dyDescent="0.25">
      <c r="I523" s="294"/>
      <c r="L523" s="289"/>
    </row>
    <row r="524" spans="9:12" x14ac:dyDescent="0.25">
      <c r="I524" s="294"/>
      <c r="L524" s="289"/>
    </row>
    <row r="525" spans="9:12" x14ac:dyDescent="0.25">
      <c r="I525" s="294"/>
      <c r="L525" s="289"/>
    </row>
    <row r="526" spans="9:12" x14ac:dyDescent="0.25">
      <c r="I526" s="294"/>
      <c r="L526" s="289"/>
    </row>
    <row r="527" spans="9:12" x14ac:dyDescent="0.25">
      <c r="I527" s="294"/>
      <c r="L527" s="289"/>
    </row>
    <row r="528" spans="9:12" x14ac:dyDescent="0.25">
      <c r="I528" s="294"/>
      <c r="L528" s="289"/>
    </row>
    <row r="529" spans="9:12" x14ac:dyDescent="0.25">
      <c r="I529" s="294"/>
      <c r="L529" s="289"/>
    </row>
    <row r="530" spans="9:12" x14ac:dyDescent="0.25">
      <c r="I530" s="294"/>
      <c r="L530" s="289"/>
    </row>
    <row r="531" spans="9:12" x14ac:dyDescent="0.25">
      <c r="I531" s="294"/>
      <c r="L531" s="289"/>
    </row>
    <row r="532" spans="9:12" x14ac:dyDescent="0.25">
      <c r="I532" s="294"/>
      <c r="L532" s="289"/>
    </row>
    <row r="533" spans="9:12" x14ac:dyDescent="0.25">
      <c r="I533" s="294"/>
      <c r="L533" s="289"/>
    </row>
    <row r="534" spans="9:12" x14ac:dyDescent="0.25">
      <c r="I534" s="294"/>
      <c r="L534" s="289"/>
    </row>
    <row r="535" spans="9:12" x14ac:dyDescent="0.25">
      <c r="I535" s="294"/>
      <c r="L535" s="289"/>
    </row>
    <row r="536" spans="9:12" x14ac:dyDescent="0.25">
      <c r="I536" s="294"/>
      <c r="L536" s="289"/>
    </row>
    <row r="537" spans="9:12" x14ac:dyDescent="0.25">
      <c r="I537" s="294"/>
      <c r="L537" s="289"/>
    </row>
    <row r="538" spans="9:12" x14ac:dyDescent="0.25">
      <c r="I538" s="294"/>
      <c r="L538" s="289"/>
    </row>
    <row r="539" spans="9:12" x14ac:dyDescent="0.25">
      <c r="I539" s="294"/>
      <c r="L539" s="289"/>
    </row>
    <row r="540" spans="9:12" x14ac:dyDescent="0.25">
      <c r="I540" s="294"/>
      <c r="L540" s="289"/>
    </row>
    <row r="541" spans="9:12" x14ac:dyDescent="0.25">
      <c r="I541" s="294"/>
      <c r="L541" s="289"/>
    </row>
    <row r="542" spans="9:12" x14ac:dyDescent="0.25">
      <c r="I542" s="294"/>
      <c r="L542" s="289"/>
    </row>
    <row r="543" spans="9:12" x14ac:dyDescent="0.25">
      <c r="I543" s="294"/>
      <c r="L543" s="289"/>
    </row>
    <row r="544" spans="9:12" x14ac:dyDescent="0.25">
      <c r="I544" s="294"/>
      <c r="L544" s="289"/>
    </row>
    <row r="545" spans="9:12" x14ac:dyDescent="0.25">
      <c r="I545" s="294"/>
      <c r="L545" s="289"/>
    </row>
    <row r="546" spans="9:12" x14ac:dyDescent="0.25">
      <c r="I546" s="294"/>
      <c r="L546" s="289"/>
    </row>
    <row r="547" spans="9:12" x14ac:dyDescent="0.25">
      <c r="I547" s="294"/>
      <c r="L547" s="289"/>
    </row>
    <row r="548" spans="9:12" x14ac:dyDescent="0.25">
      <c r="I548" s="294"/>
      <c r="L548" s="289"/>
    </row>
    <row r="549" spans="9:12" x14ac:dyDescent="0.25">
      <c r="I549" s="294"/>
      <c r="L549" s="289"/>
    </row>
    <row r="550" spans="9:12" x14ac:dyDescent="0.25">
      <c r="I550" s="294"/>
      <c r="L550" s="289"/>
    </row>
    <row r="551" spans="9:12" x14ac:dyDescent="0.25">
      <c r="I551" s="294"/>
      <c r="L551" s="289"/>
    </row>
    <row r="552" spans="9:12" x14ac:dyDescent="0.25">
      <c r="I552" s="294"/>
      <c r="L552" s="289"/>
    </row>
    <row r="553" spans="9:12" x14ac:dyDescent="0.25">
      <c r="I553" s="294"/>
      <c r="L553" s="289"/>
    </row>
    <row r="554" spans="9:12" x14ac:dyDescent="0.25">
      <c r="I554" s="294"/>
      <c r="L554" s="289"/>
    </row>
    <row r="555" spans="9:12" x14ac:dyDescent="0.25">
      <c r="I555" s="294"/>
      <c r="L555" s="289"/>
    </row>
    <row r="556" spans="9:12" x14ac:dyDescent="0.25">
      <c r="I556" s="294"/>
      <c r="L556" s="289"/>
    </row>
    <row r="557" spans="9:12" x14ac:dyDescent="0.25">
      <c r="I557" s="294"/>
      <c r="L557" s="289"/>
    </row>
    <row r="558" spans="9:12" x14ac:dyDescent="0.25">
      <c r="I558" s="294"/>
      <c r="L558" s="289"/>
    </row>
    <row r="559" spans="9:12" x14ac:dyDescent="0.25">
      <c r="I559" s="294"/>
      <c r="L559" s="289"/>
    </row>
    <row r="560" spans="9:12" x14ac:dyDescent="0.25">
      <c r="I560" s="294"/>
      <c r="L560" s="289"/>
    </row>
    <row r="561" spans="9:12" x14ac:dyDescent="0.25">
      <c r="I561" s="294"/>
      <c r="L561" s="289"/>
    </row>
    <row r="562" spans="9:12" x14ac:dyDescent="0.25">
      <c r="I562" s="294"/>
      <c r="L562" s="289"/>
    </row>
    <row r="563" spans="9:12" x14ac:dyDescent="0.25">
      <c r="I563" s="294"/>
      <c r="L563" s="289"/>
    </row>
    <row r="564" spans="9:12" x14ac:dyDescent="0.25">
      <c r="I564" s="294"/>
      <c r="L564" s="289"/>
    </row>
    <row r="565" spans="9:12" x14ac:dyDescent="0.25">
      <c r="I565" s="294"/>
      <c r="L565" s="289"/>
    </row>
    <row r="566" spans="9:12" x14ac:dyDescent="0.25">
      <c r="I566" s="294"/>
      <c r="L566" s="289"/>
    </row>
    <row r="567" spans="9:12" x14ac:dyDescent="0.25">
      <c r="I567" s="294"/>
      <c r="L567" s="289"/>
    </row>
    <row r="568" spans="9:12" x14ac:dyDescent="0.25">
      <c r="I568" s="294"/>
      <c r="L568" s="289"/>
    </row>
    <row r="569" spans="9:12" x14ac:dyDescent="0.25">
      <c r="I569" s="294"/>
      <c r="L569" s="289"/>
    </row>
    <row r="570" spans="9:12" x14ac:dyDescent="0.25">
      <c r="I570" s="294"/>
      <c r="L570" s="289"/>
    </row>
    <row r="571" spans="9:12" x14ac:dyDescent="0.25">
      <c r="I571" s="294"/>
      <c r="L571" s="289"/>
    </row>
    <row r="572" spans="9:12" x14ac:dyDescent="0.25">
      <c r="I572" s="294"/>
      <c r="L572" s="289"/>
    </row>
    <row r="573" spans="9:12" x14ac:dyDescent="0.25">
      <c r="I573" s="294"/>
      <c r="L573" s="289"/>
    </row>
    <row r="574" spans="9:12" x14ac:dyDescent="0.25">
      <c r="I574" s="294"/>
      <c r="L574" s="289"/>
    </row>
    <row r="575" spans="9:12" x14ac:dyDescent="0.25">
      <c r="I575" s="294"/>
      <c r="L575" s="289"/>
    </row>
    <row r="576" spans="9:12" x14ac:dyDescent="0.25">
      <c r="I576" s="294"/>
      <c r="L576" s="289"/>
    </row>
    <row r="577" spans="9:12" x14ac:dyDescent="0.25">
      <c r="I577" s="294"/>
      <c r="L577" s="289"/>
    </row>
    <row r="578" spans="9:12" x14ac:dyDescent="0.25">
      <c r="I578" s="294"/>
      <c r="L578" s="289"/>
    </row>
    <row r="579" spans="9:12" x14ac:dyDescent="0.25">
      <c r="I579" s="294"/>
      <c r="L579" s="289"/>
    </row>
    <row r="580" spans="9:12" x14ac:dyDescent="0.25">
      <c r="I580" s="294"/>
      <c r="L580" s="289"/>
    </row>
    <row r="581" spans="9:12" x14ac:dyDescent="0.25">
      <c r="I581" s="294"/>
      <c r="L581" s="289"/>
    </row>
    <row r="582" spans="9:12" x14ac:dyDescent="0.25">
      <c r="I582" s="294"/>
      <c r="L582" s="289"/>
    </row>
    <row r="583" spans="9:12" x14ac:dyDescent="0.25">
      <c r="I583" s="294"/>
      <c r="L583" s="289"/>
    </row>
    <row r="584" spans="9:12" x14ac:dyDescent="0.25">
      <c r="I584" s="294"/>
      <c r="L584" s="289"/>
    </row>
    <row r="585" spans="9:12" x14ac:dyDescent="0.25">
      <c r="I585" s="294"/>
      <c r="L585" s="289"/>
    </row>
    <row r="586" spans="9:12" x14ac:dyDescent="0.25">
      <c r="I586" s="294"/>
      <c r="L586" s="289"/>
    </row>
    <row r="587" spans="9:12" x14ac:dyDescent="0.25">
      <c r="I587" s="294"/>
      <c r="L587" s="289"/>
    </row>
    <row r="588" spans="9:12" x14ac:dyDescent="0.25">
      <c r="I588" s="294"/>
      <c r="L588" s="289"/>
    </row>
    <row r="589" spans="9:12" x14ac:dyDescent="0.25">
      <c r="I589" s="294"/>
      <c r="L589" s="289"/>
    </row>
    <row r="590" spans="9:12" x14ac:dyDescent="0.25">
      <c r="I590" s="294"/>
      <c r="L590" s="289"/>
    </row>
    <row r="591" spans="9:12" x14ac:dyDescent="0.25">
      <c r="I591" s="294"/>
      <c r="L591" s="289"/>
    </row>
    <row r="592" spans="9:12" x14ac:dyDescent="0.25">
      <c r="I592" s="294"/>
      <c r="L592" s="289"/>
    </row>
    <row r="593" spans="9:12" x14ac:dyDescent="0.25">
      <c r="I593" s="294"/>
      <c r="L593" s="289"/>
    </row>
    <row r="594" spans="9:12" x14ac:dyDescent="0.25">
      <c r="I594" s="294"/>
      <c r="L594" s="289"/>
    </row>
    <row r="595" spans="9:12" x14ac:dyDescent="0.25">
      <c r="I595" s="294"/>
      <c r="L595" s="289"/>
    </row>
    <row r="596" spans="9:12" x14ac:dyDescent="0.25">
      <c r="I596" s="294"/>
      <c r="L596" s="289"/>
    </row>
    <row r="597" spans="9:12" x14ac:dyDescent="0.25">
      <c r="I597" s="294"/>
      <c r="L597" s="289"/>
    </row>
    <row r="598" spans="9:12" x14ac:dyDescent="0.25">
      <c r="I598" s="294"/>
      <c r="L598" s="289"/>
    </row>
    <row r="599" spans="9:12" x14ac:dyDescent="0.25">
      <c r="I599" s="294"/>
      <c r="L599" s="289"/>
    </row>
    <row r="600" spans="9:12" x14ac:dyDescent="0.25">
      <c r="I600" s="294"/>
      <c r="L600" s="289"/>
    </row>
    <row r="601" spans="9:12" x14ac:dyDescent="0.25">
      <c r="I601" s="294"/>
      <c r="L601" s="289"/>
    </row>
    <row r="602" spans="9:12" x14ac:dyDescent="0.25">
      <c r="I602" s="294"/>
      <c r="L602" s="289"/>
    </row>
    <row r="603" spans="9:12" x14ac:dyDescent="0.25">
      <c r="I603" s="294"/>
      <c r="L603" s="289"/>
    </row>
    <row r="604" spans="9:12" x14ac:dyDescent="0.25">
      <c r="I604" s="294"/>
      <c r="L604" s="289"/>
    </row>
    <row r="605" spans="9:12" x14ac:dyDescent="0.25">
      <c r="I605" s="294"/>
      <c r="L605" s="289"/>
    </row>
    <row r="606" spans="9:12" x14ac:dyDescent="0.25">
      <c r="I606" s="294"/>
      <c r="L606" s="289"/>
    </row>
    <row r="607" spans="9:12" x14ac:dyDescent="0.25">
      <c r="I607" s="294"/>
      <c r="L607" s="289"/>
    </row>
    <row r="608" spans="9:12" x14ac:dyDescent="0.25">
      <c r="I608" s="294"/>
      <c r="L608" s="289"/>
    </row>
    <row r="609" spans="9:12" x14ac:dyDescent="0.25">
      <c r="I609" s="294"/>
      <c r="L609" s="289"/>
    </row>
    <row r="610" spans="9:12" x14ac:dyDescent="0.25">
      <c r="I610" s="294"/>
      <c r="L610" s="289"/>
    </row>
    <row r="611" spans="9:12" x14ac:dyDescent="0.25">
      <c r="I611" s="294"/>
      <c r="L611" s="289"/>
    </row>
    <row r="612" spans="9:12" x14ac:dyDescent="0.25">
      <c r="I612" s="294"/>
      <c r="L612" s="289"/>
    </row>
    <row r="613" spans="9:12" x14ac:dyDescent="0.25">
      <c r="I613" s="294"/>
      <c r="L613" s="289"/>
    </row>
    <row r="614" spans="9:12" x14ac:dyDescent="0.25">
      <c r="I614" s="294"/>
      <c r="L614" s="289"/>
    </row>
    <row r="615" spans="9:12" x14ac:dyDescent="0.25">
      <c r="I615" s="294"/>
      <c r="L615" s="289"/>
    </row>
    <row r="616" spans="9:12" x14ac:dyDescent="0.25">
      <c r="I616" s="294"/>
      <c r="L616" s="289"/>
    </row>
    <row r="617" spans="9:12" x14ac:dyDescent="0.25">
      <c r="I617" s="294"/>
      <c r="L617" s="289"/>
    </row>
    <row r="618" spans="9:12" x14ac:dyDescent="0.25">
      <c r="I618" s="294"/>
      <c r="L618" s="289"/>
    </row>
    <row r="619" spans="9:12" x14ac:dyDescent="0.25">
      <c r="I619" s="294"/>
      <c r="L619" s="289"/>
    </row>
    <row r="620" spans="9:12" x14ac:dyDescent="0.25">
      <c r="I620" s="294"/>
      <c r="L620" s="289"/>
    </row>
    <row r="621" spans="9:12" x14ac:dyDescent="0.25">
      <c r="I621" s="294"/>
      <c r="L621" s="289"/>
    </row>
    <row r="622" spans="9:12" x14ac:dyDescent="0.25">
      <c r="I622" s="294"/>
      <c r="L622" s="289"/>
    </row>
    <row r="623" spans="9:12" x14ac:dyDescent="0.25">
      <c r="I623" s="294"/>
      <c r="L623" s="289"/>
    </row>
    <row r="624" spans="9:12" x14ac:dyDescent="0.25">
      <c r="I624" s="294"/>
      <c r="L624" s="289"/>
    </row>
    <row r="625" spans="9:12" x14ac:dyDescent="0.25">
      <c r="I625" s="294"/>
      <c r="L625" s="289"/>
    </row>
    <row r="626" spans="9:12" x14ac:dyDescent="0.25">
      <c r="I626" s="294"/>
      <c r="L626" s="289"/>
    </row>
    <row r="627" spans="9:12" x14ac:dyDescent="0.25">
      <c r="I627" s="294"/>
      <c r="L627" s="289"/>
    </row>
    <row r="628" spans="9:12" x14ac:dyDescent="0.25">
      <c r="I628" s="294"/>
      <c r="L628" s="289"/>
    </row>
    <row r="629" spans="9:12" x14ac:dyDescent="0.25">
      <c r="I629" s="294"/>
      <c r="L629" s="289"/>
    </row>
    <row r="630" spans="9:12" x14ac:dyDescent="0.25">
      <c r="I630" s="294"/>
      <c r="L630" s="289"/>
    </row>
    <row r="631" spans="9:12" x14ac:dyDescent="0.25">
      <c r="I631" s="294"/>
      <c r="L631" s="289"/>
    </row>
    <row r="632" spans="9:12" x14ac:dyDescent="0.25">
      <c r="I632" s="294"/>
      <c r="L632" s="289"/>
    </row>
    <row r="633" spans="9:12" x14ac:dyDescent="0.25">
      <c r="I633" s="294"/>
      <c r="L633" s="289"/>
    </row>
    <row r="634" spans="9:12" x14ac:dyDescent="0.25">
      <c r="I634" s="294"/>
      <c r="L634" s="289"/>
    </row>
    <row r="635" spans="9:12" x14ac:dyDescent="0.25">
      <c r="I635" s="294"/>
      <c r="L635" s="289"/>
    </row>
    <row r="636" spans="9:12" x14ac:dyDescent="0.25">
      <c r="I636" s="294"/>
      <c r="L636" s="289"/>
    </row>
    <row r="637" spans="9:12" x14ac:dyDescent="0.25">
      <c r="I637" s="294"/>
      <c r="L637" s="289"/>
    </row>
    <row r="638" spans="9:12" x14ac:dyDescent="0.25">
      <c r="I638" s="294"/>
      <c r="L638" s="289"/>
    </row>
    <row r="639" spans="9:12" x14ac:dyDescent="0.25">
      <c r="I639" s="294"/>
      <c r="L639" s="289"/>
    </row>
    <row r="640" spans="9:12" x14ac:dyDescent="0.25">
      <c r="I640" s="294"/>
      <c r="L640" s="289"/>
    </row>
    <row r="641" spans="9:12" x14ac:dyDescent="0.25">
      <c r="I641" s="294"/>
      <c r="L641" s="289"/>
    </row>
    <row r="642" spans="9:12" x14ac:dyDescent="0.25">
      <c r="I642" s="294"/>
      <c r="L642" s="289"/>
    </row>
    <row r="643" spans="9:12" x14ac:dyDescent="0.25">
      <c r="I643" s="294"/>
      <c r="L643" s="289"/>
    </row>
    <row r="644" spans="9:12" x14ac:dyDescent="0.25">
      <c r="I644" s="294"/>
      <c r="L644" s="289"/>
    </row>
    <row r="645" spans="9:12" x14ac:dyDescent="0.25">
      <c r="I645" s="294"/>
      <c r="L645" s="289"/>
    </row>
    <row r="646" spans="9:12" x14ac:dyDescent="0.25">
      <c r="I646" s="294"/>
      <c r="L646" s="289"/>
    </row>
    <row r="647" spans="9:12" x14ac:dyDescent="0.25">
      <c r="I647" s="294"/>
      <c r="L647" s="289"/>
    </row>
    <row r="648" spans="9:12" x14ac:dyDescent="0.25">
      <c r="I648" s="294"/>
      <c r="L648" s="289"/>
    </row>
    <row r="649" spans="9:12" x14ac:dyDescent="0.25">
      <c r="I649" s="294"/>
      <c r="L649" s="289"/>
    </row>
    <row r="650" spans="9:12" x14ac:dyDescent="0.25">
      <c r="I650" s="294"/>
      <c r="L650" s="289"/>
    </row>
    <row r="651" spans="9:12" x14ac:dyDescent="0.25">
      <c r="I651" s="294"/>
      <c r="L651" s="289"/>
    </row>
    <row r="652" spans="9:12" x14ac:dyDescent="0.25">
      <c r="I652" s="294"/>
      <c r="L652" s="289"/>
    </row>
    <row r="653" spans="9:12" x14ac:dyDescent="0.25">
      <c r="I653" s="294"/>
      <c r="L653" s="289"/>
    </row>
    <row r="654" spans="9:12" x14ac:dyDescent="0.25">
      <c r="I654" s="294"/>
      <c r="L654" s="289"/>
    </row>
    <row r="655" spans="9:12" x14ac:dyDescent="0.25">
      <c r="I655" s="294"/>
      <c r="L655" s="289"/>
    </row>
    <row r="656" spans="9:12" x14ac:dyDescent="0.25">
      <c r="I656" s="294"/>
      <c r="L656" s="289"/>
    </row>
    <row r="657" spans="9:12" x14ac:dyDescent="0.25">
      <c r="I657" s="294"/>
      <c r="L657" s="289"/>
    </row>
    <row r="658" spans="9:12" x14ac:dyDescent="0.25">
      <c r="I658" s="294"/>
      <c r="L658" s="289"/>
    </row>
    <row r="659" spans="9:12" x14ac:dyDescent="0.25">
      <c r="I659" s="294"/>
      <c r="L659" s="289"/>
    </row>
    <row r="660" spans="9:12" x14ac:dyDescent="0.25">
      <c r="I660" s="294"/>
      <c r="L660" s="289"/>
    </row>
    <row r="661" spans="9:12" x14ac:dyDescent="0.25">
      <c r="I661" s="294"/>
      <c r="L661" s="289"/>
    </row>
    <row r="662" spans="9:12" x14ac:dyDescent="0.25">
      <c r="I662" s="294"/>
      <c r="L662" s="289"/>
    </row>
    <row r="663" spans="9:12" x14ac:dyDescent="0.25">
      <c r="I663" s="294"/>
      <c r="L663" s="289"/>
    </row>
    <row r="664" spans="9:12" x14ac:dyDescent="0.25">
      <c r="I664" s="294"/>
      <c r="L664" s="289"/>
    </row>
    <row r="665" spans="9:12" x14ac:dyDescent="0.25">
      <c r="I665" s="294"/>
      <c r="L665" s="289"/>
    </row>
    <row r="666" spans="9:12" x14ac:dyDescent="0.25">
      <c r="I666" s="294"/>
      <c r="L666" s="289"/>
    </row>
    <row r="667" spans="9:12" x14ac:dyDescent="0.25">
      <c r="I667" s="294"/>
      <c r="L667" s="289"/>
    </row>
    <row r="668" spans="9:12" x14ac:dyDescent="0.25">
      <c r="I668" s="294"/>
      <c r="L668" s="289"/>
    </row>
    <row r="669" spans="9:12" x14ac:dyDescent="0.25">
      <c r="I669" s="294"/>
      <c r="L669" s="289"/>
    </row>
    <row r="670" spans="9:12" x14ac:dyDescent="0.25">
      <c r="I670" s="294"/>
      <c r="L670" s="289"/>
    </row>
    <row r="671" spans="9:12" x14ac:dyDescent="0.25">
      <c r="I671" s="294"/>
      <c r="L671" s="289"/>
    </row>
    <row r="672" spans="9:12" x14ac:dyDescent="0.25">
      <c r="I672" s="294"/>
      <c r="L672" s="289"/>
    </row>
    <row r="673" spans="9:12" x14ac:dyDescent="0.25">
      <c r="I673" s="294"/>
      <c r="L673" s="289"/>
    </row>
    <row r="674" spans="9:12" x14ac:dyDescent="0.25">
      <c r="I674" s="294"/>
      <c r="L674" s="289"/>
    </row>
    <row r="675" spans="9:12" x14ac:dyDescent="0.25">
      <c r="I675" s="294"/>
      <c r="L675" s="289"/>
    </row>
    <row r="676" spans="9:12" x14ac:dyDescent="0.25">
      <c r="I676" s="294"/>
      <c r="L676" s="289"/>
    </row>
    <row r="677" spans="9:12" x14ac:dyDescent="0.25">
      <c r="I677" s="294"/>
      <c r="L677" s="289"/>
    </row>
    <row r="678" spans="9:12" x14ac:dyDescent="0.25">
      <c r="I678" s="294"/>
      <c r="L678" s="289"/>
    </row>
    <row r="679" spans="9:12" x14ac:dyDescent="0.25">
      <c r="I679" s="294"/>
      <c r="L679" s="289"/>
    </row>
    <row r="680" spans="9:12" x14ac:dyDescent="0.25">
      <c r="I680" s="294"/>
      <c r="L680" s="289"/>
    </row>
    <row r="681" spans="9:12" x14ac:dyDescent="0.25">
      <c r="I681" s="294"/>
      <c r="L681" s="289"/>
    </row>
    <row r="682" spans="9:12" x14ac:dyDescent="0.25">
      <c r="I682" s="294"/>
      <c r="L682" s="289"/>
    </row>
    <row r="683" spans="9:12" x14ac:dyDescent="0.25">
      <c r="I683" s="294"/>
      <c r="L683" s="289"/>
    </row>
    <row r="684" spans="9:12" x14ac:dyDescent="0.25">
      <c r="I684" s="294"/>
      <c r="L684" s="289"/>
    </row>
    <row r="685" spans="9:12" x14ac:dyDescent="0.25">
      <c r="I685" s="294"/>
      <c r="L685" s="289"/>
    </row>
    <row r="686" spans="9:12" x14ac:dyDescent="0.25">
      <c r="I686" s="294"/>
      <c r="L686" s="289"/>
    </row>
    <row r="687" spans="9:12" x14ac:dyDescent="0.25">
      <c r="I687" s="294"/>
      <c r="L687" s="289"/>
    </row>
    <row r="688" spans="9:12" x14ac:dyDescent="0.25">
      <c r="I688" s="294"/>
      <c r="L688" s="289"/>
    </row>
    <row r="689" spans="9:12" x14ac:dyDescent="0.25">
      <c r="I689" s="294"/>
      <c r="L689" s="289"/>
    </row>
    <row r="690" spans="9:12" x14ac:dyDescent="0.25">
      <c r="I690" s="294"/>
      <c r="L690" s="289"/>
    </row>
    <row r="691" spans="9:12" x14ac:dyDescent="0.25">
      <c r="I691" s="294"/>
      <c r="L691" s="289"/>
    </row>
    <row r="692" spans="9:12" x14ac:dyDescent="0.25">
      <c r="I692" s="294"/>
      <c r="L692" s="289"/>
    </row>
    <row r="693" spans="9:12" x14ac:dyDescent="0.25">
      <c r="I693" s="294"/>
      <c r="L693" s="289"/>
    </row>
    <row r="694" spans="9:12" x14ac:dyDescent="0.25">
      <c r="I694" s="294"/>
      <c r="L694" s="289"/>
    </row>
    <row r="695" spans="9:12" x14ac:dyDescent="0.25">
      <c r="I695" s="294"/>
      <c r="L695" s="289"/>
    </row>
    <row r="696" spans="9:12" x14ac:dyDescent="0.25">
      <c r="I696" s="294"/>
      <c r="L696" s="289"/>
    </row>
    <row r="697" spans="9:12" x14ac:dyDescent="0.25">
      <c r="I697" s="294"/>
      <c r="L697" s="289"/>
    </row>
    <row r="698" spans="9:12" x14ac:dyDescent="0.25">
      <c r="I698" s="294"/>
      <c r="L698" s="289"/>
    </row>
    <row r="699" spans="9:12" x14ac:dyDescent="0.25">
      <c r="I699" s="294"/>
      <c r="L699" s="289"/>
    </row>
    <row r="700" spans="9:12" x14ac:dyDescent="0.25">
      <c r="I700" s="294"/>
      <c r="L700" s="289"/>
    </row>
    <row r="701" spans="9:12" x14ac:dyDescent="0.25">
      <c r="I701" s="294"/>
      <c r="L701" s="289"/>
    </row>
    <row r="702" spans="9:12" x14ac:dyDescent="0.25">
      <c r="I702" s="294"/>
      <c r="L702" s="289"/>
    </row>
    <row r="703" spans="9:12" x14ac:dyDescent="0.25">
      <c r="I703" s="294"/>
      <c r="L703" s="289"/>
    </row>
    <row r="704" spans="9:12" x14ac:dyDescent="0.25">
      <c r="I704" s="294"/>
      <c r="L704" s="289"/>
    </row>
    <row r="705" spans="9:12" x14ac:dyDescent="0.25">
      <c r="I705" s="294"/>
      <c r="L705" s="289"/>
    </row>
    <row r="706" spans="9:12" x14ac:dyDescent="0.25">
      <c r="I706" s="294"/>
      <c r="L706" s="289"/>
    </row>
    <row r="707" spans="9:12" x14ac:dyDescent="0.25">
      <c r="I707" s="294"/>
      <c r="L707" s="289"/>
    </row>
    <row r="708" spans="9:12" x14ac:dyDescent="0.25">
      <c r="I708" s="294"/>
      <c r="L708" s="289"/>
    </row>
    <row r="709" spans="9:12" x14ac:dyDescent="0.25">
      <c r="I709" s="294"/>
      <c r="L709" s="289"/>
    </row>
    <row r="710" spans="9:12" x14ac:dyDescent="0.25">
      <c r="I710" s="294"/>
      <c r="L710" s="289"/>
    </row>
    <row r="711" spans="9:12" x14ac:dyDescent="0.25">
      <c r="I711" s="294"/>
      <c r="L711" s="289"/>
    </row>
    <row r="712" spans="9:12" x14ac:dyDescent="0.25">
      <c r="I712" s="294"/>
      <c r="L712" s="289"/>
    </row>
    <row r="713" spans="9:12" x14ac:dyDescent="0.25">
      <c r="I713" s="294"/>
      <c r="L713" s="289"/>
    </row>
    <row r="714" spans="9:12" x14ac:dyDescent="0.25">
      <c r="I714" s="294"/>
      <c r="L714" s="289"/>
    </row>
    <row r="715" spans="9:12" x14ac:dyDescent="0.25">
      <c r="I715" s="294"/>
      <c r="L715" s="289"/>
    </row>
    <row r="716" spans="9:12" x14ac:dyDescent="0.25">
      <c r="I716" s="294"/>
      <c r="L716" s="289"/>
    </row>
    <row r="717" spans="9:12" x14ac:dyDescent="0.25">
      <c r="I717" s="294"/>
      <c r="L717" s="289"/>
    </row>
    <row r="718" spans="9:12" x14ac:dyDescent="0.25">
      <c r="I718" s="294"/>
      <c r="L718" s="289"/>
    </row>
    <row r="719" spans="9:12" x14ac:dyDescent="0.25">
      <c r="I719" s="294"/>
      <c r="L719" s="289"/>
    </row>
    <row r="720" spans="9:12" x14ac:dyDescent="0.25">
      <c r="I720" s="294"/>
      <c r="L720" s="289"/>
    </row>
    <row r="721" spans="9:12" x14ac:dyDescent="0.25">
      <c r="I721" s="294"/>
      <c r="L721" s="289"/>
    </row>
    <row r="722" spans="9:12" x14ac:dyDescent="0.25">
      <c r="I722" s="294"/>
      <c r="L722" s="289"/>
    </row>
    <row r="723" spans="9:12" x14ac:dyDescent="0.25">
      <c r="I723" s="294"/>
      <c r="L723" s="289"/>
    </row>
    <row r="724" spans="9:12" x14ac:dyDescent="0.25">
      <c r="I724" s="294"/>
      <c r="L724" s="289"/>
    </row>
    <row r="725" spans="9:12" x14ac:dyDescent="0.25">
      <c r="I725" s="294"/>
      <c r="L725" s="289"/>
    </row>
    <row r="726" spans="9:12" x14ac:dyDescent="0.25">
      <c r="I726" s="294"/>
      <c r="L726" s="289"/>
    </row>
    <row r="727" spans="9:12" x14ac:dyDescent="0.25">
      <c r="I727" s="294"/>
      <c r="L727" s="289"/>
    </row>
    <row r="728" spans="9:12" x14ac:dyDescent="0.25">
      <c r="I728" s="294"/>
      <c r="L728" s="289"/>
    </row>
    <row r="729" spans="9:12" x14ac:dyDescent="0.25">
      <c r="I729" s="294"/>
      <c r="L729" s="289"/>
    </row>
    <row r="730" spans="9:12" x14ac:dyDescent="0.25">
      <c r="I730" s="294"/>
      <c r="L730" s="289"/>
    </row>
    <row r="731" spans="9:12" x14ac:dyDescent="0.25">
      <c r="I731" s="294"/>
      <c r="L731" s="289"/>
    </row>
    <row r="732" spans="9:12" x14ac:dyDescent="0.25">
      <c r="I732" s="294"/>
      <c r="L732" s="289"/>
    </row>
    <row r="733" spans="9:12" x14ac:dyDescent="0.25">
      <c r="I733" s="294"/>
      <c r="L733" s="289"/>
    </row>
    <row r="734" spans="9:12" x14ac:dyDescent="0.25">
      <c r="I734" s="294"/>
      <c r="L734" s="289"/>
    </row>
    <row r="735" spans="9:12" x14ac:dyDescent="0.25">
      <c r="I735" s="294"/>
      <c r="L735" s="289"/>
    </row>
    <row r="736" spans="9:12" x14ac:dyDescent="0.25">
      <c r="I736" s="294"/>
      <c r="L736" s="289"/>
    </row>
    <row r="737" spans="9:12" x14ac:dyDescent="0.25">
      <c r="I737" s="294"/>
      <c r="L737" s="289"/>
    </row>
    <row r="738" spans="9:12" x14ac:dyDescent="0.25">
      <c r="I738" s="294"/>
      <c r="L738" s="289"/>
    </row>
    <row r="739" spans="9:12" x14ac:dyDescent="0.25">
      <c r="I739" s="294"/>
      <c r="L739" s="289"/>
    </row>
    <row r="740" spans="9:12" x14ac:dyDescent="0.25">
      <c r="I740" s="294"/>
      <c r="L740" s="289"/>
    </row>
    <row r="741" spans="9:12" x14ac:dyDescent="0.25">
      <c r="I741" s="294"/>
      <c r="L741" s="289"/>
    </row>
    <row r="742" spans="9:12" x14ac:dyDescent="0.25">
      <c r="I742" s="294"/>
      <c r="L742" s="289"/>
    </row>
    <row r="743" spans="9:12" x14ac:dyDescent="0.25">
      <c r="I743" s="294"/>
      <c r="L743" s="289"/>
    </row>
    <row r="744" spans="9:12" x14ac:dyDescent="0.25">
      <c r="I744" s="294"/>
      <c r="L744" s="289"/>
    </row>
    <row r="745" spans="9:12" x14ac:dyDescent="0.25">
      <c r="I745" s="294"/>
      <c r="L745" s="289"/>
    </row>
    <row r="746" spans="9:12" x14ac:dyDescent="0.25">
      <c r="I746" s="294"/>
      <c r="L746" s="289"/>
    </row>
    <row r="747" spans="9:12" x14ac:dyDescent="0.25">
      <c r="I747" s="294"/>
      <c r="L747" s="289"/>
    </row>
    <row r="748" spans="9:12" x14ac:dyDescent="0.25">
      <c r="I748" s="294"/>
      <c r="L748" s="289"/>
    </row>
    <row r="749" spans="9:12" x14ac:dyDescent="0.25">
      <c r="I749" s="294"/>
      <c r="L749" s="289"/>
    </row>
    <row r="750" spans="9:12" x14ac:dyDescent="0.25">
      <c r="I750" s="294"/>
      <c r="L750" s="289"/>
    </row>
    <row r="751" spans="9:12" x14ac:dyDescent="0.25">
      <c r="I751" s="294"/>
      <c r="L751" s="289"/>
    </row>
    <row r="752" spans="9:12" x14ac:dyDescent="0.25">
      <c r="I752" s="294"/>
      <c r="L752" s="289"/>
    </row>
    <row r="753" spans="9:12" x14ac:dyDescent="0.25">
      <c r="I753" s="294"/>
      <c r="L753" s="289"/>
    </row>
    <row r="754" spans="9:12" x14ac:dyDescent="0.25">
      <c r="I754" s="294"/>
      <c r="L754" s="289"/>
    </row>
    <row r="755" spans="9:12" x14ac:dyDescent="0.25">
      <c r="I755" s="294"/>
      <c r="L755" s="289"/>
    </row>
    <row r="756" spans="9:12" x14ac:dyDescent="0.25">
      <c r="I756" s="294"/>
      <c r="L756" s="289"/>
    </row>
    <row r="757" spans="9:12" x14ac:dyDescent="0.25">
      <c r="I757" s="294"/>
      <c r="L757" s="289"/>
    </row>
    <row r="758" spans="9:12" x14ac:dyDescent="0.25">
      <c r="I758" s="294"/>
      <c r="L758" s="289"/>
    </row>
    <row r="759" spans="9:12" x14ac:dyDescent="0.25">
      <c r="I759" s="294"/>
      <c r="L759" s="289"/>
    </row>
    <row r="760" spans="9:12" x14ac:dyDescent="0.25">
      <c r="I760" s="294"/>
      <c r="L760" s="289"/>
    </row>
    <row r="761" spans="9:12" x14ac:dyDescent="0.25">
      <c r="I761" s="294"/>
      <c r="L761" s="289"/>
    </row>
    <row r="762" spans="9:12" x14ac:dyDescent="0.25">
      <c r="I762" s="294"/>
      <c r="L762" s="289"/>
    </row>
    <row r="763" spans="9:12" x14ac:dyDescent="0.25">
      <c r="I763" s="294"/>
      <c r="L763" s="289"/>
    </row>
    <row r="764" spans="9:12" x14ac:dyDescent="0.25">
      <c r="I764" s="294"/>
      <c r="L764" s="289"/>
    </row>
    <row r="765" spans="9:12" x14ac:dyDescent="0.25">
      <c r="I765" s="294"/>
      <c r="L765" s="289"/>
    </row>
    <row r="766" spans="9:12" x14ac:dyDescent="0.25">
      <c r="I766" s="294"/>
      <c r="L766" s="289"/>
    </row>
    <row r="767" spans="9:12" x14ac:dyDescent="0.25">
      <c r="I767" s="294"/>
      <c r="L767" s="289"/>
    </row>
    <row r="768" spans="9:12" x14ac:dyDescent="0.25">
      <c r="I768" s="294"/>
      <c r="L768" s="289"/>
    </row>
    <row r="769" spans="9:12" x14ac:dyDescent="0.25">
      <c r="I769" s="294"/>
      <c r="L769" s="289"/>
    </row>
    <row r="770" spans="9:12" x14ac:dyDescent="0.25">
      <c r="I770" s="294"/>
      <c r="L770" s="289"/>
    </row>
    <row r="771" spans="9:12" x14ac:dyDescent="0.25">
      <c r="I771" s="294"/>
      <c r="L771" s="289"/>
    </row>
    <row r="772" spans="9:12" x14ac:dyDescent="0.25">
      <c r="I772" s="294"/>
      <c r="L772" s="289"/>
    </row>
    <row r="773" spans="9:12" x14ac:dyDescent="0.25">
      <c r="I773" s="294"/>
      <c r="L773" s="289"/>
    </row>
    <row r="774" spans="9:12" x14ac:dyDescent="0.25">
      <c r="I774" s="294"/>
      <c r="L774" s="289"/>
    </row>
    <row r="775" spans="9:12" x14ac:dyDescent="0.25">
      <c r="I775" s="294"/>
      <c r="L775" s="289"/>
    </row>
    <row r="776" spans="9:12" x14ac:dyDescent="0.25">
      <c r="I776" s="294"/>
      <c r="L776" s="289"/>
    </row>
    <row r="777" spans="9:12" x14ac:dyDescent="0.25">
      <c r="I777" s="294"/>
      <c r="L777" s="289"/>
    </row>
    <row r="778" spans="9:12" x14ac:dyDescent="0.25">
      <c r="I778" s="294"/>
      <c r="L778" s="289"/>
    </row>
    <row r="779" spans="9:12" x14ac:dyDescent="0.25">
      <c r="I779" s="294"/>
      <c r="L779" s="289"/>
    </row>
    <row r="780" spans="9:12" x14ac:dyDescent="0.25">
      <c r="I780" s="294"/>
      <c r="L780" s="289"/>
    </row>
    <row r="781" spans="9:12" x14ac:dyDescent="0.25">
      <c r="I781" s="294"/>
      <c r="L781" s="289"/>
    </row>
    <row r="782" spans="9:12" x14ac:dyDescent="0.25">
      <c r="I782" s="294"/>
      <c r="L782" s="289"/>
    </row>
    <row r="783" spans="9:12" x14ac:dyDescent="0.25">
      <c r="I783" s="294"/>
      <c r="L783" s="289"/>
    </row>
    <row r="784" spans="9:12" x14ac:dyDescent="0.25">
      <c r="I784" s="294"/>
      <c r="L784" s="289"/>
    </row>
    <row r="785" spans="9:12" x14ac:dyDescent="0.25">
      <c r="I785" s="294"/>
      <c r="L785" s="289"/>
    </row>
    <row r="786" spans="9:12" x14ac:dyDescent="0.25">
      <c r="I786" s="294"/>
      <c r="L786" s="289"/>
    </row>
    <row r="787" spans="9:12" x14ac:dyDescent="0.25">
      <c r="I787" s="294"/>
      <c r="L787" s="289"/>
    </row>
    <row r="788" spans="9:12" x14ac:dyDescent="0.25">
      <c r="I788" s="294"/>
      <c r="L788" s="289"/>
    </row>
    <row r="789" spans="9:12" x14ac:dyDescent="0.25">
      <c r="I789" s="294"/>
      <c r="L789" s="289"/>
    </row>
    <row r="790" spans="9:12" x14ac:dyDescent="0.25">
      <c r="I790" s="294"/>
      <c r="L790" s="289"/>
    </row>
    <row r="791" spans="9:12" x14ac:dyDescent="0.25">
      <c r="I791" s="294"/>
      <c r="L791" s="289"/>
    </row>
    <row r="792" spans="9:12" x14ac:dyDescent="0.25">
      <c r="I792" s="294"/>
      <c r="L792" s="289"/>
    </row>
    <row r="793" spans="9:12" x14ac:dyDescent="0.25">
      <c r="I793" s="294"/>
      <c r="L793" s="289"/>
    </row>
    <row r="794" spans="9:12" x14ac:dyDescent="0.25">
      <c r="I794" s="294"/>
      <c r="L794" s="289"/>
    </row>
    <row r="795" spans="9:12" x14ac:dyDescent="0.25">
      <c r="I795" s="294"/>
      <c r="L795" s="289"/>
    </row>
    <row r="796" spans="9:12" x14ac:dyDescent="0.25">
      <c r="I796" s="294"/>
      <c r="L796" s="289"/>
    </row>
    <row r="797" spans="9:12" x14ac:dyDescent="0.25">
      <c r="I797" s="294"/>
      <c r="L797" s="289"/>
    </row>
    <row r="798" spans="9:12" x14ac:dyDescent="0.25">
      <c r="I798" s="294"/>
      <c r="L798" s="289"/>
    </row>
    <row r="799" spans="9:12" x14ac:dyDescent="0.25">
      <c r="I799" s="294"/>
      <c r="L799" s="289"/>
    </row>
    <row r="800" spans="9:12" x14ac:dyDescent="0.25">
      <c r="I800" s="294"/>
      <c r="L800" s="289"/>
    </row>
    <row r="801" spans="9:12" x14ac:dyDescent="0.25">
      <c r="I801" s="294"/>
      <c r="L801" s="289"/>
    </row>
    <row r="802" spans="9:12" x14ac:dyDescent="0.25">
      <c r="I802" s="294"/>
      <c r="L802" s="289"/>
    </row>
    <row r="803" spans="9:12" x14ac:dyDescent="0.25">
      <c r="I803" s="294"/>
      <c r="L803" s="289"/>
    </row>
    <row r="804" spans="9:12" x14ac:dyDescent="0.25">
      <c r="I804" s="294"/>
      <c r="L804" s="289"/>
    </row>
    <row r="805" spans="9:12" x14ac:dyDescent="0.25">
      <c r="I805" s="294"/>
      <c r="L805" s="289"/>
    </row>
    <row r="806" spans="9:12" x14ac:dyDescent="0.25">
      <c r="I806" s="294"/>
      <c r="L806" s="289"/>
    </row>
    <row r="807" spans="9:12" x14ac:dyDescent="0.25">
      <c r="I807" s="294"/>
      <c r="L807" s="289"/>
    </row>
    <row r="808" spans="9:12" x14ac:dyDescent="0.25">
      <c r="I808" s="294"/>
      <c r="L808" s="289"/>
    </row>
    <row r="809" spans="9:12" x14ac:dyDescent="0.25">
      <c r="I809" s="294"/>
      <c r="L809" s="289"/>
    </row>
    <row r="810" spans="9:12" x14ac:dyDescent="0.25">
      <c r="I810" s="294"/>
      <c r="L810" s="289"/>
    </row>
    <row r="811" spans="9:12" x14ac:dyDescent="0.25">
      <c r="I811" s="294"/>
      <c r="L811" s="289"/>
    </row>
    <row r="812" spans="9:12" x14ac:dyDescent="0.25">
      <c r="I812" s="294"/>
      <c r="L812" s="289"/>
    </row>
    <row r="813" spans="9:12" x14ac:dyDescent="0.25">
      <c r="I813" s="294"/>
      <c r="L813" s="289"/>
    </row>
    <row r="814" spans="9:12" x14ac:dyDescent="0.25">
      <c r="I814" s="294"/>
      <c r="L814" s="289"/>
    </row>
    <row r="815" spans="9:12" x14ac:dyDescent="0.25">
      <c r="I815" s="294"/>
      <c r="L815" s="289"/>
    </row>
    <row r="816" spans="9:12" x14ac:dyDescent="0.25">
      <c r="I816" s="294"/>
      <c r="L816" s="289"/>
    </row>
    <row r="817" spans="9:12" x14ac:dyDescent="0.25">
      <c r="I817" s="294"/>
      <c r="L817" s="289"/>
    </row>
    <row r="818" spans="9:12" x14ac:dyDescent="0.25">
      <c r="I818" s="294"/>
      <c r="L818" s="289"/>
    </row>
    <row r="819" spans="9:12" x14ac:dyDescent="0.25">
      <c r="I819" s="294"/>
      <c r="L819" s="289"/>
    </row>
    <row r="820" spans="9:12" x14ac:dyDescent="0.25">
      <c r="I820" s="294"/>
      <c r="L820" s="289"/>
    </row>
    <row r="821" spans="9:12" x14ac:dyDescent="0.25">
      <c r="I821" s="294"/>
      <c r="L821" s="289"/>
    </row>
    <row r="822" spans="9:12" x14ac:dyDescent="0.25">
      <c r="I822" s="294"/>
      <c r="L822" s="289"/>
    </row>
    <row r="823" spans="9:12" x14ac:dyDescent="0.25">
      <c r="I823" s="294"/>
      <c r="L823" s="289"/>
    </row>
    <row r="824" spans="9:12" x14ac:dyDescent="0.25">
      <c r="I824" s="294"/>
      <c r="L824" s="289"/>
    </row>
    <row r="825" spans="9:12" x14ac:dyDescent="0.25">
      <c r="I825" s="294"/>
      <c r="L825" s="289"/>
    </row>
    <row r="826" spans="9:12" x14ac:dyDescent="0.25">
      <c r="I826" s="294"/>
      <c r="L826" s="289"/>
    </row>
    <row r="827" spans="9:12" x14ac:dyDescent="0.25">
      <c r="I827" s="294"/>
      <c r="L827" s="289"/>
    </row>
    <row r="828" spans="9:12" x14ac:dyDescent="0.25">
      <c r="I828" s="294"/>
      <c r="L828" s="289"/>
    </row>
    <row r="829" spans="9:12" x14ac:dyDescent="0.25">
      <c r="I829" s="294"/>
      <c r="L829" s="289"/>
    </row>
    <row r="830" spans="9:12" x14ac:dyDescent="0.25">
      <c r="I830" s="294"/>
      <c r="L830" s="289"/>
    </row>
    <row r="831" spans="9:12" x14ac:dyDescent="0.25">
      <c r="I831" s="294"/>
      <c r="L831" s="289"/>
    </row>
    <row r="832" spans="9:12" x14ac:dyDescent="0.25">
      <c r="I832" s="294"/>
      <c r="L832" s="289"/>
    </row>
    <row r="833" spans="9:12" x14ac:dyDescent="0.25">
      <c r="I833" s="294"/>
      <c r="L833" s="289"/>
    </row>
    <row r="834" spans="9:12" x14ac:dyDescent="0.25">
      <c r="I834" s="294"/>
      <c r="L834" s="289"/>
    </row>
    <row r="835" spans="9:12" x14ac:dyDescent="0.25">
      <c r="I835" s="294"/>
      <c r="L835" s="289"/>
    </row>
    <row r="836" spans="9:12" x14ac:dyDescent="0.25">
      <c r="I836" s="294"/>
      <c r="L836" s="289"/>
    </row>
    <row r="837" spans="9:12" x14ac:dyDescent="0.25">
      <c r="I837" s="294"/>
      <c r="L837" s="289"/>
    </row>
    <row r="838" spans="9:12" x14ac:dyDescent="0.25">
      <c r="I838" s="294"/>
      <c r="L838" s="289"/>
    </row>
    <row r="839" spans="9:12" x14ac:dyDescent="0.25">
      <c r="I839" s="294"/>
      <c r="L839" s="289"/>
    </row>
    <row r="840" spans="9:12" x14ac:dyDescent="0.25">
      <c r="I840" s="294"/>
      <c r="L840" s="289"/>
    </row>
    <row r="841" spans="9:12" x14ac:dyDescent="0.25">
      <c r="I841" s="294"/>
      <c r="L841" s="289"/>
    </row>
    <row r="842" spans="9:12" x14ac:dyDescent="0.25">
      <c r="I842" s="294"/>
      <c r="L842" s="289"/>
    </row>
    <row r="843" spans="9:12" x14ac:dyDescent="0.25">
      <c r="I843" s="294"/>
      <c r="L843" s="289"/>
    </row>
    <row r="844" spans="9:12" x14ac:dyDescent="0.25">
      <c r="I844" s="294"/>
      <c r="L844" s="289"/>
    </row>
    <row r="845" spans="9:12" x14ac:dyDescent="0.25">
      <c r="I845" s="294"/>
      <c r="L845" s="289"/>
    </row>
    <row r="846" spans="9:12" x14ac:dyDescent="0.25">
      <c r="I846" s="294"/>
      <c r="L846" s="289"/>
    </row>
    <row r="847" spans="9:12" x14ac:dyDescent="0.25">
      <c r="I847" s="294"/>
      <c r="L847" s="289"/>
    </row>
    <row r="848" spans="9:12" x14ac:dyDescent="0.25">
      <c r="I848" s="294"/>
      <c r="L848" s="289"/>
    </row>
    <row r="849" spans="9:12" x14ac:dyDescent="0.25">
      <c r="I849" s="294"/>
      <c r="L849" s="289"/>
    </row>
    <row r="850" spans="9:12" x14ac:dyDescent="0.25">
      <c r="I850" s="294"/>
      <c r="L850" s="289"/>
    </row>
    <row r="851" spans="9:12" x14ac:dyDescent="0.25">
      <c r="I851" s="294"/>
      <c r="L851" s="289"/>
    </row>
    <row r="852" spans="9:12" x14ac:dyDescent="0.25">
      <c r="I852" s="294"/>
      <c r="L852" s="289"/>
    </row>
    <row r="853" spans="9:12" x14ac:dyDescent="0.25">
      <c r="I853" s="294"/>
      <c r="L853" s="289"/>
    </row>
    <row r="854" spans="9:12" x14ac:dyDescent="0.25">
      <c r="I854" s="294"/>
      <c r="L854" s="289"/>
    </row>
    <row r="855" spans="9:12" x14ac:dyDescent="0.25">
      <c r="I855" s="294"/>
      <c r="L855" s="289"/>
    </row>
    <row r="856" spans="9:12" x14ac:dyDescent="0.25">
      <c r="I856" s="294"/>
      <c r="L856" s="289"/>
    </row>
    <row r="857" spans="9:12" x14ac:dyDescent="0.25">
      <c r="I857" s="294"/>
      <c r="L857" s="289"/>
    </row>
    <row r="858" spans="9:12" x14ac:dyDescent="0.25">
      <c r="I858" s="294"/>
      <c r="L858" s="289"/>
    </row>
    <row r="859" spans="9:12" x14ac:dyDescent="0.25">
      <c r="I859" s="294"/>
      <c r="L859" s="289"/>
    </row>
    <row r="860" spans="9:12" x14ac:dyDescent="0.25">
      <c r="I860" s="294"/>
      <c r="L860" s="289"/>
    </row>
    <row r="861" spans="9:12" x14ac:dyDescent="0.25">
      <c r="I861" s="294"/>
      <c r="L861" s="289"/>
    </row>
    <row r="862" spans="9:12" x14ac:dyDescent="0.25">
      <c r="I862" s="294"/>
      <c r="L862" s="289"/>
    </row>
    <row r="863" spans="9:12" x14ac:dyDescent="0.25">
      <c r="I863" s="294"/>
      <c r="L863" s="289"/>
    </row>
    <row r="864" spans="9:12" x14ac:dyDescent="0.25">
      <c r="I864" s="294"/>
      <c r="L864" s="289"/>
    </row>
    <row r="865" spans="9:12" x14ac:dyDescent="0.25">
      <c r="I865" s="294"/>
      <c r="L865" s="289"/>
    </row>
    <row r="866" spans="9:12" x14ac:dyDescent="0.25">
      <c r="I866" s="294"/>
      <c r="L866" s="289"/>
    </row>
    <row r="867" spans="9:12" x14ac:dyDescent="0.25">
      <c r="I867" s="294"/>
      <c r="L867" s="289"/>
    </row>
    <row r="868" spans="9:12" x14ac:dyDescent="0.25">
      <c r="I868" s="294"/>
      <c r="L868" s="289"/>
    </row>
    <row r="869" spans="9:12" x14ac:dyDescent="0.25">
      <c r="I869" s="294"/>
      <c r="L869" s="289"/>
    </row>
    <row r="870" spans="9:12" x14ac:dyDescent="0.25">
      <c r="I870" s="294"/>
      <c r="L870" s="289"/>
    </row>
    <row r="871" spans="9:12" x14ac:dyDescent="0.25">
      <c r="I871" s="294"/>
      <c r="L871" s="289"/>
    </row>
    <row r="872" spans="9:12" x14ac:dyDescent="0.25">
      <c r="I872" s="294"/>
      <c r="L872" s="289"/>
    </row>
    <row r="873" spans="9:12" x14ac:dyDescent="0.25">
      <c r="I873" s="294"/>
      <c r="L873" s="289"/>
    </row>
    <row r="874" spans="9:12" x14ac:dyDescent="0.25">
      <c r="I874" s="294"/>
      <c r="L874" s="289"/>
    </row>
    <row r="875" spans="9:12" x14ac:dyDescent="0.25">
      <c r="I875" s="294"/>
      <c r="L875" s="289"/>
    </row>
    <row r="876" spans="9:12" x14ac:dyDescent="0.25">
      <c r="I876" s="294"/>
      <c r="L876" s="289"/>
    </row>
    <row r="877" spans="9:12" x14ac:dyDescent="0.25">
      <c r="I877" s="294"/>
      <c r="L877" s="289"/>
    </row>
    <row r="878" spans="9:12" x14ac:dyDescent="0.25">
      <c r="I878" s="294"/>
      <c r="L878" s="289"/>
    </row>
    <row r="879" spans="9:12" x14ac:dyDescent="0.25">
      <c r="I879" s="294"/>
      <c r="L879" s="289"/>
    </row>
    <row r="880" spans="9:12" x14ac:dyDescent="0.25">
      <c r="I880" s="294"/>
      <c r="L880" s="289"/>
    </row>
    <row r="881" spans="9:12" x14ac:dyDescent="0.25">
      <c r="I881" s="294"/>
      <c r="L881" s="289"/>
    </row>
    <row r="882" spans="9:12" x14ac:dyDescent="0.25">
      <c r="I882" s="294"/>
      <c r="L882" s="289"/>
    </row>
    <row r="883" spans="9:12" x14ac:dyDescent="0.25">
      <c r="I883" s="294"/>
      <c r="L883" s="289"/>
    </row>
    <row r="884" spans="9:12" x14ac:dyDescent="0.25">
      <c r="I884" s="294"/>
      <c r="L884" s="289"/>
    </row>
    <row r="885" spans="9:12" x14ac:dyDescent="0.25">
      <c r="I885" s="294"/>
      <c r="L885" s="289"/>
    </row>
    <row r="886" spans="9:12" x14ac:dyDescent="0.25">
      <c r="I886" s="294"/>
      <c r="L886" s="289"/>
    </row>
    <row r="887" spans="9:12" x14ac:dyDescent="0.25">
      <c r="I887" s="294"/>
      <c r="L887" s="289"/>
    </row>
    <row r="888" spans="9:12" x14ac:dyDescent="0.25">
      <c r="I888" s="294"/>
      <c r="L888" s="289"/>
    </row>
    <row r="889" spans="9:12" x14ac:dyDescent="0.25">
      <c r="I889" s="294"/>
      <c r="L889" s="289"/>
    </row>
    <row r="890" spans="9:12" x14ac:dyDescent="0.25">
      <c r="I890" s="294"/>
      <c r="L890" s="289"/>
    </row>
    <row r="891" spans="9:12" x14ac:dyDescent="0.25">
      <c r="I891" s="294"/>
      <c r="L891" s="289"/>
    </row>
    <row r="892" spans="9:12" x14ac:dyDescent="0.25">
      <c r="I892" s="294"/>
      <c r="L892" s="289"/>
    </row>
    <row r="893" spans="9:12" x14ac:dyDescent="0.25">
      <c r="I893" s="294"/>
      <c r="L893" s="289"/>
    </row>
    <row r="894" spans="9:12" x14ac:dyDescent="0.25">
      <c r="I894" s="294"/>
      <c r="L894" s="289"/>
    </row>
    <row r="895" spans="9:12" x14ac:dyDescent="0.25">
      <c r="I895" s="294"/>
      <c r="L895" s="289"/>
    </row>
    <row r="896" spans="9:12" x14ac:dyDescent="0.25">
      <c r="I896" s="294"/>
      <c r="L896" s="289"/>
    </row>
    <row r="897" spans="9:12" x14ac:dyDescent="0.25">
      <c r="I897" s="294"/>
      <c r="L897" s="289"/>
    </row>
    <row r="898" spans="9:12" x14ac:dyDescent="0.25">
      <c r="I898" s="294"/>
      <c r="L898" s="289"/>
    </row>
    <row r="899" spans="9:12" x14ac:dyDescent="0.25">
      <c r="I899" s="294"/>
      <c r="L899" s="289"/>
    </row>
    <row r="900" spans="9:12" x14ac:dyDescent="0.25">
      <c r="I900" s="294"/>
      <c r="L900" s="289"/>
    </row>
    <row r="901" spans="9:12" x14ac:dyDescent="0.25">
      <c r="I901" s="294"/>
      <c r="L901" s="289"/>
    </row>
    <row r="902" spans="9:12" x14ac:dyDescent="0.25">
      <c r="I902" s="294"/>
      <c r="L902" s="289"/>
    </row>
    <row r="903" spans="9:12" x14ac:dyDescent="0.25">
      <c r="I903" s="294"/>
      <c r="L903" s="289"/>
    </row>
    <row r="904" spans="9:12" x14ac:dyDescent="0.25">
      <c r="I904" s="294"/>
      <c r="L904" s="289"/>
    </row>
    <row r="905" spans="9:12" x14ac:dyDescent="0.25">
      <c r="I905" s="294"/>
      <c r="L905" s="289"/>
    </row>
    <row r="906" spans="9:12" x14ac:dyDescent="0.25">
      <c r="I906" s="294"/>
      <c r="L906" s="289"/>
    </row>
    <row r="907" spans="9:12" x14ac:dyDescent="0.25">
      <c r="I907" s="294"/>
      <c r="L907" s="289"/>
    </row>
    <row r="908" spans="9:12" x14ac:dyDescent="0.25">
      <c r="I908" s="294"/>
      <c r="L908" s="289"/>
    </row>
    <row r="909" spans="9:12" x14ac:dyDescent="0.25">
      <c r="I909" s="294"/>
      <c r="L909" s="289"/>
    </row>
    <row r="910" spans="9:12" x14ac:dyDescent="0.25">
      <c r="I910" s="294"/>
      <c r="L910" s="289"/>
    </row>
    <row r="911" spans="9:12" x14ac:dyDescent="0.25">
      <c r="I911" s="294"/>
      <c r="L911" s="289"/>
    </row>
    <row r="912" spans="9:12" x14ac:dyDescent="0.25">
      <c r="I912" s="294"/>
      <c r="L912" s="289"/>
    </row>
    <row r="913" spans="9:12" x14ac:dyDescent="0.25">
      <c r="I913" s="294"/>
      <c r="L913" s="289"/>
    </row>
    <row r="914" spans="9:12" x14ac:dyDescent="0.25">
      <c r="I914" s="294"/>
      <c r="L914" s="289"/>
    </row>
    <row r="915" spans="9:12" x14ac:dyDescent="0.25">
      <c r="I915" s="294"/>
      <c r="L915" s="289"/>
    </row>
    <row r="916" spans="9:12" x14ac:dyDescent="0.25">
      <c r="I916" s="294"/>
      <c r="L916" s="289"/>
    </row>
    <row r="917" spans="9:12" x14ac:dyDescent="0.25">
      <c r="I917" s="294"/>
      <c r="L917" s="289"/>
    </row>
    <row r="918" spans="9:12" x14ac:dyDescent="0.25">
      <c r="I918" s="294"/>
      <c r="L918" s="289"/>
    </row>
    <row r="919" spans="9:12" x14ac:dyDescent="0.25">
      <c r="I919" s="294"/>
      <c r="L919" s="289"/>
    </row>
    <row r="920" spans="9:12" x14ac:dyDescent="0.25">
      <c r="I920" s="294"/>
      <c r="L920" s="289"/>
    </row>
    <row r="921" spans="9:12" x14ac:dyDescent="0.25">
      <c r="I921" s="294"/>
      <c r="L921" s="289"/>
    </row>
    <row r="922" spans="9:12" x14ac:dyDescent="0.25">
      <c r="I922" s="294"/>
      <c r="L922" s="289"/>
    </row>
    <row r="923" spans="9:12" x14ac:dyDescent="0.25">
      <c r="I923" s="294"/>
      <c r="L923" s="289"/>
    </row>
    <row r="924" spans="9:12" x14ac:dyDescent="0.25">
      <c r="I924" s="294"/>
      <c r="L924" s="289"/>
    </row>
    <row r="925" spans="9:12" x14ac:dyDescent="0.25">
      <c r="I925" s="294"/>
      <c r="L925" s="289"/>
    </row>
    <row r="926" spans="9:12" x14ac:dyDescent="0.25">
      <c r="I926" s="294"/>
      <c r="L926" s="289"/>
    </row>
    <row r="927" spans="9:12" x14ac:dyDescent="0.25">
      <c r="I927" s="294"/>
      <c r="L927" s="289"/>
    </row>
    <row r="928" spans="9:12" x14ac:dyDescent="0.25">
      <c r="I928" s="294"/>
      <c r="L928" s="289"/>
    </row>
    <row r="929" spans="9:12" x14ac:dyDescent="0.25">
      <c r="I929" s="294"/>
      <c r="L929" s="289"/>
    </row>
    <row r="930" spans="9:12" x14ac:dyDescent="0.25">
      <c r="I930" s="294"/>
      <c r="L930" s="289"/>
    </row>
    <row r="931" spans="9:12" x14ac:dyDescent="0.25">
      <c r="I931" s="294"/>
      <c r="L931" s="289"/>
    </row>
    <row r="932" spans="9:12" x14ac:dyDescent="0.25">
      <c r="I932" s="294"/>
      <c r="L932" s="289"/>
    </row>
    <row r="933" spans="9:12" x14ac:dyDescent="0.25">
      <c r="I933" s="294"/>
      <c r="L933" s="289"/>
    </row>
    <row r="934" spans="9:12" x14ac:dyDescent="0.25">
      <c r="I934" s="294"/>
      <c r="L934" s="289"/>
    </row>
    <row r="935" spans="9:12" x14ac:dyDescent="0.25">
      <c r="I935" s="294"/>
      <c r="L935" s="289"/>
    </row>
    <row r="936" spans="9:12" x14ac:dyDescent="0.25">
      <c r="I936" s="294"/>
      <c r="L936" s="289"/>
    </row>
    <row r="937" spans="9:12" x14ac:dyDescent="0.25">
      <c r="I937" s="294"/>
      <c r="L937" s="289"/>
    </row>
    <row r="938" spans="9:12" x14ac:dyDescent="0.25">
      <c r="I938" s="294"/>
      <c r="L938" s="289"/>
    </row>
    <row r="939" spans="9:12" x14ac:dyDescent="0.25">
      <c r="I939" s="294"/>
      <c r="L939" s="289"/>
    </row>
    <row r="940" spans="9:12" x14ac:dyDescent="0.25">
      <c r="I940" s="294"/>
      <c r="L940" s="289"/>
    </row>
    <row r="941" spans="9:12" x14ac:dyDescent="0.25">
      <c r="I941" s="294"/>
      <c r="L941" s="289"/>
    </row>
    <row r="942" spans="9:12" x14ac:dyDescent="0.25">
      <c r="I942" s="294"/>
      <c r="L942" s="289"/>
    </row>
    <row r="943" spans="9:12" x14ac:dyDescent="0.25">
      <c r="I943" s="294"/>
      <c r="L943" s="289"/>
    </row>
    <row r="944" spans="9:12" x14ac:dyDescent="0.25">
      <c r="I944" s="294"/>
      <c r="L944" s="289"/>
    </row>
    <row r="945" spans="9:12" x14ac:dyDescent="0.25">
      <c r="I945" s="294"/>
      <c r="L945" s="289"/>
    </row>
    <row r="946" spans="9:12" x14ac:dyDescent="0.25">
      <c r="I946" s="294"/>
      <c r="L946" s="289"/>
    </row>
    <row r="947" spans="9:12" x14ac:dyDescent="0.25">
      <c r="I947" s="294"/>
      <c r="L947" s="289"/>
    </row>
    <row r="948" spans="9:12" x14ac:dyDescent="0.25">
      <c r="I948" s="294"/>
      <c r="L948" s="289"/>
    </row>
    <row r="949" spans="9:12" x14ac:dyDescent="0.25">
      <c r="I949" s="294"/>
      <c r="L949" s="289"/>
    </row>
    <row r="950" spans="9:12" x14ac:dyDescent="0.25">
      <c r="I950" s="294"/>
      <c r="L950" s="289"/>
    </row>
    <row r="951" spans="9:12" x14ac:dyDescent="0.25">
      <c r="I951" s="294"/>
      <c r="L951" s="289"/>
    </row>
    <row r="952" spans="9:12" x14ac:dyDescent="0.25">
      <c r="I952" s="294"/>
      <c r="L952" s="289"/>
    </row>
    <row r="953" spans="9:12" x14ac:dyDescent="0.25">
      <c r="I953" s="294"/>
      <c r="L953" s="289"/>
    </row>
    <row r="954" spans="9:12" x14ac:dyDescent="0.25">
      <c r="I954" s="294"/>
      <c r="L954" s="289"/>
    </row>
    <row r="955" spans="9:12" x14ac:dyDescent="0.25">
      <c r="I955" s="294"/>
      <c r="L955" s="289"/>
    </row>
    <row r="956" spans="9:12" x14ac:dyDescent="0.25">
      <c r="I956" s="294"/>
      <c r="L956" s="289"/>
    </row>
    <row r="957" spans="9:12" x14ac:dyDescent="0.25">
      <c r="I957" s="294"/>
      <c r="L957" s="289"/>
    </row>
    <row r="958" spans="9:12" x14ac:dyDescent="0.25">
      <c r="I958" s="294"/>
      <c r="L958" s="289"/>
    </row>
    <row r="959" spans="9:12" x14ac:dyDescent="0.25">
      <c r="I959" s="294"/>
      <c r="L959" s="289"/>
    </row>
    <row r="960" spans="9:12" x14ac:dyDescent="0.25">
      <c r="I960" s="294"/>
      <c r="L960" s="289"/>
    </row>
    <row r="961" spans="9:12" x14ac:dyDescent="0.25">
      <c r="I961" s="294"/>
      <c r="L961" s="289"/>
    </row>
    <row r="962" spans="9:12" x14ac:dyDescent="0.25">
      <c r="I962" s="294"/>
      <c r="L962" s="289"/>
    </row>
    <row r="963" spans="9:12" x14ac:dyDescent="0.25">
      <c r="I963" s="294"/>
      <c r="L963" s="289"/>
    </row>
    <row r="964" spans="9:12" x14ac:dyDescent="0.25">
      <c r="I964" s="294"/>
      <c r="L964" s="289"/>
    </row>
    <row r="965" spans="9:12" x14ac:dyDescent="0.25">
      <c r="I965" s="294"/>
      <c r="L965" s="289"/>
    </row>
    <row r="966" spans="9:12" x14ac:dyDescent="0.25">
      <c r="I966" s="294"/>
      <c r="L966" s="289"/>
    </row>
    <row r="967" spans="9:12" x14ac:dyDescent="0.25">
      <c r="I967" s="294"/>
      <c r="L967" s="289"/>
    </row>
    <row r="968" spans="9:12" x14ac:dyDescent="0.25">
      <c r="I968" s="294"/>
      <c r="L968" s="289"/>
    </row>
    <row r="969" spans="9:12" x14ac:dyDescent="0.25">
      <c r="I969" s="294"/>
      <c r="L969" s="289"/>
    </row>
    <row r="970" spans="9:12" x14ac:dyDescent="0.25">
      <c r="I970" s="294"/>
      <c r="L970" s="289"/>
    </row>
    <row r="971" spans="9:12" x14ac:dyDescent="0.25">
      <c r="I971" s="294"/>
      <c r="L971" s="289"/>
    </row>
    <row r="972" spans="9:12" x14ac:dyDescent="0.25">
      <c r="I972" s="294"/>
      <c r="L972" s="289"/>
    </row>
    <row r="973" spans="9:12" x14ac:dyDescent="0.25">
      <c r="I973" s="294"/>
      <c r="L973" s="289"/>
    </row>
    <row r="974" spans="9:12" x14ac:dyDescent="0.25">
      <c r="I974" s="294"/>
      <c r="L974" s="289"/>
    </row>
    <row r="975" spans="9:12" x14ac:dyDescent="0.25">
      <c r="I975" s="294"/>
      <c r="L975" s="289"/>
    </row>
    <row r="976" spans="9:12" x14ac:dyDescent="0.25">
      <c r="I976" s="294"/>
      <c r="L976" s="289"/>
    </row>
    <row r="977" spans="9:12" x14ac:dyDescent="0.25">
      <c r="I977" s="294"/>
      <c r="L977" s="289"/>
    </row>
    <row r="978" spans="9:12" x14ac:dyDescent="0.25">
      <c r="I978" s="294"/>
      <c r="L978" s="289"/>
    </row>
    <row r="979" spans="9:12" x14ac:dyDescent="0.25">
      <c r="I979" s="294"/>
      <c r="L979" s="289"/>
    </row>
    <row r="980" spans="9:12" x14ac:dyDescent="0.25">
      <c r="I980" s="294"/>
      <c r="L980" s="289"/>
    </row>
    <row r="981" spans="9:12" x14ac:dyDescent="0.25">
      <c r="I981" s="294"/>
      <c r="L981" s="289"/>
    </row>
    <row r="982" spans="9:12" x14ac:dyDescent="0.25">
      <c r="I982" s="294"/>
      <c r="L982" s="289"/>
    </row>
    <row r="983" spans="9:12" x14ac:dyDescent="0.25">
      <c r="I983" s="294"/>
      <c r="L983" s="289"/>
    </row>
    <row r="984" spans="9:12" x14ac:dyDescent="0.25">
      <c r="I984" s="294"/>
      <c r="L984" s="289"/>
    </row>
    <row r="985" spans="9:12" x14ac:dyDescent="0.25">
      <c r="I985" s="294"/>
      <c r="L985" s="289"/>
    </row>
    <row r="986" spans="9:12" x14ac:dyDescent="0.25">
      <c r="I986" s="294"/>
      <c r="L986" s="289"/>
    </row>
    <row r="987" spans="9:12" x14ac:dyDescent="0.25">
      <c r="I987" s="294"/>
      <c r="L987" s="289"/>
    </row>
    <row r="988" spans="9:12" x14ac:dyDescent="0.25">
      <c r="I988" s="294"/>
      <c r="L988" s="289"/>
    </row>
    <row r="989" spans="9:12" x14ac:dyDescent="0.25">
      <c r="I989" s="294"/>
      <c r="L989" s="289"/>
    </row>
    <row r="990" spans="9:12" x14ac:dyDescent="0.25">
      <c r="I990" s="294"/>
      <c r="L990" s="289"/>
    </row>
    <row r="991" spans="9:12" x14ac:dyDescent="0.25">
      <c r="I991" s="294"/>
      <c r="L991" s="289"/>
    </row>
    <row r="992" spans="9:12" x14ac:dyDescent="0.25">
      <c r="I992" s="294"/>
      <c r="L992" s="289"/>
    </row>
    <row r="993" spans="9:12" x14ac:dyDescent="0.25">
      <c r="I993" s="294"/>
      <c r="L993" s="289"/>
    </row>
    <row r="994" spans="9:12" x14ac:dyDescent="0.25">
      <c r="I994" s="294"/>
      <c r="L994" s="289"/>
    </row>
    <row r="995" spans="9:12" x14ac:dyDescent="0.25">
      <c r="I995" s="294"/>
      <c r="L995" s="289"/>
    </row>
    <row r="996" spans="9:12" x14ac:dyDescent="0.25">
      <c r="I996" s="294"/>
      <c r="L996" s="289"/>
    </row>
    <row r="997" spans="9:12" x14ac:dyDescent="0.25">
      <c r="I997" s="294"/>
      <c r="L997" s="289"/>
    </row>
    <row r="998" spans="9:12" x14ac:dyDescent="0.25">
      <c r="I998" s="294"/>
      <c r="L998" s="289"/>
    </row>
    <row r="999" spans="9:12" x14ac:dyDescent="0.25">
      <c r="I999" s="294"/>
      <c r="L999" s="289"/>
    </row>
    <row r="1000" spans="9:12" x14ac:dyDescent="0.25">
      <c r="I1000" s="294"/>
      <c r="L1000" s="289"/>
    </row>
    <row r="1001" spans="9:12" x14ac:dyDescent="0.25">
      <c r="I1001" s="294"/>
      <c r="L1001" s="289"/>
    </row>
    <row r="1002" spans="9:12" x14ac:dyDescent="0.25">
      <c r="I1002" s="294"/>
      <c r="L1002" s="289"/>
    </row>
    <row r="1003" spans="9:12" x14ac:dyDescent="0.25">
      <c r="I1003" s="294"/>
      <c r="L1003" s="289"/>
    </row>
    <row r="1004" spans="9:12" x14ac:dyDescent="0.25">
      <c r="I1004" s="294"/>
      <c r="L1004" s="289"/>
    </row>
    <row r="1005" spans="9:12" x14ac:dyDescent="0.25">
      <c r="I1005" s="294"/>
      <c r="L1005" s="289"/>
    </row>
    <row r="1006" spans="9:12" x14ac:dyDescent="0.25">
      <c r="I1006" s="294"/>
      <c r="L1006" s="289"/>
    </row>
    <row r="1007" spans="9:12" x14ac:dyDescent="0.25">
      <c r="I1007" s="294"/>
      <c r="L1007" s="289"/>
    </row>
    <row r="1008" spans="9:12" x14ac:dyDescent="0.25">
      <c r="I1008" s="294"/>
      <c r="L1008" s="289"/>
    </row>
    <row r="1009" spans="9:12" x14ac:dyDescent="0.25">
      <c r="I1009" s="294"/>
      <c r="L1009" s="289"/>
    </row>
    <row r="1010" spans="9:12" x14ac:dyDescent="0.25">
      <c r="I1010" s="294"/>
      <c r="L1010" s="289"/>
    </row>
    <row r="1011" spans="9:12" x14ac:dyDescent="0.25">
      <c r="I1011" s="294"/>
      <c r="L1011" s="289"/>
    </row>
    <row r="1012" spans="9:12" x14ac:dyDescent="0.25">
      <c r="I1012" s="294"/>
      <c r="L1012" s="289"/>
    </row>
    <row r="1013" spans="9:12" x14ac:dyDescent="0.25">
      <c r="I1013" s="294"/>
      <c r="L1013" s="289"/>
    </row>
    <row r="1014" spans="9:12" x14ac:dyDescent="0.25">
      <c r="I1014" s="294"/>
      <c r="L1014" s="289"/>
    </row>
    <row r="1015" spans="9:12" x14ac:dyDescent="0.25">
      <c r="I1015" s="294"/>
      <c r="L1015" s="289"/>
    </row>
    <row r="1016" spans="9:12" x14ac:dyDescent="0.25">
      <c r="I1016" s="294"/>
      <c r="L1016" s="289"/>
    </row>
    <row r="1017" spans="9:12" x14ac:dyDescent="0.25">
      <c r="I1017" s="294"/>
      <c r="L1017" s="289"/>
    </row>
    <row r="1018" spans="9:12" x14ac:dyDescent="0.25">
      <c r="I1018" s="294"/>
      <c r="L1018" s="289"/>
    </row>
    <row r="1019" spans="9:12" x14ac:dyDescent="0.25">
      <c r="I1019" s="294"/>
      <c r="L1019" s="289"/>
    </row>
    <row r="1020" spans="9:12" x14ac:dyDescent="0.25">
      <c r="I1020" s="294"/>
      <c r="L1020" s="289"/>
    </row>
    <row r="1021" spans="9:12" x14ac:dyDescent="0.25">
      <c r="I1021" s="294"/>
      <c r="L1021" s="289"/>
    </row>
    <row r="1022" spans="9:12" x14ac:dyDescent="0.25">
      <c r="I1022" s="294"/>
      <c r="L1022" s="289"/>
    </row>
    <row r="1023" spans="9:12" x14ac:dyDescent="0.25">
      <c r="I1023" s="294"/>
      <c r="L1023" s="289"/>
    </row>
    <row r="1024" spans="9:12" x14ac:dyDescent="0.25">
      <c r="I1024" s="294"/>
      <c r="L1024" s="289"/>
    </row>
    <row r="1025" spans="9:12" x14ac:dyDescent="0.25">
      <c r="I1025" s="294"/>
      <c r="L1025" s="289"/>
    </row>
    <row r="1026" spans="9:12" x14ac:dyDescent="0.25">
      <c r="I1026" s="294"/>
      <c r="L1026" s="289"/>
    </row>
    <row r="1027" spans="9:12" x14ac:dyDescent="0.25">
      <c r="I1027" s="294"/>
      <c r="L1027" s="289"/>
    </row>
    <row r="1028" spans="9:12" x14ac:dyDescent="0.25">
      <c r="I1028" s="294"/>
      <c r="L1028" s="289"/>
    </row>
    <row r="1029" spans="9:12" x14ac:dyDescent="0.25">
      <c r="I1029" s="294"/>
      <c r="L1029" s="289"/>
    </row>
    <row r="1030" spans="9:12" x14ac:dyDescent="0.25">
      <c r="I1030" s="294"/>
      <c r="L1030" s="289"/>
    </row>
    <row r="1031" spans="9:12" x14ac:dyDescent="0.25">
      <c r="I1031" s="294"/>
      <c r="L1031" s="289"/>
    </row>
    <row r="1032" spans="9:12" x14ac:dyDescent="0.25">
      <c r="I1032" s="294"/>
      <c r="L1032" s="289"/>
    </row>
    <row r="1033" spans="9:12" x14ac:dyDescent="0.25">
      <c r="I1033" s="294"/>
      <c r="L1033" s="289"/>
    </row>
    <row r="1034" spans="9:12" x14ac:dyDescent="0.25">
      <c r="I1034" s="294"/>
      <c r="L1034" s="289"/>
    </row>
    <row r="1035" spans="9:12" x14ac:dyDescent="0.25">
      <c r="I1035" s="294"/>
      <c r="L1035" s="289"/>
    </row>
    <row r="1036" spans="9:12" x14ac:dyDescent="0.25">
      <c r="I1036" s="294"/>
      <c r="L1036" s="289"/>
    </row>
    <row r="1037" spans="9:12" x14ac:dyDescent="0.25">
      <c r="I1037" s="294"/>
      <c r="L1037" s="289"/>
    </row>
    <row r="1038" spans="9:12" x14ac:dyDescent="0.25">
      <c r="I1038" s="294"/>
      <c r="L1038" s="289"/>
    </row>
    <row r="1039" spans="9:12" x14ac:dyDescent="0.25">
      <c r="I1039" s="294"/>
      <c r="L1039" s="289"/>
    </row>
    <row r="1040" spans="9:12" x14ac:dyDescent="0.25">
      <c r="I1040" s="294"/>
      <c r="L1040" s="289"/>
    </row>
    <row r="1041" spans="9:12" x14ac:dyDescent="0.25">
      <c r="I1041" s="294"/>
      <c r="L1041" s="289"/>
    </row>
    <row r="1042" spans="9:12" x14ac:dyDescent="0.25">
      <c r="I1042" s="294"/>
      <c r="L1042" s="289"/>
    </row>
    <row r="1043" spans="9:12" x14ac:dyDescent="0.25">
      <c r="I1043" s="294"/>
      <c r="L1043" s="289"/>
    </row>
    <row r="1044" spans="9:12" x14ac:dyDescent="0.25">
      <c r="I1044" s="294"/>
      <c r="L1044" s="289"/>
    </row>
    <row r="1045" spans="9:12" x14ac:dyDescent="0.25">
      <c r="I1045" s="294"/>
      <c r="L1045" s="289"/>
    </row>
    <row r="1046" spans="9:12" x14ac:dyDescent="0.25">
      <c r="I1046" s="294"/>
      <c r="L1046" s="289"/>
    </row>
    <row r="1047" spans="9:12" x14ac:dyDescent="0.25">
      <c r="I1047" s="294"/>
      <c r="L1047" s="289"/>
    </row>
    <row r="1048" spans="9:12" x14ac:dyDescent="0.25">
      <c r="I1048" s="294"/>
      <c r="L1048" s="289"/>
    </row>
    <row r="1049" spans="9:12" x14ac:dyDescent="0.25">
      <c r="I1049" s="294"/>
      <c r="L1049" s="289"/>
    </row>
    <row r="1050" spans="9:12" x14ac:dyDescent="0.25">
      <c r="I1050" s="294"/>
      <c r="L1050" s="289"/>
    </row>
    <row r="1051" spans="9:12" x14ac:dyDescent="0.25">
      <c r="I1051" s="294"/>
      <c r="L1051" s="289"/>
    </row>
    <row r="1052" spans="9:12" x14ac:dyDescent="0.25">
      <c r="I1052" s="294"/>
      <c r="L1052" s="289"/>
    </row>
    <row r="1053" spans="9:12" x14ac:dyDescent="0.25">
      <c r="I1053" s="294"/>
      <c r="L1053" s="289"/>
    </row>
    <row r="1054" spans="9:12" x14ac:dyDescent="0.25">
      <c r="I1054" s="294"/>
      <c r="L1054" s="289"/>
    </row>
    <row r="1055" spans="9:12" x14ac:dyDescent="0.25">
      <c r="I1055" s="294"/>
      <c r="L1055" s="289"/>
    </row>
    <row r="1056" spans="9:12" x14ac:dyDescent="0.25">
      <c r="I1056" s="294"/>
      <c r="L1056" s="289"/>
    </row>
    <row r="1057" spans="9:12" x14ac:dyDescent="0.25">
      <c r="I1057" s="294"/>
      <c r="L1057" s="289"/>
    </row>
    <row r="1058" spans="9:12" x14ac:dyDescent="0.25">
      <c r="I1058" s="294"/>
      <c r="L1058" s="289"/>
    </row>
    <row r="1059" spans="9:12" x14ac:dyDescent="0.25">
      <c r="I1059" s="294"/>
      <c r="L1059" s="289"/>
    </row>
    <row r="1060" spans="9:12" x14ac:dyDescent="0.25">
      <c r="I1060" s="294"/>
      <c r="L1060" s="289"/>
    </row>
    <row r="1061" spans="9:12" x14ac:dyDescent="0.25">
      <c r="I1061" s="294"/>
      <c r="L1061" s="289"/>
    </row>
    <row r="1062" spans="9:12" x14ac:dyDescent="0.25">
      <c r="I1062" s="294"/>
      <c r="L1062" s="289"/>
    </row>
    <row r="1063" spans="9:12" x14ac:dyDescent="0.25">
      <c r="I1063" s="294"/>
      <c r="L1063" s="289"/>
    </row>
    <row r="1064" spans="9:12" x14ac:dyDescent="0.25">
      <c r="I1064" s="294"/>
      <c r="L1064" s="289"/>
    </row>
    <row r="1065" spans="9:12" x14ac:dyDescent="0.25">
      <c r="I1065" s="294"/>
      <c r="L1065" s="289"/>
    </row>
    <row r="1066" spans="9:12" x14ac:dyDescent="0.25">
      <c r="I1066" s="294"/>
      <c r="L1066" s="289"/>
    </row>
    <row r="1067" spans="9:12" x14ac:dyDescent="0.25">
      <c r="I1067" s="294"/>
      <c r="L1067" s="289"/>
    </row>
    <row r="1068" spans="9:12" x14ac:dyDescent="0.25">
      <c r="I1068" s="294"/>
      <c r="L1068" s="289"/>
    </row>
    <row r="1069" spans="9:12" x14ac:dyDescent="0.25">
      <c r="I1069" s="294"/>
      <c r="L1069" s="289"/>
    </row>
    <row r="1070" spans="9:12" x14ac:dyDescent="0.25">
      <c r="I1070" s="294"/>
      <c r="L1070" s="289"/>
    </row>
    <row r="1071" spans="9:12" x14ac:dyDescent="0.25">
      <c r="I1071" s="294"/>
      <c r="L1071" s="289"/>
    </row>
    <row r="1072" spans="9:12" x14ac:dyDescent="0.25">
      <c r="I1072" s="294"/>
      <c r="L1072" s="289"/>
    </row>
    <row r="1073" spans="9:12" x14ac:dyDescent="0.25">
      <c r="I1073" s="294"/>
      <c r="L1073" s="289"/>
    </row>
    <row r="1074" spans="9:12" x14ac:dyDescent="0.25">
      <c r="I1074" s="294"/>
      <c r="L1074" s="289"/>
    </row>
    <row r="1075" spans="9:12" x14ac:dyDescent="0.25">
      <c r="I1075" s="294"/>
      <c r="L1075" s="289"/>
    </row>
    <row r="1076" spans="9:12" x14ac:dyDescent="0.25">
      <c r="I1076" s="294"/>
      <c r="L1076" s="289"/>
    </row>
    <row r="1077" spans="9:12" x14ac:dyDescent="0.25">
      <c r="I1077" s="294"/>
      <c r="L1077" s="289"/>
    </row>
    <row r="1078" spans="9:12" x14ac:dyDescent="0.25">
      <c r="I1078" s="294"/>
      <c r="L1078" s="289"/>
    </row>
    <row r="1079" spans="9:12" x14ac:dyDescent="0.25">
      <c r="I1079" s="294"/>
      <c r="L1079" s="289"/>
    </row>
    <row r="1080" spans="9:12" x14ac:dyDescent="0.25">
      <c r="I1080" s="294"/>
      <c r="L1080" s="289"/>
    </row>
    <row r="1081" spans="9:12" x14ac:dyDescent="0.25">
      <c r="I1081" s="294"/>
      <c r="L1081" s="289"/>
    </row>
    <row r="1082" spans="9:12" x14ac:dyDescent="0.25">
      <c r="I1082" s="294"/>
      <c r="L1082" s="289"/>
    </row>
    <row r="1083" spans="9:12" x14ac:dyDescent="0.25">
      <c r="I1083" s="294"/>
      <c r="L1083" s="289"/>
    </row>
    <row r="1084" spans="9:12" x14ac:dyDescent="0.25">
      <c r="I1084" s="294"/>
      <c r="L1084" s="289"/>
    </row>
    <row r="1085" spans="9:12" x14ac:dyDescent="0.25">
      <c r="I1085" s="294"/>
      <c r="L1085" s="289"/>
    </row>
    <row r="1086" spans="9:12" x14ac:dyDescent="0.25">
      <c r="I1086" s="294"/>
      <c r="L1086" s="289"/>
    </row>
    <row r="1087" spans="9:12" x14ac:dyDescent="0.25">
      <c r="I1087" s="294"/>
      <c r="L1087" s="289"/>
    </row>
    <row r="1088" spans="9:12" x14ac:dyDescent="0.25">
      <c r="I1088" s="294"/>
      <c r="L1088" s="289"/>
    </row>
    <row r="1089" spans="9:12" x14ac:dyDescent="0.25">
      <c r="I1089" s="294"/>
      <c r="L1089" s="289"/>
    </row>
    <row r="1090" spans="9:12" x14ac:dyDescent="0.25">
      <c r="I1090" s="294"/>
      <c r="L1090" s="289"/>
    </row>
    <row r="1091" spans="9:12" x14ac:dyDescent="0.25">
      <c r="I1091" s="294"/>
      <c r="L1091" s="289"/>
    </row>
    <row r="1092" spans="9:12" x14ac:dyDescent="0.25">
      <c r="I1092" s="294"/>
      <c r="L1092" s="289"/>
    </row>
    <row r="1093" spans="9:12" x14ac:dyDescent="0.25">
      <c r="I1093" s="294"/>
      <c r="L1093" s="289"/>
    </row>
    <row r="1094" spans="9:12" x14ac:dyDescent="0.25">
      <c r="I1094" s="294"/>
      <c r="L1094" s="289"/>
    </row>
    <row r="1095" spans="9:12" x14ac:dyDescent="0.25">
      <c r="I1095" s="294"/>
      <c r="L1095" s="289"/>
    </row>
    <row r="1096" spans="9:12" x14ac:dyDescent="0.25">
      <c r="I1096" s="294"/>
      <c r="L1096" s="289"/>
    </row>
    <row r="1097" spans="9:12" x14ac:dyDescent="0.25">
      <c r="I1097" s="294"/>
      <c r="L1097" s="289"/>
    </row>
    <row r="1098" spans="9:12" x14ac:dyDescent="0.25">
      <c r="I1098" s="294"/>
      <c r="L1098" s="289"/>
    </row>
    <row r="1099" spans="9:12" x14ac:dyDescent="0.25">
      <c r="I1099" s="294"/>
      <c r="L1099" s="289"/>
    </row>
    <row r="1100" spans="9:12" x14ac:dyDescent="0.25">
      <c r="I1100" s="294"/>
      <c r="L1100" s="289"/>
    </row>
    <row r="1101" spans="9:12" x14ac:dyDescent="0.25">
      <c r="I1101" s="294"/>
      <c r="L1101" s="289"/>
    </row>
    <row r="1102" spans="9:12" x14ac:dyDescent="0.25">
      <c r="I1102" s="294"/>
      <c r="L1102" s="289"/>
    </row>
    <row r="1103" spans="9:12" x14ac:dyDescent="0.25">
      <c r="I1103" s="294"/>
      <c r="L1103" s="289"/>
    </row>
    <row r="1104" spans="9:12" x14ac:dyDescent="0.25">
      <c r="I1104" s="294"/>
      <c r="L1104" s="289"/>
    </row>
    <row r="1105" spans="9:12" x14ac:dyDescent="0.25">
      <c r="I1105" s="294"/>
      <c r="L1105" s="289"/>
    </row>
    <row r="1106" spans="9:12" x14ac:dyDescent="0.25">
      <c r="I1106" s="294"/>
      <c r="L1106" s="289"/>
    </row>
    <row r="1107" spans="9:12" x14ac:dyDescent="0.25">
      <c r="I1107" s="294"/>
      <c r="L1107" s="289"/>
    </row>
    <row r="1108" spans="9:12" x14ac:dyDescent="0.25">
      <c r="I1108" s="294"/>
      <c r="L1108" s="289"/>
    </row>
    <row r="1109" spans="9:12" x14ac:dyDescent="0.25">
      <c r="I1109" s="294"/>
      <c r="L1109" s="289"/>
    </row>
    <row r="1110" spans="9:12" x14ac:dyDescent="0.25">
      <c r="I1110" s="294"/>
      <c r="L1110" s="289"/>
    </row>
    <row r="1111" spans="9:12" x14ac:dyDescent="0.25">
      <c r="I1111" s="294"/>
      <c r="L1111" s="289"/>
    </row>
    <row r="1112" spans="9:12" x14ac:dyDescent="0.25">
      <c r="I1112" s="294"/>
      <c r="L1112" s="289"/>
    </row>
    <row r="1113" spans="9:12" x14ac:dyDescent="0.25">
      <c r="I1113" s="294"/>
      <c r="L1113" s="289"/>
    </row>
    <row r="1114" spans="9:12" x14ac:dyDescent="0.25">
      <c r="I1114" s="294"/>
      <c r="L1114" s="289"/>
    </row>
    <row r="1115" spans="9:12" x14ac:dyDescent="0.25">
      <c r="I1115" s="294"/>
      <c r="L1115" s="289"/>
    </row>
    <row r="1116" spans="9:12" x14ac:dyDescent="0.25">
      <c r="I1116" s="294"/>
      <c r="L1116" s="289"/>
    </row>
    <row r="1117" spans="9:12" x14ac:dyDescent="0.25">
      <c r="I1117" s="294"/>
      <c r="L1117" s="289"/>
    </row>
    <row r="1118" spans="9:12" x14ac:dyDescent="0.25">
      <c r="I1118" s="294"/>
      <c r="L1118" s="289"/>
    </row>
    <row r="1119" spans="9:12" x14ac:dyDescent="0.25">
      <c r="I1119" s="294"/>
      <c r="L1119" s="289"/>
    </row>
    <row r="1120" spans="9:12" x14ac:dyDescent="0.25">
      <c r="I1120" s="294"/>
      <c r="L1120" s="289"/>
    </row>
    <row r="1121" spans="9:12" x14ac:dyDescent="0.25">
      <c r="I1121" s="294"/>
      <c r="L1121" s="289"/>
    </row>
    <row r="1122" spans="9:12" x14ac:dyDescent="0.25">
      <c r="I1122" s="294"/>
      <c r="L1122" s="289"/>
    </row>
    <row r="1123" spans="9:12" x14ac:dyDescent="0.25">
      <c r="I1123" s="294"/>
      <c r="L1123" s="289"/>
    </row>
    <row r="1124" spans="9:12" x14ac:dyDescent="0.25">
      <c r="I1124" s="294"/>
      <c r="L1124" s="289"/>
    </row>
    <row r="1125" spans="9:12" x14ac:dyDescent="0.25">
      <c r="I1125" s="294"/>
      <c r="L1125" s="289"/>
    </row>
    <row r="1126" spans="9:12" x14ac:dyDescent="0.25">
      <c r="I1126" s="294"/>
      <c r="L1126" s="289"/>
    </row>
    <row r="1127" spans="9:12" x14ac:dyDescent="0.25">
      <c r="I1127" s="294"/>
      <c r="L1127" s="289"/>
    </row>
    <row r="1128" spans="9:12" x14ac:dyDescent="0.25">
      <c r="I1128" s="294"/>
      <c r="L1128" s="289"/>
    </row>
    <row r="1129" spans="9:12" x14ac:dyDescent="0.25">
      <c r="I1129" s="294"/>
      <c r="L1129" s="289"/>
    </row>
    <row r="1130" spans="9:12" x14ac:dyDescent="0.25">
      <c r="I1130" s="294"/>
      <c r="L1130" s="289"/>
    </row>
    <row r="1131" spans="9:12" x14ac:dyDescent="0.25">
      <c r="I1131" s="294"/>
      <c r="L1131" s="289"/>
    </row>
    <row r="1132" spans="9:12" x14ac:dyDescent="0.25">
      <c r="I1132" s="294"/>
      <c r="L1132" s="289"/>
    </row>
    <row r="1133" spans="9:12" x14ac:dyDescent="0.25">
      <c r="I1133" s="294"/>
      <c r="L1133" s="289"/>
    </row>
    <row r="1134" spans="9:12" x14ac:dyDescent="0.25">
      <c r="I1134" s="294"/>
      <c r="L1134" s="289"/>
    </row>
    <row r="1135" spans="9:12" x14ac:dyDescent="0.25">
      <c r="I1135" s="294"/>
      <c r="L1135" s="289"/>
    </row>
    <row r="1136" spans="9:12" x14ac:dyDescent="0.25">
      <c r="I1136" s="294"/>
      <c r="L1136" s="289"/>
    </row>
    <row r="1137" spans="9:12" x14ac:dyDescent="0.25">
      <c r="I1137" s="294"/>
      <c r="L1137" s="289"/>
    </row>
    <row r="1138" spans="9:12" x14ac:dyDescent="0.25">
      <c r="I1138" s="294"/>
      <c r="L1138" s="289"/>
    </row>
    <row r="1139" spans="9:12" x14ac:dyDescent="0.25">
      <c r="I1139" s="294"/>
      <c r="L1139" s="289"/>
    </row>
    <row r="1140" spans="9:12" x14ac:dyDescent="0.25">
      <c r="I1140" s="294"/>
      <c r="L1140" s="289"/>
    </row>
    <row r="1141" spans="9:12" x14ac:dyDescent="0.25">
      <c r="I1141" s="294"/>
      <c r="L1141" s="289"/>
    </row>
    <row r="1142" spans="9:12" x14ac:dyDescent="0.25">
      <c r="I1142" s="294"/>
      <c r="L1142" s="289"/>
    </row>
    <row r="1143" spans="9:12" x14ac:dyDescent="0.25">
      <c r="I1143" s="294"/>
      <c r="L1143" s="289"/>
    </row>
    <row r="1144" spans="9:12" x14ac:dyDescent="0.25">
      <c r="I1144" s="294"/>
      <c r="L1144" s="289"/>
    </row>
    <row r="1145" spans="9:12" x14ac:dyDescent="0.25">
      <c r="I1145" s="294"/>
      <c r="L1145" s="289"/>
    </row>
    <row r="1146" spans="9:12" x14ac:dyDescent="0.25">
      <c r="I1146" s="294"/>
      <c r="L1146" s="289"/>
    </row>
    <row r="1147" spans="9:12" x14ac:dyDescent="0.25">
      <c r="I1147" s="294"/>
      <c r="L1147" s="289"/>
    </row>
    <row r="1148" spans="9:12" x14ac:dyDescent="0.25">
      <c r="I1148" s="294"/>
      <c r="L1148" s="289"/>
    </row>
    <row r="1149" spans="9:12" x14ac:dyDescent="0.25">
      <c r="I1149" s="294"/>
      <c r="L1149" s="289"/>
    </row>
    <row r="1150" spans="9:12" x14ac:dyDescent="0.25">
      <c r="I1150" s="294"/>
      <c r="L1150" s="289"/>
    </row>
    <row r="1151" spans="9:12" x14ac:dyDescent="0.25">
      <c r="I1151" s="294"/>
      <c r="L1151" s="289"/>
    </row>
    <row r="1152" spans="9:12" x14ac:dyDescent="0.25">
      <c r="I1152" s="294"/>
      <c r="L1152" s="289"/>
    </row>
    <row r="1153" spans="9:12" x14ac:dyDescent="0.25">
      <c r="I1153" s="294"/>
      <c r="L1153" s="289"/>
    </row>
    <row r="1154" spans="9:12" x14ac:dyDescent="0.25">
      <c r="I1154" s="294"/>
      <c r="L1154" s="289"/>
    </row>
    <row r="1155" spans="9:12" x14ac:dyDescent="0.25">
      <c r="I1155" s="294"/>
      <c r="L1155" s="289"/>
    </row>
    <row r="1156" spans="9:12" x14ac:dyDescent="0.25">
      <c r="I1156" s="294"/>
      <c r="L1156" s="289"/>
    </row>
    <row r="1157" spans="9:12" x14ac:dyDescent="0.25">
      <c r="I1157" s="294"/>
      <c r="L1157" s="289"/>
    </row>
    <row r="1158" spans="9:12" x14ac:dyDescent="0.25">
      <c r="I1158" s="294"/>
      <c r="L1158" s="289"/>
    </row>
    <row r="1159" spans="9:12" x14ac:dyDescent="0.25">
      <c r="I1159" s="294"/>
      <c r="L1159" s="289"/>
    </row>
    <row r="1160" spans="9:12" x14ac:dyDescent="0.25">
      <c r="I1160" s="294"/>
      <c r="L1160" s="289"/>
    </row>
    <row r="1161" spans="9:12" x14ac:dyDescent="0.25">
      <c r="I1161" s="294"/>
      <c r="L1161" s="289"/>
    </row>
    <row r="1162" spans="9:12" x14ac:dyDescent="0.25">
      <c r="I1162" s="294"/>
      <c r="L1162" s="289"/>
    </row>
    <row r="1163" spans="9:12" x14ac:dyDescent="0.25">
      <c r="I1163" s="294"/>
      <c r="L1163" s="289"/>
    </row>
    <row r="1164" spans="9:12" x14ac:dyDescent="0.25">
      <c r="I1164" s="294"/>
      <c r="L1164" s="289"/>
    </row>
    <row r="1165" spans="9:12" x14ac:dyDescent="0.25">
      <c r="I1165" s="294"/>
      <c r="L1165" s="289"/>
    </row>
    <row r="1166" spans="9:12" x14ac:dyDescent="0.25">
      <c r="I1166" s="294"/>
      <c r="L1166" s="289"/>
    </row>
    <row r="1167" spans="9:12" x14ac:dyDescent="0.25">
      <c r="I1167" s="294"/>
      <c r="L1167" s="289"/>
    </row>
    <row r="1168" spans="9:12" x14ac:dyDescent="0.25">
      <c r="I1168" s="294"/>
      <c r="L1168" s="289"/>
    </row>
  </sheetData>
  <mergeCells count="27">
    <mergeCell ref="C40:D40"/>
    <mergeCell ref="C41:D41"/>
    <mergeCell ref="C87:D87"/>
    <mergeCell ref="C88:D88"/>
    <mergeCell ref="C85:D85"/>
    <mergeCell ref="C66:D66"/>
    <mergeCell ref="C68:D68"/>
    <mergeCell ref="C71:D71"/>
    <mergeCell ref="C76:D76"/>
    <mergeCell ref="C82:D82"/>
    <mergeCell ref="C78:D78"/>
    <mergeCell ref="C46:D46"/>
    <mergeCell ref="C50:D50"/>
    <mergeCell ref="C52:D52"/>
    <mergeCell ref="C38:D38"/>
    <mergeCell ref="C39:D39"/>
    <mergeCell ref="C36:D36"/>
    <mergeCell ref="C1:D1"/>
    <mergeCell ref="C2:D2"/>
    <mergeCell ref="C31:D31"/>
    <mergeCell ref="C3:D3"/>
    <mergeCell ref="C12:D12"/>
    <mergeCell ref="C19:D19"/>
    <mergeCell ref="C22:D22"/>
    <mergeCell ref="C25:D25"/>
    <mergeCell ref="C28:D28"/>
    <mergeCell ref="C34:D34"/>
  </mergeCells>
  <printOptions horizontalCentered="1"/>
  <pageMargins left="0.78740157480314965" right="0.78740157480314965" top="0.78740157480314965" bottom="0.19685039370078741" header="3.937007874015748E-2" footer="0.19685039370078741"/>
  <pageSetup paperSize="9" scale="70" orientation="landscape" r:id="rId1"/>
  <headerFooter alignWithMargins="0">
    <oddHeader>&amp;C&amp;"Times New Roman,Félkövér"&amp;8
 &amp;10Budapest VIII. kerületi Önkormányzat  2020. évi költségvetés beruházási, felújítási   előirányzatai &amp;R&amp;"Times New Roman,Félkövér dőlt"&amp;9
&amp;10 7. melléklet a /2020. () 
önkormányzati rendelethez
ezer forintban</oddHeader>
    <oddFooter>&amp;C&amp;8
&amp;R&amp;"Times New Roman,Normál"&amp;8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33</vt:i4>
      </vt:variant>
      <vt:variant>
        <vt:lpstr>Névvel ellátott tartományok</vt:lpstr>
      </vt:variant>
      <vt:variant>
        <vt:i4>51</vt:i4>
      </vt:variant>
    </vt:vector>
  </HeadingPairs>
  <TitlesOfParts>
    <vt:vector size="84" baseType="lpstr">
      <vt:lpstr>Tervezőhiv.</vt:lpstr>
      <vt:lpstr>Tervezőönkorm.</vt:lpstr>
      <vt:lpstr>címrend</vt:lpstr>
      <vt:lpstr>címrendösszesen</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kiadás 11805</vt:lpstr>
      <vt:lpstr>eng.létszám</vt:lpstr>
      <vt:lpstr>céljellegű</vt:lpstr>
      <vt:lpstr>EU-s projekt</vt:lpstr>
      <vt:lpstr>címrend kötelező</vt:lpstr>
      <vt:lpstr>címrend önként</vt:lpstr>
      <vt:lpstr>címrend államig</vt:lpstr>
      <vt:lpstr>ütemterv</vt:lpstr>
      <vt:lpstr>előzeteskötváll.</vt:lpstr>
      <vt:lpstr>előterközvetett támogatások</vt:lpstr>
      <vt:lpstr>előterjállamitám</vt:lpstr>
      <vt:lpstr>3 éves</vt:lpstr>
      <vt:lpstr>stb29A</vt:lpstr>
      <vt:lpstr>zárolt előirányzatok</vt:lpstr>
      <vt:lpstr>Munka1</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előterjállamitám!Nyomtatási_cím</vt:lpstr>
      <vt:lpstr>előzeteskötváll.!Nyomtatási_cím</vt:lpstr>
      <vt:lpstr>'felhalmozás-felújítás'!Nyomtatási_cím</vt:lpstr>
      <vt:lpstr>'kiadás 11601'!Nyomtatási_cím</vt:lpstr>
      <vt:lpstr>'kiadás 11603'!Nyomtatási_cím</vt:lpstr>
      <vt:lpstr>'kiadás 11604 '!Nyomtatási_cím</vt:lpstr>
      <vt:lpstr>'kiadás 11805'!Nyomtatási_cím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'zárolt előirányzatok'!Nyomtatási_cím</vt:lpstr>
      <vt:lpstr>'3 éves'!Nyomtatási_terület</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előterjállamitám!Nyomtatási_terület</vt:lpstr>
      <vt:lpstr>'előterközvetett támogatások'!Nyomtatási_terület</vt:lpstr>
      <vt:lpstr>előzeteskötváll.!Nyomtatási_terület</vt:lpstr>
      <vt:lpstr>eng.létszám!Nyomtatási_terület</vt:lpstr>
      <vt:lpstr>'felhalmozás-felújítás'!Nyomtatási_terület</vt:lpstr>
      <vt:lpstr>'kiadás 11601'!Nyomtatási_terület</vt:lpstr>
      <vt:lpstr>'kiadás 11603'!Nyomtatási_terület</vt:lpstr>
      <vt:lpstr>'kiadás 11604 '!Nyomtatási_terület</vt:lpstr>
      <vt:lpstr>'kiadás 11805'!Nyomtatási_terület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stb29A!Nyomtatási_terület</vt:lpstr>
      <vt:lpstr>tartalékok!Nyomtatási_terület</vt:lpstr>
      <vt:lpstr>ütemterv!Nyomtatási_terület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Bózsóné Kovács Éva</cp:lastModifiedBy>
  <cp:lastPrinted>2020-03-04T07:18:20Z</cp:lastPrinted>
  <dcterms:created xsi:type="dcterms:W3CDTF">2017-09-04T13:18:08Z</dcterms:created>
  <dcterms:modified xsi:type="dcterms:W3CDTF">2020-06-30T12:15:49Z</dcterms:modified>
</cp:coreProperties>
</file>